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18.xml" ContentType="application/vnd.openxmlformats-officedocument.spreadsheetml.comments+xml"/>
  <Override PartName="/xl/theme/theme1.xml" ContentType="application/vnd.openxmlformats-officedocument.theme+xml"/>
  <Override PartName="/xl/comments44.xml" ContentType="application/vnd.openxmlformats-officedocument.spreadsheetml.comments+xml"/>
  <Override PartName="/xl/worksheets/_rels/sheet44.xml.rels" ContentType="application/vnd.openxmlformats-package.relationships+xml"/>
  <Override PartName="/xl/worksheets/_rels/sheet2.xml.rels" ContentType="application/vnd.openxmlformats-package.relationships+xml"/>
  <Override PartName="/xl/worksheets/_rels/sheet43.xml.rels" ContentType="application/vnd.openxmlformats-package.relationships+xml"/>
  <Override PartName="/xl/worksheets/_rels/sheet42.xml.rels" ContentType="application/vnd.openxmlformats-package.relationships+xml"/>
  <Override PartName="/xl/worksheets/_rels/sheet5.xml.rels" ContentType="application/vnd.openxmlformats-package.relationships+xml"/>
  <Override PartName="/xl/worksheets/_rels/sheet14.xml.rels" ContentType="application/vnd.openxmlformats-package.relationships+xml"/>
  <Override PartName="/xl/worksheets/_rels/sheet12.xml.rels" ContentType="application/vnd.openxmlformats-package.relationships+xml"/>
  <Override PartName="/xl/worksheets/_rels/sheet3.xml.rels" ContentType="application/vnd.openxmlformats-package.relationships+xml"/>
  <Override PartName="/xl/worksheets/_rels/sheet16.xml.rels" ContentType="application/vnd.openxmlformats-package.relationships+xml"/>
  <Override PartName="/xl/worksheets/_rels/sheet28.xml.rels" ContentType="application/vnd.openxmlformats-package.relationships+xml"/>
  <Override PartName="/xl/worksheets/_rels/sheet18.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3.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34.xml" ContentType="application/vnd.openxmlformats-officedocument.spreadsheetml.worksheet+xml"/>
  <Override PartName="/xl/worksheets/sheet46.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10.xml" ContentType="application/vnd.openxmlformats-officedocument.spreadsheetml.worksheet+xml"/>
  <Override PartName="/xl/worksheets/sheet47.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31.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30.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comments43.xml" ContentType="application/vnd.openxmlformats-officedocument.spreadsheetml.comments+xml"/>
  <Override PartName="/xl/workbook.xml" ContentType="application/vnd.openxmlformats-officedocument.spreadsheetml.sheet.main+xml"/>
  <Override PartName="/xl/comments3.xml" ContentType="application/vnd.openxmlformats-officedocument.spreadsheetml.comments+xml"/>
  <Override PartName="/xl/sharedStrings.xml" ContentType="application/vnd.openxmlformats-officedocument.spreadsheetml.sharedStrings+xml"/>
  <Override PartName="/xl/comments14.xml" ContentType="application/vnd.openxmlformats-officedocument.spreadsheetml.comments+xml"/>
  <Override PartName="/xl/drawings/vmlDrawing8.vml" ContentType="application/vnd.openxmlformats-officedocument.vmlDrawing"/>
  <Override PartName="/xl/drawings/vmlDrawing9.vml" ContentType="application/vnd.openxmlformats-officedocument.vmlDrawing"/>
  <Override PartName="/xl/drawings/drawing1.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6.vml" ContentType="application/vnd.openxmlformats-officedocument.vmlDrawing"/>
  <Override PartName="/xl/drawings/vmlDrawing3.vml" ContentType="application/vnd.openxmlformats-officedocument.vmlDrawing"/>
  <Override PartName="/xl/drawings/drawing4.xml" ContentType="application/vnd.openxmlformats-officedocument.drawing+xml"/>
  <Override PartName="/xl/drawings/vmlDrawing7.vml" ContentType="application/vnd.openxmlformats-officedocument.vmlDrawing"/>
  <Override PartName="/xl/drawings/vmlDrawing4.vml" ContentType="application/vnd.openxmlformats-officedocument.vmlDrawing"/>
  <Override PartName="/xl/drawings/drawing5.xml" ContentType="application/vnd.openxmlformats-officedocument.drawing+xml"/>
  <Override PartName="/xl/comments2.xml" ContentType="application/vnd.openxmlformats-officedocument.spreadsheetml.comments+xml"/>
  <Override PartName="/xl/comments12.xml" ContentType="application/vnd.openxmlformats-officedocument.spreadsheetml.comments+xml"/>
  <Override PartName="/xl/styles.xml" ContentType="application/vnd.openxmlformats-officedocument.spreadsheetml.styles+xml"/>
  <Override PartName="/xl/comments16.xml" ContentType="application/vnd.openxmlformats-officedocument.spreadsheetml.comments+xml"/>
  <Override PartName="/xl/comments28.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over" sheetId="1" state="visible" r:id="rId3"/>
    <sheet name="S &amp; U" sheetId="2" state="visible" r:id="rId4"/>
    <sheet name="adj AVP - Trading" sheetId="3" state="visible" r:id="rId5"/>
    <sheet name="Asset Valuation" sheetId="4" state="visible" r:id="rId6"/>
    <sheet name="adj AVP - Cons" sheetId="5" state="visible" r:id="rId7"/>
    <sheet name="Due Diligence" sheetId="6" state="visible" r:id="rId8"/>
    <sheet name="Fin Exhibits" sheetId="7" state="visible" r:id="rId9"/>
    <sheet name="Income Statement" sheetId="8" state="visible" r:id="rId10"/>
    <sheet name="Balance Sheet" sheetId="9" state="visible" r:id="rId11"/>
    <sheet name="Cash Flow " sheetId="10" state="visible" r:id="rId12"/>
    <sheet name="Profit &amp; Loss (2)" sheetId="11" state="visible" r:id="rId13"/>
    <sheet name="Sea-3 NH " sheetId="12" state="visible" r:id="rId14"/>
    <sheet name="Dep NH" sheetId="13" state="visible" r:id="rId15"/>
    <sheet name="Sea-3 Tampa" sheetId="14" state="visible" r:id="rId16"/>
    <sheet name="Dep FL" sheetId="15" state="visible" r:id="rId17"/>
    <sheet name="Rail Ops" sheetId="16" state="visible" r:id="rId18"/>
    <sheet name="Dep Rail" sheetId="17" state="visible" r:id="rId19"/>
    <sheet name="Valuation - DCF" sheetId="18" state="visible" r:id="rId20"/>
    <sheet name="Dep TA" sheetId="19" state="visible" r:id="rId21"/>
    <sheet name="Assumptions" sheetId="20" state="visible" r:id="rId22"/>
    <sheet name="Comparables" sheetId="21" state="visible" r:id="rId23"/>
    <sheet name="STOP      PRINTING     HERE    " sheetId="22" state="visible" r:id="rId24"/>
    <sheet name="Dep" sheetId="23" state="visible" r:id="rId25"/>
    <sheet name="Misc Calcs" sheetId="24" state="visible" r:id="rId26"/>
    <sheet name="Goodwill" sheetId="25" state="visible" r:id="rId27"/>
    <sheet name="LOG" sheetId="26" state="hidden" r:id="rId28"/>
    <sheet name="Profit &amp; Loss" sheetId="27" state="hidden" r:id="rId29"/>
    <sheet name="Tax " sheetId="28" state="hidden" r:id="rId30"/>
    <sheet name="tim1" sheetId="29" state="hidden" r:id="rId31"/>
    <sheet name="Summaries" sheetId="30" state="hidden" r:id="rId32"/>
    <sheet name="T. Tons" sheetId="31" state="visible" r:id="rId33"/>
    <sheet name="T. Profits" sheetId="32" state="visible" r:id="rId34"/>
    <sheet name="T. Margins" sheetId="33" state="visible" r:id="rId35"/>
    <sheet name="T. Profitability" sheetId="34" state="visible" r:id="rId36"/>
    <sheet name="Bonuses" sheetId="35" state="hidden" r:id="rId37"/>
    <sheet name="Sov Risk" sheetId="36" state="hidden" r:id="rId38"/>
    <sheet name="Value" sheetId="37" state="hidden" r:id="rId39"/>
    <sheet name="Segments" sheetId="38" state="hidden" r:id="rId40"/>
    <sheet name="INV" sheetId="39" state="visible" r:id="rId41"/>
    <sheet name="AR" sheetId="40" state="visible" r:id="rId42"/>
    <sheet name="AP" sheetId="41" state="visible" r:id="rId43"/>
    <sheet name="AVP - Consolidated" sheetId="42" state="hidden" r:id="rId44"/>
    <sheet name="AVP - Trading" sheetId="43" state="hidden" r:id="rId45"/>
    <sheet name="AVP -PP&amp;E" sheetId="44" state="hidden" r:id="rId46"/>
    <sheet name="Valuations Summary" sheetId="45" state="hidden" r:id="rId47"/>
    <sheet name="Financial Summary" sheetId="46" state="hidden" r:id="rId48"/>
    <sheet name="Timeline" sheetId="47" state="hidden" r:id="rId49"/>
  </sheets>
  <definedNames>
    <definedName function="false" hidden="false" localSheetId="4" name="_xlnm.Print_Area" vbProcedure="false">'adj AVP - Cons'!$A$1:$M$38</definedName>
    <definedName function="false" hidden="false" localSheetId="2" name="_xlnm.Print_Area" vbProcedure="false">'adj AVP - Trading'!$A$1:$M$24</definedName>
    <definedName function="false" hidden="false" localSheetId="40" name="_xlnm.Print_Area" vbProcedure="false">AP!$A$1:$P$33</definedName>
    <definedName function="false" hidden="false" localSheetId="39" name="_xlnm.Print_Area" vbProcedure="false">AR!$A$1:$P$32</definedName>
    <definedName function="false" hidden="false" localSheetId="3" name="_xlnm.Print_Area" vbProcedure="false">'Asset Valuation'!$A$1:$K$28</definedName>
    <definedName function="false" hidden="false" localSheetId="19" name="_xlnm.Print_Area" vbProcedure="false">Assumptions!$A$1:$N$29</definedName>
    <definedName function="false" hidden="false" localSheetId="41" name="_xlnm.Print_Area" vbProcedure="false">'AVP - Consolidated'!$A$1:$M$35</definedName>
    <definedName function="false" hidden="false" localSheetId="42" name="_xlnm.Print_Area" vbProcedure="false">'AVP - Trading'!$A$1:$M$25</definedName>
    <definedName function="false" hidden="false" localSheetId="43" name="_xlnm.Print_Area" vbProcedure="false">'AVP -PP&amp;E'!$A$1:$M$20</definedName>
    <definedName function="false" hidden="false" localSheetId="34" name="_xlnm.Print_Area" vbProcedure="false">Bonuses!$A$1:$T$37</definedName>
    <definedName function="false" hidden="false" localSheetId="20" name="_xlnm.Print_Area" vbProcedure="false">Comparables!$A$1:$V$72</definedName>
    <definedName function="false" hidden="false" localSheetId="22" name="_xlnm.Print_Area" vbProcedure="false">Dep!$A$23:$T$123</definedName>
    <definedName function="false" hidden="false" localSheetId="14" name="_xlnm.Print_Area" vbProcedure="false">'Dep FL'!$A$1:$O$26</definedName>
    <definedName function="false" hidden="false" localSheetId="12" name="_xlnm.Print_Area" vbProcedure="false">'Dep NH'!$A$1:$O$25</definedName>
    <definedName function="false" hidden="false" localSheetId="16" name="_xlnm.Print_Area" vbProcedure="false">'Dep Rail'!$A$1:$O$26</definedName>
    <definedName function="false" hidden="false" localSheetId="18" name="_xlnm.Print_Area" vbProcedure="false">'Dep TA'!$A$1:$O$39</definedName>
    <definedName function="false" hidden="false" localSheetId="5" name="_xlnm.Print_Area" vbProcedure="false">'Due Diligence'!$A$1:$O$33</definedName>
    <definedName function="false" hidden="false" localSheetId="7" name="_xlnm.Print_Area" vbProcedure="false">'Income Statement'!$A$1:$M$41</definedName>
    <definedName function="false" hidden="false" localSheetId="38" name="_xlnm.Print_Area" vbProcedure="false">INV!$A$1:$P$33</definedName>
    <definedName function="false" hidden="false" localSheetId="25" name="_xlnm.Print_Area" vbProcedure="false">LOG!$B$19:$J$43</definedName>
    <definedName function="false" hidden="false" localSheetId="23" name="_xlnm.Print_Area" vbProcedure="false">'Misc Calcs'!$A$24:$N$99</definedName>
    <definedName function="false" hidden="false" localSheetId="26" name="_xlnm.Print_Area" vbProcedure="false">'Profit &amp; Loss'!$1:$65536</definedName>
    <definedName function="false" hidden="false" localSheetId="10" name="_xlnm.Print_Area" vbProcedure="false">'Profit &amp; Loss (2)'!$1:$65536</definedName>
    <definedName function="false" hidden="false" localSheetId="1" name="_xlnm.Print_Area" vbProcedure="false">'S &amp; U'!$A$2:$M$35</definedName>
    <definedName function="false" hidden="false" localSheetId="37" name="_xlnm.Print_Area" vbProcedure="false">Segments!$A$1:$V$25</definedName>
    <definedName function="false" hidden="false" localSheetId="28" name="_xlnm.Print_Area" vbProcedure="false">tim1!$A$1:$P$23</definedName>
    <definedName function="false" hidden="false" localSheetId="17" name="_xlnm.Print_Area" vbProcedure="false">'Valuation - DCF'!$A$1:$Q$65</definedName>
    <definedName function="false" hidden="false" localSheetId="17" name="_xlnm.Print_Titles" vbProcedure="false">'Valuation - DCF'!$1:$1</definedName>
    <definedName function="false" hidden="false" localSheetId="44" name="_xlnm.Print_Area" vbProcedure="false">'Valuations Summary'!$A$1:$M$19</definedName>
  </definedNames>
  <calcPr iterateCount="1000" refMode="A1" iterate="true" iterateDelta="0.001"/>
  <extLst>
    <ext xmlns:loext="http://schemas.libreoffice.org/" uri="{7626C862-2A13-11E5-B345-FEFF819CDC9F}">
      <loext:extCalcPr stringRefSyntax="CalcA1"/>
    </ext>
  </extLst>
</workbook>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13" authorId="0">
      <text>
        <r>
          <rPr>
            <sz val="8"/>
            <color rgb="FF000000"/>
            <rFont val="Tahoma"/>
            <family val="2"/>
          </rPr>
          <t xml:space="preserve">Assumes TA loses $0.01 after renegotiating contract.  Also assume volumes going forward equal the average of 1999 and 2000.</t>
        </r>
      </text>
      <mc:AlternateContent>
        <mc:Choice Requires="v2">
          <commentPr autoFill="true" autoScale="false" colHidden="false" locked="false" rowHidden="false" textHAlign="justify" textVAlign="top">
            <anchor moveWithCells="false" sizeWithCells="false">
              <xdr:from>
                <xdr:col>12</xdr:col>
                <xdr:colOff>16</xdr:colOff>
                <xdr:row>11</xdr:row>
                <xdr:rowOff>6</xdr:rowOff>
              </xdr:from>
              <xdr:to>
                <xdr:col>14</xdr:col>
                <xdr:colOff>16</xdr:colOff>
                <xdr:row>15</xdr:row>
                <xdr:rowOff>14</xdr:rowOff>
              </xdr:to>
            </anchor>
          </commentPr>
        </mc:Choice>
        <mc:Fallback/>
      </mc:AlternateContent>
    </comment>
  </commentList>
</comments>
</file>

<file path=xl/comments1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13" authorId="0">
      <text>
        <r>
          <rPr>
            <sz val="8"/>
            <color rgb="FF000000"/>
            <rFont val="Tahoma"/>
            <family val="2"/>
          </rPr>
          <t xml:space="preserve">Assumes TA loses $0.01 of value after renegotiating the purchase contract.  Volume assumption stay the same as per TA data.</t>
        </r>
      </text>
      <mc:AlternateContent>
        <mc:Choice Requires="v2">
          <commentPr autoFill="true" autoScale="false" colHidden="false" locked="false" rowHidden="false" textHAlign="justify" textVAlign="top">
            <anchor moveWithCells="false" sizeWithCells="false">
              <xdr:from>
                <xdr:col>13</xdr:col>
                <xdr:colOff>49</xdr:colOff>
                <xdr:row>11</xdr:row>
                <xdr:rowOff>6</xdr:rowOff>
              </xdr:from>
              <xdr:to>
                <xdr:col>15</xdr:col>
                <xdr:colOff>47</xdr:colOff>
                <xdr:row>15</xdr:row>
                <xdr:rowOff>14</xdr:rowOff>
              </xdr:to>
            </anchor>
          </commentPr>
        </mc:Choice>
        <mc:Fallback/>
      </mc:AlternateContent>
    </comment>
  </commentList>
</comments>
</file>

<file path=xl/comments1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F10" authorId="0">
      <text>
        <r>
          <rPr>
            <sz val="8"/>
            <color rgb="FF000000"/>
            <rFont val="Tahoma"/>
            <family val="2"/>
          </rPr>
          <t xml:space="preserve">Addback is for depreciationi.</t>
        </r>
      </text>
      <mc:AlternateContent>
        <mc:Choice Requires="v2">
          <commentPr autoFill="true" autoScale="false" colHidden="false" locked="false" rowHidden="false" textHAlign="justify" textVAlign="top">
            <anchor moveWithCells="false" sizeWithCells="false">
              <xdr:from>
                <xdr:col>6</xdr:col>
                <xdr:colOff>0</xdr:colOff>
                <xdr:row>8</xdr:row>
                <xdr:rowOff>6</xdr:rowOff>
              </xdr:from>
              <xdr:to>
                <xdr:col>7</xdr:col>
                <xdr:colOff>63</xdr:colOff>
                <xdr:row>12</xdr:row>
                <xdr:rowOff>14</xdr:rowOff>
              </xdr:to>
            </anchor>
          </commentPr>
        </mc:Choice>
        <mc:Fallback/>
      </mc:AlternateContent>
    </comment>
  </commentList>
</comments>
</file>

<file path=xl/comments1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I15" authorId="0">
      <text>
        <r>
          <rPr>
            <sz val="8"/>
            <color rgb="FF000000"/>
            <rFont val="Tahoma"/>
            <family val="2"/>
          </rPr>
          <t xml:space="preserve">Includes 1/3 of 1999 depreciation</t>
        </r>
      </text>
      <mc:AlternateContent>
        <mc:Choice Requires="v2">
          <commentPr autoFill="true" autoScale="false" colHidden="false" locked="false" rowHidden="false" textHAlign="justify" textVAlign="top">
            <anchor moveWithCells="false" sizeWithCells="false">
              <xdr:from>
                <xdr:col>8</xdr:col>
                <xdr:colOff>78</xdr:colOff>
                <xdr:row>11</xdr:row>
                <xdr:rowOff>0</xdr:rowOff>
              </xdr:from>
              <xdr:to>
                <xdr:col>9</xdr:col>
                <xdr:colOff>92</xdr:colOff>
                <xdr:row>12</xdr:row>
                <xdr:rowOff>11</xdr:rowOff>
              </xdr:to>
            </anchor>
          </commentPr>
        </mc:Choice>
        <mc:Fallback/>
      </mc:AlternateContent>
    </comment>
    <comment ref="I19" authorId="0">
      <text>
        <r>
          <rPr>
            <sz val="8"/>
            <color rgb="FF000000"/>
            <rFont val="Tahoma"/>
            <family val="2"/>
          </rPr>
          <t xml:space="preserve">Includes 2/3 of 1999 depreciation
</t>
        </r>
      </text>
      <mc:AlternateContent>
        <mc:Choice Requires="v2">
          <commentPr autoFill="true" autoScale="false" colHidden="false" locked="false" rowHidden="false" textHAlign="justify" textVAlign="top">
            <anchor moveWithCells="false" sizeWithCells="false">
              <xdr:from>
                <xdr:col>8</xdr:col>
                <xdr:colOff>78</xdr:colOff>
                <xdr:row>14</xdr:row>
                <xdr:rowOff>6</xdr:rowOff>
              </xdr:from>
              <xdr:to>
                <xdr:col>9</xdr:col>
                <xdr:colOff>92</xdr:colOff>
                <xdr:row>16</xdr:row>
                <xdr:rowOff>15</xdr:rowOff>
              </xdr:to>
            </anchor>
          </commentPr>
        </mc:Choice>
        <mc:Fallback/>
      </mc:AlternateContent>
    </comment>
    <comment ref="J15" authorId="0">
      <text>
        <r>
          <rPr>
            <sz val="8"/>
            <color rgb="FF000000"/>
            <rFont val="Tahoma"/>
            <family val="2"/>
          </rPr>
          <t xml:space="preserve">Includes 1/3 of 2000 depreciation</t>
        </r>
      </text>
      <mc:AlternateContent>
        <mc:Choice Requires="v2">
          <commentPr autoFill="true" autoScale="false" colHidden="false" locked="false" rowHidden="false" textHAlign="justify" textVAlign="top">
            <anchor moveWithCells="false" sizeWithCells="false">
              <xdr:from>
                <xdr:col>9</xdr:col>
                <xdr:colOff>78</xdr:colOff>
                <xdr:row>11</xdr:row>
                <xdr:rowOff>0</xdr:rowOff>
              </xdr:from>
              <xdr:to>
                <xdr:col>11</xdr:col>
                <xdr:colOff>0</xdr:colOff>
                <xdr:row>12</xdr:row>
                <xdr:rowOff>11</xdr:rowOff>
              </xdr:to>
            </anchor>
          </commentPr>
        </mc:Choice>
        <mc:Fallback/>
      </mc:AlternateContent>
    </comment>
    <comment ref="J19" authorId="0">
      <text>
        <r>
          <rPr>
            <sz val="8"/>
            <color rgb="FF000000"/>
            <rFont val="Tahoma"/>
            <family val="2"/>
          </rPr>
          <t xml:space="preserve">Includes 2/3 of 2000 depreciation</t>
        </r>
      </text>
      <mc:AlternateContent>
        <mc:Choice Requires="v2">
          <commentPr autoFill="true" autoScale="false" colHidden="false" locked="false" rowHidden="false" textHAlign="justify" textVAlign="top">
            <anchor moveWithCells="false" sizeWithCells="false">
              <xdr:from>
                <xdr:col>9</xdr:col>
                <xdr:colOff>78</xdr:colOff>
                <xdr:row>14</xdr:row>
                <xdr:rowOff>6</xdr:rowOff>
              </xdr:from>
              <xdr:to>
                <xdr:col>11</xdr:col>
                <xdr:colOff>0</xdr:colOff>
                <xdr:row>16</xdr:row>
                <xdr:rowOff>15</xdr:rowOff>
              </xdr:to>
            </anchor>
          </commentPr>
        </mc:Choice>
        <mc:Fallback/>
      </mc:AlternateContent>
    </comment>
    <comment ref="K15" authorId="0">
      <text>
        <r>
          <rPr>
            <sz val="8"/>
            <color rgb="FF000000"/>
            <rFont val="Tahoma"/>
            <family val="2"/>
          </rPr>
          <t xml:space="preserve">Already includes the depreciation add back from the average of 1999 and 2000.</t>
        </r>
      </text>
      <mc:AlternateContent>
        <mc:Choice Requires="v2">
          <commentPr autoFill="true" autoScale="false" colHidden="false" locked="false" rowHidden="false" textHAlign="justify" textVAlign="top">
            <anchor moveWithCells="false" sizeWithCells="false">
              <xdr:from>
                <xdr:col>10</xdr:col>
                <xdr:colOff>91</xdr:colOff>
                <xdr:row>11</xdr:row>
                <xdr:rowOff>0</xdr:rowOff>
              </xdr:from>
              <xdr:to>
                <xdr:col>11</xdr:col>
                <xdr:colOff>89</xdr:colOff>
                <xdr:row>12</xdr:row>
                <xdr:rowOff>11</xdr:rowOff>
              </xdr:to>
            </anchor>
          </commentPr>
        </mc:Choice>
        <mc:Fallback/>
      </mc:AlternateContent>
    </comment>
    <comment ref="L23" authorId="0">
      <text>
        <r>
          <rPr>
            <b val="true"/>
            <sz val="8"/>
            <color rgb="FF000000"/>
            <rFont val="Tahoma"/>
            <family val="0"/>
          </rPr>
          <t xml:space="preserve">gbenite:
</t>
        </r>
        <r>
          <rPr>
            <sz val="8"/>
            <color rgb="FF000000"/>
            <rFont val="Tahoma"/>
            <family val="0"/>
          </rPr>
          <t xml:space="preserve">Average of non shareholder and non LPG london SG&amp;A
</t>
        </r>
      </text>
      <mc:AlternateContent>
        <mc:Choice Requires="v2">
          <commentPr autoFill="true" autoScale="false" colHidden="false" locked="false" rowHidden="false" textHAlign="justify" textVAlign="top">
            <anchor moveWithCells="false" sizeWithCells="false">
              <xdr:from>
                <xdr:col>12</xdr:col>
                <xdr:colOff>16</xdr:colOff>
                <xdr:row>21</xdr:row>
                <xdr:rowOff>7</xdr:rowOff>
              </xdr:from>
              <xdr:to>
                <xdr:col>13</xdr:col>
                <xdr:colOff>38</xdr:colOff>
                <xdr:row>28</xdr:row>
                <xdr:rowOff>12</xdr:rowOff>
              </xdr:to>
            </anchor>
          </commentPr>
        </mc:Choice>
        <mc:Fallback/>
      </mc:AlternateContent>
    </comment>
    <comment ref="L27" authorId="0">
      <text>
        <r>
          <rPr>
            <sz val="8"/>
            <color rgb="FF000000"/>
            <rFont val="Tahoma"/>
            <family val="2"/>
          </rPr>
          <t xml:space="preserve">Assumes a Stanton retainer of $1.0MM per annum or $500k for these 6 months &amp; $2MM per annum for retention expenses.</t>
        </r>
      </text>
      <mc:AlternateContent>
        <mc:Choice Requires="v2">
          <commentPr autoFill="true" autoScale="false" colHidden="false" locked="false" rowHidden="false" textHAlign="justify" textVAlign="top">
            <anchor moveWithCells="false" sizeWithCells="false">
              <xdr:from>
                <xdr:col>12</xdr:col>
                <xdr:colOff>16</xdr:colOff>
                <xdr:row>26</xdr:row>
                <xdr:rowOff>3</xdr:rowOff>
              </xdr:from>
              <xdr:to>
                <xdr:col>13</xdr:col>
                <xdr:colOff>38</xdr:colOff>
                <xdr:row>31</xdr:row>
                <xdr:rowOff>8</xdr:rowOff>
              </xdr:to>
            </anchor>
          </commentPr>
        </mc:Choice>
        <mc:Fallback/>
      </mc:AlternateContent>
    </comment>
    <comment ref="M27" authorId="0">
      <text>
        <r>
          <rPr>
            <sz val="8"/>
            <color rgb="FF000000"/>
            <rFont val="Tahoma"/>
            <family val="2"/>
          </rPr>
          <t xml:space="preserve">Assumes a Stanton retainer of $1.0MM per annum and $2MM per annum in retention expenses.</t>
        </r>
      </text>
      <mc:AlternateContent>
        <mc:Choice Requires="v2">
          <commentPr autoFill="true" autoScale="false" colHidden="false" locked="false" rowHidden="false" textHAlign="justify" textVAlign="top">
            <anchor moveWithCells="false" sizeWithCells="false">
              <xdr:from>
                <xdr:col>13</xdr:col>
                <xdr:colOff>16</xdr:colOff>
                <xdr:row>26</xdr:row>
                <xdr:rowOff>3</xdr:rowOff>
              </xdr:from>
              <xdr:to>
                <xdr:col>14</xdr:col>
                <xdr:colOff>52</xdr:colOff>
                <xdr:row>31</xdr:row>
                <xdr:rowOff>8</xdr:rowOff>
              </xdr:to>
            </anchor>
          </commentPr>
        </mc:Choice>
        <mc:Fallback/>
      </mc:AlternateContent>
    </comment>
    <comment ref="Q53" authorId="0">
      <text>
        <r>
          <rPr>
            <b val="true"/>
            <sz val="8"/>
            <color rgb="FF000000"/>
            <rFont val="Tahoma"/>
            <family val="0"/>
          </rPr>
          <t xml:space="preserve">Raul Rizo-Patron:
</t>
        </r>
        <r>
          <rPr>
            <sz val="8"/>
            <color rgb="FF000000"/>
            <rFont val="Tahoma"/>
            <family val="0"/>
          </rPr>
          <t xml:space="preserve">Year 5 EBITDa plus add back of non-recurring retention expenses times exit multiple</t>
        </r>
      </text>
      <mc:AlternateContent>
        <mc:Choice Requires="v2">
          <commentPr autoFill="true" autoScale="false" colHidden="false" locked="false" rowHidden="false" textHAlign="justify" textVAlign="top">
            <anchor moveWithCells="false" sizeWithCells="false">
              <xdr:from>
                <xdr:col>17</xdr:col>
                <xdr:colOff>16</xdr:colOff>
                <xdr:row>52</xdr:row>
                <xdr:rowOff>7</xdr:rowOff>
              </xdr:from>
              <xdr:to>
                <xdr:col>19</xdr:col>
                <xdr:colOff>16</xdr:colOff>
                <xdr:row>58</xdr:row>
                <xdr:rowOff>15</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U7" authorId="0">
      <text>
        <r>
          <rPr>
            <b val="true"/>
            <sz val="8"/>
            <color rgb="FF000000"/>
            <rFont val="Tahoma"/>
            <family val="0"/>
          </rPr>
          <t xml:space="preserve">Raul Rizo-Patron:
</t>
        </r>
        <r>
          <rPr>
            <sz val="8"/>
            <color rgb="FF000000"/>
            <rFont val="Tahoma"/>
            <family val="2"/>
          </rPr>
          <t xml:space="preserve">Whether or not the business is purchased with or without cash, NI will be the same because it will be assumed that ENE would put in the cash that TA took.</t>
        </r>
      </text>
      <mc:AlternateContent>
        <mc:Choice Requires="v2">
          <commentPr autoFill="true" autoScale="false" colHidden="true" locked="false" rowHidden="false" textHAlign="justify" textVAlign="top">
            <anchor moveWithCells="false" sizeWithCells="false">
              <xdr:from>
                <xdr:col>26</xdr:col>
                <xdr:colOff>39</xdr:colOff>
                <xdr:row>4</xdr:row>
                <xdr:rowOff>3</xdr:rowOff>
              </xdr:from>
              <xdr:to>
                <xdr:col>28</xdr:col>
                <xdr:colOff>40</xdr:colOff>
                <xdr:row>8</xdr:row>
                <xdr:rowOff>11</xdr:rowOff>
              </xdr:to>
            </anchor>
          </commentPr>
        </mc:Choice>
        <mc:Fallback/>
      </mc:AlternateContent>
    </comment>
    <comment ref="U12" authorId="0">
      <text>
        <r>
          <rPr>
            <b val="true"/>
            <sz val="8"/>
            <color rgb="FF000000"/>
            <rFont val="Tahoma"/>
            <family val="0"/>
          </rPr>
          <t xml:space="preserve">gbenite:
</t>
        </r>
        <r>
          <rPr>
            <sz val="8"/>
            <color rgb="FF000000"/>
            <rFont val="Tahoma"/>
            <family val="0"/>
          </rPr>
          <t xml:space="preserve">Formula originaly was:
=-D7*B23*(1-$B$26)
but removed because interest is already in NI</t>
        </r>
      </text>
      <mc:AlternateContent>
        <mc:Choice Requires="v2">
          <commentPr autoFill="true" autoScale="false" colHidden="true" locked="false" rowHidden="false" textHAlign="justify" textVAlign="top">
            <anchor moveWithCells="false" sizeWithCells="false">
              <xdr:from>
                <xdr:col>26</xdr:col>
                <xdr:colOff>15</xdr:colOff>
                <xdr:row>6</xdr:row>
                <xdr:rowOff>1</xdr:rowOff>
              </xdr:from>
              <xdr:to>
                <xdr:col>28</xdr:col>
                <xdr:colOff>40</xdr:colOff>
                <xdr:row>13</xdr:row>
                <xdr:rowOff>8</xdr:rowOff>
              </xdr:to>
            </anchor>
          </commentPr>
        </mc:Choice>
        <mc:Fallback/>
      </mc:AlternateContent>
    </comment>
    <comment ref="V7" authorId="0">
      <text>
        <r>
          <rPr>
            <b val="true"/>
            <sz val="8"/>
            <color rgb="FF000000"/>
            <rFont val="Tahoma"/>
            <family val="0"/>
          </rPr>
          <t xml:space="preserve">Raul Rizo-Patron:
</t>
        </r>
        <r>
          <rPr>
            <sz val="8"/>
            <color rgb="FF000000"/>
            <rFont val="Tahoma"/>
            <family val="2"/>
          </rPr>
          <t xml:space="preserve">Whether or not the business is purchased with or without cash, NI will be the same because it will be assumed that ENE would put in the cash that TA took.</t>
        </r>
      </text>
      <mc:AlternateContent>
        <mc:Choice Requires="v2">
          <commentPr autoFill="true" autoScale="false" colHidden="true" locked="false" rowHidden="false" textHAlign="justify" textVAlign="top">
            <anchor moveWithCells="false" sizeWithCells="false">
              <xdr:from>
                <xdr:col>27</xdr:col>
                <xdr:colOff>35</xdr:colOff>
                <xdr:row>4</xdr:row>
                <xdr:rowOff>3</xdr:rowOff>
              </xdr:from>
              <xdr:to>
                <xdr:col>29</xdr:col>
                <xdr:colOff>37</xdr:colOff>
                <xdr:row>8</xdr:row>
                <xdr:rowOff>11</xdr:rowOff>
              </xdr:to>
            </anchor>
          </commentPr>
        </mc:Choice>
        <mc:Fallback/>
      </mc:AlternateContent>
    </comment>
  </commentList>
</comments>
</file>

<file path=xl/comments2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4" authorId="0">
      <text>
        <r>
          <rPr>
            <b val="true"/>
            <sz val="8"/>
            <color rgb="FF000000"/>
            <rFont val="Tahoma"/>
            <family val="0"/>
          </rPr>
          <t xml:space="preserve">gbenite:
</t>
        </r>
        <r>
          <rPr>
            <sz val="8"/>
            <color rgb="FF000000"/>
            <rFont val="Tahoma"/>
            <family val="0"/>
          </rPr>
          <t xml:space="preserve">Same thing as Cash for Assets</t>
        </r>
      </text>
      <mc:AlternateContent>
        <mc:Choice Requires="v2">
          <commentPr autoFill="true" autoScale="false" colHidden="false" locked="false" rowHidden="false" textHAlign="justify" textVAlign="top">
            <anchor moveWithCells="false" sizeWithCells="false">
              <xdr:from>
                <xdr:col>13</xdr:col>
                <xdr:colOff>11</xdr:colOff>
                <xdr:row>2</xdr:row>
                <xdr:rowOff>7</xdr:rowOff>
              </xdr:from>
              <xdr:to>
                <xdr:col>15</xdr:col>
                <xdr:colOff>3</xdr:colOff>
                <xdr:row>7</xdr:row>
                <xdr:rowOff>17</xdr:rowOff>
              </xdr:to>
            </anchor>
          </commentPr>
        </mc:Choice>
        <mc:Fallback/>
      </mc:AlternateContent>
    </comment>
    <comment ref="Q4" authorId="0">
      <text>
        <r>
          <rPr>
            <b val="true"/>
            <sz val="8"/>
            <color rgb="FF000000"/>
            <rFont val="Tahoma"/>
            <family val="0"/>
          </rPr>
          <t xml:space="preserve">gbenite:
</t>
        </r>
        <r>
          <rPr>
            <sz val="8"/>
            <color rgb="FF000000"/>
            <rFont val="Tahoma"/>
            <family val="0"/>
          </rPr>
          <t xml:space="preserve">Same thing as Cash for Assets</t>
        </r>
      </text>
      <mc:AlternateContent>
        <mc:Choice Requires="v2">
          <commentPr autoFill="true" autoScale="false" colHidden="false" locked="false" rowHidden="false" textHAlign="justify" textVAlign="top">
            <anchor moveWithCells="false" sizeWithCells="false">
              <xdr:from>
                <xdr:col>17</xdr:col>
                <xdr:colOff>16</xdr:colOff>
                <xdr:row>2</xdr:row>
                <xdr:rowOff>7</xdr:rowOff>
              </xdr:from>
              <xdr:to>
                <xdr:col>19</xdr:col>
                <xdr:colOff>16</xdr:colOff>
                <xdr:row>7</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8" authorId="0">
      <text>
        <r>
          <rPr>
            <sz val="8"/>
            <color rgb="FF000000"/>
            <rFont val="Tahoma"/>
            <family val="2"/>
          </rPr>
          <t xml:space="preserve">Equals $123 book value minus $16.5 book value for Sea 3 dated Sept 00 minus $1.0 book value for railcars dated Dec 00.
</t>
        </r>
      </text>
      <mc:AlternateContent>
        <mc:Choice Requires="v2">
          <commentPr autoFill="true" autoScale="false" colHidden="false" locked="false" rowHidden="false" textHAlign="justify" textVAlign="top">
            <anchor moveWithCells="false" sizeWithCells="false">
              <xdr:from>
                <xdr:col>4</xdr:col>
                <xdr:colOff>8</xdr:colOff>
                <xdr:row>16</xdr:row>
                <xdr:rowOff>7</xdr:rowOff>
              </xdr:from>
              <xdr:to>
                <xdr:col>6</xdr:col>
                <xdr:colOff>10</xdr:colOff>
                <xdr:row>20</xdr:row>
                <xdr:rowOff>13</xdr:rowOff>
              </xdr:to>
            </anchor>
          </commentPr>
        </mc:Choice>
        <mc:Fallback/>
      </mc:AlternateContent>
    </comment>
  </commentList>
</comments>
</file>

<file path=xl/comments4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8" authorId="0">
      <text>
        <r>
          <rPr>
            <sz val="8"/>
            <color rgb="FF000000"/>
            <rFont val="Tahoma"/>
            <family val="2"/>
          </rPr>
          <t xml:space="preserve">Equals $123 book value minus $16.5 book value for Sea 3 dated Sept 00 minus $1.0 book value for railcars dated Dec 00.
</t>
        </r>
      </text>
      <mc:AlternateContent>
        <mc:Choice Requires="v2">
          <commentPr autoFill="true" autoScale="false" colHidden="false" locked="false" rowHidden="false" textHAlign="justify" textVAlign="top">
            <anchor moveWithCells="false" sizeWithCells="false">
              <xdr:from>
                <xdr:col>4</xdr:col>
                <xdr:colOff>16</xdr:colOff>
                <xdr:row>16</xdr:row>
                <xdr:rowOff>7</xdr:rowOff>
              </xdr:from>
              <xdr:to>
                <xdr:col>6</xdr:col>
                <xdr:colOff>17</xdr:colOff>
                <xdr:row>20</xdr:row>
                <xdr:rowOff>13</xdr:rowOff>
              </xdr:to>
            </anchor>
          </commentPr>
        </mc:Choice>
        <mc:Fallback/>
      </mc:AlternateContent>
    </comment>
    <comment ref="D21" authorId="0">
      <text>
        <r>
          <rPr>
            <sz val="8"/>
            <color rgb="FF000000"/>
            <rFont val="Tahoma"/>
            <family val="0"/>
          </rPr>
          <t xml:space="preserve">EBITDA minus SEA-3 trading profit Add back, plus SEA-3 depreciation, minus 1MM bonuses and SG&amp;A</t>
        </r>
      </text>
      <mc:AlternateContent>
        <mc:Choice Requires="v2">
          <commentPr autoFill="true" autoScale="false" colHidden="false" locked="false" rowHidden="false" textHAlign="justify" textVAlign="top">
            <anchor moveWithCells="false" sizeWithCells="false">
              <xdr:from>
                <xdr:col>4</xdr:col>
                <xdr:colOff>22</xdr:colOff>
                <xdr:row>20</xdr:row>
                <xdr:rowOff>11</xdr:rowOff>
              </xdr:from>
              <xdr:to>
                <xdr:col>6</xdr:col>
                <xdr:colOff>23</xdr:colOff>
                <xdr:row>24</xdr:row>
                <xdr:rowOff>17</xdr:rowOff>
              </xdr:to>
            </anchor>
          </commentPr>
        </mc:Choice>
        <mc:Fallback/>
      </mc:AlternateContent>
    </comment>
  </commentList>
</comments>
</file>

<file path=xl/comments4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2" authorId="0">
      <text>
        <r>
          <rPr>
            <sz val="8"/>
            <color rgb="FF000000"/>
            <rFont val="Tahoma"/>
            <family val="2"/>
          </rPr>
          <t xml:space="preserve">Equals the equity value of the terminals and rails operations business defined as ($123 total enterprise BV minus $105 trading BV)</t>
        </r>
      </text>
      <mc:AlternateContent>
        <mc:Choice Requires="v2">
          <commentPr autoFill="true" autoScale="false" colHidden="false" locked="false" rowHidden="false" textHAlign="justify" textVAlign="top">
            <anchor moveWithCells="false" sizeWithCells="false">
              <xdr:from>
                <xdr:col>4</xdr:col>
                <xdr:colOff>16</xdr:colOff>
                <xdr:row>10</xdr:row>
                <xdr:rowOff>4</xdr:rowOff>
              </xdr:from>
              <xdr:to>
                <xdr:col>6</xdr:col>
                <xdr:colOff>17</xdr:colOff>
                <xdr:row>14</xdr:row>
                <xdr:rowOff>10</xdr:rowOff>
              </xdr:to>
            </anchor>
          </commentPr>
        </mc:Choice>
        <mc:Fallback/>
      </mc:AlternateContent>
    </comment>
  </commentList>
</comments>
</file>

<file path=xl/sharedStrings.xml><?xml version="1.0" encoding="utf-8"?>
<sst xmlns="http://schemas.openxmlformats.org/spreadsheetml/2006/main" count="2046" uniqueCount="995">
  <si>
    <t xml:space="preserve">Project Ice</t>
  </si>
  <si>
    <t xml:space="preserve">Project Ice Update</t>
  </si>
  <si>
    <t xml:space="preserve">Confidential</t>
  </si>
  <si>
    <t xml:space="preserve">Sources and Uses</t>
  </si>
  <si>
    <t xml:space="preserve">($millions)</t>
  </si>
  <si>
    <t xml:space="preserve">Enron NI</t>
  </si>
  <si>
    <t xml:space="preserve">Transammonia NI w/Synergies</t>
  </si>
  <si>
    <t xml:space="preserve">  Total NI</t>
  </si>
  <si>
    <t xml:space="preserve">Sources</t>
  </si>
  <si>
    <t xml:space="preserve">Uses</t>
  </si>
  <si>
    <t xml:space="preserve">Plus (Minus) Goodwill Amort (assume not tax deduct)</t>
  </si>
  <si>
    <t xml:space="preserve">Plus (Minus) Net Interest Expense (after tax)</t>
  </si>
  <si>
    <t xml:space="preserve">Equity (Cash)</t>
  </si>
  <si>
    <t xml:space="preserve">Stock Purchase</t>
  </si>
  <si>
    <t xml:space="preserve">Debt</t>
  </si>
  <si>
    <t xml:space="preserve">  Total Transaction Business Costs</t>
  </si>
  <si>
    <t xml:space="preserve">Working Capital Adjustments</t>
  </si>
  <si>
    <r>
      <rPr>
        <sz val="14"/>
        <rFont val="Arial"/>
        <family val="2"/>
      </rPr>
      <t xml:space="preserve">Expenses </t>
    </r>
    <r>
      <rPr>
        <vertAlign val="superscript"/>
        <sz val="8.4"/>
        <rFont val="Arial"/>
        <family val="2"/>
      </rPr>
      <t xml:space="preserve">(1)</t>
    </r>
  </si>
  <si>
    <t xml:space="preserve">Consolidated Net Income After Synergies</t>
  </si>
  <si>
    <t xml:space="preserve">Total Sources</t>
  </si>
  <si>
    <t xml:space="preserve">Total Uses</t>
  </si>
  <si>
    <t xml:space="preserve">Mkt Cap Accreation @ current P/E</t>
  </si>
  <si>
    <t xml:space="preserve">Current P/E</t>
  </si>
  <si>
    <t xml:space="preserve">0 for $27MM w/c cash needed</t>
  </si>
  <si>
    <t xml:space="preserve">1 for no w/c cash needed</t>
  </si>
  <si>
    <t xml:space="preserve">0 for w/out cash</t>
  </si>
  <si>
    <t xml:space="preserve">(1) Expenses include severance, relocation, legal and other associated closing costs</t>
  </si>
  <si>
    <t xml:space="preserve">1 for w/cash</t>
  </si>
  <si>
    <t xml:space="preserve">Adjusted Analysis at Various Prices - Trading</t>
  </si>
  <si>
    <t xml:space="preserve">($Millions)</t>
  </si>
  <si>
    <t xml:space="preserve">Equity Purchase Price</t>
  </si>
  <si>
    <t xml:space="preserve">Adjusted Equity Purchase Price</t>
  </si>
  <si>
    <t xml:space="preserve">Adjusted Enterprise Value</t>
  </si>
  <si>
    <t xml:space="preserve">Minus Sea 3 Terminals and Rail Ops</t>
  </si>
  <si>
    <t xml:space="preserve">Adjusted Trading Enterprise Value</t>
  </si>
  <si>
    <t xml:space="preserve">Minus Corp - Debt 6/30/01</t>
  </si>
  <si>
    <t xml:space="preserve">Plus Sea 3 Debt - 6/30/01</t>
  </si>
  <si>
    <t xml:space="preserve">Plus Cash - 6/30/01</t>
  </si>
  <si>
    <t xml:space="preserve">Adjusted Equity Trading Value</t>
  </si>
  <si>
    <t xml:space="preserve">Adjusted Equity Trading Value as Multiple of:</t>
  </si>
  <si>
    <t xml:space="preserve"> 6/30/01</t>
  </si>
  <si>
    <t xml:space="preserve">Book Value (1)</t>
  </si>
  <si>
    <t xml:space="preserve">Enterprise Value as Multiple of:</t>
  </si>
  <si>
    <t xml:space="preserve">Trading EBITDA</t>
  </si>
  <si>
    <t xml:space="preserve">(1) Book value adjusted for Sea-3 and rail cars segments</t>
  </si>
  <si>
    <t xml:space="preserve">Terminal and Rail Car Valuation</t>
  </si>
  <si>
    <t xml:space="preserve">LPG Terminals</t>
  </si>
  <si>
    <t xml:space="preserve">     New Hampshire Terminal</t>
  </si>
  <si>
    <t xml:space="preserve">       Based on ENE DCF @11% WACC and 6x EBITDA exit Multiple</t>
  </si>
  <si>
    <t xml:space="preserve">     Tampa Terminal</t>
  </si>
  <si>
    <t xml:space="preserve">Rail Cars</t>
  </si>
  <si>
    <t xml:space="preserve">Enterprise Value of Terminals &amp; Rail Ops</t>
  </si>
  <si>
    <t xml:space="preserve">Associated Debt </t>
  </si>
  <si>
    <t xml:space="preserve">Equity Value of Terminals &amp; Rail Ops</t>
  </si>
  <si>
    <t xml:space="preserve">Adjusted Analysis at Various Prices - Consolidated</t>
  </si>
  <si>
    <t xml:space="preserve">Equity Value</t>
  </si>
  <si>
    <t xml:space="preserve">Minus Tax Benefit of Step-up in PP&amp;E</t>
  </si>
  <si>
    <t xml:space="preserve">Plus Working Capital Adjustments</t>
  </si>
  <si>
    <t xml:space="preserve">Plus Transaction Expenses</t>
  </si>
  <si>
    <t xml:space="preserve">Plus Debt - 6/30/01</t>
  </si>
  <si>
    <t xml:space="preserve">Minus Cash - 6/30/01</t>
  </si>
  <si>
    <t xml:space="preserve">Enterprise Value</t>
  </si>
  <si>
    <t xml:space="preserve">Adjusted Equity Value as Multiple of:</t>
  </si>
  <si>
    <t xml:space="preserve">Book Value</t>
  </si>
  <si>
    <t xml:space="preserve">Liquidation Value</t>
  </si>
  <si>
    <t xml:space="preserve">Net Income</t>
  </si>
  <si>
    <t xml:space="preserve">Cash Flow</t>
  </si>
  <si>
    <t xml:space="preserve">Adjusted Enterprise Value as Multiple of:</t>
  </si>
  <si>
    <t xml:space="preserve">EBITDA</t>
  </si>
  <si>
    <t xml:space="preserve">After-Tax NPV @</t>
  </si>
  <si>
    <t xml:space="preserve">(1) Value of Sea-3 and rail cars plus book value of trading operations</t>
  </si>
  <si>
    <t xml:space="preserve">(2) All forecasts are ENE forecasts</t>
  </si>
  <si>
    <t xml:space="preserve">Additional Due Diligence</t>
  </si>
  <si>
    <t xml:space="preserve">I.  Environmental</t>
  </si>
  <si>
    <t xml:space="preserve">V.  Human Resources</t>
  </si>
  <si>
    <t xml:space="preserve">A.  Terminals sites visits</t>
  </si>
  <si>
    <t xml:space="preserve">A.  Integration</t>
  </si>
  <si>
    <t xml:space="preserve">B.  Permitting review</t>
  </si>
  <si>
    <t xml:space="preserve">B.  Key employee retention</t>
  </si>
  <si>
    <t xml:space="preserve">C.  Employment contracts</t>
  </si>
  <si>
    <t xml:space="preserve">II.  Legal </t>
  </si>
  <si>
    <t xml:space="preserve">D.  Benefits</t>
  </si>
  <si>
    <t xml:space="preserve">A.  Product off-take</t>
  </si>
  <si>
    <t xml:space="preserve">E.  Severance obligations</t>
  </si>
  <si>
    <t xml:space="preserve">B.  Sales contract review</t>
  </si>
  <si>
    <t xml:space="preserve">C.  FCPA review</t>
  </si>
  <si>
    <t xml:space="preserve">VI.  Trading</t>
  </si>
  <si>
    <t xml:space="preserve">D.  Litigation</t>
  </si>
  <si>
    <t xml:space="preserve">A.  Review of positions, controls and operations</t>
  </si>
  <si>
    <t xml:space="preserve">III.  Accounting </t>
  </si>
  <si>
    <t xml:space="preserve">VII.  Tax</t>
  </si>
  <si>
    <t xml:space="preserve">A.  A/R, A/P &amp; Inventory review</t>
  </si>
  <si>
    <t xml:space="preserve">A.  Offshore profits</t>
  </si>
  <si>
    <t xml:space="preserve">B.  MTM opportunities?</t>
  </si>
  <si>
    <t xml:space="preserve">VIII.  Finance</t>
  </si>
  <si>
    <t xml:space="preserve">A.  Possible monetization of LPG in storage</t>
  </si>
  <si>
    <t xml:space="preserve">IV.  Credit</t>
  </si>
  <si>
    <t xml:space="preserve">B.  Lease contract analysis</t>
  </si>
  <si>
    <t xml:space="preserve">A.  Sovereign risk</t>
  </si>
  <si>
    <t xml:space="preserve">B.  Counterparty risk</t>
  </si>
  <si>
    <t xml:space="preserve">IX.  General</t>
  </si>
  <si>
    <t xml:space="preserve">C.  Working capital review</t>
  </si>
  <si>
    <t xml:space="preserve">A.  International office visits</t>
  </si>
  <si>
    <t xml:space="preserve">B.  Key employee background check</t>
  </si>
  <si>
    <t xml:space="preserve">X.  Transportation</t>
  </si>
  <si>
    <t xml:space="preserve">A.  Vessels</t>
  </si>
  <si>
    <t xml:space="preserve">B.  Rail cars</t>
  </si>
  <si>
    <t xml:space="preserve">Financials</t>
  </si>
  <si>
    <t xml:space="preserve"> </t>
  </si>
  <si>
    <t xml:space="preserve">Income Statement</t>
  </si>
  <si>
    <t xml:space="preserve">($000's)</t>
  </si>
  <si>
    <t xml:space="preserve">Jan - June</t>
  </si>
  <si>
    <t xml:space="preserve">July - Dec</t>
  </si>
  <si>
    <t xml:space="preserve">Full Year</t>
  </si>
  <si>
    <t xml:space="preserve">REVENUES</t>
  </si>
  <si>
    <t xml:space="preserve">Net Sales</t>
  </si>
  <si>
    <t xml:space="preserve">Transportation Revenues</t>
  </si>
  <si>
    <t xml:space="preserve">Investment and interest income</t>
  </si>
  <si>
    <t xml:space="preserve">Equity in Net Earnings of Affiliated Companies</t>
  </si>
  <si>
    <t xml:space="preserve">   Total Revenues</t>
  </si>
  <si>
    <t xml:space="preserve">COSTS AND EXPENSES</t>
  </si>
  <si>
    <t xml:space="preserve">Cost of sales</t>
  </si>
  <si>
    <t xml:space="preserve">DD&amp;A</t>
  </si>
  <si>
    <t xml:space="preserve">Transportation cost</t>
  </si>
  <si>
    <t xml:space="preserve">Selling and administrative expenses</t>
  </si>
  <si>
    <t xml:space="preserve">Net Interest Expense</t>
  </si>
  <si>
    <t xml:space="preserve">   Total Costs and Expenses</t>
  </si>
  <si>
    <t xml:space="preserve">PLUS (MINUS) DEAL SYNERGIES</t>
  </si>
  <si>
    <t xml:space="preserve">Plus (minus) Integration, relocation and transition costs</t>
  </si>
  <si>
    <t xml:space="preserve">Plus (minus) Financial Trading Value</t>
  </si>
  <si>
    <t xml:space="preserve">Plus (minus) Origination</t>
  </si>
  <si>
    <t xml:space="preserve">   Total Synergistic Value</t>
  </si>
  <si>
    <t xml:space="preserve">EARNINGS BEFORE TAXES</t>
  </si>
  <si>
    <t xml:space="preserve">INCOME TAXES</t>
  </si>
  <si>
    <t xml:space="preserve">Current</t>
  </si>
  <si>
    <t xml:space="preserve">Deferred</t>
  </si>
  <si>
    <t xml:space="preserve">  Net</t>
  </si>
  <si>
    <t xml:space="preserve">EARNINGS</t>
  </si>
  <si>
    <t xml:space="preserve">Source:  Historical results were supplied by Transammonia.  Projections are based on Enron assumptions.</t>
  </si>
  <si>
    <t xml:space="preserve">Note: Historic EBITDA figures are not adjusted for shareholder expenses and discontinues operations</t>
  </si>
  <si>
    <t xml:space="preserve">Plus:  Losses (income) from discontinued operations</t>
  </si>
  <si>
    <t xml:space="preserve">Plus:  Shareholder Expenses</t>
  </si>
  <si>
    <t xml:space="preserve">Adjusted Earnings After Tax</t>
  </si>
  <si>
    <t xml:space="preserve">Adjusted EBITDA</t>
  </si>
  <si>
    <t xml:space="preserve">NOPLAT (from below)</t>
  </si>
  <si>
    <t xml:space="preserve">Invested Capital</t>
  </si>
  <si>
    <t xml:space="preserve">ROIC</t>
  </si>
  <si>
    <t xml:space="preserve">WACC (estimated)</t>
  </si>
  <si>
    <t xml:space="preserve">Investor Value Generated (NOPLAT)</t>
  </si>
  <si>
    <t xml:space="preserve">Minus: Capital Charge</t>
  </si>
  <si>
    <t xml:space="preserve">Economic Value Created (Destroyed)</t>
  </si>
  <si>
    <t xml:space="preserve">Plus:  Def Tax + Equity</t>
  </si>
  <si>
    <t xml:space="preserve">Total Invested Capital</t>
  </si>
  <si>
    <t xml:space="preserve">Debt / Invested Capital</t>
  </si>
  <si>
    <t xml:space="preserve">Equity / Invested Capital</t>
  </si>
  <si>
    <t xml:space="preserve">Total Capital</t>
  </si>
  <si>
    <t xml:space="preserve">Less:  After Tax Interest Charge</t>
  </si>
  <si>
    <t xml:space="preserve">Value Left Over for Equity Investors</t>
  </si>
  <si>
    <t xml:space="preserve">Value Promised to Equity Investors</t>
  </si>
  <si>
    <t xml:space="preserve">Excess (Short) Value to Equity Investors</t>
  </si>
  <si>
    <t xml:space="preserve">Actual Value Return to Equity Investors</t>
  </si>
  <si>
    <t xml:space="preserve">Cash From Operations (includes W/C &amp; not financings)</t>
  </si>
  <si>
    <t xml:space="preserve">FCF</t>
  </si>
  <si>
    <t xml:space="preserve">Gross CF (from operations)</t>
  </si>
  <si>
    <t xml:space="preserve">Product Margin (before SGA)</t>
  </si>
  <si>
    <t xml:space="preserve">Transportation Margin (before SG&amp;A)</t>
  </si>
  <si>
    <t xml:space="preserve">Combined Margin (before SG&amp;A)</t>
  </si>
  <si>
    <t xml:space="preserve">EBITDA (excluding investment earnings)</t>
  </si>
  <si>
    <t xml:space="preserve">EBITDA Margin (excluding investment &amp; equity earnings)</t>
  </si>
  <si>
    <t xml:space="preserve">EBITDA / Interest</t>
  </si>
  <si>
    <t xml:space="preserve">IBT Margin (all-in)</t>
  </si>
  <si>
    <t xml:space="preserve">Net Margin (all-in)</t>
  </si>
  <si>
    <t xml:space="preserve">A/R Turnover (days)</t>
  </si>
  <si>
    <t xml:space="preserve">Inventory Turnover in Days (using sales not COGS)</t>
  </si>
  <si>
    <t xml:space="preserve">SG&amp;A as % of sales</t>
  </si>
  <si>
    <t xml:space="preserve">D/E</t>
  </si>
  <si>
    <t xml:space="preserve">EBIT</t>
  </si>
  <si>
    <t xml:space="preserve">Taxes on EBIT</t>
  </si>
  <si>
    <t xml:space="preserve">Change in deferred taxes</t>
  </si>
  <si>
    <t xml:space="preserve">NOPLAT</t>
  </si>
  <si>
    <t xml:space="preserve">Add:  Increase in deferred taxes</t>
  </si>
  <si>
    <t xml:space="preserve">Add. Goodwill amortization</t>
  </si>
  <si>
    <t xml:space="preserve">Add:  Interest expense after tax</t>
  </si>
  <si>
    <t xml:space="preserve">Less:  Interest income after tax</t>
  </si>
  <si>
    <t xml:space="preserve">Less:  Nonoperating income after tax</t>
  </si>
  <si>
    <t xml:space="preserve">Estimated Interest Income (5.5%)</t>
  </si>
  <si>
    <t xml:space="preserve">Estimated Investment Income</t>
  </si>
  <si>
    <t xml:space="preserve">Plus:  Depreciation</t>
  </si>
  <si>
    <t xml:space="preserve">Minus:  Non-Cash Earnings from Investments</t>
  </si>
  <si>
    <t xml:space="preserve">Gross CF</t>
  </si>
  <si>
    <t xml:space="preserve">Decrease (Increase) in W/C</t>
  </si>
  <si>
    <t xml:space="preserve">Cash from Operations</t>
  </si>
  <si>
    <t xml:space="preserve">Decrease (Increase) in CAPEX</t>
  </si>
  <si>
    <t xml:space="preserve">Gross Decrease (Increase) in Investment</t>
  </si>
  <si>
    <t xml:space="preserve">Balance Sheet</t>
  </si>
  <si>
    <t xml:space="preserve">Transaction Adjustments</t>
  </si>
  <si>
    <t xml:space="preserve">Proforma</t>
  </si>
  <si>
    <t xml:space="preserve">BALANCE SHEET ($000)</t>
  </si>
  <si>
    <t xml:space="preserve">ASSETS</t>
  </si>
  <si>
    <t xml:space="preserve">CURRENT ASSETS</t>
  </si>
  <si>
    <t xml:space="preserve">Cash &amp; Cash Equivalents</t>
  </si>
  <si>
    <t xml:space="preserve">Bankers' Acceptances</t>
  </si>
  <si>
    <t xml:space="preserve">Marketable Securities</t>
  </si>
  <si>
    <t xml:space="preserve">Accounts Receivable (Net)</t>
  </si>
  <si>
    <t xml:space="preserve">Inventories</t>
  </si>
  <si>
    <t xml:space="preserve">Prepaid Expenses &amp; Other CA</t>
  </si>
  <si>
    <t xml:space="preserve">  Total Current Assets</t>
  </si>
  <si>
    <t xml:space="preserve">INVESTMENTS &amp; OTHER ASSETS</t>
  </si>
  <si>
    <t xml:space="preserve">PPE (NET)</t>
  </si>
  <si>
    <t xml:space="preserve">TOTAL ASSETS</t>
  </si>
  <si>
    <t xml:space="preserve">LIABILITIES &amp; SHAREHOLDER'S EQUITY</t>
  </si>
  <si>
    <t xml:space="preserve">CURRENT LIABILITIES</t>
  </si>
  <si>
    <t xml:space="preserve">Loan payable to banks</t>
  </si>
  <si>
    <t xml:space="preserve">Accounts Payable</t>
  </si>
  <si>
    <t xml:space="preserve">Accrued Expenses</t>
  </si>
  <si>
    <t xml:space="preserve">Income Taxes Payable</t>
  </si>
  <si>
    <t xml:space="preserve">   Total Current Liabilities</t>
  </si>
  <si>
    <t xml:space="preserve">LONG TERM DEBT</t>
  </si>
  <si>
    <t xml:space="preserve">DEFERRED INCOME TAXES</t>
  </si>
  <si>
    <t xml:space="preserve">SHAREHOLDER'S EQUITY</t>
  </si>
  <si>
    <t xml:space="preserve">TOTAL LIABILITIES &amp; SHAREHOLDER'S EQUITY</t>
  </si>
  <si>
    <t xml:space="preserve">check</t>
  </si>
  <si>
    <t xml:space="preserve">Invested Capital (assets)</t>
  </si>
  <si>
    <t xml:space="preserve">Invested Capital (liab + equity)</t>
  </si>
  <si>
    <t xml:space="preserve">Current Assets (W/C)</t>
  </si>
  <si>
    <t xml:space="preserve">Current Liabilities (W/C)</t>
  </si>
  <si>
    <t xml:space="preserve">Net Working Capital</t>
  </si>
  <si>
    <t xml:space="preserve">Decrease (Increase) in NWC</t>
  </si>
  <si>
    <t xml:space="preserve">Cash Flow Statement</t>
  </si>
  <si>
    <t xml:space="preserve">June </t>
  </si>
  <si>
    <t xml:space="preserve">December</t>
  </si>
  <si>
    <t xml:space="preserve">CASH FLOW STATEMENT ($000)</t>
  </si>
  <si>
    <t xml:space="preserve">CASH FLOW FROM OPERATING ACTIVITIES</t>
  </si>
  <si>
    <t xml:space="preserve">Net Earnings</t>
  </si>
  <si>
    <t xml:space="preserve">  Depreciation and amortization</t>
  </si>
  <si>
    <t xml:space="preserve">  Deferred income taxes</t>
  </si>
  <si>
    <t xml:space="preserve">  Changes in assets and liabilities</t>
  </si>
  <si>
    <t xml:space="preserve">     Banker's acceptances</t>
  </si>
  <si>
    <t xml:space="preserve">     Accounts receivable</t>
  </si>
  <si>
    <t xml:space="preserve">     Inventories</t>
  </si>
  <si>
    <t xml:space="preserve">     Prepaid expenses and other current assets</t>
  </si>
  <si>
    <t xml:space="preserve">     Accounts payable</t>
  </si>
  <si>
    <t xml:space="preserve">     Accrued expenses</t>
  </si>
  <si>
    <t xml:space="preserve">     Income taxes payable</t>
  </si>
  <si>
    <t xml:space="preserve">Net Cash Provided by (Used in) Operating Activities</t>
  </si>
  <si>
    <t xml:space="preserve">CASH FLOW FROM INVESTING ACTIVITIES</t>
  </si>
  <si>
    <t xml:space="preserve">Payments for purchases of marketable securities</t>
  </si>
  <si>
    <t xml:space="preserve">Increase in investments and other assets</t>
  </si>
  <si>
    <t xml:space="preserve">Net additions to PPE</t>
  </si>
  <si>
    <t xml:space="preserve">Proceeds from sale and maturities of marketable securities</t>
  </si>
  <si>
    <t xml:space="preserve">Net Cash Provided by (Used in) Investing Activities</t>
  </si>
  <si>
    <t xml:space="preserve">CASH FLOW FROM FINANCING ACTIVITIES</t>
  </si>
  <si>
    <t xml:space="preserve">Cash provided by financing activities</t>
  </si>
  <si>
    <t xml:space="preserve">Cash dividends paid</t>
  </si>
  <si>
    <t xml:space="preserve">Net Cash Provided by (Used in) Financing Activities</t>
  </si>
  <si>
    <t xml:space="preserve">Net Increase (Decrease) In Cash And Cash Equivalents</t>
  </si>
  <si>
    <t xml:space="preserve">Cash and Cash Equivalents, Beginning of Year</t>
  </si>
  <si>
    <t xml:space="preserve">Cash and Cash Equivalents, End of Year</t>
  </si>
  <si>
    <t xml:space="preserve">Segment EBITDA</t>
  </si>
  <si>
    <t xml:space="preserve">Sea-3 and Rail Ops</t>
  </si>
  <si>
    <t xml:space="preserve">Sea-3</t>
  </si>
  <si>
    <t xml:space="preserve">Rail Operations</t>
  </si>
  <si>
    <t xml:space="preserve">Gross Margin</t>
  </si>
  <si>
    <t xml:space="preserve">Minus SG&amp;A and Bonuses</t>
  </si>
  <si>
    <t xml:space="preserve">EBITDA - Sea-3 and Rail Ops</t>
  </si>
  <si>
    <t xml:space="preserve">Trading</t>
  </si>
  <si>
    <t xml:space="preserve">LPG Houston</t>
  </si>
  <si>
    <t xml:space="preserve">Anhyrous Ammonia &amp; Related Transport</t>
  </si>
  <si>
    <t xml:space="preserve">Fertilizers &amp; Related Transportation</t>
  </si>
  <si>
    <t xml:space="preserve">Chemicals</t>
  </si>
  <si>
    <t xml:space="preserve">Plus:  Synergies</t>
  </si>
  <si>
    <t xml:space="preserve">Plus: Corporate</t>
  </si>
  <si>
    <t xml:space="preserve">Minus:  SG&amp;A (before bonuses)</t>
  </si>
  <si>
    <t xml:space="preserve">Minus:  Bonuses</t>
  </si>
  <si>
    <t xml:space="preserve">EBITDA - Trading</t>
  </si>
  <si>
    <t xml:space="preserve">Total EBITDA</t>
  </si>
  <si>
    <t xml:space="preserve">Minus: DDA</t>
  </si>
  <si>
    <t xml:space="preserve">Minus:  Interest Expense</t>
  </si>
  <si>
    <t xml:space="preserve">Income Before Taxes</t>
  </si>
  <si>
    <t xml:space="preserve">Minus:  Income Taxes</t>
  </si>
  <si>
    <t xml:space="preserve">Source:  Historical results were adjusted for discontinues operations and shareholder expenses.  Projections are based on Enron assumptions including synergies.</t>
  </si>
  <si>
    <t xml:space="preserve">Sea 3 New Hampshire Valuation</t>
  </si>
  <si>
    <t xml:space="preserve">Sea-3 of New Hampshire Analysis</t>
  </si>
  <si>
    <t xml:space="preserve">Assumptions</t>
  </si>
  <si>
    <t xml:space="preserve">Terminal Capacity</t>
  </si>
  <si>
    <t xml:space="preserve">x velocity</t>
  </si>
  <si>
    <t xml:space="preserve">Throughput in Metric Tons ('000)</t>
  </si>
  <si>
    <t xml:space="preserve">Volume (gallons)</t>
  </si>
  <si>
    <t xml:space="preserve">Gross Margin (cents / gal)</t>
  </si>
  <si>
    <t xml:space="preserve">Net Revenues </t>
  </si>
  <si>
    <t xml:space="preserve">Storage Fee &amp; Dock Income</t>
  </si>
  <si>
    <t xml:space="preserve">Operating Expense</t>
  </si>
  <si>
    <t xml:space="preserve">Gross Operating Income</t>
  </si>
  <si>
    <t xml:space="preserve">SG&amp;A</t>
  </si>
  <si>
    <t xml:space="preserve">Bonuses</t>
  </si>
  <si>
    <t xml:space="preserve">Depreciation</t>
  </si>
  <si>
    <t xml:space="preserve">Taxes</t>
  </si>
  <si>
    <t xml:space="preserve">Deferred Taxes</t>
  </si>
  <si>
    <t xml:space="preserve">Capex</t>
  </si>
  <si>
    <t xml:space="preserve">Increase in NWC</t>
  </si>
  <si>
    <t xml:space="preserve">EBITDA EXIT </t>
  </si>
  <si>
    <t xml:space="preserve">Vs. Actuals</t>
  </si>
  <si>
    <t xml:space="preserve">Differential</t>
  </si>
  <si>
    <t xml:space="preserve">Note:  Assumes 4% growth in operating and SG&amp;A expenses beginning 2003</t>
  </si>
  <si>
    <t xml:space="preserve">Net Revenues</t>
  </si>
  <si>
    <t xml:space="preserve">Revenues</t>
  </si>
  <si>
    <t xml:space="preserve">Costs</t>
  </si>
  <si>
    <t xml:space="preserve">Margin (above)</t>
  </si>
  <si>
    <t xml:space="preserve">Working Capital (days)</t>
  </si>
  <si>
    <t xml:space="preserve">Accounts Receivable</t>
  </si>
  <si>
    <t xml:space="preserve">Inventory</t>
  </si>
  <si>
    <t xml:space="preserve">Sea-3 of NH Depreciation</t>
  </si>
  <si>
    <t xml:space="preserve">Sea-3 of NH</t>
  </si>
  <si>
    <t xml:space="preserve">Book Depreciation</t>
  </si>
  <si>
    <t xml:space="preserve">Beginning Balance</t>
  </si>
  <si>
    <t xml:space="preserve">Additions</t>
  </si>
  <si>
    <t xml:space="preserve">Ending Balance</t>
  </si>
  <si>
    <t xml:space="preserve">Tax Depreciation</t>
  </si>
  <si>
    <t xml:space="preserve">Book - Tax</t>
  </si>
  <si>
    <t xml:space="preserve">Sea 3 Tampa Valuation</t>
  </si>
  <si>
    <t xml:space="preserve">Sea-3 of Tampa Analysis</t>
  </si>
  <si>
    <t xml:space="preserve">Net Revenue ($000)</t>
  </si>
  <si>
    <t xml:space="preserve">Minus: Operating Expenses</t>
  </si>
  <si>
    <t xml:space="preserve">Minus SG&amp;A</t>
  </si>
  <si>
    <t xml:space="preserve">Minus Bonuses</t>
  </si>
  <si>
    <t xml:space="preserve">Minus Depreciation</t>
  </si>
  <si>
    <t xml:space="preserve">Minus Taxes</t>
  </si>
  <si>
    <t xml:space="preserve">Plus Deferred Taxes</t>
  </si>
  <si>
    <t xml:space="preserve">Plus Depreciation</t>
  </si>
  <si>
    <t xml:space="preserve">Minus Capex</t>
  </si>
  <si>
    <t xml:space="preserve">Minus Increase in NWC</t>
  </si>
  <si>
    <t xml:space="preserve">N/A</t>
  </si>
  <si>
    <t xml:space="preserve">Sea-3 Tampa Depreciation</t>
  </si>
  <si>
    <t xml:space="preserve">Sea-3 of Tampa</t>
  </si>
  <si>
    <t xml:space="preserve">Transrail Valuation</t>
  </si>
  <si>
    <t xml:space="preserve">Sulphur Rail Operation</t>
  </si>
  <si>
    <t xml:space="preserve">Metric Tonnes</t>
  </si>
  <si>
    <t xml:space="preserve">Domestic Results</t>
  </si>
  <si>
    <t xml:space="preserve">Transrail - Net</t>
  </si>
  <si>
    <t xml:space="preserve">Plus: Interest add-back</t>
  </si>
  <si>
    <t xml:space="preserve">Note:  Assumes 4% growth in operating expenses beginning 2003</t>
  </si>
  <si>
    <t xml:space="preserve">Rail Ops Depreciation</t>
  </si>
  <si>
    <t xml:space="preserve">Rail Ops</t>
  </si>
  <si>
    <t xml:space="preserve">Consolidated Valuation - DCF</t>
  </si>
  <si>
    <t xml:space="preserve">Adjusted</t>
  </si>
  <si>
    <t xml:space="preserve">Valuation ($000)</t>
  </si>
  <si>
    <t xml:space="preserve">Trading Operations</t>
  </si>
  <si>
    <t xml:space="preserve">Corporate</t>
  </si>
  <si>
    <t xml:space="preserve">Total Gross Income</t>
  </si>
  <si>
    <t xml:space="preserve">SG&amp;A </t>
  </si>
  <si>
    <t xml:space="preserve">Bonuses </t>
  </si>
  <si>
    <t xml:space="preserve">Plus:  Addback of Shareholder's SG&amp;A</t>
  </si>
  <si>
    <t xml:space="preserve">Plus:  Addback of Shareholder's Bonus</t>
  </si>
  <si>
    <t xml:space="preserve">Retention Expenses &amp; Stanton Retainer</t>
  </si>
  <si>
    <t xml:space="preserve">Minus:  Transition &amp; Relocation costs</t>
  </si>
  <si>
    <t xml:space="preserve">Financial Trading</t>
  </si>
  <si>
    <t xml:space="preserve">Origination</t>
  </si>
  <si>
    <t xml:space="preserve">Value Lost from Undesireable Locations</t>
  </si>
  <si>
    <t xml:space="preserve">Interest Expense</t>
  </si>
  <si>
    <t xml:space="preserve">Income Taxes (Effective Rate from Actual Results)</t>
  </si>
  <si>
    <t xml:space="preserve">DCF ($000)</t>
  </si>
  <si>
    <t xml:space="preserve">Minus: DD&amp;A</t>
  </si>
  <si>
    <t xml:space="preserve">Minus:  Taxes</t>
  </si>
  <si>
    <t xml:space="preserve">Plus:  Def Taxes</t>
  </si>
  <si>
    <t xml:space="preserve">After Tax Earnings Before Interest</t>
  </si>
  <si>
    <t xml:space="preserve">Plus:  DD&amp;A</t>
  </si>
  <si>
    <t xml:space="preserve">Operating CF</t>
  </si>
  <si>
    <t xml:space="preserve">Minus:  Decrease (Increase) In NWC</t>
  </si>
  <si>
    <t xml:space="preserve">Minus:  Increase in Capex</t>
  </si>
  <si>
    <t xml:space="preserve">PV</t>
  </si>
  <si>
    <t xml:space="preserve">June</t>
  </si>
  <si>
    <t xml:space="preserve">Cost of Capital</t>
  </si>
  <si>
    <t xml:space="preserve">EBITDA Exit Multiple</t>
  </si>
  <si>
    <t xml:space="preserve">Equity Valuation</t>
  </si>
  <si>
    <t xml:space="preserve">Current Assets (minus cash)</t>
  </si>
  <si>
    <t xml:space="preserve">% of Book Value</t>
  </si>
  <si>
    <t xml:space="preserve">Current Liab.(minus debt)</t>
  </si>
  <si>
    <t xml:space="preserve">Total NWC</t>
  </si>
  <si>
    <t xml:space="preserve">Decrease (Increase in NWC)</t>
  </si>
  <si>
    <t xml:space="preserve">Note:  1999 and 2000 results stated in this worksheet will not match actuals on the income statement due to the add-back of shareholder expenses and recalculation of taxes.</t>
  </si>
  <si>
    <t xml:space="preserve">Plus DDA</t>
  </si>
  <si>
    <t xml:space="preserve">Less CAPEX</t>
  </si>
  <si>
    <t xml:space="preserve">SEA-3 EBITDA</t>
  </si>
  <si>
    <t xml:space="preserve">RAIL EBITDA</t>
  </si>
  <si>
    <t xml:space="preserve">Transammonia Depreciation</t>
  </si>
  <si>
    <t xml:space="preserve">Transammonia</t>
  </si>
  <si>
    <t xml:space="preserve">Accounting Goodwill</t>
  </si>
  <si>
    <t xml:space="preserve">Tax Goodwill</t>
  </si>
  <si>
    <t xml:space="preserve">Tax Depreciation &amp; Goodwill</t>
  </si>
  <si>
    <t xml:space="preserve">Book Depreciation &amp; Goodwill</t>
  </si>
  <si>
    <t xml:space="preserve">DCF Assumptions</t>
  </si>
  <si>
    <t xml:space="preserve">I.  Valuation Assumptions</t>
  </si>
  <si>
    <t xml:space="preserve">A</t>
  </si>
  <si>
    <t xml:space="preserve">WACC</t>
  </si>
  <si>
    <t xml:space="preserve">B</t>
  </si>
  <si>
    <t xml:space="preserve">EBITDA terminal value multiple </t>
  </si>
  <si>
    <t xml:space="preserve">C</t>
  </si>
  <si>
    <t xml:space="preserve">Income tax rate</t>
  </si>
  <si>
    <t xml:space="preserve">D</t>
  </si>
  <si>
    <t xml:space="preserve">Adjustments to EBIT eliminate discontinued operations and extraordinary shareholder's expenses</t>
  </si>
  <si>
    <t xml:space="preserve">E</t>
  </si>
  <si>
    <t xml:space="preserve">Pre-tax cost of debt</t>
  </si>
  <si>
    <t xml:space="preserve">F</t>
  </si>
  <si>
    <t xml:space="preserve">Pre-tax interest income rate</t>
  </si>
  <si>
    <t xml:space="preserve">G</t>
  </si>
  <si>
    <t xml:space="preserve">Retention stock for key employees, expensed over 5 years ($millions)</t>
  </si>
  <si>
    <t xml:space="preserve">H</t>
  </si>
  <si>
    <t xml:space="preserve">Financial trading is based on a percentage of physical urea and ammonia physical business</t>
  </si>
  <si>
    <t xml:space="preserve">I</t>
  </si>
  <si>
    <t xml:space="preserve">Minimum cash balance on the balance sheet ($millions)</t>
  </si>
  <si>
    <t xml:space="preserve">J</t>
  </si>
  <si>
    <t xml:space="preserve">Trading profits growth rate except for Sea 3 business which has its own DCF.</t>
  </si>
  <si>
    <t xml:space="preserve">K</t>
  </si>
  <si>
    <t xml:space="preserve">Value lost from transacting in China, Lybia and Iran locations (% of fertilizer business)</t>
  </si>
  <si>
    <t xml:space="preserve">L</t>
  </si>
  <si>
    <t xml:space="preserve">Percentage of trading profits as bonuses.</t>
  </si>
  <si>
    <t xml:space="preserve">M</t>
  </si>
  <si>
    <t xml:space="preserve">Estimated Closing Date</t>
  </si>
  <si>
    <t xml:space="preserve">N</t>
  </si>
  <si>
    <t xml:space="preserve">Yearly CAPEX ($thousands)</t>
  </si>
  <si>
    <t xml:space="preserve">O</t>
  </si>
  <si>
    <t xml:space="preserve">Transition and relocation costs, expensed at startup ($millions)</t>
  </si>
  <si>
    <t xml:space="preserve">P</t>
  </si>
  <si>
    <t xml:space="preserve">Stanton's Annual Consulting Bonus for 5 years ($millions)</t>
  </si>
  <si>
    <t xml:space="preserve">Q</t>
  </si>
  <si>
    <t xml:space="preserve">Assumed price paid for TA equity ($millions)</t>
  </si>
  <si>
    <t xml:space="preserve">II.  Transammonia Notes</t>
  </si>
  <si>
    <t xml:space="preserve">LPG London business was discontinued in 2000.</t>
  </si>
  <si>
    <t xml:space="preserve">Corporate trading income is the interest rate spread charged to trading and paid to banks.</t>
  </si>
  <si>
    <t xml:space="preserve">1996 Income Statement reflects a change from C-Corp to S-Corp and thus reflects only partial year results.</t>
  </si>
  <si>
    <t xml:space="preserve">2000 Income Statement is based on preliminary, unaudited results.</t>
  </si>
  <si>
    <t xml:space="preserve">V</t>
  </si>
  <si>
    <t xml:space="preserve">Cash on Balance Sheet 6/30/2001</t>
  </si>
  <si>
    <t xml:space="preserve">W</t>
  </si>
  <si>
    <t xml:space="preserve">Closing Fees ($millions)</t>
  </si>
  <si>
    <t xml:space="preserve">Accounting Goodwill amortization life</t>
  </si>
  <si>
    <t xml:space="preserve">Accounting Depreciation life</t>
  </si>
  <si>
    <t xml:space="preserve">II.  Tax Assumptions</t>
  </si>
  <si>
    <t xml:space="preserve">Offshore profits of $100MM will be kept offshore and will not become a future tax liability.</t>
  </si>
  <si>
    <t xml:space="preserve">TA' stock basis is approximated at $50MM</t>
  </si>
  <si>
    <t xml:space="preserve">TA's asset basis is approximated at $40MM</t>
  </si>
  <si>
    <t xml:space="preserve">20% capital gains tax</t>
  </si>
  <si>
    <t xml:space="preserve">Comparables ($MM)</t>
  </si>
  <si>
    <t xml:space="preserve">Financial Companies</t>
  </si>
  <si>
    <t xml:space="preserve">Book</t>
  </si>
  <si>
    <t xml:space="preserve">Sales</t>
  </si>
  <si>
    <t xml:space="preserve">#Shares</t>
  </si>
  <si>
    <t xml:space="preserve">Price</t>
  </si>
  <si>
    <t xml:space="preserve">Mkt Cap</t>
  </si>
  <si>
    <t xml:space="preserve">EV</t>
  </si>
  <si>
    <t xml:space="preserve">Mkt Cap/EV</t>
  </si>
  <si>
    <t xml:space="preserve">BV/Share</t>
  </si>
  <si>
    <t xml:space="preserve">EPS</t>
  </si>
  <si>
    <t xml:space="preserve">P/E</t>
  </si>
  <si>
    <t xml:space="preserve">P/Book</t>
  </si>
  <si>
    <t xml:space="preserve">P/Sales</t>
  </si>
  <si>
    <t xml:space="preserve">P/CF</t>
  </si>
  <si>
    <t xml:space="preserve">EV/Sales</t>
  </si>
  <si>
    <t xml:space="preserve">EV/EBITDA</t>
  </si>
  <si>
    <t xml:space="preserve">EV/Market Cap</t>
  </si>
  <si>
    <t xml:space="preserve">Mkt Cap/FCF</t>
  </si>
  <si>
    <t xml:space="preserve">Mkt Cap/CF</t>
  </si>
  <si>
    <t xml:space="preserve">(GS)</t>
  </si>
  <si>
    <t xml:space="preserve">Goldman Sachs</t>
  </si>
  <si>
    <t xml:space="preserve">(MWD)</t>
  </si>
  <si>
    <t xml:space="preserve">Morgan Stanley</t>
  </si>
  <si>
    <t xml:space="preserve">(AIG)</t>
  </si>
  <si>
    <t xml:space="preserve">AIG</t>
  </si>
  <si>
    <t xml:space="preserve">(LEH)</t>
  </si>
  <si>
    <t xml:space="preserve">Lehman Brothers</t>
  </si>
  <si>
    <t xml:space="preserve">(BSC)</t>
  </si>
  <si>
    <t xml:space="preserve">Bear Sterns</t>
  </si>
  <si>
    <t xml:space="preserve">Average</t>
  </si>
  <si>
    <t xml:space="preserve">Median</t>
  </si>
  <si>
    <t xml:space="preserve">xxxx</t>
  </si>
  <si>
    <t xml:space="preserve">Terminals</t>
  </si>
  <si>
    <t xml:space="preserve">Trailing</t>
  </si>
  <si>
    <t xml:space="preserve">(KPP)</t>
  </si>
  <si>
    <t xml:space="preserve">Kaneb Pipeline</t>
  </si>
  <si>
    <t xml:space="preserve">(KMP)</t>
  </si>
  <si>
    <t xml:space="preserve">Kinder Morgan Energy Partners</t>
  </si>
  <si>
    <t xml:space="preserve">(STNV)</t>
  </si>
  <si>
    <t xml:space="preserve">Statia Terminals</t>
  </si>
  <si>
    <t xml:space="preserve">(STLBY)</t>
  </si>
  <si>
    <t xml:space="preserve">Stolt-Nielsen</t>
  </si>
  <si>
    <t xml:space="preserve">(TPP)</t>
  </si>
  <si>
    <t xml:space="preserve">TEPPCO</t>
  </si>
  <si>
    <t xml:space="preserve">(TMG)</t>
  </si>
  <si>
    <t xml:space="preserve">TransMontaigne</t>
  </si>
  <si>
    <t xml:space="preserve">(WEG)</t>
  </si>
  <si>
    <t xml:space="preserve">Williams Energy Partners</t>
  </si>
  <si>
    <t xml:space="preserve">Mean</t>
  </si>
  <si>
    <t xml:space="preserve">(Source: Primark, Media General Financial Services, Reuters)</t>
  </si>
  <si>
    <t xml:space="preserve">Prices as of 03/14/01</t>
  </si>
  <si>
    <t xml:space="preserve">Comparable M&amp;A Transactions</t>
  </si>
  <si>
    <t xml:space="preserve">Asset Level Deals</t>
  </si>
  <si>
    <t xml:space="preserve">Acquirer</t>
  </si>
  <si>
    <t xml:space="preserve">Target</t>
  </si>
  <si>
    <t xml:space="preserve">Close Date</t>
  </si>
  <si>
    <t xml:space="preserve">Transaction Value</t>
  </si>
  <si>
    <t xml:space="preserve">LTM EBITDA</t>
  </si>
  <si>
    <t xml:space="preserve">LTM DCF</t>
  </si>
  <si>
    <t xml:space="preserve">TV/ EBITDA</t>
  </si>
  <si>
    <t xml:space="preserve">TV/ Book Value</t>
  </si>
  <si>
    <t xml:space="preserve">Kinder Morgan</t>
  </si>
  <si>
    <t xml:space="preserve">GATX</t>
  </si>
  <si>
    <t xml:space="preserve">1qtr. 2001 Est</t>
  </si>
  <si>
    <t xml:space="preserve">Allegheny Energy</t>
  </si>
  <si>
    <r>
      <rPr>
        <sz val="10"/>
        <rFont val="Arial"/>
        <family val="0"/>
      </rPr>
      <t xml:space="preserve">Global Energy Markets </t>
    </r>
    <r>
      <rPr>
        <vertAlign val="superscript"/>
        <sz val="10"/>
        <rFont val="Arial"/>
        <family val="2"/>
      </rPr>
      <t xml:space="preserve">(1)</t>
    </r>
  </si>
  <si>
    <t xml:space="preserve">NA</t>
  </si>
  <si>
    <t xml:space="preserve">Management led buy-out</t>
  </si>
  <si>
    <r>
      <rPr>
        <sz val="10"/>
        <rFont val="Arial"/>
        <family val="0"/>
      </rPr>
      <t xml:space="preserve">Bear Paw Energy </t>
    </r>
    <r>
      <rPr>
        <vertAlign val="superscript"/>
        <sz val="8.5"/>
        <rFont val="Arial"/>
        <family val="2"/>
      </rPr>
      <t xml:space="preserve">(2)</t>
    </r>
  </si>
  <si>
    <t xml:space="preserve">Corporate Level Deals</t>
  </si>
  <si>
    <t xml:space="preserve">ENRON</t>
  </si>
  <si>
    <t xml:space="preserve">MG Metals</t>
  </si>
  <si>
    <t xml:space="preserve">NiSource Inc. </t>
  </si>
  <si>
    <t xml:space="preserve">Columbia Energy Group</t>
  </si>
  <si>
    <t xml:space="preserve">NUI Corporation</t>
  </si>
  <si>
    <t xml:space="preserve">Virginia Gas Co.</t>
  </si>
  <si>
    <t xml:space="preserve">Pending</t>
  </si>
  <si>
    <t xml:space="preserve">El Paso Energy</t>
  </si>
  <si>
    <r>
      <rPr>
        <sz val="10"/>
        <rFont val="Arial"/>
        <family val="0"/>
      </rPr>
      <t xml:space="preserve">The Coastal Group </t>
    </r>
    <r>
      <rPr>
        <vertAlign val="superscript"/>
        <sz val="8.5"/>
        <rFont val="Arial"/>
        <family val="2"/>
      </rPr>
      <t xml:space="preserve">(3)</t>
    </r>
  </si>
  <si>
    <t xml:space="preserve">Source: Companies' 10K, 8K, 10Q and other SEC filings</t>
  </si>
  <si>
    <t xml:space="preserve">Financial Data and ratios are LTM from the announcement date</t>
  </si>
  <si>
    <r>
      <rPr>
        <i val="true"/>
        <vertAlign val="superscript"/>
        <sz val="8"/>
        <rFont val="Arial"/>
        <family val="2"/>
      </rPr>
      <t xml:space="preserve">(1)</t>
    </r>
    <r>
      <rPr>
        <i val="true"/>
        <sz val="8"/>
        <rFont val="Arial"/>
        <family val="2"/>
      </rPr>
      <t xml:space="preserve"> Global Energy Markets EBITDA is forward looking (2001) and annualized from April 1st. Global Energy Markets was the energy trading arm of Merrill Lynch. </t>
    </r>
  </si>
  <si>
    <r>
      <rPr>
        <i val="true"/>
        <vertAlign val="superscript"/>
        <sz val="8"/>
        <rFont val="Arial"/>
        <family val="2"/>
      </rPr>
      <t xml:space="preserve">(2)</t>
    </r>
    <r>
      <rPr>
        <i val="true"/>
        <sz val="8"/>
        <rFont val="Arial"/>
        <family val="2"/>
      </rPr>
      <t xml:space="preserve"> Bear Paw Energy was a subsidiary of TransMontaigne Inc. </t>
    </r>
  </si>
  <si>
    <r>
      <rPr>
        <i val="true"/>
        <vertAlign val="superscript"/>
        <sz val="8"/>
        <rFont val="Arial"/>
        <family val="2"/>
      </rPr>
      <t xml:space="preserve">(3)</t>
    </r>
    <r>
      <rPr>
        <i val="true"/>
        <sz val="8"/>
        <rFont val="Arial"/>
        <family val="2"/>
      </rPr>
      <t xml:space="preserve"> Coastal's stock price is the effective price after stock offering of 1.23:1 of El Paso's stock. </t>
    </r>
  </si>
  <si>
    <t xml:space="preserve">Timeline</t>
  </si>
  <si>
    <t xml:space="preserve">Only Supplemental Data After This Worksheet</t>
  </si>
  <si>
    <t xml:space="preserve">Book Cost</t>
  </si>
  <si>
    <t xml:space="preserve">Acc Dep</t>
  </si>
  <si>
    <t xml:space="preserve">Book Basis</t>
  </si>
  <si>
    <t xml:space="preserve">Sea-3 of Florida</t>
  </si>
  <si>
    <t xml:space="preserve">TA Terminals</t>
  </si>
  <si>
    <t xml:space="preserve">Transrail</t>
  </si>
  <si>
    <t xml:space="preserve">TOTAL</t>
  </si>
  <si>
    <t xml:space="preserve">1999 Depreciation</t>
  </si>
  <si>
    <t xml:space="preserve">Sea-3 implied deprecation life</t>
  </si>
  <si>
    <t xml:space="preserve">30 years</t>
  </si>
  <si>
    <t xml:space="preserve">Sea-3 deprecation per year</t>
  </si>
  <si>
    <t xml:space="preserve">  Theoretical 1999 sea-3 acc deprecation</t>
  </si>
  <si>
    <t xml:space="preserve">1999 Depreciation MINUS Sea - 3</t>
  </si>
  <si>
    <t xml:space="preserve">Implied deprecation life of remaining assets</t>
  </si>
  <si>
    <t xml:space="preserve">Depreciation Schedule</t>
  </si>
  <si>
    <t xml:space="preserve">Annual Book Deprecaition</t>
  </si>
  <si>
    <t xml:space="preserve">Existing PP&amp;E</t>
  </si>
  <si>
    <t xml:space="preserve">PP&amp;E</t>
  </si>
  <si>
    <t xml:space="preserve">Depreciation Life</t>
  </si>
  <si>
    <t xml:space="preserve">CAPEX</t>
  </si>
  <si>
    <t xml:space="preserve">Market Values</t>
  </si>
  <si>
    <t xml:space="preserve">Step-up (1=yes)</t>
  </si>
  <si>
    <t xml:space="preserve">Step up in PP&amp;E</t>
  </si>
  <si>
    <t xml:space="preserve">Total</t>
  </si>
  <si>
    <t xml:space="preserve">Goodwill</t>
  </si>
  <si>
    <t xml:space="preserve">Amortization</t>
  </si>
  <si>
    <t xml:space="preserve">Life</t>
  </si>
  <si>
    <t xml:space="preserve">Tax Basis</t>
  </si>
  <si>
    <t xml:space="preserve">Annual Tax Deprecaition</t>
  </si>
  <si>
    <t xml:space="preserve">10 or 7 year tax depreciation life  </t>
  </si>
  <si>
    <t xml:space="preserve">Book/Tax Differential</t>
  </si>
  <si>
    <t xml:space="preserve">Defered Tax Calculation</t>
  </si>
  <si>
    <t xml:space="preserve">NPV of Tax Shield @ 10%</t>
  </si>
  <si>
    <t xml:space="preserve">Value of Tax Step-up</t>
  </si>
  <si>
    <t xml:space="preserve">Sea 3 New Hampshire (Book)</t>
  </si>
  <si>
    <t xml:space="preserve">Sea 3 New Hampshire (Tax)</t>
  </si>
  <si>
    <t xml:space="preserve">Book Tax Differential</t>
  </si>
  <si>
    <t xml:space="preserve">Tax Shield</t>
  </si>
  <si>
    <t xml:space="preserve">Sea 3 Tampa (Book)</t>
  </si>
  <si>
    <t xml:space="preserve">Sea 3 Tampa (Tax)</t>
  </si>
  <si>
    <t xml:space="preserve">Transrail (Book)</t>
  </si>
  <si>
    <t xml:space="preserve">Transrail (Tax)</t>
  </si>
  <si>
    <t xml:space="preserve">Discontinued Business</t>
  </si>
  <si>
    <t xml:space="preserve">LPG London</t>
  </si>
  <si>
    <t xml:space="preserve">Rev</t>
  </si>
  <si>
    <t xml:space="preserve">AR in LPG London</t>
  </si>
  <si>
    <t xml:space="preserve">COGS</t>
  </si>
  <si>
    <t xml:space="preserve">Inventory in LPG London</t>
  </si>
  <si>
    <t xml:space="preserve">Payables in LPG London</t>
  </si>
  <si>
    <t xml:space="preserve">Total Working Capital in LPG</t>
  </si>
  <si>
    <t xml:space="preserve">Trading Income</t>
  </si>
  <si>
    <t xml:space="preserve">Carring cost (Cost of Debt)</t>
  </si>
  <si>
    <t xml:space="preserve">Interest Expense in LPG London</t>
  </si>
  <si>
    <t xml:space="preserve">IBT</t>
  </si>
  <si>
    <t xml:space="preserve">Income Taxes</t>
  </si>
  <si>
    <t xml:space="preserve">Net Profit (Loss)</t>
  </si>
  <si>
    <t xml:space="preserve">From DCF Model</t>
  </si>
  <si>
    <t xml:space="preserve">A/R</t>
  </si>
  <si>
    <t xml:space="preserve">old</t>
  </si>
  <si>
    <t xml:space="preserve">Trading Profit</t>
  </si>
  <si>
    <t xml:space="preserve">A/P</t>
  </si>
  <si>
    <t xml:space="preserve">1H 2001</t>
  </si>
  <si>
    <t xml:space="preserve">2H 2001</t>
  </si>
  <si>
    <t xml:space="preserve">1999 days </t>
  </si>
  <si>
    <t xml:space="preserve">Days modeled</t>
  </si>
  <si>
    <t xml:space="preserve">Inv</t>
  </si>
  <si>
    <t xml:space="preserve">Anhyrous Ammonia &amp; Transport</t>
  </si>
  <si>
    <t xml:space="preserve">Fertilizers &amp; Transport</t>
  </si>
  <si>
    <t xml:space="preserve">2001A A/R</t>
  </si>
  <si>
    <t xml:space="preserve">2001A A/P</t>
  </si>
  <si>
    <t xml:space="preserve">Margins</t>
  </si>
  <si>
    <t xml:space="preserve">Days Outstanding</t>
  </si>
  <si>
    <t xml:space="preserve">Total Working Capital</t>
  </si>
  <si>
    <t xml:space="preserve">Shareholder Expenses (in SG&amp;A)</t>
  </si>
  <si>
    <t xml:space="preserve">Salaries, Payroll taxes &amp; benefits</t>
  </si>
  <si>
    <t xml:space="preserve">   Shareholders</t>
  </si>
  <si>
    <t xml:space="preserve">   Other Direct Employees</t>
  </si>
  <si>
    <t xml:space="preserve">   Allocation of Employees from other segments</t>
  </si>
  <si>
    <t xml:space="preserve">Charitable Donations &amp; Direct Expenses</t>
  </si>
  <si>
    <t xml:space="preserve">Allocated Expenses (etc)</t>
  </si>
  <si>
    <t xml:space="preserve">Subtotal</t>
  </si>
  <si>
    <t xml:space="preserve">Shareholder Bonuses &amp; Profit Sharing Contrib</t>
  </si>
  <si>
    <t xml:space="preserve">Total Shareholders' Expenses</t>
  </si>
  <si>
    <t xml:space="preserve">Fair value Calculation</t>
  </si>
  <si>
    <t xml:space="preserve">Fair value of PPE</t>
  </si>
  <si>
    <t xml:space="preserve">Purchase Price</t>
  </si>
  <si>
    <t xml:space="preserve">Tampa Terminal</t>
  </si>
  <si>
    <t xml:space="preserve">Minus:  Pre-closing Shareholders Equity</t>
  </si>
  <si>
    <t xml:space="preserve">NH Terminal</t>
  </si>
  <si>
    <t xml:space="preserve">Fair value</t>
  </si>
  <si>
    <t xml:space="preserve">Total Terminals MV</t>
  </si>
  <si>
    <t xml:space="preserve">Fair value of assets</t>
  </si>
  <si>
    <t xml:space="preserve">Minus:  Pre-closing PP&amp;E</t>
  </si>
  <si>
    <t xml:space="preserve">Other Assets</t>
  </si>
  <si>
    <t xml:space="preserve">Asset Step-up</t>
  </si>
  <si>
    <t xml:space="preserve">Total Rail Cars &amp; Other</t>
  </si>
  <si>
    <t xml:space="preserve">Total PPE</t>
  </si>
  <si>
    <t xml:space="preserve">Transammonia Log</t>
  </si>
  <si>
    <t xml:space="preserve">Lowered sea-3 SG&amp;A to $2MM and added flexibility</t>
  </si>
  <si>
    <t xml:space="preserve">Added Goodwill calculation 40 years book, 15 tax</t>
  </si>
  <si>
    <t xml:space="preserve">Changed model to have cash exit BS as a dividend</t>
  </si>
  <si>
    <t xml:space="preserve">Got rid of interest income</t>
  </si>
  <si>
    <t xml:space="preserve">added tax step-up toggle</t>
  </si>
  <si>
    <t xml:space="preserve">Changed deprecaition life on assets to 15 years</t>
  </si>
  <si>
    <t xml:space="preserve">Changed margins, volumes and TV exit multiple on terminals</t>
  </si>
  <si>
    <t xml:space="preserve">Redid NWC calculation</t>
  </si>
  <si>
    <t xml:space="preserve">Added relocation and transition costs of 5MM</t>
  </si>
  <si>
    <t xml:space="preserve">Changed CAPEX allocation only to the two terminals and not rail cars</t>
  </si>
  <si>
    <t xml:space="preserve">Built rail car DCF</t>
  </si>
  <si>
    <t xml:space="preserve">Took cash out of NPV's in APV sheet </t>
  </si>
  <si>
    <t xml:space="preserve">Updated book value in AVP, number now linked to BS numbers</t>
  </si>
  <si>
    <t xml:space="preserve">$5 in startup expenses were taken as as transaction expense and not on the I/S</t>
  </si>
  <si>
    <t xml:space="preserve">Transammonia Issues</t>
  </si>
  <si>
    <t xml:space="preserve">Appraisal of WC</t>
  </si>
  <si>
    <t xml:space="preserve">Why have days outstanding been growing so much</t>
  </si>
  <si>
    <t xml:space="preserve">Value of LPG and other monetizable inventories</t>
  </si>
  <si>
    <t xml:space="preserve">Why the huge swings in NWC - need more comfortable to model correctly</t>
  </si>
  <si>
    <t xml:space="preserve">Details on Tampa and NH - model would be nice</t>
  </si>
  <si>
    <t xml:space="preserve">Understanding of prepays</t>
  </si>
  <si>
    <t xml:space="preserve">Value in Lybia and Iran</t>
  </si>
  <si>
    <t xml:space="preserve">According to them, what will be the main integration issues?</t>
  </si>
  <si>
    <t xml:space="preserve">How would they see them getting resolved?</t>
  </si>
  <si>
    <t xml:space="preserve">Depreciation - why do we have sucha low number (about 2mm vs 4mm)</t>
  </si>
  <si>
    <t xml:space="preserve">Capex requirements going forward</t>
  </si>
  <si>
    <t xml:space="preserve">Profit &amp; Loss</t>
  </si>
  <si>
    <t xml:space="preserve">LPG London &amp; Related Transportation</t>
  </si>
  <si>
    <t xml:space="preserve">Sea-3 (after depreciation)</t>
  </si>
  <si>
    <t xml:space="preserve">Total Gross Margin</t>
  </si>
  <si>
    <t xml:space="preserve">Rail Cars EBITDA</t>
  </si>
  <si>
    <t xml:space="preserve">Source:  Historical results were supplied by Transammonia.  Projections are based on Enron assumptions including synergies.</t>
  </si>
  <si>
    <t xml:space="preserve">Stock for Stock</t>
  </si>
  <si>
    <t xml:space="preserve">Cash for Stock</t>
  </si>
  <si>
    <t xml:space="preserve">Liquidation @ Book</t>
  </si>
  <si>
    <t xml:space="preserve">Value to Enron of Step-up</t>
  </si>
  <si>
    <t xml:space="preserve">Minus: Basis in TA Shares</t>
  </si>
  <si>
    <t xml:space="preserve">Minus: Basis in TA Assets</t>
  </si>
  <si>
    <t xml:space="preserve">Value of tax shield</t>
  </si>
  <si>
    <t xml:space="preserve">Capital Gain</t>
  </si>
  <si>
    <t xml:space="preserve">Corp Level Gain</t>
  </si>
  <si>
    <t xml:space="preserve">Tax rate</t>
  </si>
  <si>
    <t xml:space="preserve">Tax</t>
  </si>
  <si>
    <t xml:space="preserve">Net Proceeds to Corporate Entity</t>
  </si>
  <si>
    <t xml:space="preserve">Share Holder Income</t>
  </si>
  <si>
    <t xml:space="preserve">Net Proceeds</t>
  </si>
  <si>
    <t xml:space="preserve">Total Tax</t>
  </si>
  <si>
    <t xml:space="preserve">Contingent tax liability for</t>
  </si>
  <si>
    <t xml:space="preserve">$100MM in off-shore profits</t>
  </si>
  <si>
    <t xml:space="preserve">No contingent tax liabilities</t>
  </si>
  <si>
    <t xml:space="preserve">Gross Proceeds</t>
  </si>
  <si>
    <t xml:space="preserve">Tax Payable</t>
  </si>
  <si>
    <t xml:space="preserve">Market value of NH terminal increases from $27.8MM to $34.2MM as a result of step-up in tax basis</t>
  </si>
  <si>
    <t xml:space="preserve">Market value of Tampa terminal increases from $28.1MM to $30.6MM as a result of step-up in tax basis</t>
  </si>
  <si>
    <t xml:space="preserve">Market value of other assets increased with step-up to their original book values </t>
  </si>
  <si>
    <t xml:space="preserve">Goodwill calculation ranges from $4MM to $44MM depending on purchase price</t>
  </si>
  <si>
    <t xml:space="preserve">Price Analysis</t>
  </si>
  <si>
    <t xml:space="preserve">ENRON SHARE PRICE</t>
  </si>
  <si>
    <t xml:space="preserve"> VALUE OF TERMINALS &amp; RAIL OPS ($ millions)</t>
  </si>
  <si>
    <t xml:space="preserve">NUMBER OF ENRON SHARES ($000)</t>
  </si>
  <si>
    <t xml:space="preserve">MULTIPLE OF TRADING BV</t>
  </si>
  <si>
    <t xml:space="preserve">($ millions)</t>
  </si>
  <si>
    <t xml:space="preserve">STOCK</t>
  </si>
  <si>
    <t xml:space="preserve">PURCHASE </t>
  </si>
  <si>
    <t xml:space="preserve">PRICE </t>
  </si>
  <si>
    <t xml:space="preserve">I.  FERTILIZERS AND AMMONIA</t>
  </si>
  <si>
    <t xml:space="preserve">A.  Fertilizers accounted for 55% of total 2000 traded volume</t>
  </si>
  <si>
    <t xml:space="preserve">B.  Fertilizers accounted 47% of 1999 trading income</t>
  </si>
  <si>
    <t xml:space="preserve">C.  Fertilizers accounted for 2000 trading income </t>
  </si>
  <si>
    <t xml:space="preserve">D.  Ammonia accounted for 13% of total 2000 traded volume</t>
  </si>
  <si>
    <t xml:space="preserve">E.  Ammonia accounted for 6% of 1999 trading income </t>
  </si>
  <si>
    <t xml:space="preserve">F.  Ammonia accounted for 13% of 2000 trading income </t>
  </si>
  <si>
    <t xml:space="preserve">G.  World's largest fertilizer and ammonia trading company with 11.6MT traded in 2000</t>
  </si>
  <si>
    <t xml:space="preserve">H.  Sales in 70 counties to approximately 475 buyers in 2000</t>
  </si>
  <si>
    <t xml:space="preserve">I.  Purchases from over 50 counties and approximately 225 suppliers in 2000</t>
  </si>
  <si>
    <t xml:space="preserve">J.  Meredosia Illinois Ammonia terminal with throughput of about 40,000 MT and capacity for 36,000 MT</t>
  </si>
  <si>
    <t xml:space="preserve">K.  IMC Ammonia Terminal in Tampa, leased with exclusive throughput rights to 80-100K sts/year</t>
  </si>
  <si>
    <t xml:space="preserve">L.  At present Transammonia has 7 vessels on time charters with the average charter length of 3-4 years</t>
  </si>
  <si>
    <t xml:space="preserve">M.  Own 200 sulphur rails cars in the US</t>
  </si>
  <si>
    <t xml:space="preserve">LPG</t>
  </si>
  <si>
    <t xml:space="preserve">10% of total 2000 traded volume, 23% of 1999 trading income and 21% of 2000 trading income </t>
  </si>
  <si>
    <t xml:space="preserve">Currently own two terminals, one in NH and one in FL with interesting arbitrage opportunities</t>
  </si>
  <si>
    <t xml:space="preserve">in 2000 generated trading profits of $7.5MM from the terminals and $8.9MM from financial trading</t>
  </si>
  <si>
    <t xml:space="preserve">TRAMMOCHEM</t>
  </si>
  <si>
    <t xml:space="preserve">22% of total 2000 traded volume, 25% of 1999 trading income and 14% of 2000 trading income </t>
  </si>
  <si>
    <t xml:space="preserve">46% of chemical volume is Naptha, 24% MTBE, 18% benzene and 12% other</t>
  </si>
  <si>
    <t xml:space="preserve">SEA-3 </t>
  </si>
  <si>
    <t xml:space="preserve">Sea-3 of New Hampshire with an annual throughput of 255,000 MT and capacity of 51,000 MT</t>
  </si>
  <si>
    <t xml:space="preserve">Sea-3 of Florida with an annual throughput of 250,000 MT and capacity  of 50,000 MT</t>
  </si>
  <si>
    <t xml:space="preserve">SALES IN METRIC TONS</t>
  </si>
  <si>
    <t xml:space="preserve">    Fertilizers</t>
  </si>
  <si>
    <t xml:space="preserve">Urea (with paper)</t>
  </si>
  <si>
    <t xml:space="preserve">    LPG Houston</t>
  </si>
  <si>
    <t xml:space="preserve">Ammonia (with paper &amp; transport)</t>
  </si>
  <si>
    <t xml:space="preserve">Propane (with paper)</t>
  </si>
  <si>
    <t xml:space="preserve">No Data</t>
  </si>
  <si>
    <t xml:space="preserve">Sulfur</t>
  </si>
  <si>
    <t xml:space="preserve">Natural Gasoline (with paper)</t>
  </si>
  <si>
    <t xml:space="preserve">Ammonium Nitrate</t>
  </si>
  <si>
    <t xml:space="preserve">Ethane (with paper)</t>
  </si>
  <si>
    <t xml:space="preserve">NPKs</t>
  </si>
  <si>
    <t xml:space="preserve">E-P</t>
  </si>
  <si>
    <t xml:space="preserve">UAN Solutions</t>
  </si>
  <si>
    <t xml:space="preserve">Butane</t>
  </si>
  <si>
    <t xml:space="preserve">Sulfuric Acid</t>
  </si>
  <si>
    <t xml:space="preserve">Isobutane</t>
  </si>
  <si>
    <t xml:space="preserve">Potash</t>
  </si>
  <si>
    <t xml:space="preserve">Naptha (paper)</t>
  </si>
  <si>
    <t xml:space="preserve">Diammonium Phosphate (with paper)</t>
  </si>
  <si>
    <t xml:space="preserve">Brent Crude Oil (paper)</t>
  </si>
  <si>
    <t xml:space="preserve">Phosphate Rock</t>
  </si>
  <si>
    <t xml:space="preserve">    Totals</t>
  </si>
  <si>
    <t xml:space="preserve">Ammonium Sulfate</t>
  </si>
  <si>
    <t xml:space="preserve">Calcium Ammonium Nitrate</t>
  </si>
  <si>
    <t xml:space="preserve">    Sea-3</t>
  </si>
  <si>
    <t xml:space="preserve">Monoammonium Phosphate</t>
  </si>
  <si>
    <t xml:space="preserve">Propane at terminal(s)</t>
  </si>
  <si>
    <t xml:space="preserve">Kola Apatite</t>
  </si>
  <si>
    <t xml:space="preserve">Propane at mt belvieu</t>
  </si>
  <si>
    <t xml:space="preserve">SOP</t>
  </si>
  <si>
    <t xml:space="preserve">K-mag</t>
  </si>
  <si>
    <t xml:space="preserve">TSP</t>
  </si>
  <si>
    <t xml:space="preserve">    LPG London</t>
  </si>
  <si>
    <t xml:space="preserve">GTSP</t>
  </si>
  <si>
    <t xml:space="preserve">Discontinued</t>
  </si>
  <si>
    <t xml:space="preserve">Copper Sulfate</t>
  </si>
  <si>
    <t xml:space="preserve">P205</t>
  </si>
  <si>
    <t xml:space="preserve">GSSP</t>
  </si>
  <si>
    <t xml:space="preserve">PKs</t>
  </si>
  <si>
    <t xml:space="preserve">All Segments Total</t>
  </si>
  <si>
    <t xml:space="preserve">    Trammochem: (totals only)</t>
  </si>
  <si>
    <t xml:space="preserve">Naptha (with paper)</t>
  </si>
  <si>
    <t xml:space="preserve">MTBE (with paper)</t>
  </si>
  <si>
    <t xml:space="preserve">Benzene (with paper)</t>
  </si>
  <si>
    <t xml:space="preserve">Paraxylene</t>
  </si>
  <si>
    <t xml:space="preserve">Methanol</t>
  </si>
  <si>
    <t xml:space="preserve">Mixed Xylene</t>
  </si>
  <si>
    <t xml:space="preserve">Styrene Monomer</t>
  </si>
  <si>
    <t xml:space="preserve">Propylene</t>
  </si>
  <si>
    <t xml:space="preserve">Toluene</t>
  </si>
  <si>
    <t xml:space="preserve">Ethylene</t>
  </si>
  <si>
    <t xml:space="preserve">Caprolactam</t>
  </si>
  <si>
    <t xml:space="preserve">Urotropine</t>
  </si>
  <si>
    <t xml:space="preserve">Orthoxylene</t>
  </si>
  <si>
    <t xml:space="preserve">Meg</t>
  </si>
  <si>
    <t xml:space="preserve">Pygas</t>
  </si>
  <si>
    <t xml:space="preserve">C-9</t>
  </si>
  <si>
    <t xml:space="preserve">Cyclohexane</t>
  </si>
  <si>
    <t xml:space="preserve">Pythalic A</t>
  </si>
  <si>
    <t xml:space="preserve">Unleaded Gasoline (paper)</t>
  </si>
  <si>
    <t xml:space="preserve">SUMMARY OF TRADING PROFITS</t>
  </si>
  <si>
    <t xml:space="preserve">Below the line adjustments</t>
  </si>
  <si>
    <t xml:space="preserve">Natural Gas</t>
  </si>
  <si>
    <t xml:space="preserve">Transportation</t>
  </si>
  <si>
    <t xml:space="preserve">Below The Line Items</t>
  </si>
  <si>
    <t xml:space="preserve">Corporate Trading Profits</t>
  </si>
  <si>
    <t xml:space="preserve">SUMMARY OF TRADING MARGINS</t>
  </si>
  <si>
    <t xml:space="preserve">SUMMARY OF PRODUCT PROFITABILITY</t>
  </si>
  <si>
    <t xml:space="preserve">Transammonia Compensation of Traders, Support and Operations </t>
  </si>
  <si>
    <t xml:space="preserve"># of Emplyees</t>
  </si>
  <si>
    <t xml:space="preserve">Total current Base Salaries</t>
  </si>
  <si>
    <t xml:space="preserve">Average Annual Salary</t>
  </si>
  <si>
    <t xml:space="preserve">Total  Bonuses   2000</t>
  </si>
  <si>
    <t xml:space="preserve">Total    Bonuses   1999</t>
  </si>
  <si>
    <t xml:space="preserve">Total Bonuses 1998</t>
  </si>
  <si>
    <t xml:space="preserve">Total Bonuses 1997</t>
  </si>
  <si>
    <t xml:space="preserve">Total Bonuses per employee 2000</t>
  </si>
  <si>
    <t xml:space="preserve">Total Bonuses per employee 1999</t>
  </si>
  <si>
    <t xml:space="preserve">Total Bonuses per employee 1998</t>
  </si>
  <si>
    <t xml:space="preserve">Total Bonuses per employee 1997</t>
  </si>
  <si>
    <t xml:space="preserve">Fertilizers (Switzerland)</t>
  </si>
  <si>
    <t xml:space="preserve">Senior Traders</t>
  </si>
  <si>
    <t xml:space="preserve">Other Traders</t>
  </si>
  <si>
    <t xml:space="preserve">Trading Support, Chartering &amp; Ops</t>
  </si>
  <si>
    <t xml:space="preserve">Direct Office Support</t>
  </si>
  <si>
    <t xml:space="preserve">Total Fertilizers</t>
  </si>
  <si>
    <t xml:space="preserve">Anhydrous Ammonia (Paris)</t>
  </si>
  <si>
    <t xml:space="preserve">Traders</t>
  </si>
  <si>
    <t xml:space="preserve">Total Anhydrous Ammonia </t>
  </si>
  <si>
    <t xml:space="preserve">Trammochem (Darien)</t>
  </si>
  <si>
    <t xml:space="preserve">Total Trammochem</t>
  </si>
  <si>
    <t xml:space="preserve">LPG (including Sea-3) (Houston)</t>
  </si>
  <si>
    <t xml:space="preserve">Total LPG (including Sea-3)</t>
  </si>
  <si>
    <t xml:space="preserve">Headquarters (New York)</t>
  </si>
  <si>
    <t xml:space="preserve">Chairman &amp; Presidents Department</t>
  </si>
  <si>
    <t xml:space="preserve">Legal Department</t>
  </si>
  <si>
    <t xml:space="preserve">IT Department</t>
  </si>
  <si>
    <t xml:space="preserve">Acct, fnce, risk, audit and admin.</t>
  </si>
  <si>
    <t xml:space="preserve">Total Headquarters</t>
  </si>
  <si>
    <t xml:space="preserve">Total - All Employees</t>
  </si>
  <si>
    <t xml:space="preserve">Sources of tonnage</t>
  </si>
  <si>
    <t xml:space="preserve">% of tonnage</t>
  </si>
  <si>
    <t xml:space="preserve">Enron Rating</t>
  </si>
  <si>
    <t xml:space="preserve">S&amp;P </t>
  </si>
  <si>
    <t xml:space="preserve">Moody</t>
  </si>
  <si>
    <t xml:space="preserve">Fitch</t>
  </si>
  <si>
    <t xml:space="preserve">Russia</t>
  </si>
  <si>
    <t xml:space="preserve">B-</t>
  </si>
  <si>
    <t xml:space="preserve">B2</t>
  </si>
  <si>
    <t xml:space="preserve">CCC</t>
  </si>
  <si>
    <t xml:space="preserve">USA</t>
  </si>
  <si>
    <t xml:space="preserve">AAA</t>
  </si>
  <si>
    <t xml:space="preserve">Aaa</t>
  </si>
  <si>
    <t xml:space="preserve">Ukraine</t>
  </si>
  <si>
    <t xml:space="preserve">-</t>
  </si>
  <si>
    <t xml:space="preserve">Caa1</t>
  </si>
  <si>
    <t xml:space="preserve">Romania</t>
  </si>
  <si>
    <t xml:space="preserve">B3</t>
  </si>
  <si>
    <t xml:space="preserve">Canada</t>
  </si>
  <si>
    <t xml:space="preserve">AA+</t>
  </si>
  <si>
    <t xml:space="preserve">Aa1</t>
  </si>
  <si>
    <t xml:space="preserve">AA</t>
  </si>
  <si>
    <t xml:space="preserve">Bangladesh</t>
  </si>
  <si>
    <t xml:space="preserve">Algeria</t>
  </si>
  <si>
    <t xml:space="preserve">Bulgaria</t>
  </si>
  <si>
    <t xml:space="preserve">B+</t>
  </si>
  <si>
    <t xml:space="preserve">B1</t>
  </si>
  <si>
    <t xml:space="preserve">Others</t>
  </si>
  <si>
    <t xml:space="preserve">Sales of tonnage</t>
  </si>
  <si>
    <t xml:space="preserve">China</t>
  </si>
  <si>
    <t xml:space="preserve">BBB</t>
  </si>
  <si>
    <t xml:space="preserve">A3</t>
  </si>
  <si>
    <t xml:space="preserve">A-</t>
  </si>
  <si>
    <t xml:space="preserve">Turkey</t>
  </si>
  <si>
    <t xml:space="preserve">Brazil</t>
  </si>
  <si>
    <t xml:space="preserve">Mexico</t>
  </si>
  <si>
    <t xml:space="preserve">BB+</t>
  </si>
  <si>
    <t xml:space="preserve">Baa3</t>
  </si>
  <si>
    <t xml:space="preserve">BB </t>
  </si>
  <si>
    <t xml:space="preserve">Italy</t>
  </si>
  <si>
    <t xml:space="preserve">Aa3</t>
  </si>
  <si>
    <t xml:space="preserve">AA-</t>
  </si>
  <si>
    <t xml:space="preserve">Chile</t>
  </si>
  <si>
    <t xml:space="preserve">Baa1</t>
  </si>
  <si>
    <t xml:space="preserve">India</t>
  </si>
  <si>
    <t xml:space="preserve">Ba2</t>
  </si>
  <si>
    <t xml:space="preserve">Spain</t>
  </si>
  <si>
    <t xml:space="preserve">Aa2</t>
  </si>
  <si>
    <t xml:space="preserve">Vietnam</t>
  </si>
  <si>
    <t xml:space="preserve">TRANSAMMONIA VALUATION SUMMARY</t>
  </si>
  <si>
    <t xml:space="preserve">EBITDA Multiple 2001E</t>
  </si>
  <si>
    <t xml:space="preserve">Market Value of Assets (1999 Terminals)</t>
  </si>
  <si>
    <t xml:space="preserve">Est. EBITDA Multiple</t>
  </si>
  <si>
    <t xml:space="preserve">Cash</t>
  </si>
  <si>
    <t xml:space="preserve">EBITDA with Synergies 2001E</t>
  </si>
  <si>
    <t xml:space="preserve">Plus:  A/R</t>
  </si>
  <si>
    <t xml:space="preserve">Firm Value</t>
  </si>
  <si>
    <t xml:space="preserve">Plus: Inv</t>
  </si>
  <si>
    <t xml:space="preserve">Minus Debt</t>
  </si>
  <si>
    <t xml:space="preserve">Plus: Othe Assets</t>
  </si>
  <si>
    <t xml:space="preserve">Plus Cash</t>
  </si>
  <si>
    <t xml:space="preserve">   Total Liquid Assets</t>
  </si>
  <si>
    <t xml:space="preserve">New Hampshire Terminal 1999</t>
  </si>
  <si>
    <t xml:space="preserve">Adj Book Value</t>
  </si>
  <si>
    <t xml:space="preserve">EBITDA Multiple</t>
  </si>
  <si>
    <t xml:space="preserve">Equity @ Face</t>
  </si>
  <si>
    <t xml:space="preserve">Value of New Hampshire Terminal</t>
  </si>
  <si>
    <t xml:space="preserve">Equity (above * discount)</t>
  </si>
  <si>
    <t xml:space="preserve">Plus: Tampa Terminal @ BV</t>
  </si>
  <si>
    <t xml:space="preserve">Total Value of Terminals</t>
  </si>
  <si>
    <t xml:space="preserve">Plus:  Other Assets @ 75%</t>
  </si>
  <si>
    <t xml:space="preserve">   Total Value PP&amp;E</t>
  </si>
  <si>
    <t xml:space="preserve">DCF Analysis - With Synergies</t>
  </si>
  <si>
    <t xml:space="preserve">Total Assets</t>
  </si>
  <si>
    <t xml:space="preserve">Minus:  Liabilities</t>
  </si>
  <si>
    <t xml:space="preserve">Equity</t>
  </si>
  <si>
    <t xml:space="preserve">Market Value of Assets (2000 Terminals)</t>
  </si>
  <si>
    <t xml:space="preserve">EBITDA from Terminals '01</t>
  </si>
  <si>
    <t xml:space="preserve">Plus: Cash</t>
  </si>
  <si>
    <t xml:space="preserve">Plus:  PPE @ 100% BV</t>
  </si>
  <si>
    <t xml:space="preserve">   Total Assets</t>
  </si>
  <si>
    <t xml:space="preserve">Total Asset Value</t>
  </si>
  <si>
    <t xml:space="preserve">Minus:  Purchase Price</t>
  </si>
  <si>
    <t xml:space="preserve">Goodwill  / Going Concern Value</t>
  </si>
  <si>
    <t xml:space="preserve">Segment Summary</t>
  </si>
  <si>
    <t xml:space="preserve">Sales In Metric Tons (000)</t>
  </si>
  <si>
    <t xml:space="preserve">Trading Income In Dollars ($000)</t>
  </si>
  <si>
    <t xml:space="preserve">Percent of Trading Income</t>
  </si>
  <si>
    <t xml:space="preserve">Totals</t>
  </si>
  <si>
    <t xml:space="preserve">Selling and Admin Expenses (exclud. bonuses)</t>
  </si>
  <si>
    <t xml:space="preserve">Income Before Bonuses and Income Taxes</t>
  </si>
  <si>
    <t xml:space="preserve">Income Before Income Taxes</t>
  </si>
  <si>
    <t xml:space="preserve">PLUS: Interest, Taxes and Depreciation Addback</t>
  </si>
  <si>
    <t xml:space="preserve">Q1</t>
  </si>
  <si>
    <t xml:space="preserve">Q2</t>
  </si>
  <si>
    <t xml:space="preserve">Q3</t>
  </si>
  <si>
    <t xml:space="preserve">Q4</t>
  </si>
  <si>
    <t xml:space="preserve">YR End</t>
  </si>
  <si>
    <t xml:space="preserve">Avg Days '99 &amp; '00</t>
  </si>
  <si>
    <t xml:space="preserve">LPG HOUSTON</t>
  </si>
  <si>
    <t xml:space="preserve">  Rev</t>
  </si>
  <si>
    <t xml:space="preserve">  Inv</t>
  </si>
  <si>
    <t xml:space="preserve">  Days</t>
  </si>
  <si>
    <t xml:space="preserve">SEA-3</t>
  </si>
  <si>
    <t xml:space="preserve">FERTILIZERS</t>
  </si>
  <si>
    <t xml:space="preserve">CHEMICALS</t>
  </si>
  <si>
    <t xml:space="preserve">  A/R</t>
  </si>
  <si>
    <t xml:space="preserve">Payables</t>
  </si>
  <si>
    <t xml:space="preserve">Days</t>
  </si>
  <si>
    <t xml:space="preserve">Analysis at Various Prices - Consolidated</t>
  </si>
  <si>
    <t xml:space="preserve">Equity Value as Multiple of:</t>
  </si>
  <si>
    <t xml:space="preserve">NPV @</t>
  </si>
  <si>
    <t xml:space="preserve">(1) Value of sea-3 and rail cars plus book value of trading operations</t>
  </si>
  <si>
    <t xml:space="preserve">(2) All forcasts are ENE forecasts</t>
  </si>
  <si>
    <t xml:space="preserve">Analysis at Various Prices - Trading</t>
  </si>
  <si>
    <t xml:space="preserve">Minus Value of Tax Step-Up</t>
  </si>
  <si>
    <t xml:space="preserve">Trading Enterprise Value</t>
  </si>
  <si>
    <t xml:space="preserve">Minus Corp Debt</t>
  </si>
  <si>
    <t xml:space="preserve">Plus Sea 3 Debt</t>
  </si>
  <si>
    <t xml:space="preserve">Trading Equity Value</t>
  </si>
  <si>
    <t xml:space="preserve">Trading Equity Value as Multiple of:</t>
  </si>
  <si>
    <t xml:space="preserve">Analysis at Various Prices - Terminals &amp; Rail</t>
  </si>
  <si>
    <t xml:space="preserve">Sea 3 Terminals and Rail Ops Value</t>
  </si>
  <si>
    <t xml:space="preserve">Minus Applicable Debt</t>
  </si>
  <si>
    <t xml:space="preserve">Sea 3 &amp; Rail Equity Value</t>
  </si>
  <si>
    <t xml:space="preserve">(1) Asset value in bold designates the actual NPV value of the PPE</t>
  </si>
  <si>
    <t xml:space="preserve">Valuations Summary</t>
  </si>
  <si>
    <t xml:space="preserve">              Value Range</t>
  </si>
  <si>
    <t xml:space="preserve">LPG Terminals &amp; Rail Cars DCF (10%)</t>
  </si>
  <si>
    <t xml:space="preserve">Trading @ 1 - 1.4x book</t>
  </si>
  <si>
    <t xml:space="preserve">Less Debt</t>
  </si>
  <si>
    <t xml:space="preserve">Financial Summary</t>
  </si>
  <si>
    <t xml:space="preserve">INCOME STATEMENT</t>
  </si>
  <si>
    <t xml:space="preserve">Revenue</t>
  </si>
  <si>
    <t xml:space="preserve">ENE Synergies</t>
  </si>
  <si>
    <t xml:space="preserve">Minus: SG&amp;A</t>
  </si>
  <si>
    <t xml:space="preserve">   EBITDA Terminals</t>
  </si>
  <si>
    <t xml:space="preserve">   EBITDA Rail Cars</t>
  </si>
  <si>
    <t xml:space="preserve">   EBITDA Trading</t>
  </si>
  <si>
    <t xml:space="preserve">EBT</t>
  </si>
  <si>
    <t xml:space="preserve">Plus: DD&amp;A</t>
  </si>
  <si>
    <t xml:space="preserve">Plus: Deferred Tax </t>
  </si>
  <si>
    <t xml:space="preserve">Less: Capex</t>
  </si>
  <si>
    <t xml:space="preserve">Less: Change in NWC </t>
  </si>
  <si>
    <t xml:space="preserve">Net Cash Flow</t>
  </si>
  <si>
    <t xml:space="preserve">BALANCE SHEET</t>
  </si>
  <si>
    <t xml:space="preserve">Assets</t>
  </si>
  <si>
    <t xml:space="preserve">Other Current Assets</t>
  </si>
  <si>
    <t xml:space="preserve">Total Current Assets</t>
  </si>
  <si>
    <t xml:space="preserve">Liabilities</t>
  </si>
  <si>
    <t xml:space="preserve">Short Term Debt</t>
  </si>
  <si>
    <t xml:space="preserve">Income Tax Payable</t>
  </si>
  <si>
    <t xml:space="preserve">Total Current Liabilities</t>
  </si>
  <si>
    <t xml:space="preserve">Long Term Debt</t>
  </si>
  <si>
    <t xml:space="preserve">Deferred Income Tax</t>
  </si>
  <si>
    <t xml:space="preserve">Total Liabilities</t>
  </si>
  <si>
    <t xml:space="preserve">Shareholders Equity</t>
  </si>
  <si>
    <t xml:space="preserve">Total Liab &amp; Shd. Equity</t>
  </si>
  <si>
    <t xml:space="preserve">Event</t>
  </si>
  <si>
    <t xml:space="preserve">Date</t>
  </si>
  <si>
    <t xml:space="preserve">Confidentiality Agreement signed (with 6 month non-poach)</t>
  </si>
  <si>
    <t xml:space="preserve">September 6, 2000</t>
  </si>
  <si>
    <t xml:space="preserve">Initial introductory meeting with Transammonia</t>
  </si>
  <si>
    <t xml:space="preserve">November 6, 2000</t>
  </si>
  <si>
    <t xml:space="preserve">Transammonia engages CSFB as financial advisor</t>
  </si>
  <si>
    <t xml:space="preserve">January 2001</t>
  </si>
  <si>
    <t xml:space="preserve">Non-poach clause in CA extended until August 6, 2001</t>
  </si>
  <si>
    <t xml:space="preserve">February 6, 2001</t>
  </si>
  <si>
    <t xml:space="preserve">Enron initiates its preliminary on-site due diligence</t>
  </si>
  <si>
    <t xml:space="preserve">Enron presents non-binding initial valuation</t>
  </si>
  <si>
    <t xml:space="preserve">February 16, 2001</t>
  </si>
  <si>
    <t xml:space="preserve">Meeting with Ronald Stanton (Transammonia Chairman)</t>
  </si>
  <si>
    <t xml:space="preserve">March 6, 2001</t>
  </si>
  <si>
    <t xml:space="preserve">Enron presents revised non-binding valuation</t>
  </si>
  <si>
    <t xml:space="preserve">TBA</t>
  </si>
  <si>
    <t xml:space="preserve">Additional due diligence</t>
  </si>
  <si>
    <t xml:space="preserve">Negotiate employee compensation contracts</t>
  </si>
  <si>
    <t xml:space="preserve">Negotiate Defining Documents</t>
  </si>
</sst>
</file>

<file path=xl/styles.xml><?xml version="1.0" encoding="utf-8"?>
<styleSheet xmlns="http://schemas.openxmlformats.org/spreadsheetml/2006/main">
  <numFmts count="43">
    <numFmt numFmtId="164" formatCode="General"/>
    <numFmt numFmtId="165" formatCode="mmmm\ d&quot;, &quot;yyyy"/>
    <numFmt numFmtId="166" formatCode="[$-409]m/d/yyyy\ h:mm"/>
    <numFmt numFmtId="167" formatCode="0%"/>
    <numFmt numFmtId="168" formatCode="_(\$* #,##0.00_);_(\$* \(#,##0.00\);_(\$* \-??_);_(@_)"/>
    <numFmt numFmtId="169" formatCode="_(\$* #,##0_);_(\$* \(#,##0\);_(\$* \-??_);_(@_)"/>
    <numFmt numFmtId="170" formatCode="\$#,##0"/>
    <numFmt numFmtId="171" formatCode="\$#,##0.0"/>
    <numFmt numFmtId="172" formatCode="_(* #,##0.00_);_(* \(#,##0.00\);_(* \-??_);_(@_)"/>
    <numFmt numFmtId="173" formatCode="_(* #,##0.0_);_(* \(#,##0.0\);_(* \-??_);_(@_)"/>
    <numFmt numFmtId="174" formatCode="0.0"/>
    <numFmt numFmtId="175" formatCode="0_);\(0\)"/>
    <numFmt numFmtId="176" formatCode="_(* #,##0_);_(* \(#,##0\);_(* \-??_);_(@_)"/>
    <numFmt numFmtId="177" formatCode="@"/>
    <numFmt numFmtId="178" formatCode="0.0\x"/>
    <numFmt numFmtId="179" formatCode="0\x"/>
    <numFmt numFmtId="180" formatCode="0"/>
    <numFmt numFmtId="181" formatCode="\$#,##0_);&quot;($&quot;#,##0\)"/>
    <numFmt numFmtId="182" formatCode="_(* #,##0_);_(* \(#,##0\);_(* \-_);_(@_)"/>
    <numFmt numFmtId="183" formatCode="[$-409]#,##0_);\(#,##0\)"/>
    <numFmt numFmtId="184" formatCode="0.00%"/>
    <numFmt numFmtId="185" formatCode="0.0%"/>
    <numFmt numFmtId="186" formatCode="mm/dd/yy"/>
    <numFmt numFmtId="187" formatCode="[$-409]mmm\-yy"/>
    <numFmt numFmtId="188" formatCode="\$#,##0.0000_);&quot;($&quot;#,##0.0000\)"/>
    <numFmt numFmtId="189" formatCode="\$#,##0_);[RED]&quot;($&quot;#,##0\)"/>
    <numFmt numFmtId="190" formatCode="0.00"/>
    <numFmt numFmtId="191" formatCode="\$#,##0.00_);[RED]&quot;($&quot;#,##0.00\)"/>
    <numFmt numFmtId="192" formatCode="_(\$* #,##0.0_);_(\$* \(#,##0.0\);_(\$* \-??_);_(@_)"/>
    <numFmt numFmtId="193" formatCode="[$-409]m/d/yyyy"/>
    <numFmt numFmtId="194" formatCode="\$#,##0.0_);&quot;($&quot;#,##0.0\)"/>
    <numFmt numFmtId="195" formatCode="[$-409]#,##0_);[RED]\(#,##0\)"/>
    <numFmt numFmtId="196" formatCode="[$-409]#,##0.00_);[RED]\(#,##0.00\)"/>
    <numFmt numFmtId="197" formatCode="[$-409]#,##0.00_);\(#,##0.00\)"/>
    <numFmt numFmtId="198" formatCode="\$#,##0.00_);&quot;($&quot;#,##0.00\)"/>
    <numFmt numFmtId="199" formatCode="#,##0.00"/>
    <numFmt numFmtId="200" formatCode="#,##0.0_);\(#,##0.0\)"/>
    <numFmt numFmtId="201" formatCode="#,##0.0"/>
    <numFmt numFmtId="202" formatCode="0.0000"/>
    <numFmt numFmtId="203" formatCode="[$-409]d\-mmm"/>
    <numFmt numFmtId="204" formatCode="0.0_);\(0.0\)"/>
    <numFmt numFmtId="205" formatCode="\$#,##0.0_);[RED]&quot;($&quot;#,##0.0\)"/>
    <numFmt numFmtId="206" formatCode="[$-409]d\-mmm\-yy"/>
  </numFmts>
  <fonts count="66">
    <font>
      <sz val="10"/>
      <name val="Arial"/>
      <family val="0"/>
    </font>
    <font>
      <sz val="10"/>
      <name val="Arial"/>
      <family val="0"/>
    </font>
    <font>
      <sz val="10"/>
      <name val="Arial"/>
      <family val="0"/>
    </font>
    <font>
      <sz val="10"/>
      <name val="Arial"/>
      <family val="0"/>
    </font>
    <font>
      <b val="true"/>
      <sz val="16"/>
      <name val="Arial"/>
      <family val="2"/>
    </font>
    <font>
      <sz val="16"/>
      <name val="Arial"/>
      <family val="2"/>
    </font>
    <font>
      <b val="true"/>
      <sz val="18"/>
      <name val="Arial"/>
      <family val="2"/>
    </font>
    <font>
      <b val="true"/>
      <sz val="22"/>
      <name val="Arial"/>
      <family val="2"/>
    </font>
    <font>
      <b val="true"/>
      <sz val="14"/>
      <name val="Arial"/>
      <family val="2"/>
    </font>
    <font>
      <sz val="10"/>
      <name val="Times New Roman"/>
      <family val="1"/>
    </font>
    <font>
      <sz val="14"/>
      <name val="Arial"/>
      <family val="2"/>
    </font>
    <font>
      <b val="true"/>
      <sz val="12"/>
      <name val="Arial"/>
      <family val="2"/>
    </font>
    <font>
      <sz val="10"/>
      <name val="Arial"/>
      <family val="2"/>
    </font>
    <font>
      <u val="single"/>
      <sz val="10"/>
      <name val="Arial"/>
      <family val="2"/>
    </font>
    <font>
      <b val="true"/>
      <u val="single"/>
      <sz val="14"/>
      <name val="Arial"/>
      <family val="2"/>
    </font>
    <font>
      <vertAlign val="superscript"/>
      <sz val="8.4"/>
      <name val="Arial"/>
      <family val="2"/>
    </font>
    <font>
      <sz val="11"/>
      <name val="Arial"/>
      <family val="2"/>
    </font>
    <font>
      <u val="single"/>
      <sz val="10"/>
      <name val="Times New Roman"/>
      <family val="1"/>
    </font>
    <font>
      <b val="true"/>
      <sz val="8"/>
      <color rgb="FF000000"/>
      <name val="Tahoma"/>
      <family val="0"/>
    </font>
    <font>
      <sz val="8"/>
      <color rgb="FF000000"/>
      <name val="Tahoma"/>
      <family val="2"/>
    </font>
    <font>
      <sz val="8"/>
      <color rgb="FF000000"/>
      <name val="Tahoma"/>
      <family val="0"/>
    </font>
    <font>
      <sz val="18"/>
      <name val="Arial"/>
      <family val="2"/>
    </font>
    <font>
      <b val="true"/>
      <sz val="10"/>
      <name val="Arial"/>
      <family val="2"/>
    </font>
    <font>
      <sz val="10"/>
      <color rgb="FFFFFFFF"/>
      <name val="Arial"/>
      <family val="2"/>
    </font>
    <font>
      <b val="true"/>
      <u val="single"/>
      <sz val="10"/>
      <name val="Arial"/>
      <family val="2"/>
    </font>
    <font>
      <u val="single"/>
      <sz val="10"/>
      <color rgb="FFFFFFFF"/>
      <name val="Arial"/>
      <family val="2"/>
    </font>
    <font>
      <u val="double"/>
      <sz val="10"/>
      <name val="Arial"/>
      <family val="2"/>
    </font>
    <font>
      <b val="true"/>
      <u val="double"/>
      <sz val="10"/>
      <name val="Arial"/>
      <family val="2"/>
    </font>
    <font>
      <u val="double"/>
      <sz val="10"/>
      <color rgb="FFFFFFFF"/>
      <name val="Arial"/>
      <family val="2"/>
    </font>
    <font>
      <sz val="8"/>
      <name val="Arial"/>
      <family val="2"/>
    </font>
    <font>
      <b val="true"/>
      <u val="single"/>
      <sz val="16"/>
      <name val="Arial"/>
      <family val="2"/>
    </font>
    <font>
      <sz val="12"/>
      <name val="Arial"/>
      <family val="2"/>
    </font>
    <font>
      <u val="single"/>
      <sz val="14"/>
      <name val="Arial"/>
      <family val="2"/>
    </font>
    <font>
      <u val="double"/>
      <sz val="14"/>
      <name val="Arial"/>
      <family val="2"/>
    </font>
    <font>
      <b val="true"/>
      <sz val="20"/>
      <name val="Arial"/>
      <family val="2"/>
    </font>
    <font>
      <b val="true"/>
      <sz val="20"/>
      <name val="Arial"/>
      <family val="0"/>
    </font>
    <font>
      <b val="true"/>
      <sz val="20"/>
      <name val="Times New Roman"/>
      <family val="1"/>
    </font>
    <font>
      <b val="true"/>
      <sz val="12"/>
      <name val="Times New Roman"/>
      <family val="1"/>
    </font>
    <font>
      <b val="true"/>
      <sz val="12"/>
      <color rgb="FFFFFFFF"/>
      <name val="Times New Roman"/>
      <family val="1"/>
    </font>
    <font>
      <sz val="10"/>
      <color rgb="FFFFFFFF"/>
      <name val="Times New Roman"/>
      <family val="1"/>
    </font>
    <font>
      <b val="true"/>
      <sz val="10"/>
      <name val="Times New Roman"/>
      <family val="1"/>
    </font>
    <font>
      <u val="double"/>
      <sz val="10"/>
      <name val="Times New Roman"/>
      <family val="1"/>
    </font>
    <font>
      <sz val="8"/>
      <name val="Times New Roman"/>
      <family val="1"/>
    </font>
    <font>
      <b val="true"/>
      <u val="double"/>
      <sz val="10"/>
      <name val="Times New Roman"/>
      <family val="1"/>
    </font>
    <font>
      <b val="true"/>
      <i val="true"/>
      <sz val="10"/>
      <name val="Times New Roman"/>
      <family val="1"/>
    </font>
    <font>
      <sz val="9"/>
      <name val="Times New Roman"/>
      <family val="1"/>
    </font>
    <font>
      <i val="true"/>
      <sz val="10"/>
      <name val="Arial"/>
      <family val="2"/>
    </font>
    <font>
      <b val="true"/>
      <sz val="24"/>
      <name val="Arial"/>
      <family val="2"/>
    </font>
    <font>
      <sz val="10"/>
      <color rgb="FFFF0000"/>
      <name val="Arial"/>
      <family val="2"/>
    </font>
    <font>
      <b val="true"/>
      <sz val="17"/>
      <name val="Arial"/>
      <family val="2"/>
    </font>
    <font>
      <vertAlign val="superscript"/>
      <sz val="10"/>
      <name val="Arial"/>
      <family val="2"/>
    </font>
    <font>
      <vertAlign val="superscript"/>
      <sz val="8.5"/>
      <name val="Arial"/>
      <family val="2"/>
    </font>
    <font>
      <i val="true"/>
      <sz val="8"/>
      <name val="Arial"/>
      <family val="2"/>
    </font>
    <font>
      <i val="true"/>
      <vertAlign val="superscript"/>
      <sz val="8"/>
      <name val="Arial"/>
      <family val="2"/>
    </font>
    <font>
      <b val="true"/>
      <sz val="10"/>
      <color rgb="FFFF0000"/>
      <name val="Arial"/>
      <family val="2"/>
    </font>
    <font>
      <i val="true"/>
      <sz val="14"/>
      <name val="Arial"/>
      <family val="2"/>
    </font>
    <font>
      <b val="true"/>
      <i val="true"/>
      <sz val="10"/>
      <name val="Arial"/>
      <family val="2"/>
    </font>
    <font>
      <b val="true"/>
      <u val="single"/>
      <sz val="12"/>
      <name val="Arial"/>
      <family val="2"/>
    </font>
    <font>
      <b val="true"/>
      <u val="single"/>
      <sz val="10"/>
      <name val="Times New Roman"/>
      <family val="1"/>
    </font>
    <font>
      <sz val="15"/>
      <name val="Arial"/>
      <family val="2"/>
    </font>
    <font>
      <u val="single"/>
      <sz val="16"/>
      <name val="Arial"/>
      <family val="2"/>
    </font>
    <font>
      <u val="double"/>
      <sz val="16"/>
      <name val="Arial"/>
      <family val="2"/>
    </font>
    <font>
      <b val="true"/>
      <sz val="11"/>
      <name val="Arial"/>
      <family val="2"/>
    </font>
    <font>
      <u val="single"/>
      <sz val="11"/>
      <name val="Arial"/>
      <family val="2"/>
    </font>
    <font>
      <i val="true"/>
      <sz val="11"/>
      <name val="Arial"/>
      <family val="2"/>
    </font>
    <font>
      <u val="double"/>
      <sz val="11"/>
      <name val="Arial"/>
      <family val="2"/>
    </font>
  </fonts>
  <fills count="7">
    <fill>
      <patternFill patternType="none"/>
    </fill>
    <fill>
      <patternFill patternType="gray125"/>
    </fill>
    <fill>
      <patternFill patternType="solid">
        <fgColor rgb="FFFFCC99"/>
        <bgColor rgb="FFC0C0C0"/>
      </patternFill>
    </fill>
    <fill>
      <patternFill patternType="solid">
        <fgColor rgb="FFFFFF99"/>
        <bgColor rgb="FFFFFFCC"/>
      </patternFill>
    </fill>
    <fill>
      <patternFill patternType="solid">
        <fgColor rgb="FFFFFFFF"/>
        <bgColor rgb="FFFFFFCC"/>
      </patternFill>
    </fill>
    <fill>
      <patternFill patternType="solid">
        <fgColor rgb="FFFFFF00"/>
        <bgColor rgb="FFFFFF00"/>
      </patternFill>
    </fill>
    <fill>
      <patternFill patternType="solid">
        <fgColor rgb="FFCCFFFF"/>
        <bgColor rgb="FFCCFFFF"/>
      </patternFill>
    </fill>
  </fills>
  <borders count="24">
    <border diagonalUp="false" diagonalDown="false">
      <left/>
      <right/>
      <top/>
      <bottom/>
      <diagonal/>
    </border>
    <border diagonalUp="false" diagonalDown="false">
      <left/>
      <right/>
      <top/>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hair"/>
      <right/>
      <top/>
      <bottom/>
      <diagonal/>
    </border>
    <border diagonalUp="false" diagonalDown="false">
      <left/>
      <right/>
      <top/>
      <bottom style="thin"/>
      <diagonal/>
    </border>
    <border diagonalUp="false" diagonalDown="false">
      <left/>
      <right/>
      <top style="thin"/>
      <bottom style="thin"/>
      <diagonal/>
    </border>
    <border diagonalUp="false" diagonalDown="false">
      <left style="hair"/>
      <right style="hair"/>
      <top style="thin"/>
      <bottom style="thin"/>
      <diagonal/>
    </border>
    <border diagonalUp="false" diagonalDown="false">
      <left style="hair"/>
      <right style="hair"/>
      <top/>
      <bottom/>
      <diagonal/>
    </border>
    <border diagonalUp="false" diagonalDown="false">
      <left style="hair"/>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top/>
      <bottom style="thick"/>
      <diagonal/>
    </border>
    <border diagonalUp="false" diagonalDown="false">
      <left/>
      <right/>
      <top style="thin"/>
      <bottom/>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style="medium"/>
      <right style="medium"/>
      <top style="medium"/>
      <bottom style="medium"/>
      <diagonal/>
    </border>
    <border diagonalUp="false" diagonalDown="false">
      <left/>
      <right style="thin"/>
      <top/>
      <bottom/>
      <diagonal/>
    </border>
    <border diagonalUp="false" diagonalDown="false">
      <left style="thin"/>
      <right/>
      <top/>
      <bottom/>
      <diagonal/>
    </border>
    <border diagonalUp="false" diagonalDown="false">
      <left/>
      <right style="hair"/>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0" fillId="0" borderId="0" applyFont="true" applyBorder="false" applyAlignment="false" applyProtection="false"/>
    <xf numFmtId="41" fontId="1" fillId="0" borderId="0" applyFont="true" applyBorder="false" applyAlignment="false" applyProtection="false"/>
    <xf numFmtId="168"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cellStyleXfs>
  <cellXfs count="71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general" vertical="bottom" textRotation="0" wrapText="false" indent="0" shrinkToFit="false"/>
      <protection locked="true" hidden="false"/>
    </xf>
    <xf numFmtId="164" fontId="5"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true" applyAlignment="true" applyProtection="false">
      <alignment horizontal="center" vertical="bottom" textRotation="0" wrapText="false" indent="0" shrinkToFit="false"/>
      <protection locked="true" hidden="false"/>
    </xf>
    <xf numFmtId="164" fontId="8" fillId="0" borderId="0" xfId="0" applyFont="true" applyBorder="true" applyAlignment="true" applyProtection="false">
      <alignment horizontal="center" vertical="bottom" textRotation="0" wrapText="false" indent="0" shrinkToFit="false"/>
      <protection locked="true" hidden="false"/>
    </xf>
    <xf numFmtId="165" fontId="8" fillId="0" borderId="0" xfId="0" applyFont="true" applyBorder="true" applyAlignment="true" applyProtection="false">
      <alignment horizontal="center"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9" fontId="9" fillId="0" borderId="0" xfId="17" applyFont="true" applyBorder="true" applyAlignment="true" applyProtection="true">
      <alignment horizontal="general" vertical="bottom" textRotation="0" wrapText="false" indent="0" shrinkToFit="false"/>
      <protection locked="true" hidden="false"/>
    </xf>
    <xf numFmtId="164" fontId="4" fillId="0" borderId="1" xfId="0" applyFont="true" applyBorder="true" applyAlignment="true" applyProtection="false">
      <alignment horizontal="right"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70" fontId="1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center" vertical="bottom" textRotation="0" wrapText="true" indent="0" shrinkToFit="false"/>
      <protection locked="true" hidden="false"/>
    </xf>
    <xf numFmtId="164" fontId="8" fillId="0" borderId="0" xfId="0" applyFont="true" applyBorder="false" applyAlignment="true" applyProtection="false">
      <alignment horizontal="center" vertical="bottom" textRotation="0" wrapText="true" indent="0" shrinkToFit="false"/>
      <protection locked="true" hidden="false"/>
    </xf>
    <xf numFmtId="169" fontId="12" fillId="0" borderId="0" xfId="17" applyFont="true" applyBorder="true" applyAlignment="true" applyProtection="true">
      <alignment horizontal="center" vertical="bottom" textRotation="0" wrapText="true" indent="0" shrinkToFit="false"/>
      <protection locked="true" hidden="false"/>
    </xf>
    <xf numFmtId="164" fontId="12" fillId="0" borderId="0" xfId="0" applyFont="true" applyBorder="false" applyAlignment="true" applyProtection="false">
      <alignment horizontal="center" vertical="bottom" textRotation="0" wrapText="tru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9" fillId="0" borderId="2" xfId="0" applyFont="true" applyBorder="true" applyAlignment="true" applyProtection="false">
      <alignment horizontal="center" vertical="bottom" textRotation="0" wrapText="false" indent="0" shrinkToFit="false"/>
      <protection locked="true" hidden="false"/>
    </xf>
    <xf numFmtId="164" fontId="9" fillId="0" borderId="3" xfId="0" applyFont="true" applyBorder="true" applyAlignment="true" applyProtection="false">
      <alignment horizontal="center" vertical="bottom" textRotation="0" wrapText="false" indent="0" shrinkToFit="false"/>
      <protection locked="true" hidden="false"/>
    </xf>
    <xf numFmtId="169" fontId="12" fillId="0" borderId="0" xfId="17" applyFont="true" applyBorder="true" applyAlignment="true" applyProtection="true">
      <alignment horizontal="general" vertical="bottom" textRotation="0" wrapText="false" indent="0" shrinkToFit="false"/>
      <protection locked="true" hidden="false"/>
    </xf>
    <xf numFmtId="169" fontId="13" fillId="0" borderId="0" xfId="17"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9" fontId="10" fillId="0" borderId="0" xfId="17" applyFont="true" applyBorder="true" applyAlignment="true" applyProtection="true">
      <alignment horizontal="general" vertical="bottom" textRotation="0" wrapText="false" indent="0" shrinkToFit="false"/>
      <protection locked="true" hidden="false"/>
    </xf>
    <xf numFmtId="171" fontId="10" fillId="0" borderId="0" xfId="17" applyFont="true" applyBorder="true" applyAlignment="true" applyProtection="true">
      <alignment horizontal="general" vertical="bottom" textRotation="0" wrapText="false" indent="0" shrinkToFit="false"/>
      <protection locked="true" hidden="false"/>
    </xf>
    <xf numFmtId="169" fontId="12"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9" fontId="16" fillId="0" borderId="0" xfId="17" applyFont="true" applyBorder="true" applyAlignment="true" applyProtection="true">
      <alignment horizontal="general" vertical="bottom" textRotation="0" wrapText="false" indent="0" shrinkToFit="false"/>
      <protection locked="true" hidden="false"/>
    </xf>
    <xf numFmtId="164" fontId="12" fillId="0" borderId="0" xfId="0" applyFont="true" applyBorder="false" applyAlignment="true" applyProtection="false">
      <alignment horizontal="left" vertical="bottom" textRotation="0" wrapText="false" indent="2" shrinkToFit="false"/>
      <protection locked="true" hidden="false"/>
    </xf>
    <xf numFmtId="173" fontId="12" fillId="0" borderId="0" xfId="15" applyFont="true" applyBorder="true" applyAlignment="true" applyProtection="true">
      <alignment horizontal="general" vertical="bottom" textRotation="0" wrapText="false" indent="0" shrinkToFit="false"/>
      <protection locked="true" hidden="false"/>
    </xf>
    <xf numFmtId="170" fontId="10" fillId="0" borderId="0" xfId="17" applyFont="true" applyBorder="true" applyAlignment="true" applyProtection="true">
      <alignment horizontal="general" vertical="bottom" textRotation="0" wrapText="false" indent="0" shrinkToFit="false"/>
      <protection locked="true" hidden="false"/>
    </xf>
    <xf numFmtId="168" fontId="13" fillId="0" borderId="0" xfId="17" applyFont="true" applyBorder="true" applyAlignment="true" applyProtection="true">
      <alignment horizontal="general" vertical="bottom" textRotation="0" wrapText="false" indent="0" shrinkToFit="false"/>
      <protection locked="true" hidden="false"/>
    </xf>
    <xf numFmtId="168" fontId="12" fillId="0" borderId="0" xfId="17" applyFont="true" applyBorder="true" applyAlignment="true" applyProtection="true">
      <alignment horizontal="general" vertical="bottom" textRotation="0" wrapText="false" indent="0" shrinkToFit="false"/>
      <protection locked="true" hidden="false"/>
    </xf>
    <xf numFmtId="168" fontId="13" fillId="0" borderId="0" xfId="17" applyFont="true" applyBorder="true" applyAlignment="true" applyProtection="true">
      <alignment horizontal="general" vertical="bottom" textRotation="0" wrapText="false" indent="0" shrinkToFit="false"/>
      <protection locked="true" hidden="false"/>
    </xf>
    <xf numFmtId="169" fontId="10" fillId="0" borderId="0" xfId="0" applyFont="true" applyBorder="false" applyAlignment="false" applyProtection="false">
      <alignment horizontal="general" vertical="bottom" textRotation="0" wrapText="false" indent="0" shrinkToFit="false"/>
      <protection locked="true" hidden="false"/>
    </xf>
    <xf numFmtId="168" fontId="12" fillId="0" borderId="0" xfId="17" applyFont="true" applyBorder="true" applyAlignment="true" applyProtection="true">
      <alignment horizontal="general" vertical="bottom" textRotation="0" wrapText="false" indent="0" shrinkToFit="false"/>
      <protection locked="true" hidden="false"/>
    </xf>
    <xf numFmtId="172" fontId="12" fillId="0" borderId="0" xfId="17" applyFont="true" applyBorder="true" applyAlignment="true" applyProtection="true">
      <alignment horizontal="general" vertical="bottom" textRotation="0" wrapText="false" indent="0" shrinkToFit="false"/>
      <protection locked="true" hidden="false"/>
    </xf>
    <xf numFmtId="174" fontId="12" fillId="0" borderId="0" xfId="0" applyFont="true" applyBorder="false" applyAlignment="false" applyProtection="false">
      <alignment horizontal="general" vertical="bottom" textRotation="0" wrapText="false" indent="0" shrinkToFit="false"/>
      <protection locked="true" hidden="false"/>
    </xf>
    <xf numFmtId="164" fontId="9" fillId="2" borderId="4" xfId="0" applyFont="true" applyBorder="true" applyAlignment="false" applyProtection="false">
      <alignment horizontal="general" vertical="bottom" textRotation="0" wrapText="false" indent="0" shrinkToFit="false"/>
      <protection locked="true" hidden="false"/>
    </xf>
    <xf numFmtId="172" fontId="9" fillId="0" borderId="0" xfId="17" applyFont="true" applyBorder="true" applyAlignment="true" applyProtection="true">
      <alignment horizontal="general" vertical="bottom" textRotation="0" wrapText="false" indent="0" shrinkToFit="false"/>
      <protection locked="true" hidden="false"/>
    </xf>
    <xf numFmtId="169" fontId="17" fillId="0" borderId="0" xfId="17" applyFont="true" applyBorder="true" applyAlignment="true" applyProtection="true">
      <alignment horizontal="general" vertical="bottom" textRotation="0" wrapText="false" indent="0" shrinkToFit="false"/>
      <protection locked="true" hidden="false"/>
    </xf>
    <xf numFmtId="169" fontId="9" fillId="0" borderId="0" xfId="0" applyFont="true" applyBorder="fals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general" vertical="bottom" textRotation="0" wrapText="false" indent="0" shrinkToFit="false"/>
      <protection locked="true" hidden="false"/>
    </xf>
    <xf numFmtId="164" fontId="21" fillId="0" borderId="1" xfId="0" applyFont="true" applyBorder="true" applyAlignment="true" applyProtection="false">
      <alignment horizontal="general" vertical="bottom" textRotation="0" wrapText="false" indent="0" shrinkToFit="false"/>
      <protection locked="true" hidden="false"/>
    </xf>
    <xf numFmtId="164" fontId="21" fillId="0"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right" vertical="bottom" textRotation="0" wrapText="false" indent="0" shrinkToFit="false"/>
      <protection locked="true" hidden="false"/>
    </xf>
    <xf numFmtId="164" fontId="8" fillId="0" borderId="1"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70" fontId="0" fillId="0" borderId="0" xfId="17" applyFont="true" applyBorder="true" applyAlignment="true" applyProtection="true">
      <alignment horizontal="general" vertical="bottom" textRotation="0" wrapText="false" indent="0" shrinkToFit="false"/>
      <protection locked="true" hidden="false"/>
    </xf>
    <xf numFmtId="170" fontId="12" fillId="0" borderId="0" xfId="17" applyFont="true" applyBorder="true" applyAlignment="true" applyProtection="true">
      <alignment horizontal="general" vertical="bottom" textRotation="0" wrapText="false" indent="0" shrinkToFit="false"/>
      <protection locked="true" hidden="false"/>
    </xf>
    <xf numFmtId="170" fontId="22" fillId="0" borderId="0" xfId="17" applyFont="tru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23" fillId="0" borderId="0" xfId="0" applyFont="true" applyBorder="false" applyAlignment="false" applyProtection="false">
      <alignment horizontal="general" vertical="bottom" textRotation="0" wrapText="false" indent="0" shrinkToFit="false"/>
      <protection locked="true" hidden="false"/>
    </xf>
    <xf numFmtId="175" fontId="13" fillId="0" borderId="0" xfId="15" applyFont="true" applyBorder="true" applyAlignment="true" applyProtection="true">
      <alignment horizontal="general" vertical="bottom" textRotation="0" wrapText="false" indent="0" shrinkToFit="false"/>
      <protection locked="true" hidden="false"/>
    </xf>
    <xf numFmtId="175" fontId="24" fillId="0" borderId="0" xfId="15" applyFont="true" applyBorder="true" applyAlignment="true" applyProtection="true">
      <alignment horizontal="general" vertical="bottom" textRotation="0" wrapText="false" indent="0" shrinkToFit="false"/>
      <protection locked="true" hidden="false"/>
    </xf>
    <xf numFmtId="175" fontId="25" fillId="0" borderId="0" xfId="15" applyFont="true" applyBorder="true" applyAlignment="true" applyProtection="true">
      <alignment horizontal="general" vertical="bottom" textRotation="0" wrapText="false" indent="0" shrinkToFit="false"/>
      <protection locked="true" hidden="false"/>
    </xf>
    <xf numFmtId="170" fontId="23" fillId="0" borderId="0" xfId="17" applyFont="true" applyBorder="true" applyAlignment="true" applyProtection="true">
      <alignment horizontal="general"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false" indent="0" shrinkToFit="false"/>
      <protection locked="true" hidden="false"/>
    </xf>
    <xf numFmtId="176" fontId="12" fillId="0" borderId="0" xfId="15" applyFont="true" applyBorder="true" applyAlignment="true" applyProtection="true">
      <alignment horizontal="general" vertical="bottom" textRotation="0" wrapText="false" indent="0" shrinkToFit="false"/>
      <protection locked="true" hidden="false"/>
    </xf>
    <xf numFmtId="176" fontId="22" fillId="0" borderId="0" xfId="15" applyFont="true" applyBorder="true" applyAlignment="true" applyProtection="true">
      <alignment horizontal="general" vertical="bottom" textRotation="0" wrapText="false" indent="0" shrinkToFit="false"/>
      <protection locked="true" hidden="false"/>
    </xf>
    <xf numFmtId="176" fontId="23" fillId="0" borderId="0" xfId="15" applyFont="true" applyBorder="true" applyAlignment="true" applyProtection="true">
      <alignment horizontal="general" vertical="bottom" textRotation="0" wrapText="false" indent="0" shrinkToFit="false"/>
      <protection locked="true" hidden="false"/>
    </xf>
    <xf numFmtId="175" fontId="12" fillId="0" borderId="0" xfId="15" applyFont="true" applyBorder="true" applyAlignment="true" applyProtection="true">
      <alignment horizontal="general" vertical="bottom" textRotation="0" wrapText="false" indent="0" shrinkToFit="false"/>
      <protection locked="true" hidden="false"/>
    </xf>
    <xf numFmtId="175" fontId="22" fillId="0" borderId="0" xfId="15" applyFont="true" applyBorder="true" applyAlignment="true" applyProtection="true">
      <alignment horizontal="general" vertical="bottom" textRotation="0" wrapText="false" indent="0" shrinkToFit="false"/>
      <protection locked="true" hidden="false"/>
    </xf>
    <xf numFmtId="175" fontId="23" fillId="0" borderId="0" xfId="15" applyFont="true" applyBorder="true" applyAlignment="true" applyProtection="true">
      <alignment horizontal="general" vertical="bottom" textRotation="0" wrapText="false" indent="0" shrinkToFit="false"/>
      <protection locked="true" hidden="false"/>
    </xf>
    <xf numFmtId="170" fontId="26" fillId="0" borderId="0" xfId="17" applyFont="true" applyBorder="true" applyAlignment="true" applyProtection="true">
      <alignment horizontal="general" vertical="bottom" textRotation="0" wrapText="false" indent="0" shrinkToFit="false"/>
      <protection locked="true" hidden="false"/>
    </xf>
    <xf numFmtId="170" fontId="27" fillId="0" borderId="0" xfId="17" applyFont="true" applyBorder="true" applyAlignment="true" applyProtection="true">
      <alignment horizontal="general" vertical="bottom" textRotation="0" wrapText="false" indent="0" shrinkToFit="false"/>
      <protection locked="true" hidden="false"/>
    </xf>
    <xf numFmtId="170" fontId="28" fillId="0" borderId="0" xfId="17"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77" fontId="0" fillId="0" borderId="0" xfId="0" applyFont="true" applyBorder="false" applyAlignment="true" applyProtection="false">
      <alignment horizontal="right" vertical="bottom" textRotation="0" wrapText="false" indent="0" shrinkToFit="false"/>
      <protection locked="true" hidden="false"/>
    </xf>
    <xf numFmtId="170" fontId="0" fillId="0" borderId="4" xfId="17" applyFont="true" applyBorder="true" applyAlignment="true" applyProtection="true">
      <alignment horizontal="center" vertical="bottom" textRotation="0" wrapText="false" indent="0" shrinkToFit="false"/>
      <protection locked="true" hidden="false"/>
    </xf>
    <xf numFmtId="178" fontId="0" fillId="0" borderId="0" xfId="15" applyFont="true" applyBorder="true" applyAlignment="true" applyProtection="true">
      <alignment horizontal="general" vertical="bottom" textRotation="0" wrapText="false" indent="0" shrinkToFit="false"/>
      <protection locked="true" hidden="false"/>
    </xf>
    <xf numFmtId="178" fontId="12" fillId="0" borderId="0" xfId="15" applyFont="true" applyBorder="true" applyAlignment="true" applyProtection="true">
      <alignment horizontal="general" vertical="bottom" textRotation="0" wrapText="false" indent="0" shrinkToFit="false"/>
      <protection locked="true" hidden="false"/>
    </xf>
    <xf numFmtId="178" fontId="22" fillId="0" borderId="0" xfId="15" applyFont="true" applyBorder="true" applyAlignment="true" applyProtection="true">
      <alignment horizontal="general" vertical="bottom" textRotation="0" wrapText="false" indent="0" shrinkToFit="false"/>
      <protection locked="true" hidden="false"/>
    </xf>
    <xf numFmtId="178" fontId="23" fillId="0" borderId="0" xfId="15" applyFont="true" applyBorder="true" applyAlignment="true" applyProtection="true">
      <alignment horizontal="general" vertical="bottom" textRotation="0" wrapText="false" indent="0" shrinkToFit="false"/>
      <protection locked="true" hidden="false"/>
    </xf>
    <xf numFmtId="169" fontId="29" fillId="0" borderId="0" xfId="17" applyFont="true" applyBorder="true" applyAlignment="true" applyProtection="true">
      <alignment horizontal="center" vertical="bottom" textRotation="0" wrapText="false" indent="0" shrinkToFit="false"/>
      <protection locked="true" hidden="false"/>
    </xf>
    <xf numFmtId="179"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11" fillId="0" borderId="0" xfId="0" applyFont="true" applyBorder="true" applyAlignment="true" applyProtection="false">
      <alignment horizontal="center" vertical="bottom" textRotation="0" wrapText="false" indent="0" shrinkToFit="false"/>
      <protection locked="true" hidden="false"/>
    </xf>
    <xf numFmtId="164" fontId="10" fillId="0" borderId="0" xfId="0" applyFont="true" applyBorder="false" applyAlignment="tru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right" vertical="center" textRotation="0" wrapText="false" indent="0" shrinkToFit="false"/>
      <protection locked="true" hidden="false"/>
    </xf>
    <xf numFmtId="164" fontId="10" fillId="0" borderId="0" xfId="0" applyFont="true" applyBorder="true" applyAlignment="false" applyProtection="false">
      <alignment horizontal="general" vertical="bottom" textRotation="0" wrapText="false" indent="0" shrinkToFit="false"/>
      <protection locked="true" hidden="false"/>
    </xf>
    <xf numFmtId="170" fontId="10" fillId="0" borderId="0" xfId="0" applyFont="true" applyBorder="false" applyAlignment="true" applyProtection="false">
      <alignment horizontal="right" vertical="bottom" textRotation="0" wrapText="false" indent="0" shrinkToFit="false"/>
      <protection locked="true" hidden="false"/>
    </xf>
    <xf numFmtId="164" fontId="31" fillId="0" borderId="0" xfId="0" applyFont="true" applyBorder="true" applyAlignment="false" applyProtection="false">
      <alignment horizontal="general" vertical="bottom" textRotation="0" wrapText="false" indent="0" shrinkToFit="false"/>
      <protection locked="true" hidden="false"/>
    </xf>
    <xf numFmtId="180" fontId="10" fillId="0" borderId="0" xfId="0" applyFont="true" applyBorder="true" applyAlignment="true" applyProtection="false">
      <alignment horizontal="right" vertical="bottom" textRotation="0" wrapText="false" indent="0" shrinkToFit="false"/>
      <protection locked="true" hidden="false"/>
    </xf>
    <xf numFmtId="175" fontId="32" fillId="0" borderId="0" xfId="15" applyFont="true" applyBorder="true" applyAlignment="true" applyProtection="true">
      <alignment horizontal="general" vertical="bottom" textRotation="0" wrapText="false" indent="0" shrinkToFit="false"/>
      <protection locked="true" hidden="false"/>
    </xf>
    <xf numFmtId="180" fontId="10" fillId="0" borderId="0" xfId="15" applyFont="true" applyBorder="true" applyAlignment="true" applyProtection="true">
      <alignment horizontal="right" vertical="bottom" textRotation="0" wrapText="false" indent="0" shrinkToFit="false"/>
      <protection locked="true" hidden="false"/>
    </xf>
    <xf numFmtId="180" fontId="32" fillId="0" borderId="0" xfId="15" applyFont="true" applyBorder="true" applyAlignment="true" applyProtection="true">
      <alignment horizontal="right" vertical="bottom" textRotation="0" wrapText="false" indent="0" shrinkToFit="false"/>
      <protection locked="true" hidden="false"/>
    </xf>
    <xf numFmtId="164" fontId="8" fillId="0" borderId="0" xfId="0" applyFont="true" applyBorder="true" applyAlignment="false" applyProtection="false">
      <alignment horizontal="general" vertical="bottom" textRotation="0" wrapText="false" indent="0" shrinkToFit="false"/>
      <protection locked="true" hidden="false"/>
    </xf>
    <xf numFmtId="170" fontId="8" fillId="0" borderId="0" xfId="17" applyFont="true" applyBorder="true" applyAlignment="true" applyProtection="true">
      <alignment horizontal="general" vertical="bottom" textRotation="0" wrapText="false" indent="0" shrinkToFit="false"/>
      <protection locked="true" hidden="false"/>
    </xf>
    <xf numFmtId="170" fontId="8" fillId="0" borderId="0" xfId="17" applyFont="true" applyBorder="true" applyAlignment="true" applyProtection="true">
      <alignment horizontal="right" vertical="bottom" textRotation="0" wrapText="false" indent="0" shrinkToFit="false"/>
      <protection locked="true" hidden="false"/>
    </xf>
    <xf numFmtId="175" fontId="32" fillId="0" borderId="0" xfId="15" applyFont="true" applyBorder="true" applyAlignment="true" applyProtection="true">
      <alignment horizontal="right" vertical="bottom" textRotation="0" wrapText="false" indent="0" shrinkToFit="false"/>
      <protection locked="true" hidden="false"/>
    </xf>
    <xf numFmtId="167" fontId="10" fillId="0" borderId="0" xfId="0" applyFont="true" applyBorder="true" applyAlignment="false" applyProtection="false">
      <alignment horizontal="general" vertical="bottom" textRotation="0" wrapText="false" indent="0" shrinkToFit="false"/>
      <protection locked="true" hidden="false"/>
    </xf>
    <xf numFmtId="170" fontId="33" fillId="0" borderId="0" xfId="17" applyFont="true" applyBorder="true" applyAlignment="true" applyProtection="true">
      <alignment horizontal="general" vertical="bottom" textRotation="0" wrapText="false" indent="0" shrinkToFit="false"/>
      <protection locked="true" hidden="false"/>
    </xf>
    <xf numFmtId="170" fontId="33" fillId="0" borderId="0" xfId="17" applyFont="true" applyBorder="true" applyAlignment="true" applyProtection="true">
      <alignment horizontal="right" vertical="bottom" textRotation="0" wrapText="false" indent="0" shrinkToFit="false"/>
      <protection locked="true" hidden="false"/>
    </xf>
    <xf numFmtId="164" fontId="10" fillId="0" borderId="0" xfId="0" applyFont="true" applyBorder="true" applyAlignment="true" applyProtection="false">
      <alignment horizontal="right" vertical="bottom" textRotation="0" wrapText="false" indent="0" shrinkToFit="false"/>
      <protection locked="true" hidden="false"/>
    </xf>
    <xf numFmtId="169" fontId="8" fillId="0" borderId="0"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right"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right"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false" indent="0" shrinkToFit="false"/>
      <protection locked="true" hidden="false"/>
    </xf>
    <xf numFmtId="170" fontId="12" fillId="0" borderId="0" xfId="0" applyFont="true" applyBorder="false" applyAlignment="false" applyProtection="false">
      <alignment horizontal="general" vertical="bottom" textRotation="0" wrapText="false" indent="0" shrinkToFit="false"/>
      <protection locked="true" hidden="false"/>
    </xf>
    <xf numFmtId="170" fontId="22" fillId="0" borderId="0" xfId="0" applyFont="true" applyBorder="false" applyAlignment="false" applyProtection="false">
      <alignment horizontal="general" vertical="bottom" textRotation="0" wrapText="false" indent="0" shrinkToFit="false"/>
      <protection locked="true" hidden="false"/>
    </xf>
    <xf numFmtId="169" fontId="23" fillId="0" borderId="0" xfId="17"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right" vertical="bottom" textRotation="0" wrapText="false" indent="0" shrinkToFit="false"/>
      <protection locked="true" hidden="false"/>
    </xf>
    <xf numFmtId="175" fontId="22" fillId="0" borderId="0" xfId="15" applyFont="true" applyBorder="true" applyAlignment="true" applyProtection="true">
      <alignment horizontal="right"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81" fontId="0" fillId="0" borderId="4" xfId="17"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81" fontId="23" fillId="0" borderId="0" xfId="17" applyFont="true" applyBorder="true" applyAlignment="true" applyProtection="true">
      <alignment horizontal="center" vertical="bottom" textRotation="0" wrapText="false" indent="0" shrinkToFit="false"/>
      <protection locked="true" hidden="false"/>
    </xf>
    <xf numFmtId="181" fontId="0" fillId="0" borderId="0" xfId="17" applyFont="true" applyBorder="true" applyAlignment="true" applyProtection="true">
      <alignment horizontal="general" vertical="bottom" textRotation="0" wrapText="false" indent="0" shrinkToFit="false"/>
      <protection locked="true" hidden="false"/>
    </xf>
    <xf numFmtId="181" fontId="0" fillId="0" borderId="0" xfId="0" applyFont="false" applyBorder="false" applyAlignment="false" applyProtection="false">
      <alignment horizontal="general" vertical="bottom" textRotation="0" wrapText="false" indent="0" shrinkToFit="false"/>
      <protection locked="true" hidden="false"/>
    </xf>
    <xf numFmtId="181" fontId="12" fillId="0" borderId="0" xfId="0" applyFont="true" applyBorder="false" applyAlignment="false" applyProtection="false">
      <alignment horizontal="general" vertical="bottom" textRotation="0" wrapText="false" indent="0" shrinkToFit="false"/>
      <protection locked="true" hidden="false"/>
    </xf>
    <xf numFmtId="181" fontId="22" fillId="0" borderId="0" xfId="0" applyFont="tru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left" vertical="bottom" textRotation="0" wrapText="false" indent="0" shrinkToFit="false"/>
      <protection locked="true" hidden="false"/>
    </xf>
    <xf numFmtId="181" fontId="0" fillId="0" borderId="0" xfId="17" applyFont="true" applyBorder="true" applyAlignment="true" applyProtection="true">
      <alignment horizontal="right" vertical="bottom" textRotation="0" wrapText="false" indent="0" shrinkToFit="false"/>
      <protection locked="true" hidden="false"/>
    </xf>
    <xf numFmtId="181" fontId="12" fillId="0" borderId="0" xfId="17" applyFont="true" applyBorder="true" applyAlignment="true" applyProtection="true">
      <alignment horizontal="right" vertical="bottom" textRotation="0" wrapText="false" indent="0" shrinkToFit="false"/>
      <protection locked="true" hidden="false"/>
    </xf>
    <xf numFmtId="181" fontId="22" fillId="0" borderId="0" xfId="17" applyFont="true" applyBorder="true" applyAlignment="true" applyProtection="true">
      <alignment horizontal="right" vertical="bottom" textRotation="0" wrapText="false" indent="0" shrinkToFit="false"/>
      <protection locked="true" hidden="false"/>
    </xf>
    <xf numFmtId="164" fontId="11" fillId="0" borderId="1" xfId="0" applyFont="true" applyBorder="true" applyAlignment="true" applyProtection="false">
      <alignment horizontal="general" vertical="bottom" textRotation="0" wrapText="false" indent="0" shrinkToFit="false"/>
      <protection locked="true" hidden="false"/>
    </xf>
    <xf numFmtId="164" fontId="31" fillId="0" borderId="1" xfId="0" applyFont="true" applyBorder="true" applyAlignment="true" applyProtection="false">
      <alignment horizontal="general" vertical="bottom" textRotation="0" wrapText="false" indent="0" shrinkToFit="false"/>
      <protection locked="true" hidden="false"/>
    </xf>
    <xf numFmtId="164" fontId="31" fillId="0" borderId="1" xfId="0" applyFont="true" applyBorder="true" applyAlignment="false" applyProtection="false">
      <alignment horizontal="general" vertical="bottom" textRotation="0" wrapText="false" indent="0" shrinkToFit="false"/>
      <protection locked="true" hidden="false"/>
    </xf>
    <xf numFmtId="164" fontId="34" fillId="0" borderId="1" xfId="0" applyFont="true" applyBorder="true" applyAlignment="false" applyProtection="false">
      <alignment horizontal="general" vertical="bottom" textRotation="0" wrapText="false" indent="0" shrinkToFit="false"/>
      <protection locked="true" hidden="false"/>
    </xf>
    <xf numFmtId="164" fontId="11" fillId="0" borderId="1"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35" fillId="0" borderId="1" xfId="0" applyFont="true" applyBorder="true" applyAlignment="false" applyProtection="false">
      <alignment horizontal="general" vertical="bottom" textRotation="0" wrapText="fals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5" fontId="8" fillId="0" borderId="0" xfId="0" applyFont="true" applyBorder="false" applyAlignment="true" applyProtection="false">
      <alignment horizontal="center" vertical="bottom" textRotation="0" wrapText="false" indent="0" shrinkToFit="false"/>
      <protection locked="true" hidden="false"/>
    </xf>
    <xf numFmtId="164" fontId="9" fillId="0" borderId="5"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34" fillId="0" borderId="1" xfId="0" applyFont="true" applyBorder="true" applyAlignment="true" applyProtection="false">
      <alignment horizontal="general" vertical="bottom" textRotation="0" wrapText="false" indent="0" shrinkToFit="false"/>
      <protection locked="true" hidden="false"/>
    </xf>
    <xf numFmtId="164" fontId="9" fillId="0" borderId="1" xfId="0" applyFont="true" applyBorder="true" applyAlignment="true" applyProtection="false">
      <alignment horizontal="general" vertical="bottom" textRotation="0" wrapText="false" indent="0" shrinkToFit="false"/>
      <protection locked="true" hidden="false"/>
    </xf>
    <xf numFmtId="164" fontId="9" fillId="0" borderId="1" xfId="0" applyFont="true" applyBorder="true" applyAlignment="true" applyProtection="false">
      <alignment horizontal="center" vertical="bottom" textRotation="0" wrapText="true" indent="0" shrinkToFit="false"/>
      <protection locked="true" hidden="false"/>
    </xf>
    <xf numFmtId="164" fontId="34" fillId="0" borderId="1" xfId="0" applyFont="true" applyBorder="true" applyAlignment="true" applyProtection="false">
      <alignment horizontal="center" vertical="bottom" textRotation="0" wrapText="true" indent="0" shrinkToFit="false"/>
      <protection locked="true" hidden="false"/>
    </xf>
    <xf numFmtId="164" fontId="36" fillId="0" borderId="0"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true" indent="0" shrinkToFit="false"/>
      <protection locked="true" hidden="false"/>
    </xf>
    <xf numFmtId="164" fontId="36" fillId="0" borderId="0" xfId="0" applyFont="true" applyBorder="true" applyAlignment="true" applyProtection="false">
      <alignment horizontal="center" vertical="bottom" textRotation="0" wrapText="true" indent="0" shrinkToFit="false"/>
      <protection locked="true" hidden="false"/>
    </xf>
    <xf numFmtId="164" fontId="9" fillId="0" borderId="0" xfId="0" applyFont="true" applyBorder="false" applyAlignment="true" applyProtection="false">
      <alignment horizontal="center" vertical="bottom" textRotation="0" wrapText="true" indent="0" shrinkToFit="false"/>
      <protection locked="true" hidden="false"/>
    </xf>
    <xf numFmtId="164" fontId="37" fillId="0" borderId="0" xfId="0" applyFont="true" applyBorder="false" applyAlignment="true" applyProtection="false">
      <alignment horizontal="right" vertical="bottom" textRotation="0" wrapText="true" indent="0" shrinkToFit="false"/>
      <protection locked="true" hidden="false"/>
    </xf>
    <xf numFmtId="164" fontId="9" fillId="0" borderId="6" xfId="0" applyFont="true" applyBorder="true" applyAlignment="true" applyProtection="false">
      <alignment horizontal="center" vertical="bottom" textRotation="0" wrapText="false" indent="0" shrinkToFit="false"/>
      <protection locked="true" hidden="false"/>
    </xf>
    <xf numFmtId="164" fontId="9" fillId="0" borderId="6" xfId="0" applyFont="true" applyBorder="true" applyAlignment="true" applyProtection="false">
      <alignment horizontal="general" vertical="bottom" textRotation="0" wrapText="false" indent="0" shrinkToFit="false"/>
      <protection locked="true" hidden="false"/>
    </xf>
    <xf numFmtId="164" fontId="38" fillId="0" borderId="0" xfId="0" applyFont="true" applyBorder="true" applyAlignment="false" applyProtection="false">
      <alignment horizontal="general" vertical="bottom" textRotation="0" wrapText="false" indent="0" shrinkToFit="false"/>
      <protection locked="true" hidden="false"/>
    </xf>
    <xf numFmtId="164" fontId="9" fillId="0" borderId="2" xfId="0" applyFont="true" applyBorder="true" applyAlignment="true" applyProtection="false">
      <alignment horizontal="center" vertical="bottom" textRotation="0" wrapText="false" indent="0" shrinkToFit="false"/>
      <protection locked="true" hidden="false"/>
    </xf>
    <xf numFmtId="164" fontId="9" fillId="0" borderId="7" xfId="0" applyFont="true" applyBorder="true" applyAlignment="true" applyProtection="false">
      <alignment horizontal="center" vertical="bottom" textRotation="0" wrapText="false" indent="0" shrinkToFit="false"/>
      <protection locked="true" hidden="false"/>
    </xf>
    <xf numFmtId="164" fontId="9" fillId="0" borderId="7" xfId="0" applyFont="true" applyBorder="true" applyAlignment="true" applyProtection="false">
      <alignment horizontal="center" vertical="bottom" textRotation="0" wrapText="false" indent="0" shrinkToFit="false"/>
      <protection locked="true" hidden="false"/>
    </xf>
    <xf numFmtId="164" fontId="9" fillId="0" borderId="8" xfId="0" applyFont="true" applyBorder="true" applyAlignment="true" applyProtection="false">
      <alignment horizontal="center" vertical="bottom" textRotation="0" wrapText="false" indent="0" shrinkToFit="false"/>
      <protection locked="true" hidden="false"/>
    </xf>
    <xf numFmtId="169" fontId="39" fillId="0" borderId="9" xfId="17" applyFont="true" applyBorder="true" applyAlignment="true" applyProtection="tru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9" fillId="0" borderId="9" xfId="0" applyFont="true" applyBorder="true" applyAlignment="false" applyProtection="false">
      <alignment horizontal="general" vertical="bottom" textRotation="0" wrapText="false" indent="0" shrinkToFit="false"/>
      <protection locked="true" hidden="false"/>
    </xf>
    <xf numFmtId="169" fontId="9" fillId="0" borderId="0" xfId="0" applyFont="true" applyBorder="true" applyAlignment="false" applyProtection="false">
      <alignment horizontal="general" vertical="bottom" textRotation="0" wrapText="false" indent="0" shrinkToFit="false"/>
      <protection locked="true" hidden="false"/>
    </xf>
    <xf numFmtId="169" fontId="9" fillId="0" borderId="9" xfId="0" applyFont="true" applyBorder="true" applyAlignment="false" applyProtection="false">
      <alignment horizontal="general" vertical="bottom" textRotation="0" wrapText="false" indent="0" shrinkToFit="false"/>
      <protection locked="true" hidden="false"/>
    </xf>
    <xf numFmtId="182" fontId="9" fillId="0" borderId="0" xfId="17" applyFont="true" applyBorder="true" applyAlignment="true" applyProtection="true">
      <alignment horizontal="general" vertical="bottom" textRotation="0" wrapText="false" indent="0" shrinkToFit="false"/>
      <protection locked="true" hidden="false"/>
    </xf>
    <xf numFmtId="182" fontId="9" fillId="0" borderId="9" xfId="17" applyFont="true" applyBorder="true" applyAlignment="true" applyProtection="true">
      <alignment horizontal="general" vertical="bottom" textRotation="0" wrapText="false" indent="0" shrinkToFit="false"/>
      <protection locked="true" hidden="false"/>
    </xf>
    <xf numFmtId="182" fontId="17" fillId="0" borderId="0" xfId="17" applyFont="true" applyBorder="true" applyAlignment="true" applyProtection="true">
      <alignment horizontal="general" vertical="bottom" textRotation="0" wrapText="false" indent="0" shrinkToFit="false"/>
      <protection locked="true" hidden="false"/>
    </xf>
    <xf numFmtId="182" fontId="17" fillId="0" borderId="9" xfId="17" applyFont="true" applyBorder="true" applyAlignment="true" applyProtection="true">
      <alignment horizontal="general" vertical="bottom" textRotation="0" wrapText="false" indent="0" shrinkToFit="false"/>
      <protection locked="true" hidden="false"/>
    </xf>
    <xf numFmtId="176" fontId="17" fillId="0" borderId="9" xfId="17" applyFont="true" applyBorder="true" applyAlignment="true" applyProtection="true">
      <alignment horizontal="general" vertical="bottom" textRotation="0" wrapText="false" indent="0" shrinkToFit="false"/>
      <protection locked="true" hidden="false"/>
    </xf>
    <xf numFmtId="169" fontId="9" fillId="0" borderId="0" xfId="19" applyFont="true" applyBorder="true" applyAlignment="true" applyProtection="true">
      <alignment horizontal="general" vertical="bottom" textRotation="0" wrapText="false" indent="0" shrinkToFit="false"/>
      <protection locked="true" hidden="false"/>
    </xf>
    <xf numFmtId="169" fontId="9" fillId="0" borderId="9" xfId="17" applyFont="true" applyBorder="true" applyAlignment="true" applyProtection="true">
      <alignment horizontal="general" vertical="bottom" textRotation="0" wrapText="false" indent="0" shrinkToFit="false"/>
      <protection locked="true" hidden="false"/>
    </xf>
    <xf numFmtId="183" fontId="9"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left" vertical="bottom" textRotation="0" wrapText="false" indent="0" shrinkToFit="false"/>
      <protection locked="true" hidden="false"/>
    </xf>
    <xf numFmtId="172" fontId="9" fillId="0" borderId="0" xfId="0" applyFont="true" applyBorder="true" applyAlignment="false" applyProtection="false">
      <alignment horizontal="general" vertical="bottom" textRotation="0" wrapText="false" indent="0" shrinkToFit="false"/>
      <protection locked="true" hidden="false"/>
    </xf>
    <xf numFmtId="172" fontId="9" fillId="0" borderId="9" xfId="0" applyFont="true" applyBorder="true" applyAlignment="false" applyProtection="false">
      <alignment horizontal="general" vertical="bottom" textRotation="0" wrapText="false" indent="0" shrinkToFit="false"/>
      <protection locked="true" hidden="false"/>
    </xf>
    <xf numFmtId="169" fontId="41" fillId="0" borderId="0" xfId="17" applyFont="true" applyBorder="true" applyAlignment="true" applyProtection="true">
      <alignment horizontal="general" vertical="bottom" textRotation="0" wrapText="false" indent="0" shrinkToFit="false"/>
      <protection locked="true" hidden="false"/>
    </xf>
    <xf numFmtId="169" fontId="41" fillId="0" borderId="0" xfId="0" applyFont="true" applyBorder="true" applyAlignment="false" applyProtection="false">
      <alignment horizontal="general" vertical="bottom" textRotation="0" wrapText="false" indent="0" shrinkToFit="false"/>
      <protection locked="true" hidden="false"/>
    </xf>
    <xf numFmtId="169" fontId="41" fillId="0" borderId="9" xfId="0" applyFont="true" applyBorder="true" applyAlignment="false" applyProtection="false">
      <alignment horizontal="general" vertical="bottom" textRotation="0" wrapText="false" indent="0" shrinkToFit="false"/>
      <protection locked="true" hidden="false"/>
    </xf>
    <xf numFmtId="169" fontId="41" fillId="0" borderId="0" xfId="0" applyFont="true" applyBorder="false" applyAlignment="false" applyProtection="false">
      <alignment horizontal="general" vertical="bottom" textRotation="0" wrapText="false" indent="0" shrinkToFit="false"/>
      <protection locked="true" hidden="false"/>
    </xf>
    <xf numFmtId="169" fontId="17"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false" applyAlignment="false" applyProtection="false">
      <alignment horizontal="general" vertical="bottom" textRotation="0" wrapText="false" indent="0" shrinkToFit="false"/>
      <protection locked="true" hidden="false"/>
    </xf>
    <xf numFmtId="172" fontId="9" fillId="0" borderId="0" xfId="0" applyFont="true" applyBorder="false" applyAlignment="false" applyProtection="false">
      <alignment horizontal="general" vertical="bottom" textRotation="0" wrapText="false" indent="0" shrinkToFit="false"/>
      <protection locked="true" hidden="false"/>
    </xf>
    <xf numFmtId="176" fontId="9" fillId="0" borderId="5" xfId="0" applyFont="true" applyBorder="true" applyAlignment="false" applyProtection="false">
      <alignment horizontal="general" vertical="bottom" textRotation="0" wrapText="false" indent="0" shrinkToFit="false"/>
      <protection locked="true" hidden="false"/>
    </xf>
    <xf numFmtId="176" fontId="9" fillId="0" borderId="0" xfId="0" applyFont="true" applyBorder="true" applyAlignment="false" applyProtection="false">
      <alignment horizontal="general" vertical="bottom" textRotation="0" wrapText="false" indent="0" shrinkToFit="false"/>
      <protection locked="true" hidden="false"/>
    </xf>
    <xf numFmtId="169" fontId="9" fillId="0" borderId="5" xfId="17" applyFont="true" applyBorder="true" applyAlignment="true" applyProtection="true">
      <alignment horizontal="general" vertical="bottom" textRotation="0" wrapText="false" indent="0" shrinkToFit="false"/>
      <protection locked="true" hidden="false"/>
    </xf>
    <xf numFmtId="164" fontId="9" fillId="3" borderId="0" xfId="0" applyFont="true" applyBorder="false" applyAlignment="false" applyProtection="false">
      <alignment horizontal="general" vertical="bottom" textRotation="0" wrapText="false" indent="0" shrinkToFit="false"/>
      <protection locked="true" hidden="false"/>
    </xf>
    <xf numFmtId="169" fontId="9" fillId="3" borderId="0" xfId="17" applyFont="true" applyBorder="true" applyAlignment="true" applyProtection="true">
      <alignment horizontal="general" vertical="bottom" textRotation="0" wrapText="false" indent="0" shrinkToFit="false"/>
      <protection locked="true" hidden="false"/>
    </xf>
    <xf numFmtId="169" fontId="9" fillId="3" borderId="5" xfId="17" applyFont="true" applyBorder="true" applyAlignment="true" applyProtection="true">
      <alignment horizontal="general" vertical="bottom" textRotation="0" wrapText="false" indent="0" shrinkToFit="false"/>
      <protection locked="true" hidden="false"/>
    </xf>
    <xf numFmtId="184" fontId="9" fillId="3" borderId="2" xfId="19" applyFont="true" applyBorder="true" applyAlignment="true" applyProtection="true">
      <alignment horizontal="general" vertical="bottom" textRotation="0" wrapText="false" indent="0" shrinkToFit="false"/>
      <protection locked="true" hidden="false"/>
    </xf>
    <xf numFmtId="184" fontId="9" fillId="3" borderId="7" xfId="19" applyFont="true" applyBorder="true" applyAlignment="true" applyProtection="true">
      <alignment horizontal="general" vertical="bottom" textRotation="0" wrapText="false" indent="0" shrinkToFit="false"/>
      <protection locked="true" hidden="false"/>
    </xf>
    <xf numFmtId="184" fontId="9" fillId="3" borderId="10" xfId="19" applyFont="true" applyBorder="true" applyAlignment="true" applyProtection="true">
      <alignment horizontal="general" vertical="bottom" textRotation="0" wrapText="false" indent="0" shrinkToFit="false"/>
      <protection locked="true" hidden="false"/>
    </xf>
    <xf numFmtId="184" fontId="9" fillId="3" borderId="3" xfId="19" applyFont="true" applyBorder="true" applyAlignment="true" applyProtection="true">
      <alignment horizontal="general" vertical="bottom" textRotation="0" wrapText="false" indent="0" shrinkToFit="false"/>
      <protection locked="true" hidden="false"/>
    </xf>
    <xf numFmtId="184" fontId="9" fillId="3" borderId="0" xfId="19" applyFont="true" applyBorder="true" applyAlignment="true" applyProtection="true">
      <alignment horizontal="general" vertical="bottom" textRotation="0" wrapText="false" indent="0" shrinkToFit="false"/>
      <protection locked="true" hidden="false"/>
    </xf>
    <xf numFmtId="184" fontId="9" fillId="3" borderId="5" xfId="19" applyFont="true" applyBorder="true" applyAlignment="true" applyProtection="true">
      <alignment horizontal="general" vertical="bottom" textRotation="0" wrapText="false" indent="0" shrinkToFit="false"/>
      <protection locked="true" hidden="false"/>
    </xf>
    <xf numFmtId="169" fontId="17" fillId="3" borderId="0" xfId="17" applyFont="true" applyBorder="true" applyAlignment="true" applyProtection="true">
      <alignment horizontal="general" vertical="bottom" textRotation="0" wrapText="false" indent="0" shrinkToFit="false"/>
      <protection locked="true" hidden="false"/>
    </xf>
    <xf numFmtId="169" fontId="17" fillId="3" borderId="5" xfId="17" applyFont="true" applyBorder="true" applyAlignment="true" applyProtection="true">
      <alignment horizontal="general" vertical="bottom" textRotation="0" wrapText="false" indent="0" shrinkToFit="false"/>
      <protection locked="true" hidden="false"/>
    </xf>
    <xf numFmtId="185" fontId="9" fillId="3" borderId="0" xfId="19" applyFont="true" applyBorder="true" applyAlignment="true" applyProtection="true">
      <alignment horizontal="general" vertical="bottom" textRotation="0" wrapText="false" indent="0" shrinkToFit="false"/>
      <protection locked="true" hidden="false"/>
    </xf>
    <xf numFmtId="185" fontId="17" fillId="3" borderId="0" xfId="19" applyFont="true" applyBorder="true" applyAlignment="true" applyProtection="true">
      <alignment horizontal="general" vertical="bottom" textRotation="0" wrapText="false" indent="0" shrinkToFit="false"/>
      <protection locked="true" hidden="false"/>
    </xf>
    <xf numFmtId="176" fontId="17" fillId="3" borderId="0" xfId="17"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9" fillId="0" borderId="5" xfId="0" applyFont="true" applyBorder="true" applyAlignment="false" applyProtection="false">
      <alignment horizontal="general" vertical="bottom" textRotation="0" wrapText="false" indent="0" shrinkToFit="false"/>
      <protection locked="true" hidden="false"/>
    </xf>
    <xf numFmtId="184" fontId="9" fillId="0" borderId="0" xfId="19" applyFont="true" applyBorder="true" applyAlignment="true" applyProtection="true">
      <alignment horizontal="right" vertical="bottom" textRotation="0" wrapText="false" indent="0" shrinkToFit="false"/>
      <protection locked="true" hidden="false"/>
    </xf>
    <xf numFmtId="169" fontId="9" fillId="0" borderId="0" xfId="17" applyFont="true" applyBorder="true" applyAlignment="true" applyProtection="true">
      <alignment horizontal="right" vertical="bottom" textRotation="0" wrapText="false" indent="0" shrinkToFit="false"/>
      <protection locked="true" hidden="false"/>
    </xf>
    <xf numFmtId="173" fontId="9" fillId="0" borderId="0" xfId="15" applyFont="true" applyBorder="true" applyAlignment="true" applyProtection="true">
      <alignment horizontal="right" vertical="bottom" textRotation="0" wrapText="false" indent="0" shrinkToFit="false"/>
      <protection locked="true" hidden="false"/>
    </xf>
    <xf numFmtId="174" fontId="9" fillId="0" borderId="0" xfId="17" applyFont="true" applyBorder="true" applyAlignment="true" applyProtection="true">
      <alignment horizontal="right" vertical="bottom" textRotation="0" wrapText="false" indent="0" shrinkToFit="false"/>
      <protection locked="true" hidden="false"/>
    </xf>
    <xf numFmtId="164" fontId="9" fillId="0" borderId="0" xfId="17" applyFont="true" applyBorder="true" applyAlignment="true" applyProtection="true">
      <alignment horizontal="center"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185" fontId="9" fillId="0" borderId="0" xfId="19" applyFont="true" applyBorder="true" applyAlignment="true" applyProtection="true">
      <alignment horizontal="general" vertical="bottom" textRotation="0" wrapText="false" indent="0" shrinkToFit="false"/>
      <protection locked="true" hidden="false"/>
    </xf>
    <xf numFmtId="167" fontId="9" fillId="0" borderId="0" xfId="19" applyFont="true" applyBorder="true" applyAlignment="true" applyProtection="true">
      <alignment horizontal="general" vertical="bottom" textRotation="0" wrapText="false" indent="0" shrinkToFit="false"/>
      <protection locked="true" hidden="false"/>
    </xf>
    <xf numFmtId="169" fontId="9" fillId="0" borderId="5" xfId="0" applyFont="true" applyBorder="true" applyAlignment="false" applyProtection="false">
      <alignment horizontal="general" vertical="bottom" textRotation="0" wrapText="false" indent="0" shrinkToFit="false"/>
      <protection locked="true" hidden="false"/>
    </xf>
    <xf numFmtId="169" fontId="17" fillId="0" borderId="5" xfId="17" applyFont="true" applyBorder="true" applyAlignment="true" applyProtection="true">
      <alignment horizontal="general" vertical="bottom" textRotation="0" wrapText="false" indent="0" shrinkToFit="false"/>
      <protection locked="true" hidden="false"/>
    </xf>
    <xf numFmtId="169" fontId="40" fillId="0" borderId="0" xfId="0" applyFont="true" applyBorder="false" applyAlignment="false" applyProtection="false">
      <alignment horizontal="general" vertical="bottom" textRotation="0" wrapText="false" indent="0" shrinkToFit="false"/>
      <protection locked="true" hidden="false"/>
    </xf>
    <xf numFmtId="169" fontId="40" fillId="0" borderId="0" xfId="17" applyFont="true" applyBorder="true" applyAlignment="true" applyProtection="true">
      <alignment horizontal="general" vertical="bottom" textRotation="0" wrapText="false" indent="0" shrinkToFit="false"/>
      <protection locked="true" hidden="false"/>
    </xf>
    <xf numFmtId="169" fontId="43" fillId="0" borderId="0" xfId="0" applyFont="true" applyBorder="false" applyAlignment="false" applyProtection="false">
      <alignment horizontal="general" vertical="bottom" textRotation="0" wrapText="fals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64" fontId="36" fillId="0" borderId="1" xfId="0" applyFont="true" applyBorder="true" applyAlignment="false" applyProtection="false">
      <alignment horizontal="general" vertical="bottom" textRotation="0" wrapText="false" indent="0" shrinkToFit="false"/>
      <protection locked="true" hidden="false"/>
    </xf>
    <xf numFmtId="164" fontId="34" fillId="0" borderId="1" xfId="0" applyFont="true" applyBorder="true" applyAlignment="true" applyProtection="false">
      <alignment horizontal="right" vertical="bottom" textRotation="0" wrapText="false" indent="0" shrinkToFit="false"/>
      <protection locked="true" hidden="false"/>
    </xf>
    <xf numFmtId="164" fontId="36" fillId="0" borderId="0" xfId="0" applyFont="true" applyBorder="true" applyAlignment="false" applyProtection="false">
      <alignment horizontal="general" vertical="bottom" textRotation="0" wrapText="false" indent="0" shrinkToFit="false"/>
      <protection locked="true" hidden="false"/>
    </xf>
    <xf numFmtId="164" fontId="37" fillId="0" borderId="0" xfId="0" applyFont="true" applyBorder="false" applyAlignment="true" applyProtection="false">
      <alignment horizontal="center" vertical="bottom" textRotation="0" wrapText="false" indent="0" shrinkToFit="false"/>
      <protection locked="true" hidden="false"/>
    </xf>
    <xf numFmtId="164" fontId="37" fillId="0" borderId="0" xfId="0" applyFont="true" applyBorder="false" applyAlignment="true" applyProtection="false">
      <alignment horizontal="right" vertical="bottom" textRotation="0" wrapText="false" indent="0" shrinkToFit="false"/>
      <protection locked="true" hidden="false"/>
    </xf>
    <xf numFmtId="164" fontId="9" fillId="0" borderId="11" xfId="0" applyFont="true" applyBorder="true" applyAlignment="true" applyProtection="false">
      <alignment horizontal="center" vertical="bottom" textRotation="0" wrapText="true" indent="0" shrinkToFit="false"/>
      <protection locked="true" hidden="false"/>
    </xf>
    <xf numFmtId="164" fontId="9" fillId="0" borderId="0" xfId="0" applyFont="true" applyBorder="true" applyAlignment="true" applyProtection="false">
      <alignment horizontal="right"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86" fontId="9" fillId="0" borderId="7" xfId="0" applyFont="true" applyBorder="true" applyAlignment="false" applyProtection="false">
      <alignment horizontal="general" vertical="bottom" textRotation="0" wrapText="false" indent="0" shrinkToFit="false"/>
      <protection locked="true" hidden="false"/>
    </xf>
    <xf numFmtId="187" fontId="9" fillId="0" borderId="4" xfId="0" applyFont="true" applyBorder="true" applyAlignment="false" applyProtection="false">
      <alignment horizontal="general" vertical="bottom" textRotation="0" wrapText="false" indent="0" shrinkToFit="false"/>
      <protection locked="true" hidden="false"/>
    </xf>
    <xf numFmtId="164" fontId="9" fillId="0" borderId="12"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center" vertical="bottom" textRotation="0" wrapText="false" indent="0" shrinkToFit="false"/>
      <protection locked="true" hidden="false"/>
    </xf>
    <xf numFmtId="169" fontId="9" fillId="0" borderId="12" xfId="0" applyFont="true" applyBorder="true" applyAlignment="false" applyProtection="false">
      <alignment horizontal="general" vertical="bottom" textRotation="0" wrapText="false" indent="0" shrinkToFit="false"/>
      <protection locked="true" hidden="false"/>
    </xf>
    <xf numFmtId="183" fontId="9" fillId="0" borderId="12" xfId="15" applyFont="true" applyBorder="true" applyAlignment="true" applyProtection="true">
      <alignment horizontal="center" vertical="bottom" textRotation="0" wrapText="false" indent="0" shrinkToFit="false"/>
      <protection locked="true" hidden="false"/>
    </xf>
    <xf numFmtId="183" fontId="17" fillId="0" borderId="12" xfId="15" applyFont="true" applyBorder="true" applyAlignment="true" applyProtection="true">
      <alignment horizontal="center" vertical="bottom" textRotation="0" wrapText="false" indent="0" shrinkToFit="false"/>
      <protection locked="true" hidden="false"/>
    </xf>
    <xf numFmtId="183" fontId="9" fillId="0" borderId="12" xfId="15" applyFont="true" applyBorder="true" applyAlignment="true" applyProtection="true">
      <alignment horizontal="right" vertical="bottom" textRotation="0" wrapText="false" indent="0" shrinkToFit="false"/>
      <protection locked="true" hidden="false"/>
    </xf>
    <xf numFmtId="183" fontId="41" fillId="0" borderId="12" xfId="17" applyFont="true" applyBorder="true" applyAlignment="true" applyProtection="true">
      <alignment horizontal="right" vertical="bottom" textRotation="0" wrapText="false" indent="0" shrinkToFit="false"/>
      <protection locked="true" hidden="false"/>
    </xf>
    <xf numFmtId="183" fontId="9" fillId="0" borderId="12" xfId="17" applyFont="true" applyBorder="true" applyAlignment="true" applyProtection="true">
      <alignment horizontal="general" vertical="bottom" textRotation="0" wrapText="false" indent="0" shrinkToFit="false"/>
      <protection locked="true" hidden="false"/>
    </xf>
    <xf numFmtId="169" fontId="41" fillId="0" borderId="12" xfId="17" applyFont="true" applyBorder="true" applyAlignment="true" applyProtection="true">
      <alignment horizontal="general" vertical="bottom" textRotation="0" wrapText="false" indent="0" shrinkToFit="false"/>
      <protection locked="true" hidden="false"/>
    </xf>
    <xf numFmtId="183" fontId="9" fillId="0" borderId="13" xfId="15" applyFont="true" applyBorder="true" applyAlignment="true" applyProtection="true">
      <alignment horizontal="center" vertical="bottom" textRotation="0" wrapText="false" indent="0" shrinkToFit="false"/>
      <protection locked="true" hidden="false"/>
    </xf>
    <xf numFmtId="176" fontId="9"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164" fontId="9" fillId="0" borderId="3" xfId="0" applyFont="true" applyBorder="true" applyAlignment="true" applyProtection="false">
      <alignment horizontal="center" vertical="bottom" textRotation="0" wrapText="false" indent="0" shrinkToFit="false"/>
      <protection locked="true" hidden="false"/>
    </xf>
    <xf numFmtId="169" fontId="41" fillId="0" borderId="9" xfId="17" applyFont="true" applyBorder="true" applyAlignment="true" applyProtection="true">
      <alignment horizontal="general" vertical="bottom" textRotation="0" wrapText="false" indent="0" shrinkToFit="false"/>
      <protection locked="true" hidden="false"/>
    </xf>
    <xf numFmtId="172" fontId="9" fillId="0" borderId="0" xfId="15" applyFont="true" applyBorder="true" applyAlignment="true" applyProtection="true">
      <alignment horizontal="general" vertical="bottom" textRotation="0" wrapText="false" indent="0"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right" vertical="bottom" textRotation="0" wrapText="false" indent="0" shrinkToFit="false"/>
      <protection locked="true" hidden="false"/>
    </xf>
    <xf numFmtId="164" fontId="11" fillId="0" borderId="0" xfId="0" applyFont="true" applyBorder="false" applyAlignment="true" applyProtection="false">
      <alignment horizontal="center" vertical="bottom" textRotation="0" wrapText="false" indent="0" shrinkToFit="false"/>
      <protection locked="true" hidden="false"/>
    </xf>
    <xf numFmtId="164" fontId="10" fillId="0" borderId="7" xfId="0" applyFont="true" applyBorder="true" applyAlignment="true" applyProtection="false">
      <alignment horizontal="center" vertical="bottom" textRotation="0" wrapText="false" indent="0" shrinkToFit="false"/>
      <protection locked="true" hidden="false"/>
    </xf>
    <xf numFmtId="164" fontId="10" fillId="0" borderId="8" xfId="0" applyFont="true" applyBorder="true" applyAlignment="true" applyProtection="false">
      <alignment horizontal="center" vertical="bottom" textRotation="0" wrapText="false" indent="0" shrinkToFit="false"/>
      <protection locked="true" hidden="false"/>
    </xf>
    <xf numFmtId="164" fontId="10" fillId="0" borderId="3" xfId="0" applyFont="true" applyBorder="true" applyAlignment="true" applyProtection="false">
      <alignment horizontal="center" vertical="bottom" textRotation="0" wrapText="false" indent="0" shrinkToFit="false"/>
      <protection locked="true" hidden="false"/>
    </xf>
    <xf numFmtId="164" fontId="10" fillId="0" borderId="0" xfId="0" applyFont="true" applyBorder="true" applyAlignment="true" applyProtection="false">
      <alignment horizontal="center" vertical="bottom" textRotation="0" wrapText="false" indent="0" shrinkToFit="false"/>
      <protection locked="true" hidden="false"/>
    </xf>
    <xf numFmtId="164" fontId="10" fillId="0" borderId="0" xfId="0" applyFont="true" applyBorder="true" applyAlignment="true" applyProtection="false">
      <alignment horizontal="center" vertical="bottom" textRotation="0" wrapText="false" indent="0" shrinkToFit="false"/>
      <protection locked="true" hidden="false"/>
    </xf>
    <xf numFmtId="183" fontId="32" fillId="0" borderId="9" xfId="17" applyFont="true" applyBorder="true" applyAlignment="true" applyProtection="true">
      <alignment horizontal="general" vertical="bottom" textRotation="0" wrapText="false" indent="0" shrinkToFit="false"/>
      <protection locked="true" hidden="false"/>
    </xf>
    <xf numFmtId="183" fontId="10" fillId="0" borderId="0" xfId="17" applyFont="true" applyBorder="true" applyAlignment="true" applyProtection="true">
      <alignment horizontal="general" vertical="bottom" textRotation="0" wrapText="false" indent="0" shrinkToFit="false"/>
      <protection locked="true" hidden="false"/>
    </xf>
    <xf numFmtId="183" fontId="10" fillId="0" borderId="9" xfId="17" applyFont="true" applyBorder="true" applyAlignment="true" applyProtection="true">
      <alignment horizontal="general" vertical="bottom" textRotation="0" wrapText="false" indent="0" shrinkToFit="false"/>
      <protection locked="true" hidden="false"/>
    </xf>
    <xf numFmtId="183" fontId="32" fillId="0" borderId="0" xfId="17" applyFont="true" applyBorder="true" applyAlignment="true" applyProtection="true">
      <alignment horizontal="general" vertical="bottom" textRotation="0" wrapText="false" indent="0" shrinkToFit="false"/>
      <protection locked="true" hidden="false"/>
    </xf>
    <xf numFmtId="181" fontId="10" fillId="0" borderId="0" xfId="17" applyFont="true" applyBorder="true" applyAlignment="true" applyProtection="true">
      <alignment horizontal="general" vertical="bottom" textRotation="0" wrapText="false" indent="0" shrinkToFit="false"/>
      <protection locked="true" hidden="false"/>
    </xf>
    <xf numFmtId="181" fontId="10" fillId="0" borderId="9" xfId="17" applyFont="true" applyBorder="true" applyAlignment="true" applyProtection="true">
      <alignment horizontal="general" vertical="bottom" textRotation="0" wrapText="false" indent="0" shrinkToFit="false"/>
      <protection locked="true" hidden="false"/>
    </xf>
    <xf numFmtId="167" fontId="10" fillId="0" borderId="0" xfId="0" applyFont="true" applyBorder="true" applyAlignment="true" applyProtection="false">
      <alignment horizontal="center" vertical="bottom" textRotation="0" wrapText="false" indent="0" shrinkToFit="false"/>
      <protection locked="true" hidden="false"/>
    </xf>
    <xf numFmtId="181" fontId="10" fillId="0" borderId="9" xfId="17" applyFont="true" applyBorder="true" applyAlignment="true" applyProtection="true">
      <alignment horizontal="center" vertical="bottom" textRotation="0" wrapText="false" indent="0" shrinkToFit="false"/>
      <protection locked="true" hidden="false"/>
    </xf>
    <xf numFmtId="181" fontId="10" fillId="0" borderId="0" xfId="17" applyFont="true" applyBorder="true" applyAlignment="true" applyProtection="true">
      <alignment horizontal="center" vertical="bottom" textRotation="0" wrapText="false" indent="0" shrinkToFit="false"/>
      <protection locked="true" hidden="false"/>
    </xf>
    <xf numFmtId="183" fontId="32" fillId="0" borderId="0" xfId="17" applyFont="true" applyBorder="true" applyAlignment="true" applyProtection="true">
      <alignment horizontal="right" vertical="bottom" textRotation="0" wrapText="false" indent="0" shrinkToFit="false"/>
      <protection locked="true" hidden="false"/>
    </xf>
    <xf numFmtId="183" fontId="32" fillId="0" borderId="0" xfId="17" applyFont="true" applyBorder="true" applyAlignment="true" applyProtection="true">
      <alignment horizontal="center" vertical="bottom" textRotation="0" wrapText="false" indent="0" shrinkToFit="false"/>
      <protection locked="true" hidden="false"/>
    </xf>
    <xf numFmtId="181" fontId="8" fillId="0" borderId="0" xfId="17" applyFont="true" applyBorder="true" applyAlignment="true" applyProtection="true">
      <alignment horizontal="general" vertical="bottom" textRotation="0" wrapText="false" indent="0" shrinkToFit="false"/>
      <protection locked="true" hidden="false"/>
    </xf>
    <xf numFmtId="169" fontId="10" fillId="0" borderId="9" xfId="17" applyFont="true" applyBorder="true" applyAlignment="true" applyProtection="true">
      <alignment horizontal="general" vertical="bottom" textRotation="0" wrapText="false" indent="0" shrinkToFit="false"/>
      <protection locked="true" hidden="false"/>
    </xf>
    <xf numFmtId="181" fontId="33" fillId="0" borderId="0" xfId="17" applyFont="true" applyBorder="true" applyAlignment="true" applyProtection="true">
      <alignment horizontal="general" vertical="bottom" textRotation="0" wrapText="false" indent="0" shrinkToFit="false"/>
      <protection locked="true" hidden="false"/>
    </xf>
    <xf numFmtId="181" fontId="33" fillId="0" borderId="9" xfId="17"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35" fillId="0" borderId="0" xfId="0" applyFont="true" applyBorder="true" applyAlignment="false" applyProtection="false">
      <alignment horizontal="general" vertical="bottom" textRotation="0" wrapText="false" indent="0" shrinkToFit="false"/>
      <protection locked="true" hidden="false"/>
    </xf>
    <xf numFmtId="172" fontId="0" fillId="0" borderId="0" xfId="0" applyFont="true" applyBorder="true" applyAlignment="false" applyProtection="false">
      <alignment horizontal="general" vertical="bottom" textRotation="0" wrapText="false" indent="0" shrinkToFit="false"/>
      <protection locked="true" hidden="false"/>
    </xf>
    <xf numFmtId="176" fontId="0" fillId="0" borderId="0" xfId="0" applyFont="true" applyBorder="true" applyAlignment="false" applyProtection="false">
      <alignment horizontal="general" vertical="bottom" textRotation="0" wrapText="false" indent="0" shrinkToFit="false"/>
      <protection locked="true" hidden="false"/>
    </xf>
    <xf numFmtId="187" fontId="12" fillId="0" borderId="7" xfId="0" applyFont="true" applyBorder="true" applyAlignment="true" applyProtection="false">
      <alignment horizontal="center" vertical="bottom" textRotation="0" wrapText="false" indent="0" shrinkToFit="false"/>
      <protection locked="true" hidden="false"/>
    </xf>
    <xf numFmtId="187" fontId="12" fillId="0" borderId="0" xfId="0" applyFont="true" applyBorder="true" applyAlignment="true" applyProtection="false">
      <alignment horizontal="center" vertical="bottom" textRotation="0" wrapText="false" indent="0" shrinkToFit="false"/>
      <protection locked="true" hidden="false"/>
    </xf>
    <xf numFmtId="176" fontId="0" fillId="0" borderId="0" xfId="0" applyFont="false" applyBorder="true" applyAlignment="false" applyProtection="false">
      <alignment horizontal="general" vertical="bottom" textRotation="0" wrapText="false" indent="0" shrinkToFit="false"/>
      <protection locked="true" hidden="false"/>
    </xf>
    <xf numFmtId="173" fontId="0" fillId="0" borderId="6" xfId="15" applyFont="true" applyBorder="true" applyAlignment="true" applyProtection="true">
      <alignment horizontal="general" vertical="bottom" textRotation="0" wrapText="false" indent="0" shrinkToFit="false"/>
      <protection locked="true" hidden="false"/>
    </xf>
    <xf numFmtId="188" fontId="0" fillId="0" borderId="0" xfId="15" applyFont="true" applyBorder="true" applyAlignment="true" applyProtection="true">
      <alignment horizontal="general" vertical="bottom" textRotation="0" wrapText="false" indent="0" shrinkToFit="false"/>
      <protection locked="true" hidden="false"/>
    </xf>
    <xf numFmtId="181" fontId="0" fillId="0" borderId="0" xfId="15" applyFont="true" applyBorder="true" applyAlignment="true" applyProtection="true">
      <alignment horizontal="general" vertical="bottom" textRotation="0" wrapText="false" indent="0" shrinkToFit="false"/>
      <protection locked="true" hidden="false"/>
    </xf>
    <xf numFmtId="167" fontId="0" fillId="0" borderId="4" xfId="0" applyFont="false" applyBorder="true" applyAlignment="true" applyProtection="false">
      <alignment horizontal="center" vertical="bottom" textRotation="0" wrapText="false" indent="0" shrinkToFit="false"/>
      <protection locked="true" hidden="false"/>
    </xf>
    <xf numFmtId="181" fontId="13" fillId="0" borderId="0" xfId="15" applyFont="true" applyBorder="true" applyAlignment="true" applyProtection="true">
      <alignment horizontal="general" vertical="bottom" textRotation="0" wrapText="false" indent="0" shrinkToFit="false"/>
      <protection locked="true" hidden="false"/>
    </xf>
    <xf numFmtId="183" fontId="12" fillId="0" borderId="0" xfId="15" applyFont="true" applyBorder="true" applyAlignment="true" applyProtection="true">
      <alignment horizontal="general" vertical="bottom" textRotation="0" wrapText="false" indent="0" shrinkToFit="false"/>
      <protection locked="true" hidden="false"/>
    </xf>
    <xf numFmtId="167" fontId="0" fillId="0" borderId="0" xfId="0" applyFont="false" applyBorder="true" applyAlignment="true" applyProtection="false">
      <alignment horizontal="center" vertical="bottom" textRotation="0" wrapText="false" indent="0" shrinkToFit="false"/>
      <protection locked="true" hidden="false"/>
    </xf>
    <xf numFmtId="183" fontId="13" fillId="0" borderId="0" xfId="15" applyFont="true" applyBorder="true" applyAlignment="true" applyProtection="true">
      <alignment horizontal="general" vertical="bottom" textRotation="0" wrapText="false" indent="0" shrinkToFit="false"/>
      <protection locked="true" hidden="false"/>
    </xf>
    <xf numFmtId="181" fontId="28" fillId="0" borderId="0" xfId="15" applyFont="true" applyBorder="true" applyAlignment="true" applyProtection="true">
      <alignment horizontal="general" vertical="bottom" textRotation="0" wrapText="false" indent="0" shrinkToFit="false"/>
      <protection locked="true" hidden="false"/>
    </xf>
    <xf numFmtId="181" fontId="26" fillId="0" borderId="0" xfId="15" applyFont="true" applyBorder="true" applyAlignment="true" applyProtection="true">
      <alignment horizontal="general" vertical="bottom" textRotation="0" wrapText="false" indent="0" shrinkToFit="false"/>
      <protection locked="true" hidden="false"/>
    </xf>
    <xf numFmtId="164" fontId="46" fillId="0" borderId="0" xfId="0" applyFont="true" applyBorder="false" applyAlignment="true" applyProtection="false">
      <alignment horizontal="right" vertical="bottom" textRotation="0" wrapText="false" indent="0" shrinkToFit="false"/>
      <protection locked="true" hidden="false"/>
    </xf>
    <xf numFmtId="189" fontId="46" fillId="0" borderId="0" xfId="15" applyFont="true" applyBorder="true" applyAlignment="true" applyProtection="true">
      <alignment horizontal="general" vertical="bottom" textRotation="0" wrapText="false" indent="0" shrinkToFit="false"/>
      <protection locked="true" hidden="false"/>
    </xf>
    <xf numFmtId="164" fontId="46" fillId="0" borderId="0" xfId="0" applyFont="true" applyBorder="true" applyAlignment="false" applyProtection="false">
      <alignment horizontal="general" vertical="bottom" textRotation="0" wrapText="false" indent="0" shrinkToFit="false"/>
      <protection locked="true" hidden="false"/>
    </xf>
    <xf numFmtId="185" fontId="46" fillId="0" borderId="0" xfId="19" applyFont="true" applyBorder="true" applyAlignment="true" applyProtection="true">
      <alignment horizontal="general" vertical="bottom" textRotation="0" wrapText="false" indent="0" shrinkToFit="false"/>
      <protection locked="true" hidden="false"/>
    </xf>
    <xf numFmtId="164" fontId="46" fillId="0" borderId="0" xfId="0" applyFont="true" applyBorder="true" applyAlignment="true" applyProtection="false">
      <alignment horizontal="center"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85" fontId="0" fillId="0" borderId="0" xfId="19" applyFont="true" applyBorder="true" applyAlignment="true" applyProtection="true">
      <alignment horizontal="general" vertical="bottom" textRotation="0" wrapText="false" indent="0" shrinkToFit="false"/>
      <protection locked="true" hidden="false"/>
    </xf>
    <xf numFmtId="183" fontId="13" fillId="0" borderId="0" xfId="0" applyFont="true" applyBorder="false" applyAlignment="false" applyProtection="false">
      <alignment horizontal="general" vertical="bottom" textRotation="0" wrapText="false" indent="0" shrinkToFit="false"/>
      <protection locked="true" hidden="false"/>
    </xf>
    <xf numFmtId="170" fontId="0" fillId="0" borderId="0" xfId="15" applyFont="true" applyBorder="true" applyAlignment="true" applyProtection="true">
      <alignment horizontal="general" vertical="bottom" textRotation="0" wrapText="false" indent="0" shrinkToFit="false"/>
      <protection locked="true" hidden="false"/>
    </xf>
    <xf numFmtId="176" fontId="13" fillId="0" borderId="0" xfId="15" applyFont="true" applyBorder="true" applyAlignment="true" applyProtection="true">
      <alignment horizontal="general" vertical="bottom" textRotation="0" wrapText="false" indent="0" shrinkToFit="false"/>
      <protection locked="true" hidden="false"/>
    </xf>
    <xf numFmtId="176" fontId="13" fillId="0" borderId="0" xfId="0" applyFont="true" applyBorder="false" applyAlignment="false" applyProtection="false">
      <alignment horizontal="general" vertical="bottom" textRotation="0" wrapText="false" indent="0" shrinkToFit="false"/>
      <protection locked="true" hidden="false"/>
    </xf>
    <xf numFmtId="173" fontId="0" fillId="0" borderId="0" xfId="15" applyFont="true" applyBorder="true" applyAlignment="true" applyProtection="true">
      <alignment horizontal="general" vertical="bottom" textRotation="0" wrapText="false" indent="0" shrinkToFit="false"/>
      <protection locked="true" hidden="false"/>
    </xf>
    <xf numFmtId="181" fontId="12" fillId="0" borderId="0" xfId="15" applyFont="true" applyBorder="true" applyAlignment="true" applyProtection="true">
      <alignment horizontal="general" vertical="bottom" textRotation="0" wrapText="false" indent="0" shrinkToFit="false"/>
      <protection locked="true" hidden="false"/>
    </xf>
    <xf numFmtId="183" fontId="0" fillId="0" borderId="0" xfId="15" applyFont="true" applyBorder="true" applyAlignment="true" applyProtection="true">
      <alignment horizontal="general" vertical="bottom" textRotation="0" wrapText="false" indent="0" shrinkToFit="false"/>
      <protection locked="true" hidden="false"/>
    </xf>
    <xf numFmtId="181" fontId="26" fillId="0" borderId="0" xfId="0" applyFont="true" applyBorder="false" applyAlignment="false" applyProtection="false">
      <alignment horizontal="general" vertical="bottom" textRotation="0" wrapText="false" indent="0" shrinkToFit="false"/>
      <protection locked="true" hidden="false"/>
    </xf>
    <xf numFmtId="164" fontId="46" fillId="0" borderId="0" xfId="0" applyFont="true" applyBorder="false" applyAlignment="false" applyProtection="false">
      <alignment horizontal="general" vertical="bottom" textRotation="0" wrapText="false" indent="0" shrinkToFit="false"/>
      <protection locked="true" hidden="false"/>
    </xf>
    <xf numFmtId="169" fontId="46" fillId="0" borderId="0" xfId="17" applyFont="true" applyBorder="true" applyAlignment="true" applyProtection="true">
      <alignment horizontal="general" vertical="bottom" textRotation="0" wrapText="false" indent="0" shrinkToFit="false"/>
      <protection locked="true" hidden="false"/>
    </xf>
    <xf numFmtId="181" fontId="0" fillId="0" borderId="0" xfId="0" applyFont="true" applyBorder="false" applyAlignment="true" applyProtection="false">
      <alignment horizontal="right"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81" fontId="0" fillId="0" borderId="0" xfId="0" applyFont="false" applyBorder="false" applyAlignment="true" applyProtection="false">
      <alignment horizontal="left" vertical="bottom" textRotation="0" wrapText="false" indent="0" shrinkToFit="false"/>
      <protection locked="true" hidden="false"/>
    </xf>
    <xf numFmtId="164" fontId="47" fillId="0" borderId="1" xfId="0" applyFont="true" applyBorder="true" applyAlignment="true" applyProtection="false">
      <alignment horizontal="general" vertical="bottom" textRotation="0" wrapText="false" indent="0" shrinkToFit="false"/>
      <protection locked="true" hidden="false"/>
    </xf>
    <xf numFmtId="164" fontId="47" fillId="0" borderId="1"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center" vertical="bottom" textRotation="0" wrapText="fals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0" fillId="0" borderId="9"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12" fillId="0" borderId="2" xfId="0" applyFont="true" applyBorder="true" applyAlignment="true" applyProtection="false">
      <alignment horizontal="center" vertical="bottom" textRotation="0" wrapText="false" indent="0" shrinkToFit="false"/>
      <protection locked="true" hidden="false"/>
    </xf>
    <xf numFmtId="164" fontId="12" fillId="0" borderId="7" xfId="0" applyFont="true" applyBorder="true" applyAlignment="true" applyProtection="false">
      <alignment horizontal="center" vertical="bottom" textRotation="0" wrapText="false" indent="0" shrinkToFit="false"/>
      <protection locked="true" hidden="false"/>
    </xf>
    <xf numFmtId="164" fontId="12" fillId="0" borderId="8" xfId="0" applyFont="true" applyBorder="true" applyAlignment="true" applyProtection="false">
      <alignment horizontal="center" vertical="bottom" textRotation="0" wrapText="false" indent="0" shrinkToFit="false"/>
      <protection locked="true" hidden="false"/>
    </xf>
    <xf numFmtId="164" fontId="12" fillId="0" borderId="7" xfId="0" applyFont="true" applyBorder="true" applyAlignment="true" applyProtection="false">
      <alignment horizontal="center" vertical="bottom" textRotation="0" wrapText="false" indent="0" shrinkToFit="false"/>
      <protection locked="true" hidden="false"/>
    </xf>
    <xf numFmtId="164" fontId="12" fillId="0" borderId="3" xfId="0" applyFont="true" applyBorder="true" applyAlignment="true" applyProtection="false">
      <alignment horizontal="center" vertical="bottom" textRotation="0" wrapText="false" indent="0" shrinkToFit="false"/>
      <protection locked="true" hidden="false"/>
    </xf>
    <xf numFmtId="164" fontId="12" fillId="0" borderId="9" xfId="0" applyFont="true" applyBorder="true" applyAlignment="true" applyProtection="false">
      <alignment horizontal="left" vertical="bottom" textRotation="0" wrapText="false" indent="0" shrinkToFit="false"/>
      <protection locked="true" hidden="false"/>
    </xf>
    <xf numFmtId="181" fontId="12" fillId="0" borderId="9" xfId="17" applyFont="true" applyBorder="true" applyAlignment="true" applyProtection="true">
      <alignment horizontal="general" vertical="bottom" textRotation="0" wrapText="false" indent="0" shrinkToFit="false"/>
      <protection locked="true" hidden="false"/>
    </xf>
    <xf numFmtId="181" fontId="12" fillId="0" borderId="0" xfId="17" applyFont="true" applyBorder="true" applyAlignment="true" applyProtection="true">
      <alignment horizontal="general" vertical="bottom" textRotation="0" wrapText="false" indent="0" shrinkToFit="false"/>
      <protection locked="true" hidden="false"/>
    </xf>
    <xf numFmtId="183" fontId="12" fillId="0" borderId="0" xfId="17" applyFont="true" applyBorder="true" applyAlignment="true" applyProtection="true">
      <alignment horizontal="general" vertical="bottom" textRotation="0" wrapText="false" indent="0" shrinkToFit="false"/>
      <protection locked="true" hidden="false"/>
    </xf>
    <xf numFmtId="183" fontId="12" fillId="0" borderId="9" xfId="17" applyFont="true" applyBorder="true" applyAlignment="true" applyProtection="true">
      <alignment horizontal="general" vertical="bottom" textRotation="0" wrapText="false" indent="0" shrinkToFit="false"/>
      <protection locked="true" hidden="false"/>
    </xf>
    <xf numFmtId="183" fontId="12" fillId="0" borderId="0" xfId="0" applyFont="true" applyBorder="false" applyAlignment="false" applyProtection="false">
      <alignment horizontal="general" vertical="bottom" textRotation="0" wrapText="false" indent="0" shrinkToFit="false"/>
      <protection locked="true" hidden="false"/>
    </xf>
    <xf numFmtId="183" fontId="13" fillId="0" borderId="0" xfId="17" applyFont="true" applyBorder="true" applyAlignment="true" applyProtection="true">
      <alignment horizontal="general" vertical="bottom" textRotation="0" wrapText="false" indent="0" shrinkToFit="false"/>
      <protection locked="true" hidden="false"/>
    </xf>
    <xf numFmtId="183" fontId="13" fillId="0" borderId="9" xfId="17" applyFont="true" applyBorder="true" applyAlignment="true" applyProtection="true">
      <alignment horizontal="general" vertical="bottom" textRotation="0" wrapText="false" indent="0" shrinkToFit="false"/>
      <protection locked="true" hidden="false"/>
    </xf>
    <xf numFmtId="169" fontId="12" fillId="0" borderId="0" xfId="0" applyFont="true" applyBorder="true" applyAlignment="false" applyProtection="false">
      <alignment horizontal="general" vertical="bottom" textRotation="0" wrapText="false" indent="0" shrinkToFit="false"/>
      <protection locked="true" hidden="false"/>
    </xf>
    <xf numFmtId="169" fontId="12" fillId="0" borderId="9" xfId="0" applyFont="true" applyBorder="true" applyAlignment="false" applyProtection="false">
      <alignment horizontal="general" vertical="bottom" textRotation="0" wrapText="false" indent="0" shrinkToFit="false"/>
      <protection locked="true" hidden="false"/>
    </xf>
    <xf numFmtId="169" fontId="12" fillId="0" borderId="0" xfId="0" applyFont="true" applyBorder="true" applyAlignment="false" applyProtection="false">
      <alignment horizontal="general" vertical="bottom" textRotation="0" wrapText="false" indent="0" shrinkToFit="false"/>
      <protection locked="true" hidden="false"/>
    </xf>
    <xf numFmtId="167" fontId="12" fillId="0" borderId="0" xfId="19" applyFont="true" applyBorder="true" applyAlignment="true" applyProtection="true">
      <alignment horizontal="general" vertical="bottom" textRotation="0" wrapText="false" indent="0" shrinkToFit="false"/>
      <protection locked="true" hidden="false"/>
    </xf>
    <xf numFmtId="181" fontId="26" fillId="0" borderId="0" xfId="17" applyFont="true" applyBorder="true" applyAlignment="true" applyProtection="true">
      <alignment horizontal="general" vertical="bottom" textRotation="0" wrapText="false" indent="0" shrinkToFit="false"/>
      <protection locked="true" hidden="false"/>
    </xf>
    <xf numFmtId="181" fontId="26" fillId="0" borderId="9" xfId="17" applyFont="true" applyBorder="true" applyAlignment="true" applyProtection="true">
      <alignment horizontal="general" vertical="bottom" textRotation="0" wrapText="false" indent="0" shrinkToFit="false"/>
      <protection locked="true" hidden="false"/>
    </xf>
    <xf numFmtId="190" fontId="12" fillId="0" borderId="0" xfId="0" applyFont="true" applyBorder="true" applyAlignment="true" applyProtection="false">
      <alignment horizontal="center" vertical="bottom" textRotation="0" wrapText="false" indent="0" shrinkToFit="false"/>
      <protection locked="true" hidden="false"/>
    </xf>
    <xf numFmtId="187" fontId="12" fillId="0" borderId="2" xfId="0" applyFont="true" applyBorder="true" applyAlignment="true" applyProtection="false">
      <alignment horizontal="center" vertical="bottom" textRotation="0" wrapText="false" indent="0" shrinkToFit="false"/>
      <protection locked="true" hidden="false"/>
    </xf>
    <xf numFmtId="187" fontId="12" fillId="0" borderId="3"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91" fontId="12" fillId="0" borderId="0" xfId="0" applyFont="true" applyBorder="false" applyAlignment="false" applyProtection="false">
      <alignment horizontal="general" vertical="bottom" textRotation="0" wrapText="false" indent="0" shrinkToFit="false"/>
      <protection locked="true" hidden="false"/>
    </xf>
    <xf numFmtId="181" fontId="23" fillId="0" borderId="0" xfId="17" applyFont="true" applyBorder="true" applyAlignment="true" applyProtection="true">
      <alignment horizontal="general" vertical="bottom" textRotation="0" wrapText="false" indent="0" shrinkToFit="false"/>
      <protection locked="true" hidden="false"/>
    </xf>
    <xf numFmtId="192" fontId="12" fillId="0" borderId="0" xfId="17" applyFont="true" applyBorder="true" applyAlignment="true" applyProtection="true">
      <alignment horizontal="general" vertical="bottom" textRotation="0" wrapText="false" indent="0" shrinkToFit="false"/>
      <protection locked="true" hidden="false"/>
    </xf>
    <xf numFmtId="181" fontId="48" fillId="0" borderId="0" xfId="17" applyFont="true" applyBorder="true" applyAlignment="true" applyProtection="true">
      <alignment horizontal="general" vertical="bottom" textRotation="0" wrapText="false" indent="0" shrinkToFit="false"/>
      <protection locked="true" hidden="false"/>
    </xf>
    <xf numFmtId="184" fontId="12"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left" vertical="bottom" textRotation="0" wrapText="false" indent="0" shrinkToFit="false"/>
      <protection locked="true" hidden="false"/>
    </xf>
    <xf numFmtId="189" fontId="12" fillId="0" borderId="4" xfId="0" applyFont="true" applyBorder="true" applyAlignment="false" applyProtection="false">
      <alignment horizontal="general" vertical="bottom" textRotation="0" wrapText="false" indent="0" shrinkToFit="false"/>
      <protection locked="true" hidden="false"/>
    </xf>
    <xf numFmtId="167" fontId="12" fillId="0" borderId="4" xfId="0" applyFont="true" applyBorder="true" applyAlignment="false" applyProtection="false">
      <alignment horizontal="general" vertical="bottom" textRotation="0" wrapText="false" indent="0" shrinkToFit="false"/>
      <protection locked="true" hidden="false"/>
    </xf>
    <xf numFmtId="176" fontId="12" fillId="0" borderId="4" xfId="15" applyFont="true" applyBorder="true" applyAlignment="true" applyProtection="true">
      <alignment horizontal="center"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7" fontId="12" fillId="0" borderId="4" xfId="19" applyFont="true" applyBorder="true" applyAlignment="true" applyProtection="true">
      <alignment horizontal="center" vertical="bottom" textRotation="0" wrapText="false" indent="0" shrinkToFit="false"/>
      <protection locked="true" hidden="false"/>
    </xf>
    <xf numFmtId="164" fontId="12" fillId="0" borderId="4" xfId="17" applyFont="true" applyBorder="true" applyAlignment="true" applyProtection="true">
      <alignment horizontal="center" vertical="bottom" textRotation="0" wrapText="false" indent="0" shrinkToFit="false"/>
      <protection locked="true" hidden="false"/>
    </xf>
    <xf numFmtId="185" fontId="12" fillId="0" borderId="4" xfId="19" applyFont="true" applyBorder="true" applyAlignment="true" applyProtection="true">
      <alignment horizontal="center" vertical="bottom" textRotation="0" wrapText="false" indent="0" shrinkToFit="false"/>
      <protection locked="true" hidden="false"/>
    </xf>
    <xf numFmtId="181" fontId="12" fillId="0" borderId="4" xfId="17" applyFont="true" applyBorder="true" applyAlignment="true" applyProtection="true">
      <alignment horizontal="center" vertical="bottom" textRotation="0" wrapText="false" indent="0" shrinkToFit="false"/>
      <protection locked="true" hidden="false"/>
    </xf>
    <xf numFmtId="181" fontId="12" fillId="0" borderId="0" xfId="17" applyFont="true" applyBorder="true" applyAlignment="true" applyProtection="true">
      <alignment horizontal="center" vertical="bottom" textRotation="0" wrapText="false" indent="0" shrinkToFit="false"/>
      <protection locked="true" hidden="false"/>
    </xf>
    <xf numFmtId="167" fontId="0" fillId="0" borderId="0" xfId="19" applyFont="true" applyBorder="true" applyAlignment="true" applyProtection="true">
      <alignment horizontal="center" vertical="bottom" textRotation="0" wrapText="false" indent="0" shrinkToFit="false"/>
      <protection locked="true" hidden="false"/>
    </xf>
    <xf numFmtId="167" fontId="0" fillId="0" borderId="4" xfId="19" applyFont="true" applyBorder="true" applyAlignment="true" applyProtection="true">
      <alignment horizontal="center" vertical="bottom" textRotation="0" wrapText="false" indent="0" shrinkToFit="false"/>
      <protection locked="true" hidden="false"/>
    </xf>
    <xf numFmtId="193" fontId="0" fillId="0" borderId="4" xfId="19"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94" fontId="12" fillId="0" borderId="4" xfId="17" applyFont="true" applyBorder="true" applyAlignment="true" applyProtection="true">
      <alignment horizontal="center" vertical="bottom" textRotation="0" wrapText="false" indent="0" shrinkToFit="false"/>
      <protection locked="true" hidden="false"/>
    </xf>
    <xf numFmtId="180" fontId="12" fillId="0" borderId="4" xfId="15" applyFont="true" applyBorder="true" applyAlignment="true" applyProtection="true">
      <alignment horizontal="center" vertical="bottom" textRotation="0" wrapText="false" indent="0" shrinkToFit="false"/>
      <protection locked="true" hidden="false"/>
    </xf>
    <xf numFmtId="164" fontId="6" fillId="4" borderId="1" xfId="0" applyFont="true" applyBorder="true" applyAlignment="true" applyProtection="false">
      <alignment horizontal="general" vertical="bottom" textRotation="0" wrapText="false" indent="0" shrinkToFit="false"/>
      <protection locked="true" hidden="false"/>
    </xf>
    <xf numFmtId="164" fontId="0" fillId="4" borderId="1" xfId="0" applyFont="true" applyBorder="true" applyAlignment="true" applyProtection="false">
      <alignment horizontal="general" vertical="bottom" textRotation="0" wrapText="false" indent="0" shrinkToFit="false"/>
      <protection locked="true" hidden="false"/>
    </xf>
    <xf numFmtId="164" fontId="0" fillId="4" borderId="1" xfId="0" applyFont="true" applyBorder="true" applyAlignment="true" applyProtection="false">
      <alignment horizontal="center" vertical="bottom" textRotation="0" wrapText="false" indent="0" shrinkToFit="false"/>
      <protection locked="true" hidden="false"/>
    </xf>
    <xf numFmtId="164" fontId="35" fillId="4" borderId="1" xfId="0" applyFont="true" applyBorder="true" applyAlignment="true" applyProtection="false">
      <alignment horizontal="center" vertical="bottom" textRotation="0" wrapText="false" indent="0" shrinkToFit="false"/>
      <protection locked="true" hidden="false"/>
    </xf>
    <xf numFmtId="164" fontId="0" fillId="4" borderId="1" xfId="0" applyFont="false" applyBorder="true" applyAlignment="false" applyProtection="false">
      <alignment horizontal="general" vertical="bottom" textRotation="0" wrapText="false" indent="0" shrinkToFit="false"/>
      <protection locked="true" hidden="false"/>
    </xf>
    <xf numFmtId="164" fontId="6" fillId="4" borderId="1" xfId="0" applyFont="true" applyBorder="tru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49" fillId="4" borderId="0" xfId="0" applyFont="true" applyBorder="true" applyAlignment="true" applyProtection="false">
      <alignment horizontal="center"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0" xfId="0" applyFont="false" applyBorder="true" applyAlignment="true" applyProtection="false">
      <alignment horizontal="center"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11" fillId="4" borderId="0" xfId="0" applyFont="true" applyBorder="false" applyAlignment="false" applyProtection="false">
      <alignment horizontal="general" vertical="bottom" textRotation="0" wrapText="false" indent="0" shrinkToFit="false"/>
      <protection locked="true" hidden="false"/>
    </xf>
    <xf numFmtId="164" fontId="0" fillId="5"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true" applyAlignment="false" applyProtection="false">
      <alignment horizontal="general" vertical="bottom" textRotation="0" wrapText="false" indent="0" shrinkToFit="false"/>
      <protection locked="true" hidden="false"/>
    </xf>
    <xf numFmtId="164" fontId="22" fillId="4" borderId="14" xfId="0" applyFont="true" applyBorder="true" applyAlignment="true" applyProtection="false">
      <alignment horizontal="center" vertical="bottom" textRotation="0" wrapText="false" indent="0" shrinkToFit="false"/>
      <protection locked="true" hidden="false"/>
    </xf>
    <xf numFmtId="195" fontId="22" fillId="4" borderId="14" xfId="0" applyFont="true" applyBorder="true" applyAlignment="true" applyProtection="false">
      <alignment horizontal="center" vertical="bottom" textRotation="0" wrapText="false" indent="0" shrinkToFit="false"/>
      <protection locked="true" hidden="false"/>
    </xf>
    <xf numFmtId="176" fontId="22" fillId="4" borderId="14" xfId="15" applyFont="true" applyBorder="true" applyAlignment="true" applyProtection="true">
      <alignment horizontal="center" vertical="bottom" textRotation="0" wrapText="false" indent="0" shrinkToFit="false"/>
      <protection locked="true" hidden="false"/>
    </xf>
    <xf numFmtId="164" fontId="22" fillId="5" borderId="14" xfId="0" applyFont="true" applyBorder="true" applyAlignment="true" applyProtection="false">
      <alignment horizontal="center" vertical="bottom" textRotation="0" wrapText="false" indent="0" shrinkToFit="false"/>
      <protection locked="true" hidden="false"/>
    </xf>
    <xf numFmtId="191" fontId="0" fillId="4" borderId="0" xfId="0" applyFont="false" applyBorder="false" applyAlignment="true" applyProtection="false">
      <alignment horizontal="center" vertical="bottom" textRotation="0" wrapText="false" indent="0" shrinkToFit="false"/>
      <protection locked="true" hidden="false"/>
    </xf>
    <xf numFmtId="169" fontId="0" fillId="4" borderId="0" xfId="17" applyFont="true" applyBorder="true" applyAlignment="true" applyProtection="true">
      <alignment horizontal="right" vertical="bottom" textRotation="0" wrapText="false" indent="0" shrinkToFit="false"/>
      <protection locked="true" hidden="false"/>
    </xf>
    <xf numFmtId="172" fontId="0" fillId="4" borderId="0" xfId="15" applyFont="true" applyBorder="true" applyAlignment="true" applyProtection="true">
      <alignment horizontal="right" vertical="bottom" textRotation="0" wrapText="false" indent="0" shrinkToFit="false"/>
      <protection locked="true" hidden="false"/>
    </xf>
    <xf numFmtId="191" fontId="0" fillId="4" borderId="0" xfId="0" applyFont="false" applyBorder="false" applyAlignment="true" applyProtection="false">
      <alignment horizontal="right" vertical="bottom" textRotation="0" wrapText="false" indent="0" shrinkToFit="false"/>
      <protection locked="true" hidden="false"/>
    </xf>
    <xf numFmtId="178" fontId="0" fillId="4" borderId="0" xfId="0" applyFont="false" applyBorder="true" applyAlignment="true" applyProtection="false">
      <alignment horizontal="right" vertical="bottom" textRotation="0" wrapText="false" indent="0" shrinkToFit="false"/>
      <protection locked="true" hidden="false"/>
    </xf>
    <xf numFmtId="190" fontId="0" fillId="4" borderId="0" xfId="0" applyFont="false" applyBorder="false" applyAlignment="true" applyProtection="false">
      <alignment horizontal="center" vertical="bottom" textRotation="0" wrapText="false" indent="0" shrinkToFit="false"/>
      <protection locked="true" hidden="false"/>
    </xf>
    <xf numFmtId="172" fontId="0" fillId="5" borderId="0" xfId="15" applyFont="true" applyBorder="true" applyAlignment="true" applyProtection="true">
      <alignment horizontal="general" vertical="bottom" textRotation="0" wrapText="false" indent="0" shrinkToFit="false"/>
      <protection locked="true" hidden="false"/>
    </xf>
    <xf numFmtId="196" fontId="0" fillId="4" borderId="0" xfId="0" applyFont="false" applyBorder="false" applyAlignment="true" applyProtection="false">
      <alignment horizontal="center" vertical="bottom" textRotation="0" wrapText="false" indent="0" shrinkToFit="false"/>
      <protection locked="true" hidden="false"/>
    </xf>
    <xf numFmtId="195" fontId="0" fillId="4" borderId="0" xfId="15" applyFont="true" applyBorder="true" applyAlignment="true" applyProtection="true">
      <alignment horizontal="right" vertical="bottom" textRotation="0" wrapText="false" indent="0" shrinkToFit="false"/>
      <protection locked="true" hidden="false"/>
    </xf>
    <xf numFmtId="195" fontId="0" fillId="4" borderId="0" xfId="0" applyFont="false" applyBorder="false" applyAlignment="true" applyProtection="false">
      <alignment horizontal="right" vertical="bottom" textRotation="0" wrapText="false" indent="0" shrinkToFit="false"/>
      <protection locked="true" hidden="false"/>
    </xf>
    <xf numFmtId="196" fontId="0" fillId="4" borderId="0" xfId="0" applyFont="false" applyBorder="false" applyAlignment="true" applyProtection="false">
      <alignment horizontal="right" vertical="bottom" textRotation="0" wrapText="false" indent="0" shrinkToFit="false"/>
      <protection locked="true" hidden="false"/>
    </xf>
    <xf numFmtId="196" fontId="0" fillId="4" borderId="6" xfId="0" applyFont="false" applyBorder="true" applyAlignment="true" applyProtection="false">
      <alignment horizontal="center" vertical="bottom" textRotation="0" wrapText="false" indent="0" shrinkToFit="false"/>
      <protection locked="true" hidden="false"/>
    </xf>
    <xf numFmtId="196" fontId="0" fillId="4" borderId="6" xfId="0" applyFont="false" applyBorder="true" applyAlignment="true" applyProtection="false">
      <alignment horizontal="right" vertical="bottom" textRotation="0" wrapText="false" indent="0" shrinkToFit="false"/>
      <protection locked="true" hidden="false"/>
    </xf>
    <xf numFmtId="195" fontId="0" fillId="4" borderId="6" xfId="0" applyFont="false" applyBorder="true" applyAlignment="true" applyProtection="false">
      <alignment horizontal="right" vertical="bottom" textRotation="0" wrapText="false" indent="0" shrinkToFit="false"/>
      <protection locked="true" hidden="false"/>
    </xf>
    <xf numFmtId="196" fontId="0" fillId="4" borderId="6" xfId="15" applyFont="true" applyBorder="true" applyAlignment="true" applyProtection="true">
      <alignment horizontal="right" vertical="bottom" textRotation="0" wrapText="false" indent="0" shrinkToFit="false"/>
      <protection locked="true" hidden="false"/>
    </xf>
    <xf numFmtId="178" fontId="0" fillId="4" borderId="6" xfId="0" applyFont="false" applyBorder="true" applyAlignment="true" applyProtection="false">
      <alignment horizontal="right" vertical="bottom" textRotation="0" wrapText="false" indent="0" shrinkToFit="false"/>
      <protection locked="true" hidden="false"/>
    </xf>
    <xf numFmtId="164" fontId="2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right" vertical="bottom" textRotation="0" wrapText="false" indent="0" shrinkToFit="false"/>
      <protection locked="true" hidden="false"/>
    </xf>
    <xf numFmtId="195" fontId="0" fillId="4" borderId="15" xfId="15" applyFont="true" applyBorder="true" applyAlignment="true" applyProtection="true">
      <alignment horizontal="right" vertical="bottom" textRotation="0" wrapText="false" indent="0" shrinkToFit="false"/>
      <protection locked="true" hidden="false"/>
    </xf>
    <xf numFmtId="176" fontId="0" fillId="4" borderId="0" xfId="15" applyFont="true" applyBorder="true" applyAlignment="true" applyProtection="true">
      <alignment horizontal="right" vertical="bottom" textRotation="0" wrapText="false" indent="0" shrinkToFit="false"/>
      <protection locked="true" hidden="false"/>
    </xf>
    <xf numFmtId="190" fontId="0" fillId="4" borderId="15" xfId="0" applyFont="false" applyBorder="true" applyAlignment="true" applyProtection="false">
      <alignment horizontal="center" vertical="bottom" textRotation="0" wrapText="false" indent="0" shrinkToFit="false"/>
      <protection locked="true" hidden="false"/>
    </xf>
    <xf numFmtId="190" fontId="0" fillId="4" borderId="0" xfId="0" applyFont="false" applyBorder="true" applyAlignment="true" applyProtection="false">
      <alignment horizontal="center" vertical="bottom" textRotation="0" wrapText="false" indent="0" shrinkToFit="false"/>
      <protection locked="true" hidden="false"/>
    </xf>
    <xf numFmtId="195" fontId="0" fillId="4" borderId="0" xfId="0" applyFont="false" applyBorder="false" applyAlignment="false" applyProtection="false">
      <alignment horizontal="general" vertical="bottom" textRotation="0" wrapText="false" indent="0" shrinkToFit="false"/>
      <protection locked="true" hidden="false"/>
    </xf>
    <xf numFmtId="176" fontId="0" fillId="4" borderId="0" xfId="15" applyFont="true" applyBorder="true" applyAlignment="true" applyProtection="true">
      <alignment horizontal="general" vertical="bottom" textRotation="0" wrapText="false" indent="0" shrinkToFit="false"/>
      <protection locked="true" hidden="false"/>
    </xf>
    <xf numFmtId="164" fontId="22" fillId="4" borderId="0" xfId="0" applyFont="true" applyBorder="false" applyAlignment="true" applyProtection="false">
      <alignment horizontal="center" vertical="bottom" textRotation="0" wrapText="false" indent="0" shrinkToFit="false"/>
      <protection locked="true" hidden="false"/>
    </xf>
    <xf numFmtId="164" fontId="0" fillId="4" borderId="14" xfId="0" applyFont="false" applyBorder="true" applyAlignment="fals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4" borderId="14" xfId="0" applyFont="false" applyBorder="true" applyAlignment="true" applyProtection="false">
      <alignment horizontal="center" vertical="bottom" textRotation="0" wrapText="false" indent="0" shrinkToFit="false"/>
      <protection locked="true" hidden="false"/>
    </xf>
    <xf numFmtId="164" fontId="22" fillId="4" borderId="0" xfId="0" applyFont="true" applyBorder="true" applyAlignment="true" applyProtection="false">
      <alignment horizontal="center" vertical="bottom" textRotation="0" wrapText="false" indent="0" shrinkToFit="false"/>
      <protection locked="true" hidden="false"/>
    </xf>
    <xf numFmtId="194" fontId="0" fillId="4" borderId="0" xfId="17" applyFont="true" applyBorder="true" applyAlignment="true" applyProtection="true">
      <alignment horizontal="center" vertical="bottom" textRotation="0" wrapText="false" indent="0" shrinkToFit="false"/>
      <protection locked="true" hidden="false"/>
    </xf>
    <xf numFmtId="181" fontId="0" fillId="4" borderId="0" xfId="17" applyFont="true" applyBorder="true" applyAlignment="true" applyProtection="true">
      <alignment horizontal="center" vertical="bottom" textRotation="0" wrapText="false" indent="0" shrinkToFit="false"/>
      <protection locked="true" hidden="false"/>
    </xf>
    <xf numFmtId="197" fontId="0" fillId="4" borderId="0" xfId="15" applyFont="true" applyBorder="true" applyAlignment="true" applyProtection="true">
      <alignment horizontal="center" vertical="bottom" textRotation="0" wrapText="false" indent="0" shrinkToFit="false"/>
      <protection locked="true" hidden="false"/>
    </xf>
    <xf numFmtId="198" fontId="0" fillId="4" borderId="0" xfId="17" applyFont="true" applyBorder="true" applyAlignment="true" applyProtection="true">
      <alignment horizontal="center" vertical="bottom" textRotation="0" wrapText="false" indent="0" shrinkToFit="false"/>
      <protection locked="true" hidden="false"/>
    </xf>
    <xf numFmtId="168" fontId="0" fillId="4" borderId="0" xfId="17" applyFont="true" applyBorder="true" applyAlignment="true" applyProtection="true">
      <alignment horizontal="general" vertical="bottom" textRotation="0" wrapText="false" indent="0" shrinkToFit="false"/>
      <protection locked="true" hidden="false"/>
    </xf>
    <xf numFmtId="178" fontId="0" fillId="4" borderId="0" xfId="0" applyFont="false" applyBorder="true" applyAlignment="true" applyProtection="false">
      <alignment horizontal="center" vertical="bottom" textRotation="0" wrapText="false" indent="0" shrinkToFit="false"/>
      <protection locked="true" hidden="false"/>
    </xf>
    <xf numFmtId="199" fontId="0" fillId="4" borderId="0" xfId="0" applyFont="false" applyBorder="true" applyAlignment="true" applyProtection="false">
      <alignment horizontal="center" vertical="bottom" textRotation="0" wrapText="false" indent="0" shrinkToFit="false"/>
      <protection locked="true" hidden="false"/>
    </xf>
    <xf numFmtId="173" fontId="0" fillId="5" borderId="0" xfId="15" applyFont="true" applyBorder="true" applyAlignment="true" applyProtection="true">
      <alignment horizontal="general" vertical="bottom" textRotation="0" wrapText="false" indent="0" shrinkToFit="false"/>
      <protection locked="true" hidden="false"/>
    </xf>
    <xf numFmtId="200" fontId="0" fillId="4" borderId="0" xfId="15" applyFont="true" applyBorder="true" applyAlignment="true" applyProtection="true">
      <alignment horizontal="center" vertical="bottom" textRotation="0" wrapText="false" indent="0" shrinkToFit="false"/>
      <protection locked="true" hidden="false"/>
    </xf>
    <xf numFmtId="183" fontId="0" fillId="4" borderId="0" xfId="15" applyFont="true" applyBorder="true" applyAlignment="true" applyProtection="true">
      <alignment horizontal="center" vertical="bottom" textRotation="0" wrapText="false" indent="0" shrinkToFit="false"/>
      <protection locked="true" hidden="false"/>
    </xf>
    <xf numFmtId="196" fontId="0" fillId="4" borderId="0" xfId="15" applyFont="true" applyBorder="true" applyAlignment="true" applyProtection="true">
      <alignment horizontal="right" vertical="bottom" textRotation="0" wrapText="false" indent="0" shrinkToFit="false"/>
      <protection locked="true" hidden="false"/>
    </xf>
    <xf numFmtId="164" fontId="0" fillId="4" borderId="6" xfId="0" applyFont="true" applyBorder="true" applyAlignment="false" applyProtection="false">
      <alignment horizontal="general" vertical="bottom" textRotation="0" wrapText="false" indent="0" shrinkToFit="false"/>
      <protection locked="true" hidden="false"/>
    </xf>
    <xf numFmtId="200" fontId="0" fillId="4" borderId="6" xfId="15" applyFont="true" applyBorder="true" applyAlignment="true" applyProtection="true">
      <alignment horizontal="center"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83" fontId="0" fillId="4" borderId="6" xfId="15" applyFont="true" applyBorder="true" applyAlignment="true" applyProtection="true">
      <alignment horizontal="center" vertical="bottom" textRotation="0" wrapText="false" indent="0" shrinkToFit="false"/>
      <protection locked="true" hidden="false"/>
    </xf>
    <xf numFmtId="197" fontId="0" fillId="4" borderId="6" xfId="15" applyFont="true" applyBorder="true" applyAlignment="true" applyProtection="true">
      <alignment horizontal="center" vertical="bottom" textRotation="0" wrapText="false" indent="0" shrinkToFit="false"/>
      <protection locked="true" hidden="false"/>
    </xf>
    <xf numFmtId="178" fontId="0" fillId="4" borderId="6" xfId="0" applyFont="false" applyBorder="true" applyAlignment="true" applyProtection="false">
      <alignment horizontal="center" vertical="bottom" textRotation="0" wrapText="false" indent="0" shrinkToFit="false"/>
      <protection locked="true" hidden="false"/>
    </xf>
    <xf numFmtId="190" fontId="0" fillId="4" borderId="6" xfId="0" applyFont="false" applyBorder="true" applyAlignment="true" applyProtection="false">
      <alignment horizontal="center" vertical="bottom" textRotation="0" wrapText="false" indent="0" shrinkToFit="false"/>
      <protection locked="true" hidden="false"/>
    </xf>
    <xf numFmtId="164" fontId="0" fillId="4" borderId="6" xfId="0" applyFont="false" applyBorder="true" applyAlignment="true" applyProtection="false">
      <alignment horizontal="center" vertical="bottom" textRotation="0" wrapText="false" indent="0" shrinkToFit="false"/>
      <protection locked="true" hidden="false"/>
    </xf>
    <xf numFmtId="197" fontId="12" fillId="4" borderId="0" xfId="15" applyFont="true" applyBorder="true" applyAlignment="true" applyProtection="true">
      <alignment horizontal="center" vertical="bottom" textRotation="0" wrapText="false" indent="0" shrinkToFit="false"/>
      <protection locked="true" hidden="false"/>
    </xf>
    <xf numFmtId="178" fontId="0" fillId="4" borderId="11" xfId="0" applyFont="false" applyBorder="true" applyAlignment="true" applyProtection="false">
      <alignment horizontal="center" vertical="bottom" textRotation="0" wrapText="false" indent="0" shrinkToFit="false"/>
      <protection locked="true" hidden="false"/>
    </xf>
    <xf numFmtId="178" fontId="0" fillId="4" borderId="16" xfId="0" applyFont="false" applyBorder="true" applyAlignment="true" applyProtection="false">
      <alignment horizontal="center" vertical="bottom" textRotation="0" wrapText="false" indent="0" shrinkToFit="false"/>
      <protection locked="true" hidden="false"/>
    </xf>
    <xf numFmtId="178" fontId="0" fillId="4" borderId="15" xfId="0" applyFont="false" applyBorder="true" applyAlignment="true" applyProtection="false">
      <alignment horizontal="center" vertical="bottom" textRotation="0" wrapText="false" indent="0" shrinkToFit="false"/>
      <protection locked="true" hidden="false"/>
    </xf>
    <xf numFmtId="199" fontId="0" fillId="4" borderId="15" xfId="0" applyFont="false" applyBorder="true" applyAlignment="true" applyProtection="false">
      <alignment horizontal="center" vertical="bottom" textRotation="0" wrapText="false" indent="0" shrinkToFit="false"/>
      <protection locked="true" hidden="false"/>
    </xf>
    <xf numFmtId="164" fontId="0" fillId="4" borderId="15" xfId="0" applyFont="false" applyBorder="true" applyAlignment="true" applyProtection="false">
      <alignment horizontal="center" vertical="bottom" textRotation="0" wrapText="false" indent="0" shrinkToFit="false"/>
      <protection locked="true" hidden="false"/>
    </xf>
    <xf numFmtId="199" fontId="0" fillId="4" borderId="17" xfId="0" applyFont="false" applyBorder="true" applyAlignment="true" applyProtection="false">
      <alignment horizontal="center" vertical="bottom" textRotation="0" wrapText="false" indent="0" shrinkToFit="false"/>
      <protection locked="true" hidden="false"/>
    </xf>
    <xf numFmtId="178" fontId="0" fillId="4" borderId="13" xfId="0" applyFont="false" applyBorder="true" applyAlignment="true" applyProtection="false">
      <alignment horizontal="center" vertical="bottom" textRotation="0" wrapText="false" indent="0" shrinkToFit="false"/>
      <protection locked="true" hidden="false"/>
    </xf>
    <xf numFmtId="178" fontId="0" fillId="4" borderId="18" xfId="0" applyFont="false" applyBorder="true" applyAlignment="true" applyProtection="false">
      <alignment horizontal="center" vertical="bottom" textRotation="0" wrapText="false" indent="0" shrinkToFit="false"/>
      <protection locked="true" hidden="false"/>
    </xf>
    <xf numFmtId="190" fontId="0" fillId="4" borderId="19" xfId="0" applyFont="false" applyBorder="tru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left"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2" fillId="0" borderId="14" xfId="0" applyFont="true" applyBorder="true" applyAlignment="true" applyProtection="false">
      <alignment horizontal="center" vertical="bottom" textRotation="0" wrapText="false" indent="0" shrinkToFit="false"/>
      <protection locked="true" hidden="false"/>
    </xf>
    <xf numFmtId="201" fontId="0" fillId="0" borderId="0" xfId="0" applyFont="false" applyBorder="false" applyAlignment="true" applyProtection="false">
      <alignment horizontal="center" vertical="bottom" textRotation="0" wrapText="false" indent="0" shrinkToFit="false"/>
      <protection locked="true" hidden="false"/>
    </xf>
    <xf numFmtId="178" fontId="0" fillId="0" borderId="0" xfId="0" applyFont="false" applyBorder="false" applyAlignment="true" applyProtection="false">
      <alignment horizontal="center" vertical="bottom" textRotation="0" wrapText="false" indent="0" shrinkToFit="false"/>
      <protection locked="true" hidden="false"/>
    </xf>
    <xf numFmtId="193" fontId="0" fillId="0" borderId="0" xfId="0" applyFont="false" applyBorder="false" applyAlignment="true" applyProtection="false">
      <alignment horizontal="center"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center" vertical="bottom" textRotation="0" wrapText="false" indent="0" shrinkToFit="false"/>
      <protection locked="true" hidden="false"/>
    </xf>
    <xf numFmtId="193" fontId="0" fillId="0" borderId="6" xfId="0" applyFont="false" applyBorder="true" applyAlignment="true" applyProtection="false">
      <alignment horizontal="center" vertical="bottom" textRotation="0" wrapText="false" indent="0" shrinkToFit="false"/>
      <protection locked="true" hidden="false"/>
    </xf>
    <xf numFmtId="201" fontId="0" fillId="0" borderId="6" xfId="0" applyFont="false" applyBorder="true" applyAlignment="true" applyProtection="false">
      <alignment horizontal="center" vertical="bottom" textRotation="0" wrapText="false" indent="0" shrinkToFit="false"/>
      <protection locked="true" hidden="false"/>
    </xf>
    <xf numFmtId="178" fontId="0" fillId="0" borderId="6" xfId="0" applyFont="false" applyBorder="true" applyAlignment="true" applyProtection="false">
      <alignment horizontal="center" vertical="bottom" textRotation="0" wrapText="false" indent="0" shrinkToFit="false"/>
      <protection locked="true" hidden="false"/>
    </xf>
    <xf numFmtId="164" fontId="0" fillId="0" borderId="14" xfId="0" applyFont="fals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93" fontId="12" fillId="0" borderId="0" xfId="0" applyFont="true" applyBorder="false" applyAlignment="true" applyProtection="false">
      <alignment horizontal="center"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78" fontId="0" fillId="0" borderId="16" xfId="0" applyFont="false" applyBorder="true" applyAlignment="true" applyProtection="false">
      <alignment horizontal="center" vertical="bottom" textRotation="0" wrapText="false" indent="0" shrinkToFit="false"/>
      <protection locked="true" hidden="false"/>
    </xf>
    <xf numFmtId="178" fontId="0" fillId="0" borderId="17" xfId="0" applyFont="false" applyBorder="true" applyAlignment="true" applyProtection="false">
      <alignment horizontal="center" vertical="bottom" textRotation="0" wrapText="false" indent="0" shrinkToFit="false"/>
      <protection locked="true" hidden="false"/>
    </xf>
    <xf numFmtId="178" fontId="0" fillId="0" borderId="18" xfId="0" applyFont="false" applyBorder="true" applyAlignment="true" applyProtection="false">
      <alignment horizontal="center" vertical="bottom" textRotation="0" wrapText="false" indent="0" shrinkToFit="false"/>
      <protection locked="true" hidden="false"/>
    </xf>
    <xf numFmtId="178" fontId="0" fillId="0" borderId="19" xfId="0" applyFont="false" applyBorder="true" applyAlignment="true" applyProtection="false">
      <alignment horizontal="center" vertical="bottom" textRotation="0" wrapText="false" indent="0" shrinkToFit="false"/>
      <protection locked="true" hidden="false"/>
    </xf>
    <xf numFmtId="164" fontId="52" fillId="0" borderId="0" xfId="0" applyFont="true" applyBorder="false" applyAlignment="true" applyProtection="false">
      <alignment horizontal="left" vertical="bottom" textRotation="0" wrapText="false" indent="0" shrinkToFit="false"/>
      <protection locked="true" hidden="false"/>
    </xf>
    <xf numFmtId="164" fontId="53" fillId="4" borderId="0" xfId="0" applyFont="true" applyBorder="false" applyAlignment="true" applyProtection="false">
      <alignment horizontal="left" vertical="bottom" textRotation="0" wrapText="false" indent="0" shrinkToFit="false"/>
      <protection locked="true" hidden="false"/>
    </xf>
    <xf numFmtId="164" fontId="35" fillId="0" borderId="1" xfId="0" applyFont="true" applyBorder="true" applyAlignment="true" applyProtection="false">
      <alignment horizontal="general"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0" fillId="0" borderId="16" xfId="0" applyFont="false" applyBorder="true" applyAlignment="false" applyProtection="false">
      <alignment horizontal="general" vertical="bottom" textRotation="0" wrapText="false" indent="0" shrinkToFit="false"/>
      <protection locked="true" hidden="false"/>
    </xf>
    <xf numFmtId="164" fontId="0" fillId="0" borderId="15" xfId="0" applyFont="false" applyBorder="true" applyAlignment="true" applyProtection="false">
      <alignment horizontal="center"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8" xfId="0" applyFont="true" applyBorder="true" applyAlignment="true" applyProtection="false">
      <alignment horizontal="center" vertical="bottom" textRotation="0" wrapText="false" indent="0" shrinkToFit="false"/>
      <protection locked="true" hidden="false"/>
    </xf>
    <xf numFmtId="164" fontId="0" fillId="0" borderId="19" xfId="0" applyFont="true" applyBorder="true" applyAlignment="true" applyProtection="false">
      <alignment horizontal="center" vertical="bottom" textRotation="0" wrapText="false" indent="0" shrinkToFit="false"/>
      <protection locked="true" hidden="false"/>
    </xf>
    <xf numFmtId="176" fontId="0" fillId="0" borderId="0" xfId="15" applyFont="true" applyBorder="true" applyAlignment="true" applyProtection="true">
      <alignment horizontal="center" vertical="bottom" textRotation="0" wrapText="false" indent="0" shrinkToFit="false"/>
      <protection locked="true" hidden="false"/>
    </xf>
    <xf numFmtId="172" fontId="0" fillId="0" borderId="0" xfId="15" applyFont="true" applyBorder="true" applyAlignment="true" applyProtection="true">
      <alignment horizontal="center"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85" fontId="54" fillId="0" borderId="0" xfId="15" applyFont="true" applyBorder="true" applyAlignment="true" applyProtection="tru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4" fontId="0" fillId="0" borderId="15"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72" fontId="22" fillId="0" borderId="0" xfId="15" applyFont="true" applyBorder="true" applyAlignment="true" applyProtection="true">
      <alignment horizontal="center" vertical="bottom" textRotation="0" wrapText="true" indent="0" shrinkToFit="false"/>
      <protection locked="true" hidden="false"/>
    </xf>
    <xf numFmtId="172" fontId="0" fillId="0" borderId="0" xfId="15" applyFont="true" applyBorder="true" applyAlignment="true" applyProtection="true">
      <alignment horizontal="center" vertical="bottom" textRotation="0" wrapText="true" indent="0" shrinkToFit="false"/>
      <protection locked="true" hidden="false"/>
    </xf>
    <xf numFmtId="172" fontId="0" fillId="0" borderId="0" xfId="15" applyFont="true" applyBorder="true" applyAlignment="true" applyProtection="true">
      <alignment horizontal="right" vertical="bottom" textRotation="0" wrapText="false" indent="0" shrinkToFit="false"/>
      <protection locked="true" hidden="false"/>
    </xf>
    <xf numFmtId="176" fontId="0" fillId="2" borderId="20" xfId="15" applyFont="true" applyBorder="true" applyAlignment="true" applyProtection="true">
      <alignment horizontal="general" vertical="bottom" textRotation="0" wrapText="false" indent="0" shrinkToFit="false"/>
      <protection locked="true" hidden="false"/>
    </xf>
    <xf numFmtId="176" fontId="22" fillId="0" borderId="0" xfId="15" applyFont="true" applyBorder="true" applyAlignment="true" applyProtection="true">
      <alignment horizontal="center" vertical="bottom" textRotation="0" wrapText="true" indent="0" shrinkToFit="false"/>
      <protection locked="true" hidden="false"/>
    </xf>
    <xf numFmtId="176" fontId="12" fillId="0" borderId="0" xfId="15" applyFont="true" applyBorder="true" applyAlignment="true" applyProtection="true">
      <alignment horizontal="center" vertical="bottom" textRotation="0" wrapText="true" indent="0" shrinkToFit="false"/>
      <protection locked="true" hidden="false"/>
    </xf>
    <xf numFmtId="176" fontId="22" fillId="0" borderId="21" xfId="15" applyFont="true" applyBorder="true" applyAlignment="true" applyProtection="true">
      <alignment horizontal="center" vertical="bottom" textRotation="0" wrapText="true" indent="0" shrinkToFit="false"/>
      <protection locked="true" hidden="false"/>
    </xf>
    <xf numFmtId="164" fontId="0" fillId="2" borderId="20" xfId="0" applyFont="false" applyBorder="tru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89" fontId="0" fillId="0" borderId="0" xfId="0" applyFont="false" applyBorder="false" applyAlignment="false" applyProtection="false">
      <alignment horizontal="general" vertical="bottom" textRotation="0" wrapText="false" indent="0" shrinkToFit="false"/>
      <protection locked="true" hidden="false"/>
    </xf>
    <xf numFmtId="176" fontId="0" fillId="0" borderId="15" xfId="0" applyFont="false" applyBorder="true" applyAlignment="false" applyProtection="false">
      <alignment horizontal="general" vertical="bottom" textRotation="0" wrapText="false" indent="0" shrinkToFit="false"/>
      <protection locked="true" hidden="false"/>
    </xf>
    <xf numFmtId="176" fontId="0" fillId="0" borderId="17" xfId="0" applyFont="false" applyBorder="true" applyAlignment="false" applyProtection="false">
      <alignment horizontal="general" vertical="bottom" textRotation="0" wrapText="false" indent="0" shrinkToFit="false"/>
      <protection locked="true" hidden="false"/>
    </xf>
    <xf numFmtId="164" fontId="0" fillId="0" borderId="22" xfId="0" applyFont="true" applyBorder="true" applyAlignment="false" applyProtection="false">
      <alignment horizontal="general"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76" fontId="13" fillId="0" borderId="21" xfId="0" applyFont="true" applyBorder="true" applyAlignment="false" applyProtection="false">
      <alignment horizontal="general" vertical="bottom" textRotation="0" wrapText="false" indent="0" shrinkToFit="false"/>
      <protection locked="true" hidden="false"/>
    </xf>
    <xf numFmtId="176" fontId="0" fillId="0" borderId="21" xfId="0" applyFont="false" applyBorder="true" applyAlignment="false" applyProtection="false">
      <alignment horizontal="general" vertical="bottom" textRotation="0" wrapText="false" indent="0" shrinkToFit="false"/>
      <protection locked="true" hidden="false"/>
    </xf>
    <xf numFmtId="180" fontId="0" fillId="0" borderId="6" xfId="0" applyFont="false" applyBorder="true" applyAlignment="false" applyProtection="false">
      <alignment horizontal="general" vertical="bottom" textRotation="0" wrapText="false" indent="0" shrinkToFit="false"/>
      <protection locked="true" hidden="false"/>
    </xf>
    <xf numFmtId="180" fontId="0" fillId="0" borderId="19" xfId="0" applyFont="false" applyBorder="true" applyAlignment="false" applyProtection="false">
      <alignment horizontal="general" vertical="bottom" textRotation="0" wrapText="false" indent="0" shrinkToFit="false"/>
      <protection locked="true" hidden="false"/>
    </xf>
    <xf numFmtId="176" fontId="0" fillId="0" borderId="15" xfId="15" applyFont="true" applyBorder="true" applyAlignment="true" applyProtection="true">
      <alignment horizontal="general" vertical="bottom" textRotation="0" wrapText="false" indent="0" shrinkToFit="false"/>
      <protection locked="true" hidden="false"/>
    </xf>
    <xf numFmtId="176" fontId="0" fillId="0" borderId="17" xfId="15" applyFont="true" applyBorder="true" applyAlignment="true" applyProtection="true">
      <alignment horizontal="general" vertical="bottom" textRotation="0" wrapText="false" indent="0" shrinkToFit="false"/>
      <protection locked="true" hidden="false"/>
    </xf>
    <xf numFmtId="176" fontId="13" fillId="0" borderId="21" xfId="15" applyFont="true" applyBorder="true" applyAlignment="true" applyProtection="true">
      <alignment horizontal="general" vertical="bottom" textRotation="0" wrapText="false" indent="0" shrinkToFit="false"/>
      <protection locked="true" hidden="false"/>
    </xf>
    <xf numFmtId="176" fontId="0" fillId="0" borderId="21" xfId="15" applyFont="true" applyBorder="true" applyAlignment="true" applyProtection="true">
      <alignment horizontal="general" vertical="bottom" textRotation="0" wrapText="false" indent="0" shrinkToFit="false"/>
      <protection locked="true" hidden="false"/>
    </xf>
    <xf numFmtId="176" fontId="0" fillId="0" borderId="6" xfId="15" applyFont="true" applyBorder="true" applyAlignment="true" applyProtection="true">
      <alignment horizontal="general" vertical="bottom" textRotation="0" wrapText="false" indent="0" shrinkToFit="false"/>
      <protection locked="true" hidden="false"/>
    </xf>
    <xf numFmtId="176" fontId="0" fillId="0" borderId="19" xfId="15" applyFont="true" applyBorder="true" applyAlignment="true" applyProtection="true">
      <alignment horizontal="general" vertical="bottom" textRotation="0" wrapText="false" indent="0" shrinkToFit="false"/>
      <protection locked="true" hidden="false"/>
    </xf>
    <xf numFmtId="202" fontId="0" fillId="0" borderId="0" xfId="0" applyFont="false" applyBorder="fals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9" fontId="0" fillId="0" borderId="6" xfId="17" applyFont="true" applyBorder="true" applyAlignment="true" applyProtection="tru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85" fontId="0" fillId="0" borderId="6" xfId="19" applyFont="true" applyBorder="true" applyAlignment="true" applyProtection="true">
      <alignment horizontal="general" vertical="bottom" textRotation="0" wrapText="false" indent="0" shrinkToFit="false"/>
      <protection locked="true" hidden="false"/>
    </xf>
    <xf numFmtId="169" fontId="12" fillId="2" borderId="2" xfId="17" applyFont="true" applyBorder="true" applyAlignment="true" applyProtection="true">
      <alignment horizontal="general" vertical="bottom" textRotation="0" wrapText="false" indent="0" shrinkToFit="false"/>
      <protection locked="true" hidden="false"/>
    </xf>
    <xf numFmtId="169" fontId="12" fillId="2" borderId="7" xfId="17" applyFont="true" applyBorder="true" applyAlignment="true" applyProtection="true">
      <alignment horizontal="general" vertical="bottom" textRotation="0" wrapText="false" indent="0" shrinkToFit="false"/>
      <protection locked="true" hidden="false"/>
    </xf>
    <xf numFmtId="169" fontId="12" fillId="2" borderId="3" xfId="17" applyFont="true" applyBorder="true" applyAlignment="true" applyProtection="true">
      <alignment horizontal="general" vertical="bottom" textRotation="0" wrapText="false" indent="0" shrinkToFit="false"/>
      <protection locked="true" hidden="false"/>
    </xf>
    <xf numFmtId="176" fontId="0" fillId="0" borderId="0" xfId="17" applyFont="true" applyBorder="true" applyAlignment="true" applyProtection="true">
      <alignment horizontal="general" vertical="bottom" textRotation="0" wrapText="false" indent="0" shrinkToFit="false"/>
      <protection locked="true" hidden="false"/>
    </xf>
    <xf numFmtId="164" fontId="0" fillId="0" borderId="2" xfId="0" applyFont="true" applyBorder="true" applyAlignment="true" applyProtection="false">
      <alignment horizontal="center" vertical="bottom" textRotation="0" wrapText="false" indent="0" shrinkToFit="false"/>
      <protection locked="true" hidden="false"/>
    </xf>
    <xf numFmtId="164" fontId="0" fillId="0" borderId="7" xfId="0" applyFont="true" applyBorder="true" applyAlignment="true" applyProtection="false">
      <alignment horizontal="center" vertical="bottom" textRotation="0" wrapText="false" indent="0" shrinkToFit="false"/>
      <protection locked="true" hidden="false"/>
    </xf>
    <xf numFmtId="164" fontId="0" fillId="0" borderId="3" xfId="0" applyFont="false" applyBorder="true" applyAlignment="true" applyProtection="false">
      <alignment horizontal="center" vertical="bottom" textRotation="0" wrapText="false" indent="0" shrinkToFit="false"/>
      <protection locked="true" hidden="false"/>
    </xf>
    <xf numFmtId="164" fontId="0" fillId="0" borderId="15" xfId="0" applyFont="true" applyBorder="true" applyAlignment="true" applyProtection="false">
      <alignment horizontal="center" vertical="bottom" textRotation="0" wrapText="true" indent="0" shrinkToFit="false"/>
      <protection locked="true" hidden="false"/>
    </xf>
    <xf numFmtId="184" fontId="0" fillId="0" borderId="21" xfId="19" applyFont="true" applyBorder="true" applyAlignment="true" applyProtection="true">
      <alignment horizontal="general" vertical="bottom" textRotation="0" wrapText="false" indent="0" shrinkToFit="false"/>
      <protection locked="true" hidden="false"/>
    </xf>
    <xf numFmtId="169" fontId="0" fillId="0" borderId="21" xfId="17" applyFont="true" applyBorder="true" applyAlignment="true" applyProtection="tru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72" fontId="0" fillId="0" borderId="6" xfId="15" applyFont="true" applyBorder="true" applyAlignment="true" applyProtection="true">
      <alignment horizontal="general" vertical="bottom" textRotation="0" wrapText="false" indent="0" shrinkToFit="false"/>
      <protection locked="true" hidden="false"/>
    </xf>
    <xf numFmtId="184" fontId="0" fillId="0" borderId="19" xfId="19" applyFont="true" applyBorder="true" applyAlignment="true" applyProtection="true">
      <alignment horizontal="general" vertical="bottom" textRotation="0" wrapText="false" indent="0" shrinkToFit="false"/>
      <protection locked="true" hidden="false"/>
    </xf>
    <xf numFmtId="184" fontId="0" fillId="0" borderId="0" xfId="19" applyFont="true" applyBorder="true" applyAlignment="true" applyProtection="true">
      <alignment horizontal="general" vertical="bottom" textRotation="0" wrapText="false" indent="0" shrinkToFit="false"/>
      <protection locked="true" hidden="false"/>
    </xf>
    <xf numFmtId="164" fontId="22" fillId="0" borderId="6" xfId="0" applyFont="true" applyBorder="true" applyAlignment="true" applyProtection="false">
      <alignment horizontal="center"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9" fontId="22" fillId="0" borderId="0" xfId="17" applyFont="true" applyBorder="true" applyAlignment="true" applyProtection="true">
      <alignment horizontal="general" vertical="bottom" textRotation="0" wrapText="false" indent="0" shrinkToFit="false"/>
      <protection locked="true" hidden="false"/>
    </xf>
    <xf numFmtId="176" fontId="12" fillId="0" borderId="6" xfId="15" applyFont="true" applyBorder="true" applyAlignment="true" applyProtection="true">
      <alignment horizontal="general" vertical="bottom" textRotation="0" wrapText="false" indent="0" shrinkToFit="false"/>
      <protection locked="true" hidden="false"/>
    </xf>
    <xf numFmtId="203" fontId="0" fillId="0" borderId="0" xfId="0" applyFont="fals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10" fillId="0" borderId="2" xfId="0" applyFont="true" applyBorder="true" applyAlignment="true" applyProtection="false">
      <alignment horizontal="center" vertical="bottom" textRotation="0" wrapText="false" indent="0" shrinkToFit="false"/>
      <protection locked="true" hidden="false"/>
    </xf>
    <xf numFmtId="164" fontId="10" fillId="0" borderId="9" xfId="0" applyFont="true" applyBorder="true" applyAlignment="false" applyProtection="false">
      <alignment horizontal="general" vertical="bottom" textRotation="0" wrapText="false" indent="0" shrinkToFit="false"/>
      <protection locked="true" hidden="false"/>
    </xf>
    <xf numFmtId="183" fontId="10" fillId="0" borderId="9" xfId="17" applyFont="true" applyBorder="true" applyAlignment="true" applyProtection="true">
      <alignment horizontal="center" vertical="bottom" textRotation="0" wrapText="false" indent="0" shrinkToFit="false"/>
      <protection locked="true" hidden="false"/>
    </xf>
    <xf numFmtId="183" fontId="10" fillId="0" borderId="0" xfId="17" applyFont="true" applyBorder="true" applyAlignment="true" applyProtection="true">
      <alignment horizontal="center" vertical="bottom" textRotation="0" wrapText="false" indent="0" shrinkToFit="false"/>
      <protection locked="true" hidden="false"/>
    </xf>
    <xf numFmtId="183" fontId="32" fillId="0" borderId="9" xfId="17" applyFont="true" applyBorder="true" applyAlignment="true" applyProtection="true">
      <alignment horizontal="right" vertical="bottom" textRotation="0" wrapText="false" indent="0" shrinkToFit="false"/>
      <protection locked="true" hidden="false"/>
    </xf>
    <xf numFmtId="164" fontId="55" fillId="0" borderId="0" xfId="0" applyFont="true" applyBorder="false" applyAlignment="true" applyProtection="false">
      <alignment horizontal="left" vertical="bottom" textRotation="0" wrapText="false" indent="2" shrinkToFit="false"/>
      <protection locked="true" hidden="false"/>
    </xf>
    <xf numFmtId="164" fontId="22" fillId="0" borderId="16" xfId="0" applyFont="true" applyBorder="true" applyAlignment="false" applyProtection="false">
      <alignment horizontal="general" vertical="bottom" textRotation="0" wrapText="false" indent="0" shrinkToFit="false"/>
      <protection locked="true" hidden="false"/>
    </xf>
    <xf numFmtId="164" fontId="12" fillId="0" borderId="22" xfId="0" applyFont="true" applyBorder="true" applyAlignment="false" applyProtection="false">
      <alignment horizontal="general" vertical="bottom" textRotation="0" wrapText="false" indent="0" shrinkToFit="false"/>
      <protection locked="true" hidden="false"/>
    </xf>
    <xf numFmtId="164" fontId="12" fillId="0" borderId="21" xfId="0" applyFont="true" applyBorder="true" applyAlignment="false" applyProtection="false">
      <alignment horizontal="general" vertical="bottom" textRotation="0" wrapText="false" indent="0" shrinkToFit="false"/>
      <protection locked="true" hidden="false"/>
    </xf>
    <xf numFmtId="169" fontId="12" fillId="0" borderId="21" xfId="17" applyFont="true" applyBorder="true" applyAlignment="true" applyProtection="true">
      <alignment horizontal="general" vertical="bottom" textRotation="0" wrapText="false" indent="0" shrinkToFit="false"/>
      <protection locked="true" hidden="false"/>
    </xf>
    <xf numFmtId="176" fontId="12" fillId="0" borderId="21" xfId="15" applyFont="true" applyBorder="true" applyAlignment="true" applyProtection="true">
      <alignment horizontal="general" vertical="bottom" textRotation="0" wrapText="false" indent="0" shrinkToFit="false"/>
      <protection locked="true" hidden="false"/>
    </xf>
    <xf numFmtId="169" fontId="0" fillId="0" borderId="19" xfId="0" applyFont="false" applyBorder="true" applyAlignment="false" applyProtection="false">
      <alignment horizontal="general" vertical="bottom" textRotation="0" wrapText="false" indent="0" shrinkToFit="false"/>
      <protection locked="true" hidden="false"/>
    </xf>
    <xf numFmtId="167" fontId="12" fillId="0" borderId="0" xfId="0" applyFont="true" applyBorder="true" applyAlignment="false" applyProtection="false">
      <alignment horizontal="general" vertical="bottom" textRotation="0" wrapText="false" indent="0" shrinkToFit="false"/>
      <protection locked="true" hidden="false"/>
    </xf>
    <xf numFmtId="167" fontId="0" fillId="0" borderId="0" xfId="0" applyFont="false" applyBorder="true" applyAlignment="false" applyProtection="false">
      <alignment horizontal="general" vertical="bottom" textRotation="0" wrapText="false" indent="0" shrinkToFit="false"/>
      <protection locked="true" hidden="false"/>
    </xf>
    <xf numFmtId="169" fontId="12" fillId="0" borderId="21" xfId="0" applyFont="true" applyBorder="true" applyAlignment="false" applyProtection="false">
      <alignment horizontal="general" vertical="bottom" textRotation="0" wrapText="false" indent="0" shrinkToFit="false"/>
      <protection locked="true" hidden="false"/>
    </xf>
    <xf numFmtId="180" fontId="0" fillId="0" borderId="21" xfId="0" applyFont="false" applyBorder="true" applyAlignment="false" applyProtection="false">
      <alignment horizontal="general" vertical="bottom" textRotation="0" wrapText="false" indent="0" shrinkToFit="false"/>
      <protection locked="true" hidden="false"/>
    </xf>
    <xf numFmtId="164" fontId="22" fillId="0" borderId="22" xfId="0" applyFont="true" applyBorder="true" applyAlignment="false" applyProtection="false">
      <alignment horizontal="general" vertical="bottom" textRotation="0" wrapText="false" indent="0" shrinkToFit="false"/>
      <protection locked="true" hidden="false"/>
    </xf>
    <xf numFmtId="169" fontId="22" fillId="0" borderId="21" xfId="0" applyFont="true" applyBorder="true" applyAlignment="false" applyProtection="false">
      <alignment horizontal="general" vertical="bottom" textRotation="0" wrapText="false" indent="0" shrinkToFit="false"/>
      <protection locked="true" hidden="false"/>
    </xf>
    <xf numFmtId="169" fontId="24" fillId="0" borderId="21" xfId="17" applyFont="true" applyBorder="true" applyAlignment="true" applyProtection="true">
      <alignment horizontal="general" vertical="bottom" textRotation="0" wrapText="false" indent="0" shrinkToFit="false"/>
      <protection locked="true" hidden="false"/>
    </xf>
    <xf numFmtId="164" fontId="22" fillId="0" borderId="18" xfId="0" applyFont="true" applyBorder="true" applyAlignment="false" applyProtection="false">
      <alignment horizontal="general" vertical="bottom" textRotation="0" wrapText="false" indent="0" shrinkToFit="false"/>
      <protection locked="true" hidden="false"/>
    </xf>
    <xf numFmtId="164" fontId="22" fillId="0" borderId="6" xfId="0" applyFont="true" applyBorder="true" applyAlignment="false" applyProtection="false">
      <alignment horizontal="general" vertical="bottom" textRotation="0" wrapText="false" indent="0" shrinkToFit="false"/>
      <protection locked="true" hidden="false"/>
    </xf>
    <xf numFmtId="169" fontId="22" fillId="0" borderId="19" xfId="0" applyFont="true" applyBorder="true" applyAlignment="false" applyProtection="false">
      <alignment horizontal="general" vertical="bottom" textRotation="0" wrapText="false" indent="0" shrinkToFit="false"/>
      <protection locked="true" hidden="false"/>
    </xf>
    <xf numFmtId="169" fontId="22" fillId="0" borderId="19" xfId="17" applyFont="tru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true" indent="0" shrinkToFit="false"/>
      <protection locked="true" hidden="false"/>
    </xf>
    <xf numFmtId="164" fontId="22" fillId="0" borderId="0" xfId="0" applyFont="true" applyBorder="true" applyAlignment="true" applyProtection="false">
      <alignment horizontal="right" vertical="bottom" textRotation="0" wrapText="true" indent="0" shrinkToFit="false"/>
      <protection locked="true" hidden="false"/>
    </xf>
    <xf numFmtId="164" fontId="22" fillId="0" borderId="19" xfId="0" applyFont="true" applyBorder="true" applyAlignment="true" applyProtection="false">
      <alignment horizontal="center" vertical="bottom" textRotation="0" wrapText="true" indent="0" shrinkToFit="false"/>
      <protection locked="true" hidden="false"/>
    </xf>
    <xf numFmtId="170" fontId="0" fillId="0" borderId="18" xfId="17" applyFont="true" applyBorder="true" applyAlignment="true" applyProtection="true">
      <alignment horizontal="general" vertical="bottom" textRotation="0" wrapText="true" indent="0" shrinkToFit="false"/>
      <protection locked="true" hidden="false"/>
    </xf>
    <xf numFmtId="170" fontId="0" fillId="0" borderId="6" xfId="17" applyFont="true" applyBorder="true" applyAlignment="true" applyProtection="true">
      <alignment horizontal="general" vertical="bottom" textRotation="0" wrapText="true" indent="0" shrinkToFit="false"/>
      <protection locked="true" hidden="false"/>
    </xf>
    <xf numFmtId="164" fontId="22" fillId="0" borderId="17" xfId="0" applyFont="true" applyBorder="true" applyAlignment="true" applyProtection="false">
      <alignment horizontal="center" vertical="bottom" textRotation="0" wrapText="false" indent="0" shrinkToFit="false"/>
      <protection locked="true" hidden="false"/>
    </xf>
    <xf numFmtId="170" fontId="0" fillId="0" borderId="21" xfId="17" applyFont="true" applyBorder="true" applyAlignment="true" applyProtection="true">
      <alignment horizontal="general" vertical="bottom" textRotation="0" wrapText="false" indent="0" shrinkToFit="false"/>
      <protection locked="true" hidden="false"/>
    </xf>
    <xf numFmtId="170" fontId="0" fillId="0" borderId="21" xfId="0" applyFont="false" applyBorder="tru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center" vertical="center"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22" fillId="0" borderId="2" xfId="0" applyFont="true" applyBorder="true" applyAlignment="false" applyProtection="false">
      <alignment horizontal="general" vertical="bottom" textRotation="0" wrapText="false" indent="0" shrinkToFit="false"/>
      <protection locked="true" hidden="false"/>
    </xf>
    <xf numFmtId="176" fontId="27" fillId="0" borderId="7" xfId="15" applyFont="true" applyBorder="true" applyAlignment="true" applyProtection="true">
      <alignment horizontal="general" vertical="bottom" textRotation="0" wrapText="false" indent="0" shrinkToFit="false"/>
      <protection locked="true" hidden="false"/>
    </xf>
    <xf numFmtId="176" fontId="27" fillId="0" borderId="3" xfId="15" applyFont="true" applyBorder="true" applyAlignment="true" applyProtection="true">
      <alignment horizontal="general" vertical="bottom" textRotation="0" wrapText="false" indent="0" shrinkToFit="false"/>
      <protection locked="true" hidden="false"/>
    </xf>
    <xf numFmtId="169" fontId="13" fillId="0" borderId="0" xfId="17" applyFont="true" applyBorder="true" applyAlignment="true" applyProtection="true">
      <alignment horizontal="center" vertical="bottom" textRotation="0" wrapText="false" indent="0" shrinkToFit="false"/>
      <protection locked="true" hidden="false"/>
    </xf>
    <xf numFmtId="169" fontId="27" fillId="0" borderId="7" xfId="17"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22" fillId="0" borderId="0" xfId="0" applyFont="true" applyBorder="false" applyAlignment="false" applyProtection="false">
      <alignment horizontal="general" vertical="bottom" textRotation="0" wrapText="false" indent="0" shrinkToFit="false"/>
      <protection locked="true" hidden="false"/>
    </xf>
    <xf numFmtId="184" fontId="0" fillId="0" borderId="0" xfId="15" applyFont="true" applyBorder="true" applyAlignment="true" applyProtection="true">
      <alignment horizontal="general" vertical="bottom" textRotation="0" wrapText="false" indent="0" shrinkToFit="false"/>
      <protection locked="true" hidden="false"/>
    </xf>
    <xf numFmtId="184" fontId="13" fillId="0" borderId="0" xfId="17" applyFont="true" applyBorder="true" applyAlignment="true" applyProtection="true">
      <alignment horizontal="general" vertical="bottom" textRotation="0" wrapText="false" indent="0" shrinkToFit="false"/>
      <protection locked="true" hidden="false"/>
    </xf>
    <xf numFmtId="184" fontId="13" fillId="0" borderId="0" xfId="17" applyFont="true" applyBorder="true" applyAlignment="true" applyProtection="true">
      <alignment horizontal="center" vertical="bottom" textRotation="0" wrapText="false" indent="0" shrinkToFit="false"/>
      <protection locked="true" hidden="false"/>
    </xf>
    <xf numFmtId="184" fontId="12" fillId="0" borderId="0" xfId="17" applyFont="true" applyBorder="true" applyAlignment="true" applyProtection="true">
      <alignment horizontal="general" vertical="bottom" textRotation="0" wrapText="false" indent="0" shrinkToFit="false"/>
      <protection locked="true" hidden="false"/>
    </xf>
    <xf numFmtId="184" fontId="22" fillId="0" borderId="2" xfId="0" applyFont="true" applyBorder="true" applyAlignment="false" applyProtection="false">
      <alignment horizontal="general" vertical="bottom" textRotation="0" wrapText="false" indent="0" shrinkToFit="false"/>
      <protection locked="true" hidden="false"/>
    </xf>
    <xf numFmtId="184" fontId="0" fillId="0" borderId="7" xfId="0" applyFont="false" applyBorder="true" applyAlignment="false" applyProtection="false">
      <alignment horizontal="general" vertical="bottom" textRotation="0" wrapText="false" indent="0" shrinkToFit="false"/>
      <protection locked="true" hidden="false"/>
    </xf>
    <xf numFmtId="184" fontId="27" fillId="0" borderId="7" xfId="17" applyFont="true" applyBorder="true" applyAlignment="true" applyProtection="true">
      <alignment horizontal="general" vertical="bottom" textRotation="0" wrapText="false" indent="0" shrinkToFit="false"/>
      <protection locked="true" hidden="false"/>
    </xf>
    <xf numFmtId="184" fontId="0" fillId="0" borderId="3" xfId="17" applyFont="true" applyBorder="true" applyAlignment="true" applyProtection="true">
      <alignment horizontal="center" vertical="bottom" textRotation="0" wrapText="false" indent="0" shrinkToFit="false"/>
      <protection locked="true" hidden="false"/>
    </xf>
    <xf numFmtId="164" fontId="0" fillId="0" borderId="6" xfId="0" applyFont="false" applyBorder="true" applyAlignment="true" applyProtection="false">
      <alignment horizontal="general" vertical="bottom" textRotation="0" wrapText="true" indent="0" shrinkToFit="false"/>
      <protection locked="true" hidden="false"/>
    </xf>
    <xf numFmtId="164" fontId="0" fillId="0" borderId="6" xfId="0" applyFont="true" applyBorder="true" applyAlignment="true" applyProtection="false">
      <alignment horizontal="center" vertical="bottom" textRotation="0" wrapText="tru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7"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1" shrinkToFit="false"/>
      <protection locked="true" hidden="false"/>
    </xf>
    <xf numFmtId="164" fontId="0" fillId="0" borderId="0" xfId="0" applyFont="true" applyBorder="true" applyAlignment="true" applyProtection="false">
      <alignment horizontal="left" vertical="bottom" textRotation="0" wrapText="false" indent="1" shrinkToFit="false"/>
      <protection locked="true" hidden="false"/>
    </xf>
    <xf numFmtId="169" fontId="0" fillId="5" borderId="20" xfId="17" applyFont="true" applyBorder="true" applyAlignment="true" applyProtection="true">
      <alignment horizontal="general" vertical="bottom" textRotation="0" wrapText="false" indent="0" shrinkToFit="false"/>
      <protection locked="true" hidden="false"/>
    </xf>
    <xf numFmtId="169" fontId="26" fillId="0" borderId="0" xfId="17" applyFont="true" applyBorder="true" applyAlignment="true" applyProtection="true">
      <alignment horizontal="general" vertical="bottom" textRotation="0" wrapText="false" indent="0" shrinkToFit="false"/>
      <protection locked="true" hidden="false"/>
    </xf>
    <xf numFmtId="164" fontId="11" fillId="0" borderId="6" xfId="0" applyFont="true" applyBorder="true" applyAlignment="false" applyProtection="false">
      <alignment horizontal="general" vertical="bottom" textRotation="0" wrapText="false" indent="0" shrinkToFit="false"/>
      <protection locked="true" hidden="false"/>
    </xf>
    <xf numFmtId="167" fontId="0" fillId="0" borderId="6" xfId="0" applyFont="false" applyBorder="true" applyAlignment="true" applyProtection="false">
      <alignment horizontal="center"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67" fontId="9" fillId="0" borderId="0" xfId="19" applyFont="true" applyBorder="true" applyAlignment="true" applyProtection="true">
      <alignment horizontal="center" vertical="bottom" textRotation="0" wrapText="false" indent="0" shrinkToFit="false"/>
      <protection locked="true" hidden="false"/>
    </xf>
    <xf numFmtId="169" fontId="9" fillId="0" borderId="6" xfId="17" applyFont="true" applyBorder="true" applyAlignment="true" applyProtection="true">
      <alignment horizontal="general" vertical="bottom" textRotation="0" wrapText="false" indent="0" shrinkToFit="false"/>
      <protection locked="true" hidden="false"/>
    </xf>
    <xf numFmtId="169" fontId="9" fillId="0" borderId="4" xfId="17" applyFont="true" applyBorder="true" applyAlignment="true" applyProtection="true">
      <alignment horizontal="general" vertical="bottom" textRotation="0" wrapText="false" indent="0" shrinkToFit="false"/>
      <protection locked="true" hidden="false"/>
    </xf>
    <xf numFmtId="164" fontId="9" fillId="2" borderId="0" xfId="0" applyFont="true" applyBorder="false" applyAlignment="false" applyProtection="false">
      <alignment horizontal="general" vertical="bottom" textRotation="0" wrapText="false" indent="0" shrinkToFit="false"/>
      <protection locked="true" hidden="false"/>
    </xf>
    <xf numFmtId="169" fontId="9" fillId="2" borderId="0" xfId="17" applyFont="true" applyBorder="true" applyAlignment="true" applyProtection="true">
      <alignment horizontal="general" vertical="bottom" textRotation="0" wrapText="false" indent="0" shrinkToFit="false"/>
      <protection locked="true" hidden="false"/>
    </xf>
    <xf numFmtId="167" fontId="9" fillId="0" borderId="2" xfId="19" applyFont="true" applyBorder="true" applyAlignment="true" applyProtection="true">
      <alignment horizontal="center" vertical="bottom" textRotation="0" wrapText="false" indent="0" shrinkToFit="false"/>
      <protection locked="true" hidden="false"/>
    </xf>
    <xf numFmtId="167" fontId="9" fillId="0" borderId="3" xfId="19" applyFont="true" applyBorder="true" applyAlignment="true" applyProtection="true">
      <alignment horizontal="center" vertical="bottom" textRotation="0" wrapText="false" indent="0" shrinkToFit="false"/>
      <protection locked="true" hidden="false"/>
    </xf>
    <xf numFmtId="172" fontId="9" fillId="0" borderId="6" xfId="15" applyFont="true" applyBorder="true" applyAlignment="true" applyProtection="true">
      <alignment horizontal="general" vertical="bottom" textRotation="0" wrapText="fals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9" fontId="9" fillId="4" borderId="0" xfId="17" applyFont="true" applyBorder="true" applyAlignment="true" applyProtection="true">
      <alignment horizontal="general" vertical="bottom" textRotation="0" wrapText="false" indent="0" shrinkToFit="false"/>
      <protection locked="true" hidden="false"/>
    </xf>
    <xf numFmtId="169" fontId="9" fillId="2" borderId="0" xfId="0" applyFont="true" applyBorder="false" applyAlignment="false" applyProtection="false">
      <alignment horizontal="general" vertical="bottom" textRotation="0" wrapText="false" indent="0" shrinkToFit="false"/>
      <protection locked="true" hidden="false"/>
    </xf>
    <xf numFmtId="169" fontId="9" fillId="0" borderId="0" xfId="0" applyFont="true" applyBorder="false" applyAlignment="false" applyProtection="false">
      <alignment horizontal="general" vertical="bottom" textRotation="0" wrapText="false" indent="0" shrinkToFit="false"/>
      <protection locked="true" hidden="false"/>
    </xf>
    <xf numFmtId="167" fontId="9" fillId="0" borderId="0"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58"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center" textRotation="0" wrapText="false" indent="0" shrinkToFit="false"/>
      <protection locked="true" hidden="false"/>
    </xf>
    <xf numFmtId="164" fontId="0" fillId="6" borderId="3" xfId="0" applyFont="false" applyBorder="true" applyAlignment="false" applyProtection="false">
      <alignment horizontal="general" vertical="bottom" textRotation="0" wrapText="false" indent="0" shrinkToFit="false"/>
      <protection locked="true" hidden="false"/>
    </xf>
    <xf numFmtId="164" fontId="0" fillId="6" borderId="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6" borderId="22" xfId="0" applyFont="false" applyBorder="true" applyAlignment="false" applyProtection="false">
      <alignment horizontal="general" vertical="bottom" textRotation="0" wrapText="false" indent="0" shrinkToFit="false"/>
      <protection locked="true" hidden="false"/>
    </xf>
    <xf numFmtId="176" fontId="0" fillId="6" borderId="0" xfId="15" applyFont="true" applyBorder="true" applyAlignment="true" applyProtection="true">
      <alignment horizontal="general" vertical="bottom" textRotation="0" wrapText="false" indent="0" shrinkToFit="false"/>
      <protection locked="true" hidden="false"/>
    </xf>
    <xf numFmtId="169" fontId="0" fillId="6" borderId="22" xfId="17" applyFont="true" applyBorder="true" applyAlignment="true" applyProtection="true">
      <alignment horizontal="center" vertical="bottom" textRotation="0" wrapText="false" indent="0" shrinkToFit="false"/>
      <protection locked="true" hidden="false"/>
    </xf>
    <xf numFmtId="185" fontId="0" fillId="0" borderId="0" xfId="19" applyFont="true" applyBorder="true" applyAlignment="true" applyProtection="true">
      <alignment horizontal="right" vertical="bottom" textRotation="0" wrapText="false" indent="0" shrinkToFit="false"/>
      <protection locked="true" hidden="false"/>
    </xf>
    <xf numFmtId="185" fontId="0" fillId="6" borderId="0" xfId="0" applyFont="false" applyBorder="false" applyAlignment="true" applyProtection="false">
      <alignment horizontal="right" vertical="bottom" textRotation="0" wrapText="false" indent="0" shrinkToFit="false"/>
      <protection locked="true" hidden="false"/>
    </xf>
    <xf numFmtId="169" fontId="0" fillId="6" borderId="22" xfId="17" applyFont="true" applyBorder="true" applyAlignment="true" applyProtection="true">
      <alignment horizontal="general" vertical="bottom" textRotation="0" wrapText="false" indent="0" shrinkToFit="false"/>
      <protection locked="true" hidden="false"/>
    </xf>
    <xf numFmtId="176" fontId="13" fillId="0" borderId="0" xfId="15" applyFont="true" applyBorder="true" applyAlignment="true" applyProtection="true">
      <alignment horizontal="center" vertical="bottom" textRotation="0" wrapText="false" indent="0" shrinkToFit="false"/>
      <protection locked="true" hidden="false"/>
    </xf>
    <xf numFmtId="176" fontId="13" fillId="6" borderId="0" xfId="15" applyFont="true" applyBorder="true" applyAlignment="true" applyProtection="true">
      <alignment horizontal="center" vertical="bottom" textRotation="0" wrapText="false" indent="0" shrinkToFit="false"/>
      <protection locked="true" hidden="false"/>
    </xf>
    <xf numFmtId="169" fontId="13" fillId="6" borderId="22" xfId="17" applyFont="true" applyBorder="true" applyAlignment="true" applyProtection="true">
      <alignment horizontal="general" vertical="bottom" textRotation="0" wrapText="false" indent="0" shrinkToFit="false"/>
      <protection locked="true" hidden="false"/>
    </xf>
    <xf numFmtId="185" fontId="13" fillId="0" borderId="0" xfId="19" applyFont="true" applyBorder="true" applyAlignment="true" applyProtection="true">
      <alignment horizontal="right" vertical="bottom" textRotation="0" wrapText="false" indent="0" shrinkToFit="false"/>
      <protection locked="true" hidden="false"/>
    </xf>
    <xf numFmtId="185" fontId="13" fillId="6" borderId="0" xfId="0" applyFont="true" applyBorder="false" applyAlignment="true" applyProtection="false">
      <alignment horizontal="right" vertical="bottom" textRotation="0" wrapText="false" indent="0" shrinkToFit="false"/>
      <protection locked="true" hidden="false"/>
    </xf>
    <xf numFmtId="176" fontId="26" fillId="0" borderId="0" xfId="15" applyFont="true" applyBorder="true" applyAlignment="true" applyProtection="true">
      <alignment horizontal="general" vertical="bottom" textRotation="0" wrapText="false" indent="0" shrinkToFit="false"/>
      <protection locked="true" hidden="false"/>
    </xf>
    <xf numFmtId="176" fontId="26" fillId="6" borderId="0" xfId="15" applyFont="true" applyBorder="true" applyAlignment="true" applyProtection="tru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9" fontId="26" fillId="6" borderId="22" xfId="17" applyFont="true" applyBorder="true" applyAlignment="true" applyProtection="true">
      <alignment horizontal="general" vertical="bottom" textRotation="0" wrapText="false" indent="0" shrinkToFit="false"/>
      <protection locked="true" hidden="false"/>
    </xf>
    <xf numFmtId="185" fontId="26" fillId="0" borderId="0" xfId="19" applyFont="true" applyBorder="true" applyAlignment="true" applyProtection="true">
      <alignment horizontal="right" vertical="bottom" textRotation="0" wrapText="false" indent="0" shrinkToFit="false"/>
      <protection locked="true" hidden="false"/>
    </xf>
    <xf numFmtId="185" fontId="26" fillId="6" borderId="0" xfId="19" applyFont="true" applyBorder="true" applyAlignment="true" applyProtection="true">
      <alignment horizontal="right"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9" fontId="0" fillId="6" borderId="22" xfId="0" applyFont="false" applyBorder="true" applyAlignment="false" applyProtection="false">
      <alignment horizontal="general" vertical="bottom" textRotation="0" wrapText="false" indent="0" shrinkToFit="false"/>
      <protection locked="true" hidden="false"/>
    </xf>
    <xf numFmtId="169" fontId="0" fillId="0" borderId="6" xfId="0" applyFont="false" applyBorder="true" applyAlignment="false" applyProtection="false">
      <alignment horizontal="general" vertical="bottom" textRotation="0" wrapText="false" indent="0" shrinkToFit="false"/>
      <protection locked="true" hidden="false"/>
    </xf>
    <xf numFmtId="169" fontId="0" fillId="0" borderId="0" xfId="0" applyFont="false" applyBorder="true" applyAlignment="false" applyProtection="false">
      <alignment horizontal="general" vertical="bottom" textRotation="0" wrapText="false" indent="0" shrinkToFit="false"/>
      <protection locked="true" hidden="false"/>
    </xf>
    <xf numFmtId="183" fontId="0" fillId="0" borderId="0" xfId="0" applyFont="fals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9" fontId="0" fillId="4" borderId="0" xfId="0" applyFont="false" applyBorder="true" applyAlignment="false" applyProtection="false">
      <alignment horizontal="general" vertical="bottom" textRotation="0" wrapText="false" indent="0" shrinkToFit="false"/>
      <protection locked="true" hidden="false"/>
    </xf>
    <xf numFmtId="169" fontId="12" fillId="4" borderId="0" xfId="0" applyFont="true" applyBorder="true" applyAlignment="false" applyProtection="false">
      <alignment horizontal="general" vertical="bottom" textRotation="0" wrapText="false" indent="0" shrinkToFit="false"/>
      <protection locked="true" hidden="false"/>
    </xf>
    <xf numFmtId="169" fontId="13" fillId="4" borderId="0" xfId="0" applyFont="true" applyBorder="true" applyAlignment="false" applyProtection="false">
      <alignment horizontal="general" vertical="bottom" textRotation="0" wrapText="false" indent="0" shrinkToFit="false"/>
      <protection locked="true" hidden="false"/>
    </xf>
    <xf numFmtId="185" fontId="13" fillId="4" borderId="0" xfId="19" applyFont="true" applyBorder="true" applyAlignment="true" applyProtection="true">
      <alignment horizontal="general" vertical="bottom" textRotation="0" wrapText="false" indent="0" shrinkToFit="false"/>
      <protection locked="true" hidden="false"/>
    </xf>
    <xf numFmtId="169" fontId="13" fillId="0"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11" xfId="0" applyFont="fals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right" vertical="bottom" textRotation="0" wrapText="false" indent="0" shrinkToFit="false"/>
      <protection locked="true" hidden="false"/>
    </xf>
    <xf numFmtId="164" fontId="0" fillId="0" borderId="22" xfId="0" applyFont="true" applyBorder="true" applyAlignment="true" applyProtection="false">
      <alignment horizontal="left"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9" fontId="0" fillId="0" borderId="11" xfId="17" applyFont="true" applyBorder="true" applyAlignment="true" applyProtection="true">
      <alignment horizontal="general" vertical="bottom" textRotation="0" wrapText="false" indent="0" shrinkToFit="false"/>
      <protection locked="true" hidden="false"/>
    </xf>
    <xf numFmtId="169" fontId="0" fillId="0" borderId="11" xfId="0" applyFont="false" applyBorder="true" applyAlignment="false" applyProtection="false">
      <alignment horizontal="general" vertical="bottom" textRotation="0" wrapText="false" indent="0" shrinkToFit="false"/>
      <protection locked="true" hidden="false"/>
    </xf>
    <xf numFmtId="169" fontId="0" fillId="0" borderId="12" xfId="17" applyFont="true" applyBorder="true" applyAlignment="true" applyProtection="true">
      <alignment horizontal="general" vertical="bottom" textRotation="0" wrapText="false" indent="0" shrinkToFit="false"/>
      <protection locked="true" hidden="false"/>
    </xf>
    <xf numFmtId="169" fontId="0" fillId="0" borderId="12" xfId="0" applyFont="false" applyBorder="true" applyAlignment="false" applyProtection="false">
      <alignment horizontal="general" vertical="bottom" textRotation="0" wrapText="false" indent="0" shrinkToFit="false"/>
      <protection locked="true" hidden="false"/>
    </xf>
    <xf numFmtId="174" fontId="0" fillId="0" borderId="12" xfId="0" applyFont="false" applyBorder="true" applyAlignment="false" applyProtection="false">
      <alignment horizontal="general" vertical="bottom" textRotation="0" wrapText="false" indent="0" shrinkToFit="false"/>
      <protection locked="true" hidden="false"/>
    </xf>
    <xf numFmtId="174" fontId="0" fillId="0" borderId="0" xfId="0" applyFont="false" applyBorder="false" applyAlignment="true" applyProtection="false">
      <alignment horizontal="center" vertical="bottom" textRotation="0" wrapText="false" indent="0" shrinkToFit="false"/>
      <protection locked="true" hidden="false"/>
    </xf>
    <xf numFmtId="174" fontId="22" fillId="2" borderId="22" xfId="0" applyFont="true" applyBorder="true" applyAlignment="false" applyProtection="false">
      <alignment horizontal="general" vertical="bottom" textRotation="0" wrapText="false" indent="0" shrinkToFit="false"/>
      <protection locked="true" hidden="false"/>
    </xf>
    <xf numFmtId="164" fontId="0" fillId="2" borderId="21" xfId="0" applyFont="false" applyBorder="tru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74" fontId="0" fillId="0" borderId="13" xfId="0" applyFont="false" applyBorder="true" applyAlignment="false" applyProtection="false">
      <alignment horizontal="general" vertical="bottom" textRotation="0" wrapText="false" indent="0" shrinkToFit="false"/>
      <protection locked="true" hidden="false"/>
    </xf>
    <xf numFmtId="180" fontId="0" fillId="0" borderId="22" xfId="0" applyFont="false" applyBorder="true" applyAlignment="false" applyProtection="false">
      <alignment horizontal="general" vertical="bottom" textRotation="0" wrapText="false" indent="0" shrinkToFit="false"/>
      <protection locked="true" hidden="false"/>
    </xf>
    <xf numFmtId="180" fontId="0" fillId="0" borderId="18" xfId="0" applyFont="false" applyBorder="true" applyAlignment="false" applyProtection="false">
      <alignment horizontal="general" vertical="bottom" textRotation="0" wrapText="false" indent="0" shrinkToFit="false"/>
      <protection locked="true" hidden="false"/>
    </xf>
    <xf numFmtId="180" fontId="22" fillId="0" borderId="22" xfId="0" applyFont="true" applyBorder="true" applyAlignment="false" applyProtection="false">
      <alignment horizontal="general"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74" fontId="0" fillId="0" borderId="22" xfId="0" applyFont="false" applyBorder="true" applyAlignment="false" applyProtection="false">
      <alignment horizontal="general" vertical="bottom" textRotation="0" wrapText="false" indent="0" shrinkToFit="false"/>
      <protection locked="true" hidden="false"/>
    </xf>
    <xf numFmtId="174" fontId="0" fillId="0" borderId="18" xfId="0" applyFont="false" applyBorder="true" applyAlignment="false" applyProtection="false">
      <alignment horizontal="general" vertical="bottom" textRotation="0" wrapText="false" indent="0" shrinkToFit="false"/>
      <protection locked="true" hidden="false"/>
    </xf>
    <xf numFmtId="174" fontId="22" fillId="0" borderId="22"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left" vertical="bottom" textRotation="0" wrapText="fals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9" fontId="12" fillId="0" borderId="0" xfId="17" applyFont="true" applyBorder="true" applyAlignment="true" applyProtection="true">
      <alignment horizontal="right" vertical="bottom" textRotation="0" wrapText="false" indent="0" shrinkToFit="false"/>
      <protection locked="true" hidden="false"/>
    </xf>
    <xf numFmtId="164" fontId="12" fillId="0" borderId="0" xfId="0" applyFont="true" applyBorder="false" applyAlignment="true" applyProtection="false">
      <alignment horizontal="right" vertical="bottom" textRotation="0" wrapText="false" indent="0" shrinkToFit="false"/>
      <protection locked="true" hidden="false"/>
    </xf>
    <xf numFmtId="183" fontId="24"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59" fillId="0" borderId="0" xfId="0" applyFont="true" applyBorder="true" applyAlignment="false" applyProtection="false">
      <alignment horizontal="general" vertical="bottom" textRotation="0" wrapText="false" indent="0" shrinkToFit="false"/>
      <protection locked="true" hidden="false"/>
    </xf>
    <xf numFmtId="170" fontId="5" fillId="0" borderId="0" xfId="17" applyFont="true" applyBorder="true" applyAlignment="true" applyProtection="true">
      <alignment horizontal="general" vertical="bottom" textRotation="0" wrapText="false" indent="0" shrinkToFit="false"/>
      <protection locked="true" hidden="false"/>
    </xf>
    <xf numFmtId="164" fontId="60" fillId="0" borderId="0" xfId="15" applyFont="true" applyBorder="true" applyAlignment="true" applyProtection="true">
      <alignment horizontal="general" vertical="bottom" textRotation="0" wrapText="false" indent="0" shrinkToFit="false"/>
      <protection locked="true" hidden="false"/>
    </xf>
    <xf numFmtId="175" fontId="5" fillId="0" borderId="0" xfId="15" applyFont="true" applyBorder="true" applyAlignment="true" applyProtection="true">
      <alignment horizontal="general" vertical="bottom" textRotation="0" wrapText="false" indent="0" shrinkToFit="false"/>
      <protection locked="true" hidden="false"/>
    </xf>
    <xf numFmtId="180" fontId="60" fillId="0" borderId="0" xfId="15" applyFont="true" applyBorder="true" applyAlignment="true" applyProtection="true">
      <alignment horizontal="general" vertical="bottom" textRotation="0" wrapText="fals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70" fontId="61" fillId="0" borderId="0" xfId="17" applyFont="true" applyBorder="tru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false">
      <alignment horizontal="general" vertical="bottom" textRotation="0" wrapText="false" indent="0" shrinkToFit="false"/>
      <protection locked="true" hidden="false"/>
    </xf>
    <xf numFmtId="164" fontId="7" fillId="0" borderId="1" xfId="0" applyFont="true" applyBorder="tru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62" fillId="0" borderId="2" xfId="0" applyFont="true" applyBorder="true" applyAlignment="true" applyProtection="false">
      <alignment horizontal="center" vertical="bottom" textRotation="0" wrapText="false" indent="0" shrinkToFit="false"/>
      <protection locked="true" hidden="false"/>
    </xf>
    <xf numFmtId="164" fontId="62" fillId="0" borderId="7" xfId="0" applyFont="true" applyBorder="true" applyAlignment="true" applyProtection="false">
      <alignment horizontal="center" vertical="bottom" textRotation="0" wrapText="false" indent="0" shrinkToFit="false"/>
      <protection locked="true" hidden="false"/>
    </xf>
    <xf numFmtId="164" fontId="62" fillId="0" borderId="8" xfId="0" applyFont="true" applyBorder="true" applyAlignment="true" applyProtection="false">
      <alignment horizontal="center" vertical="bottom" textRotation="0" wrapText="false" indent="0" shrinkToFit="false"/>
      <protection locked="true" hidden="false"/>
    </xf>
    <xf numFmtId="164" fontId="62" fillId="0" borderId="3" xfId="0" applyFont="true" applyBorder="true" applyAlignment="true" applyProtection="false">
      <alignment horizontal="center" vertical="bottom" textRotation="0" wrapText="false" indent="0" shrinkToFit="false"/>
      <protection locked="true" hidden="false"/>
    </xf>
    <xf numFmtId="194" fontId="16" fillId="0" borderId="0" xfId="17" applyFont="true" applyBorder="true" applyAlignment="true" applyProtection="true">
      <alignment horizontal="general" vertical="bottom" textRotation="0" wrapText="false" indent="0" shrinkToFit="false"/>
      <protection locked="true" hidden="false"/>
    </xf>
    <xf numFmtId="194" fontId="16" fillId="0" borderId="9" xfId="17" applyFont="true" applyBorder="true" applyAlignment="true" applyProtection="true">
      <alignment horizontal="general" vertical="bottom" textRotation="0" wrapText="false" indent="0" shrinkToFit="false"/>
      <protection locked="true" hidden="false"/>
    </xf>
    <xf numFmtId="200" fontId="16" fillId="0" borderId="0" xfId="15" applyFont="true" applyBorder="true" applyAlignment="true" applyProtection="true">
      <alignment horizontal="general" vertical="bottom" textRotation="0" wrapText="false" indent="0" shrinkToFit="false"/>
      <protection locked="true" hidden="false"/>
    </xf>
    <xf numFmtId="200" fontId="16" fillId="0" borderId="9" xfId="15" applyFont="true" applyBorder="true" applyAlignment="true" applyProtection="true">
      <alignment horizontal="general" vertical="bottom" textRotation="0" wrapText="false" indent="0" shrinkToFit="false"/>
      <protection locked="true" hidden="false"/>
    </xf>
    <xf numFmtId="200" fontId="63" fillId="0" borderId="0" xfId="15" applyFont="true" applyBorder="true" applyAlignment="true" applyProtection="true">
      <alignment horizontal="general" vertical="bottom" textRotation="0" wrapText="false" indent="0" shrinkToFit="false"/>
      <protection locked="true" hidden="false"/>
    </xf>
    <xf numFmtId="200" fontId="63" fillId="0" borderId="9" xfId="15" applyFont="true" applyBorder="true" applyAlignment="true" applyProtection="true">
      <alignment horizontal="general" vertical="bottom" textRotation="0" wrapText="false" indent="0" shrinkToFit="false"/>
      <protection locked="true" hidden="false"/>
    </xf>
    <xf numFmtId="204" fontId="63" fillId="0" borderId="0" xfId="15" applyFont="true" applyBorder="true" applyAlignment="true" applyProtection="true">
      <alignment horizontal="general" vertical="bottom" textRotation="0" wrapText="false" indent="0" shrinkToFit="false"/>
      <protection locked="true" hidden="false"/>
    </xf>
    <xf numFmtId="204" fontId="63" fillId="0" borderId="9" xfId="15" applyFont="true" applyBorder="true" applyAlignment="true" applyProtection="tru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94" fontId="64" fillId="0" borderId="0" xfId="17" applyFont="true" applyBorder="true" applyAlignment="true" applyProtection="true">
      <alignment horizontal="general" vertical="bottom" textRotation="0" wrapText="false" indent="0" shrinkToFit="false"/>
      <protection locked="true" hidden="false"/>
    </xf>
    <xf numFmtId="194" fontId="64" fillId="0" borderId="9" xfId="17" applyFont="true" applyBorder="true" applyAlignment="true" applyProtection="true">
      <alignment horizontal="general" vertical="bottom" textRotation="0" wrapText="false" indent="0" shrinkToFit="false"/>
      <protection locked="true" hidden="false"/>
    </xf>
    <xf numFmtId="194" fontId="64" fillId="0" borderId="5" xfId="17" applyFont="true" applyBorder="true" applyAlignment="true" applyProtection="true">
      <alignment horizontal="general" vertical="bottom" textRotation="0" wrapText="false" indent="0" shrinkToFit="false"/>
      <protection locked="true" hidden="false"/>
    </xf>
    <xf numFmtId="194" fontId="64" fillId="0" borderId="23" xfId="17" applyFont="true" applyBorder="true" applyAlignment="true" applyProtection="true">
      <alignment horizontal="general" vertical="bottom" textRotation="0" wrapText="false" indent="0" shrinkToFit="false"/>
      <protection locked="true" hidden="false"/>
    </xf>
    <xf numFmtId="194" fontId="65" fillId="0" borderId="0" xfId="17" applyFont="true" applyBorder="true" applyAlignment="true" applyProtection="true">
      <alignment horizontal="general" vertical="bottom" textRotation="0" wrapText="false" indent="0" shrinkToFit="false"/>
      <protection locked="true" hidden="false"/>
    </xf>
    <xf numFmtId="194" fontId="65" fillId="0" borderId="9" xfId="17" applyFont="true" applyBorder="true" applyAlignment="true" applyProtection="tru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true" applyAlignment="false" applyProtection="false">
      <alignment horizontal="general" vertical="bottom" textRotation="0" wrapText="false" indent="0" shrinkToFit="false"/>
      <protection locked="true" hidden="false"/>
    </xf>
    <xf numFmtId="190" fontId="16" fillId="0" borderId="9" xfId="0" applyFont="true" applyBorder="true" applyAlignment="false" applyProtection="false">
      <alignment horizontal="general" vertical="bottom" textRotation="0" wrapText="false" indent="0" shrinkToFit="false"/>
      <protection locked="true" hidden="false"/>
    </xf>
    <xf numFmtId="204" fontId="16" fillId="0" borderId="0" xfId="15" applyFont="true" applyBorder="true" applyAlignment="true" applyProtection="true">
      <alignment horizontal="general" vertical="bottom" textRotation="0" wrapText="false" indent="0" shrinkToFit="false"/>
      <protection locked="true" hidden="false"/>
    </xf>
    <xf numFmtId="204" fontId="16" fillId="0" borderId="9" xfId="15" applyFont="true" applyBorder="true" applyAlignment="true" applyProtection="true">
      <alignment horizontal="general" vertical="bottom" textRotation="0" wrapText="false" indent="0" shrinkToFit="false"/>
      <protection locked="true" hidden="false"/>
    </xf>
    <xf numFmtId="192" fontId="16" fillId="0" borderId="0" xfId="17" applyFont="true" applyBorder="true" applyAlignment="true" applyProtection="true">
      <alignment horizontal="general" vertical="bottom" textRotation="0" wrapText="false" indent="0" shrinkToFit="false"/>
      <protection locked="true" hidden="false"/>
    </xf>
    <xf numFmtId="192" fontId="16" fillId="0" borderId="9" xfId="17" applyFont="true" applyBorder="true" applyAlignment="true" applyProtection="tru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6" fillId="0" borderId="9" xfId="0" applyFont="true" applyBorder="true" applyAlignment="false" applyProtection="false">
      <alignment horizontal="general" vertical="bottom" textRotation="0" wrapText="false" indent="0" shrinkToFit="false"/>
      <protection locked="true" hidden="false"/>
    </xf>
    <xf numFmtId="187" fontId="16" fillId="0" borderId="9" xfId="0" applyFont="true" applyBorder="true" applyAlignment="true" applyProtection="false">
      <alignment horizontal="center" vertical="bottom" textRotation="0" wrapText="false" indent="0" shrinkToFit="false"/>
      <protection locked="true" hidden="false"/>
    </xf>
    <xf numFmtId="205" fontId="16" fillId="0" borderId="0" xfId="15" applyFont="true" applyBorder="true" applyAlignment="true" applyProtection="true">
      <alignment horizontal="general" vertical="bottom" textRotation="0" wrapText="false" indent="0" shrinkToFit="false"/>
      <protection locked="true" hidden="false"/>
    </xf>
    <xf numFmtId="205" fontId="16" fillId="0" borderId="9"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true" applyAlignment="false" applyProtection="false">
      <alignment horizontal="general" vertical="bottom" textRotation="0" wrapText="false" indent="0" shrinkToFit="false"/>
      <protection locked="true" hidden="false"/>
    </xf>
    <xf numFmtId="164" fontId="62" fillId="0" borderId="9" xfId="0" applyFont="true" applyBorder="true" applyAlignment="false" applyProtection="false">
      <alignment horizontal="general" vertical="bottom" textRotation="0" wrapText="false" indent="0" shrinkToFit="false"/>
      <protection locked="true" hidden="false"/>
    </xf>
    <xf numFmtId="173" fontId="16" fillId="0" borderId="0" xfId="15" applyFont="true" applyBorder="true" applyAlignment="true" applyProtection="true">
      <alignment horizontal="general" vertical="bottom" textRotation="0" wrapText="false" indent="0" shrinkToFit="false"/>
      <protection locked="true" hidden="false"/>
    </xf>
    <xf numFmtId="173" fontId="16" fillId="0" borderId="9"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206" fontId="0"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worksheet" Target="worksheets/sheet40.xml"/><Relationship Id="rId43" Type="http://schemas.openxmlformats.org/officeDocument/2006/relationships/worksheet" Target="worksheets/sheet41.xml"/><Relationship Id="rId44" Type="http://schemas.openxmlformats.org/officeDocument/2006/relationships/worksheet" Target="worksheets/sheet42.xml"/><Relationship Id="rId45" Type="http://schemas.openxmlformats.org/officeDocument/2006/relationships/worksheet" Target="worksheets/sheet43.xml"/><Relationship Id="rId46" Type="http://schemas.openxmlformats.org/officeDocument/2006/relationships/worksheet" Target="worksheets/sheet44.xml"/><Relationship Id="rId47" Type="http://schemas.openxmlformats.org/officeDocument/2006/relationships/worksheet" Target="worksheets/sheet45.xml"/><Relationship Id="rId48" Type="http://schemas.openxmlformats.org/officeDocument/2006/relationships/worksheet" Target="worksheets/sheet46.xml"/><Relationship Id="rId49" Type="http://schemas.openxmlformats.org/officeDocument/2006/relationships/worksheet" Target="worksheets/sheet47.xml"/><Relationship Id="rId50"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5</xdr:col>
      <xdr:colOff>170640</xdr:colOff>
      <xdr:row>17</xdr:row>
      <xdr:rowOff>171360</xdr:rowOff>
    </xdr:from>
    <xdr:to>
      <xdr:col>5</xdr:col>
      <xdr:colOff>583560</xdr:colOff>
      <xdr:row>17</xdr:row>
      <xdr:rowOff>171360</xdr:rowOff>
    </xdr:to>
    <xdr:sp>
      <xdr:nvSpPr>
        <xdr:cNvPr id="0" name="Line 120"/>
        <xdr:cNvSpPr/>
      </xdr:nvSpPr>
      <xdr:spPr>
        <a:xfrm>
          <a:off x="3531240" y="3591000"/>
          <a:ext cx="412920" cy="0"/>
        </a:xfrm>
        <a:prstGeom prst="line">
          <a:avLst/>
        </a:prstGeom>
        <a:ln w="9360">
          <a:solidFill>
            <a:srgbClr val="000000"/>
          </a:solidFill>
          <a:miter/>
        </a:ln>
      </xdr:spPr>
      <xdr:style>
        <a:lnRef idx="0"/>
        <a:fillRef idx="0"/>
        <a:effectRef idx="0"/>
        <a:fontRef idx="minor"/>
      </xdr:style>
    </xdr:sp>
    <xdr:clientData/>
  </xdr:twoCellAnchor>
  <xdr:twoCellAnchor editAs="oneCell">
    <xdr:from>
      <xdr:col>9</xdr:col>
      <xdr:colOff>170640</xdr:colOff>
      <xdr:row>17</xdr:row>
      <xdr:rowOff>171360</xdr:rowOff>
    </xdr:from>
    <xdr:to>
      <xdr:col>9</xdr:col>
      <xdr:colOff>583560</xdr:colOff>
      <xdr:row>17</xdr:row>
      <xdr:rowOff>171360</xdr:rowOff>
    </xdr:to>
    <xdr:sp>
      <xdr:nvSpPr>
        <xdr:cNvPr id="1" name="Line 121"/>
        <xdr:cNvSpPr/>
      </xdr:nvSpPr>
      <xdr:spPr>
        <a:xfrm>
          <a:off x="7153200" y="3591000"/>
          <a:ext cx="412920" cy="0"/>
        </a:xfrm>
        <a:prstGeom prst="line">
          <a:avLst/>
        </a:prstGeom>
        <a:ln w="9360">
          <a:solidFill>
            <a:srgbClr val="000000"/>
          </a:solidFill>
          <a:miter/>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190800</xdr:colOff>
      <xdr:row>3</xdr:row>
      <xdr:rowOff>0</xdr:rowOff>
    </xdr:from>
    <xdr:to>
      <xdr:col>9</xdr:col>
      <xdr:colOff>262440</xdr:colOff>
      <xdr:row>23</xdr:row>
      <xdr:rowOff>105120</xdr:rowOff>
    </xdr:to>
    <xdr:sp>
      <xdr:nvSpPr>
        <xdr:cNvPr id="2" name="Rectangle 3"/>
        <xdr:cNvSpPr/>
      </xdr:nvSpPr>
      <xdr:spPr>
        <a:xfrm>
          <a:off x="5653080" y="628560"/>
          <a:ext cx="825840" cy="3343680"/>
        </a:xfrm>
        <a:prstGeom prst="rect">
          <a:avLst/>
        </a:prstGeom>
        <a:no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190800</xdr:colOff>
      <xdr:row>4</xdr:row>
      <xdr:rowOff>66240</xdr:rowOff>
    </xdr:from>
    <xdr:to>
      <xdr:col>9</xdr:col>
      <xdr:colOff>262080</xdr:colOff>
      <xdr:row>35</xdr:row>
      <xdr:rowOff>124200</xdr:rowOff>
    </xdr:to>
    <xdr:sp>
      <xdr:nvSpPr>
        <xdr:cNvPr id="3" name="Rectangle 157"/>
        <xdr:cNvSpPr/>
      </xdr:nvSpPr>
      <xdr:spPr>
        <a:xfrm>
          <a:off x="6206760" y="828360"/>
          <a:ext cx="825840" cy="5077440"/>
        </a:xfrm>
        <a:prstGeom prst="rect">
          <a:avLst/>
        </a:prstGeom>
        <a:noFill/>
        <a:ln w="9360">
          <a:solidFill>
            <a:srgbClr val="000000"/>
          </a:solidFill>
          <a:miter/>
        </a:ln>
      </xdr:spPr>
      <xdr:style>
        <a:lnRef idx="0"/>
        <a:fillRef idx="0"/>
        <a:effectRef idx="0"/>
        <a:fontRef idx="minor"/>
      </xdr:style>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140760</xdr:colOff>
      <xdr:row>4</xdr:row>
      <xdr:rowOff>142920</xdr:rowOff>
    </xdr:from>
    <xdr:to>
      <xdr:col>9</xdr:col>
      <xdr:colOff>212040</xdr:colOff>
      <xdr:row>32</xdr:row>
      <xdr:rowOff>75960</xdr:rowOff>
    </xdr:to>
    <xdr:sp>
      <xdr:nvSpPr>
        <xdr:cNvPr id="4" name="Rectangle 231"/>
        <xdr:cNvSpPr/>
      </xdr:nvSpPr>
      <xdr:spPr>
        <a:xfrm>
          <a:off x="5995440" y="905040"/>
          <a:ext cx="825840" cy="4466880"/>
        </a:xfrm>
        <a:prstGeom prst="rect">
          <a:avLst/>
        </a:prstGeom>
        <a:noFill/>
        <a:ln w="9360">
          <a:solidFill>
            <a:srgbClr val="000000"/>
          </a:solidFill>
          <a:miter/>
        </a:ln>
      </xdr:spPr>
      <xdr:style>
        <a:lnRef idx="0"/>
        <a:fillRef idx="0"/>
        <a:effectRef idx="0"/>
        <a:fontRef idx="minor"/>
      </xdr:style>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190800</xdr:colOff>
      <xdr:row>3</xdr:row>
      <xdr:rowOff>0</xdr:rowOff>
    </xdr:from>
    <xdr:to>
      <xdr:col>9</xdr:col>
      <xdr:colOff>262080</xdr:colOff>
      <xdr:row>24</xdr:row>
      <xdr:rowOff>105120</xdr:rowOff>
    </xdr:to>
    <xdr:sp>
      <xdr:nvSpPr>
        <xdr:cNvPr id="5" name="Rectangle 227"/>
        <xdr:cNvSpPr/>
      </xdr:nvSpPr>
      <xdr:spPr>
        <a:xfrm>
          <a:off x="5582520" y="628560"/>
          <a:ext cx="825840" cy="3505680"/>
        </a:xfrm>
        <a:prstGeom prst="rect">
          <a:avLst/>
        </a:prstGeom>
        <a:noFill/>
        <a:ln w="9360">
          <a:solidFill>
            <a:srgbClr val="000000"/>
          </a:solidFill>
          <a:miter/>
        </a:ln>
      </xdr:spPr>
      <xdr:style>
        <a:lnRef idx="0"/>
        <a:fillRef idx="0"/>
        <a:effectRef idx="0"/>
        <a:fontRef idx="minor"/>
      </xdr:style>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3.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vmlDrawing" Target="../drawings/vmlDrawing4.vml"/>
</Relationships>
</file>

<file path=xl/worksheets/_rels/sheet16.xml.rels><?xml version="1.0" encoding="UTF-8"?>
<Relationships xmlns="http://schemas.openxmlformats.org/package/2006/relationships"><Relationship Id="rId1" Type="http://schemas.openxmlformats.org/officeDocument/2006/relationships/comments" Target="../comments16.xml"/><Relationship Id="rId2" Type="http://schemas.openxmlformats.org/officeDocument/2006/relationships/vmlDrawing" Target="../drawings/vmlDrawing5.v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vmlDrawing" Target="../drawings/vmlDrawing6.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8.xml.rels><?xml version="1.0" encoding="UTF-8"?>
<Relationships xmlns="http://schemas.openxmlformats.org/package/2006/relationships"><Relationship Id="rId1" Type="http://schemas.openxmlformats.org/officeDocument/2006/relationships/comments" Target="../comments28.xml"/><Relationship Id="rId2" Type="http://schemas.openxmlformats.org/officeDocument/2006/relationships/vmlDrawing" Target="../drawings/vmlDrawing7.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2.xml"/><Relationship Id="rId3" Type="http://schemas.openxmlformats.org/officeDocument/2006/relationships/vmlDrawing" Target="../drawings/vmlDrawing2.vml"/>
</Relationships>
</file>

<file path=xl/worksheets/_rels/sheet42.xml.rels><?xml version="1.0" encoding="UTF-8"?>
<Relationships xmlns="http://schemas.openxmlformats.org/package/2006/relationships"><Relationship Id="rId1" Type="http://schemas.openxmlformats.org/officeDocument/2006/relationships/drawing" Target="../drawings/drawing4.xml"/>
</Relationships>
</file>

<file path=xl/worksheets/_rels/sheet43.xml.rels><?xml version="1.0" encoding="UTF-8"?>
<Relationships xmlns="http://schemas.openxmlformats.org/package/2006/relationships"><Relationship Id="rId1" Type="http://schemas.openxmlformats.org/officeDocument/2006/relationships/comments" Target="../comments43.xml"/><Relationship Id="rId2" Type="http://schemas.openxmlformats.org/officeDocument/2006/relationships/drawing" Target="../drawings/drawing5.xml"/><Relationship Id="rId3" Type="http://schemas.openxmlformats.org/officeDocument/2006/relationships/vmlDrawing" Target="../drawings/vmlDrawing8.vml"/>
</Relationships>
</file>

<file path=xl/worksheets/_rels/sheet44.xml.rels><?xml version="1.0" encoding="UTF-8"?>
<Relationships xmlns="http://schemas.openxmlformats.org/package/2006/relationships"><Relationship Id="rId1" Type="http://schemas.openxmlformats.org/officeDocument/2006/relationships/comments" Target="../comments44.xml"/><Relationship Id="rId2" Type="http://schemas.openxmlformats.org/officeDocument/2006/relationships/vmlDrawing" Target="../drawings/vmlDrawing9.v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3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4" min="4" style="0" width="19.7"/>
  </cols>
  <sheetData>
    <row r="1" customFormat="false" ht="21" hidden="false" customHeight="false" outlineLevel="0" collapsed="false">
      <c r="A1" s="1" t="s">
        <v>0</v>
      </c>
      <c r="B1" s="2"/>
      <c r="C1" s="2"/>
      <c r="D1" s="3"/>
      <c r="E1" s="3"/>
      <c r="F1" s="3"/>
      <c r="G1" s="4"/>
      <c r="H1" s="3"/>
      <c r="I1" s="3"/>
      <c r="J1" s="3"/>
      <c r="K1" s="4"/>
      <c r="L1" s="4"/>
    </row>
    <row r="7" customFormat="false" ht="20.25" hidden="false" customHeight="false" outlineLevel="0" collapsed="false">
      <c r="L7" s="5"/>
    </row>
    <row r="9" customFormat="false" ht="23.25" hidden="false" customHeight="false" outlineLevel="0" collapsed="false">
      <c r="D9" s="6"/>
    </row>
    <row r="10" customFormat="false" ht="12.75" hidden="false" customHeight="false" outlineLevel="0" collapsed="false">
      <c r="D10" s="7"/>
    </row>
    <row r="11" customFormat="false" ht="27.75" hidden="false" customHeight="false" outlineLevel="0" collapsed="false">
      <c r="D11" s="8"/>
    </row>
    <row r="12" customFormat="false" ht="27.75" hidden="false" customHeight="false" outlineLevel="0" collapsed="false">
      <c r="D12" s="8"/>
    </row>
    <row r="13" customFormat="false" ht="27.75" hidden="false" customHeight="false" outlineLevel="0" collapsed="false">
      <c r="D13" s="8"/>
    </row>
    <row r="14" customFormat="false" ht="27.75" hidden="false" customHeight="true" outlineLevel="0" collapsed="false">
      <c r="A14" s="9" t="s">
        <v>1</v>
      </c>
      <c r="B14" s="9"/>
      <c r="C14" s="9"/>
      <c r="D14" s="9"/>
      <c r="E14" s="9"/>
      <c r="F14" s="9"/>
      <c r="G14" s="9"/>
      <c r="H14" s="9"/>
      <c r="I14" s="9"/>
      <c r="J14" s="9"/>
      <c r="K14" s="9"/>
      <c r="L14" s="9"/>
    </row>
    <row r="15" customFormat="false" ht="27.75" hidden="false" customHeight="false" outlineLevel="0" collapsed="false">
      <c r="D15" s="8"/>
    </row>
    <row r="16" customFormat="false" ht="27.75" hidden="false" customHeight="false" outlineLevel="0" collapsed="false">
      <c r="D16" s="8"/>
    </row>
    <row r="18" customFormat="false" ht="27.75" hidden="false" customHeight="false" outlineLevel="0" collapsed="false">
      <c r="D18" s="8"/>
    </row>
    <row r="19" customFormat="false" ht="27.75" hidden="false" customHeight="true" outlineLevel="0" collapsed="false">
      <c r="A19" s="10" t="s">
        <v>2</v>
      </c>
      <c r="B19" s="10"/>
      <c r="C19" s="10"/>
      <c r="D19" s="10"/>
      <c r="E19" s="10"/>
      <c r="F19" s="10"/>
      <c r="G19" s="10"/>
      <c r="H19" s="10"/>
      <c r="I19" s="10"/>
      <c r="J19" s="10"/>
      <c r="K19" s="10"/>
      <c r="L19" s="10"/>
    </row>
    <row r="25" customFormat="false" ht="18" hidden="false" customHeight="false" outlineLevel="0" collapsed="false">
      <c r="A25" s="11" t="n">
        <f aca="true">TODAY()</f>
        <v>45926</v>
      </c>
      <c r="B25" s="11"/>
      <c r="C25" s="11"/>
      <c r="D25" s="11"/>
      <c r="E25" s="11"/>
      <c r="F25" s="11"/>
      <c r="G25" s="11"/>
      <c r="H25" s="11"/>
      <c r="I25" s="11"/>
      <c r="J25" s="11"/>
      <c r="K25" s="11"/>
      <c r="L25" s="11"/>
    </row>
    <row r="26" customFormat="false" ht="12.75" hidden="false" customHeight="false" outlineLevel="0" collapsed="false">
      <c r="D26" s="12"/>
    </row>
    <row r="38" customFormat="false" ht="12.75" hidden="false" customHeight="false" outlineLevel="0" collapsed="false">
      <c r="H38" s="13"/>
    </row>
  </sheetData>
  <mergeCells count="3">
    <mergeCell ref="A14:L14"/>
    <mergeCell ref="A19:L19"/>
    <mergeCell ref="A25:L25"/>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43"/>
  <sheetViews>
    <sheetView showFormulas="false" showGridLines="false" showRowColHeaders="true" showZeros="true" rightToLeft="false" tabSelected="false" showOutlineSymbols="true" defaultGridColor="true" view="normal" topLeftCell="A4" colorId="64" zoomScale="80" zoomScaleNormal="80" zoomScalePageLayoutView="100" workbookViewId="0">
      <selection pane="topLeft" activeCell="I23" activeCellId="0" sqref="I23"/>
    </sheetView>
  </sheetViews>
  <sheetFormatPr defaultColWidth="9.13671875" defaultRowHeight="12.75" customHeight="true" zeroHeight="false" outlineLevelRow="0" outlineLevelCol="1"/>
  <cols>
    <col collapsed="false" customWidth="true" hidden="false" outlineLevel="0" max="1" min="1" style="14" width="51.85"/>
    <col collapsed="false" customWidth="true" hidden="false" outlineLevel="0" max="2" min="2" style="14" width="12.14"/>
    <col collapsed="false" customWidth="true" hidden="false" outlineLevel="0" max="3" min="3" style="14" width="11.99"/>
    <col collapsed="false" customWidth="true" hidden="false" outlineLevel="0" max="6" min="4" style="14" width="12.14"/>
    <col collapsed="false" customWidth="true" hidden="true" outlineLevel="1" max="7" min="7" style="14" width="12.28"/>
    <col collapsed="false" customWidth="true" hidden="true" outlineLevel="1" max="8" min="8" style="14" width="11.42"/>
    <col collapsed="false" customWidth="true" hidden="false" outlineLevel="0" max="9" min="9" style="14" width="11.42"/>
    <col collapsed="false" customWidth="true" hidden="false" outlineLevel="0" max="10" min="10" style="14" width="11.85"/>
    <col collapsed="false" customWidth="true" hidden="false" outlineLevel="0" max="13" min="11" style="14" width="12.99"/>
    <col collapsed="false" customWidth="false" hidden="false" outlineLevel="0" max="257" min="14" style="14" width="9.14"/>
  </cols>
  <sheetData>
    <row r="1" customFormat="false" ht="27" hidden="false" customHeight="false" outlineLevel="0" collapsed="false">
      <c r="A1" s="146" t="s">
        <v>0</v>
      </c>
      <c r="B1" s="147"/>
      <c r="C1" s="147"/>
      <c r="D1" s="219"/>
      <c r="E1" s="219"/>
      <c r="F1" s="219"/>
      <c r="G1" s="219"/>
      <c r="H1" s="219"/>
      <c r="I1" s="219"/>
      <c r="J1" s="219"/>
      <c r="K1" s="219"/>
      <c r="L1" s="219"/>
      <c r="M1" s="219"/>
      <c r="N1" s="221" t="s">
        <v>228</v>
      </c>
    </row>
    <row r="2" customFormat="false" ht="25.5" hidden="false" customHeight="false" outlineLevel="0" collapsed="false">
      <c r="A2" s="150"/>
      <c r="B2" s="151"/>
      <c r="C2" s="151"/>
      <c r="D2" s="145"/>
      <c r="E2" s="145"/>
      <c r="F2" s="145"/>
      <c r="G2" s="145"/>
      <c r="H2" s="222"/>
      <c r="I2" s="222"/>
      <c r="K2" s="223"/>
      <c r="N2" s="224" t="s">
        <v>110</v>
      </c>
    </row>
    <row r="3" customFormat="false" ht="25.5" hidden="false" customHeight="false" outlineLevel="0" collapsed="false">
      <c r="A3" s="150"/>
      <c r="B3" s="151"/>
      <c r="C3" s="151"/>
      <c r="D3" s="145"/>
      <c r="E3" s="145"/>
      <c r="F3" s="145"/>
      <c r="G3" s="241" t="s">
        <v>229</v>
      </c>
      <c r="H3" s="241" t="s">
        <v>230</v>
      </c>
      <c r="I3" s="241" t="s">
        <v>113</v>
      </c>
    </row>
    <row r="4" customFormat="false" ht="15.75" hidden="false" customHeight="false" outlineLevel="0" collapsed="false">
      <c r="A4" s="227" t="s">
        <v>231</v>
      </c>
      <c r="B4" s="159" t="n">
        <v>1996</v>
      </c>
      <c r="C4" s="160" t="n">
        <v>1997</v>
      </c>
      <c r="D4" s="160" t="n">
        <v>1998</v>
      </c>
      <c r="E4" s="160" t="n">
        <v>1999</v>
      </c>
      <c r="F4" s="160" t="n">
        <v>2000</v>
      </c>
      <c r="G4" s="160" t="n">
        <v>2001</v>
      </c>
      <c r="H4" s="160" t="n">
        <v>2001</v>
      </c>
      <c r="I4" s="160" t="n">
        <v>2001</v>
      </c>
      <c r="J4" s="160" t="n">
        <v>2002</v>
      </c>
      <c r="K4" s="160" t="n">
        <v>2003</v>
      </c>
      <c r="L4" s="160" t="n">
        <v>2004</v>
      </c>
      <c r="M4" s="242" t="n">
        <v>2005</v>
      </c>
    </row>
    <row r="6" customFormat="false" ht="13.5" hidden="false" customHeight="false" outlineLevel="0" collapsed="false">
      <c r="A6" s="231" t="s">
        <v>108</v>
      </c>
    </row>
    <row r="8" customFormat="false" ht="12.75" hidden="false" customHeight="false" outlineLevel="0" collapsed="false">
      <c r="A8" s="176" t="s">
        <v>232</v>
      </c>
      <c r="B8" s="15"/>
      <c r="C8" s="15"/>
      <c r="D8" s="15"/>
      <c r="E8" s="15"/>
    </row>
    <row r="9" customFormat="false" ht="12.75" hidden="false" customHeight="false" outlineLevel="0" collapsed="false">
      <c r="A9" s="14" t="s">
        <v>233</v>
      </c>
      <c r="B9" s="15" t="n">
        <v>3484</v>
      </c>
      <c r="C9" s="15" t="n">
        <v>24057</v>
      </c>
      <c r="D9" s="15" t="n">
        <v>5025</v>
      </c>
      <c r="E9" s="15" t="n">
        <v>11573</v>
      </c>
      <c r="F9" s="15" t="n">
        <f aca="false">'Income Statement'!F35</f>
        <v>22728</v>
      </c>
      <c r="G9" s="174" t="n">
        <f aca="false">'Income Statement'!G35</f>
        <v>7684.7137937383</v>
      </c>
      <c r="H9" s="15" t="n">
        <f aca="false">'Income Statement'!H35</f>
        <v>5300.30457057507</v>
      </c>
      <c r="I9" s="15" t="n">
        <f aca="false">G9+H9</f>
        <v>12985.0183643134</v>
      </c>
      <c r="J9" s="15" t="n">
        <f aca="false">'Income Statement'!J35</f>
        <v>16813.8216878168</v>
      </c>
      <c r="K9" s="15" t="n">
        <f aca="false">'Income Statement'!K35</f>
        <v>22385.9919070168</v>
      </c>
      <c r="L9" s="15" t="n">
        <f aca="false">'Income Statement'!L35</f>
        <v>28922.2092031449</v>
      </c>
      <c r="M9" s="15" t="n">
        <f aca="false">'Income Statement'!M35</f>
        <v>35533.993862751</v>
      </c>
    </row>
    <row r="10" customFormat="false" ht="12.75" hidden="false" customHeight="false" outlineLevel="0" collapsed="false">
      <c r="A10" s="14" t="s">
        <v>234</v>
      </c>
      <c r="B10" s="168" t="n">
        <v>1655</v>
      </c>
      <c r="C10" s="168" t="n">
        <v>2799</v>
      </c>
      <c r="D10" s="168" t="n">
        <v>2895</v>
      </c>
      <c r="E10" s="168" t="n">
        <v>2146</v>
      </c>
      <c r="F10" s="168" t="n">
        <f aca="false">'Profit &amp; Loss'!K22</f>
        <v>3300</v>
      </c>
      <c r="G10" s="169" t="n">
        <f aca="false">'Income Statement'!G16</f>
        <v>1332.93172758222</v>
      </c>
      <c r="H10" s="168" t="n">
        <f aca="false">'Income Statement'!H16</f>
        <v>1845.0399427051</v>
      </c>
      <c r="I10" s="168" t="n">
        <f aca="false">G10+H10</f>
        <v>3177.97167028732</v>
      </c>
      <c r="J10" s="168" t="n">
        <f aca="false">'Income Statement'!J16</f>
        <v>3706.74655207688</v>
      </c>
      <c r="K10" s="168" t="n">
        <f aca="false">'Income Statement'!K16</f>
        <v>3723.41321874354</v>
      </c>
      <c r="L10" s="168" t="n">
        <f aca="false">'Income Statement'!L16</f>
        <v>3740.07988541021</v>
      </c>
      <c r="M10" s="168" t="n">
        <f aca="false">'Income Statement'!M16</f>
        <v>3756.74655207688</v>
      </c>
    </row>
    <row r="11" customFormat="false" ht="12.75" hidden="false" customHeight="false" outlineLevel="0" collapsed="false">
      <c r="A11" s="14" t="s">
        <v>235</v>
      </c>
      <c r="B11" s="168" t="n">
        <v>-1027</v>
      </c>
      <c r="C11" s="168" t="n">
        <v>-31525</v>
      </c>
      <c r="D11" s="168" t="n">
        <v>-521</v>
      </c>
      <c r="E11" s="168" t="n">
        <v>-955</v>
      </c>
      <c r="F11" s="168" t="n">
        <v>0</v>
      </c>
      <c r="G11" s="169" t="n">
        <v>1362.56086476402</v>
      </c>
      <c r="H11" s="168" t="n">
        <f aca="false">+Dep!$F$106/2</f>
        <v>1832.20109815198</v>
      </c>
      <c r="I11" s="168" t="n">
        <f aca="false">G11+H11</f>
        <v>3194.761962916</v>
      </c>
      <c r="J11" s="168" t="n">
        <f aca="false">+Dep!G106</f>
        <v>6538.71612345173</v>
      </c>
      <c r="K11" s="168" t="n">
        <f aca="false">+Dep!H106</f>
        <v>4616.33065057254</v>
      </c>
      <c r="L11" s="168" t="n">
        <f aca="false">+Dep!I106</f>
        <v>3241.52650327788</v>
      </c>
      <c r="M11" s="168" t="n">
        <f aca="false">+Dep!J106</f>
        <v>2261.05091040408</v>
      </c>
    </row>
    <row r="12" customFormat="false" ht="12.75" hidden="false" customHeight="false" outlineLevel="0" collapsed="false">
      <c r="A12" s="14" t="s">
        <v>236</v>
      </c>
      <c r="B12" s="168"/>
      <c r="C12" s="168"/>
      <c r="D12" s="168"/>
      <c r="E12" s="168"/>
      <c r="F12" s="168"/>
      <c r="G12" s="169"/>
      <c r="H12" s="168"/>
      <c r="I12" s="168"/>
      <c r="J12" s="168"/>
      <c r="K12" s="168"/>
      <c r="L12" s="168"/>
      <c r="M12" s="168"/>
    </row>
    <row r="13" customFormat="false" ht="12.75" hidden="false" customHeight="false" outlineLevel="0" collapsed="false">
      <c r="A13" s="14" t="s">
        <v>237</v>
      </c>
      <c r="B13" s="168" t="n">
        <v>8505</v>
      </c>
      <c r="C13" s="168" t="n">
        <v>-593</v>
      </c>
      <c r="D13" s="168" t="n">
        <v>-11745</v>
      </c>
      <c r="E13" s="168" t="n">
        <v>14088</v>
      </c>
      <c r="F13" s="168" t="n">
        <f aca="false">-'Balance Sheet'!F11+'Balance Sheet'!E11</f>
        <v>-113</v>
      </c>
      <c r="G13" s="169" t="n">
        <f aca="false">+'Balance Sheet'!I11+'Balance Sheet'!F11</f>
        <v>12230</v>
      </c>
      <c r="H13" s="168" t="n">
        <f aca="false">-'Balance Sheet'!J11+'Balance Sheet'!I11</f>
        <v>0</v>
      </c>
      <c r="I13" s="168" t="n">
        <f aca="false">G13+H13</f>
        <v>12230</v>
      </c>
      <c r="J13" s="168" t="n">
        <f aca="false">-'Balance Sheet'!K11+'Balance Sheet'!J11</f>
        <v>0</v>
      </c>
      <c r="K13" s="168" t="n">
        <f aca="false">-'Balance Sheet'!L11+'Balance Sheet'!K11</f>
        <v>0</v>
      </c>
      <c r="L13" s="168" t="n">
        <f aca="false">-'Balance Sheet'!M11+'Balance Sheet'!L11</f>
        <v>0</v>
      </c>
      <c r="M13" s="168" t="n">
        <f aca="false">-'Balance Sheet'!N11+'Balance Sheet'!M11</f>
        <v>0</v>
      </c>
    </row>
    <row r="14" customFormat="false" ht="12.75" hidden="false" customHeight="false" outlineLevel="0" collapsed="false">
      <c r="A14" s="14" t="s">
        <v>238</v>
      </c>
      <c r="B14" s="168" t="n">
        <v>-92729</v>
      </c>
      <c r="C14" s="168" t="n">
        <v>138424</v>
      </c>
      <c r="D14" s="168" t="n">
        <v>32612</v>
      </c>
      <c r="E14" s="168" t="n">
        <v>-35792</v>
      </c>
      <c r="F14" s="168" t="n">
        <f aca="false">-'Balance Sheet'!F13+'Balance Sheet'!E13</f>
        <v>-188154</v>
      </c>
      <c r="G14" s="169" t="n">
        <f aca="false">-'Balance Sheet'!I13+'Balance Sheet'!F13</f>
        <v>-11193.6036423234</v>
      </c>
      <c r="H14" s="168" t="n">
        <f aca="false">-'Balance Sheet'!J13+'Balance Sheet'!I13</f>
        <v>15613.7525871459</v>
      </c>
      <c r="I14" s="168" t="n">
        <f aca="false">G14+H14</f>
        <v>4420.14894482249</v>
      </c>
      <c r="J14" s="168" t="n">
        <f aca="false">-'Balance Sheet'!K13+'Balance Sheet'!J13</f>
        <v>24631.9049225451</v>
      </c>
      <c r="K14" s="168" t="n">
        <f aca="false">-'Balance Sheet'!L13+'Balance Sheet'!K13</f>
        <v>-9024.3470322612</v>
      </c>
      <c r="L14" s="168" t="n">
        <f aca="false">-'Balance Sheet'!M13+'Balance Sheet'!L13</f>
        <v>-13496.9395176537</v>
      </c>
      <c r="M14" s="168" t="n">
        <f aca="false">-'Balance Sheet'!N13+'Balance Sheet'!M13</f>
        <v>-13447.6478494297</v>
      </c>
    </row>
    <row r="15" customFormat="false" ht="12.75" hidden="false" customHeight="false" outlineLevel="0" collapsed="false">
      <c r="A15" s="14" t="s">
        <v>239</v>
      </c>
      <c r="B15" s="168" t="n">
        <v>-76803</v>
      </c>
      <c r="C15" s="168" t="n">
        <v>78465</v>
      </c>
      <c r="D15" s="168" t="n">
        <v>5665</v>
      </c>
      <c r="E15" s="168" t="n">
        <v>-1463</v>
      </c>
      <c r="F15" s="168" t="n">
        <f aca="false">-'Balance Sheet'!F14+'Balance Sheet'!E14</f>
        <v>-103601</v>
      </c>
      <c r="G15" s="169" t="n">
        <f aca="false">-'Balance Sheet'!I14+'Balance Sheet'!F14</f>
        <v>9383.44396783842</v>
      </c>
      <c r="H15" s="168" t="n">
        <f aca="false">-'Balance Sheet'!J14+'Balance Sheet'!I14</f>
        <v>3663.93763616559</v>
      </c>
      <c r="I15" s="168" t="n">
        <f aca="false">G15+H15</f>
        <v>13047.381604004</v>
      </c>
      <c r="J15" s="168" t="n">
        <f aca="false">-'Balance Sheet'!K14+'Balance Sheet'!J14</f>
        <v>-4786.01860923518</v>
      </c>
      <c r="K15" s="168" t="n">
        <f aca="false">-'Balance Sheet'!L14+'Balance Sheet'!K14</f>
        <v>2174.26973006083</v>
      </c>
      <c r="L15" s="168" t="n">
        <f aca="false">-'Balance Sheet'!M14+'Balance Sheet'!L14</f>
        <v>-4866.33394731494</v>
      </c>
      <c r="M15" s="168" t="n">
        <f aca="false">-'Balance Sheet'!N14+'Balance Sheet'!M14</f>
        <v>-4039.65043048418</v>
      </c>
    </row>
    <row r="16" customFormat="false" ht="12.75" hidden="false" customHeight="false" outlineLevel="0" collapsed="false">
      <c r="A16" s="14" t="s">
        <v>240</v>
      </c>
      <c r="B16" s="168" t="n">
        <v>129</v>
      </c>
      <c r="C16" s="168" t="n">
        <v>496</v>
      </c>
      <c r="D16" s="168" t="n">
        <v>1177</v>
      </c>
      <c r="E16" s="168" t="n">
        <v>-47</v>
      </c>
      <c r="F16" s="168" t="n">
        <f aca="false">-'Balance Sheet'!F15+'Balance Sheet'!E15</f>
        <v>-2100</v>
      </c>
      <c r="G16" s="169" t="n">
        <f aca="false">-'Balance Sheet'!I15+'Balance Sheet'!F15</f>
        <v>0</v>
      </c>
      <c r="H16" s="168" t="n">
        <f aca="false">-'Balance Sheet'!J15+'Balance Sheet'!I15</f>
        <v>0</v>
      </c>
      <c r="I16" s="168" t="n">
        <f aca="false">G16+H16</f>
        <v>0</v>
      </c>
      <c r="J16" s="168" t="n">
        <f aca="false">-'Balance Sheet'!K15+'Balance Sheet'!J15</f>
        <v>0</v>
      </c>
      <c r="K16" s="168" t="n">
        <f aca="false">-'Balance Sheet'!L15+'Balance Sheet'!K15</f>
        <v>0</v>
      </c>
      <c r="L16" s="168" t="n">
        <f aca="false">-'Balance Sheet'!M15+'Balance Sheet'!L15</f>
        <v>0</v>
      </c>
      <c r="M16" s="168" t="n">
        <f aca="false">-'Balance Sheet'!N15+'Balance Sheet'!M15</f>
        <v>0</v>
      </c>
    </row>
    <row r="17" customFormat="false" ht="12.75" hidden="false" customHeight="false" outlineLevel="0" collapsed="false">
      <c r="A17" s="14" t="s">
        <v>241</v>
      </c>
      <c r="B17" s="168" t="n">
        <v>97423</v>
      </c>
      <c r="C17" s="168" t="n">
        <v>-76909</v>
      </c>
      <c r="D17" s="168" t="n">
        <v>-54408</v>
      </c>
      <c r="E17" s="168" t="n">
        <v>-8018</v>
      </c>
      <c r="F17" s="168" t="n">
        <f aca="false">+'Balance Sheet'!F28-'Balance Sheet'!E28</f>
        <v>154995</v>
      </c>
      <c r="G17" s="169" t="n">
        <f aca="false">+'Balance Sheet'!I28-'Balance Sheet'!F28</f>
        <v>640.350035879761</v>
      </c>
      <c r="H17" s="168" t="n">
        <f aca="false">+'Balance Sheet'!J28-'Balance Sheet'!I28</f>
        <v>-7190.11121721135</v>
      </c>
      <c r="I17" s="168" t="n">
        <f aca="false">G17+H17</f>
        <v>-6549.76118133159</v>
      </c>
      <c r="J17" s="168" t="n">
        <f aca="false">+'Balance Sheet'!K28-'Balance Sheet'!J28</f>
        <v>8509.27364210904</v>
      </c>
      <c r="K17" s="168" t="n">
        <f aca="false">+'Balance Sheet'!L28-'Balance Sheet'!K28</f>
        <v>4151.91561541616</v>
      </c>
      <c r="L17" s="168" t="n">
        <f aca="false">+'Balance Sheet'!M28-'Balance Sheet'!L28</f>
        <v>8999.85486132489</v>
      </c>
      <c r="M17" s="168" t="n">
        <f aca="false">+'Balance Sheet'!N28-'Balance Sheet'!M28</f>
        <v>8688.96740312918</v>
      </c>
    </row>
    <row r="18" customFormat="false" ht="12.75" hidden="false" customHeight="false" outlineLevel="0" collapsed="false">
      <c r="A18" s="14" t="s">
        <v>242</v>
      </c>
      <c r="B18" s="168" t="n">
        <v>-3925</v>
      </c>
      <c r="C18" s="168" t="n">
        <v>-11788</v>
      </c>
      <c r="D18" s="168" t="n">
        <v>-4254</v>
      </c>
      <c r="E18" s="168" t="n">
        <v>8366</v>
      </c>
      <c r="F18" s="168" t="n">
        <f aca="false">+'Balance Sheet'!F29-'Balance Sheet'!E29</f>
        <v>19065</v>
      </c>
      <c r="G18" s="169" t="n">
        <f aca="false">+'Balance Sheet'!I29-'Balance Sheet'!F29</f>
        <v>0</v>
      </c>
      <c r="H18" s="168" t="n">
        <f aca="false">+'Balance Sheet'!J29-'Balance Sheet'!I29</f>
        <v>0</v>
      </c>
      <c r="I18" s="168" t="n">
        <f aca="false">G18+H18</f>
        <v>0</v>
      </c>
      <c r="J18" s="168" t="n">
        <f aca="false">+'Balance Sheet'!K29-'Balance Sheet'!J29</f>
        <v>0</v>
      </c>
      <c r="K18" s="168" t="n">
        <f aca="false">+'Balance Sheet'!L29-'Balance Sheet'!K29</f>
        <v>0</v>
      </c>
      <c r="L18" s="168" t="n">
        <f aca="false">+'Balance Sheet'!M29-'Balance Sheet'!L29</f>
        <v>0</v>
      </c>
      <c r="M18" s="168" t="n">
        <f aca="false">+'Balance Sheet'!N29-'Balance Sheet'!M29</f>
        <v>0</v>
      </c>
    </row>
    <row r="19" customFormat="false" ht="15" hidden="false" customHeight="false" outlineLevel="0" collapsed="false">
      <c r="A19" s="14" t="s">
        <v>243</v>
      </c>
      <c r="B19" s="170" t="n">
        <v>1000</v>
      </c>
      <c r="C19" s="170" t="n">
        <v>-1016</v>
      </c>
      <c r="D19" s="170" t="n">
        <v>42</v>
      </c>
      <c r="E19" s="170" t="n">
        <v>815</v>
      </c>
      <c r="F19" s="170" t="n">
        <f aca="false">+'Balance Sheet'!F30-'Balance Sheet'!E30</f>
        <v>939</v>
      </c>
      <c r="G19" s="171" t="n">
        <f aca="false">+'Balance Sheet'!I30-'Balance Sheet'!F30</f>
        <v>2047.92281201293</v>
      </c>
      <c r="H19" s="170" t="n">
        <f aca="false">+'Balance Sheet'!J30-'Balance Sheet'!I30</f>
        <v>-1283.91265862636</v>
      </c>
      <c r="I19" s="170" t="n">
        <f aca="false">G19+H19</f>
        <v>764.010153386573</v>
      </c>
      <c r="J19" s="170" t="n">
        <f aca="false">+'Balance Sheet'!K30-'Balance Sheet'!J30</f>
        <v>6199.58614005325</v>
      </c>
      <c r="K19" s="170" t="n">
        <f aca="false">+'Balance Sheet'!L30-'Balance Sheet'!K30</f>
        <v>3000.39934879997</v>
      </c>
      <c r="L19" s="170" t="n">
        <f aca="false">+'Balance Sheet'!M30-'Balance Sheet'!L30</f>
        <v>3519.50162099207</v>
      </c>
      <c r="M19" s="170" t="n">
        <f aca="false">+'Balance Sheet'!N30-'Balance Sheet'!M30</f>
        <v>3560.1917397879</v>
      </c>
    </row>
    <row r="20" customFormat="false" ht="12.75" hidden="false" customHeight="false" outlineLevel="0" collapsed="false">
      <c r="A20" s="164" t="s">
        <v>244</v>
      </c>
      <c r="B20" s="15" t="n">
        <f aca="false">SUM(B9:B19)</f>
        <v>-62288</v>
      </c>
      <c r="C20" s="15" t="n">
        <f aca="false">SUM(C9:C19)</f>
        <v>122410</v>
      </c>
      <c r="D20" s="15" t="n">
        <f aca="false">SUM(D9:D19)</f>
        <v>-23512</v>
      </c>
      <c r="E20" s="15" t="n">
        <f aca="false">SUM(E9:E19)</f>
        <v>-9287</v>
      </c>
      <c r="F20" s="15" t="n">
        <f aca="false">SUM(F9:F19)</f>
        <v>-92941</v>
      </c>
      <c r="G20" s="174" t="n">
        <f aca="false">SUM(G9:G19)</f>
        <v>23488.3195594923</v>
      </c>
      <c r="H20" s="15" t="n">
        <f aca="false">SUM(H9:H19)</f>
        <v>19781.2119589059</v>
      </c>
      <c r="I20" s="15" t="n">
        <f aca="false">G20+H20</f>
        <v>43269.5315183982</v>
      </c>
      <c r="J20" s="15" t="n">
        <f aca="false">SUM(J9:J19)</f>
        <v>61614.0304588176</v>
      </c>
      <c r="K20" s="15" t="n">
        <f aca="false">SUM(K9:K19)</f>
        <v>31027.9734383486</v>
      </c>
      <c r="L20" s="15" t="n">
        <f aca="false">SUM(L9:L19)</f>
        <v>30059.8986091813</v>
      </c>
      <c r="M20" s="15" t="n">
        <f aca="false">SUM(M9:M19)</f>
        <v>36313.6521882352</v>
      </c>
    </row>
    <row r="21" customFormat="false" ht="12.75" hidden="false" customHeight="false" outlineLevel="0" collapsed="false">
      <c r="B21" s="15"/>
      <c r="C21" s="15"/>
      <c r="D21" s="15"/>
      <c r="E21" s="15"/>
      <c r="F21" s="15"/>
      <c r="G21" s="174"/>
      <c r="H21" s="15"/>
      <c r="I21" s="15"/>
      <c r="J21" s="15"/>
      <c r="K21" s="15"/>
      <c r="L21" s="15"/>
      <c r="M21" s="15"/>
    </row>
    <row r="22" customFormat="false" ht="12.75" hidden="false" customHeight="false" outlineLevel="0" collapsed="false">
      <c r="A22" s="176" t="s">
        <v>245</v>
      </c>
      <c r="B22" s="15"/>
      <c r="C22" s="15"/>
      <c r="D22" s="15"/>
      <c r="E22" s="15"/>
      <c r="F22" s="15"/>
      <c r="G22" s="174"/>
      <c r="H22" s="15"/>
      <c r="I22" s="15"/>
      <c r="J22" s="15"/>
      <c r="K22" s="15"/>
      <c r="L22" s="15"/>
      <c r="M22" s="15"/>
    </row>
    <row r="23" customFormat="false" ht="12.75" hidden="false" customHeight="false" outlineLevel="0" collapsed="false">
      <c r="A23" s="14" t="s">
        <v>246</v>
      </c>
      <c r="B23" s="15" t="n">
        <v>-476</v>
      </c>
      <c r="C23" s="15" t="n">
        <v>-415</v>
      </c>
      <c r="D23" s="15" t="n">
        <v>0</v>
      </c>
      <c r="E23" s="15" t="n">
        <v>0</v>
      </c>
      <c r="F23" s="15" t="n">
        <v>0</v>
      </c>
      <c r="G23" s="174" t="n">
        <v>0</v>
      </c>
      <c r="H23" s="15" t="n">
        <v>0</v>
      </c>
      <c r="I23" s="15" t="n">
        <f aca="false">G23+H23</f>
        <v>0</v>
      </c>
      <c r="J23" s="15" t="n">
        <v>0</v>
      </c>
      <c r="K23" s="15" t="n">
        <v>0</v>
      </c>
      <c r="L23" s="15" t="n">
        <v>0</v>
      </c>
      <c r="M23" s="15" t="n">
        <v>0</v>
      </c>
    </row>
    <row r="24" customFormat="false" ht="12.75" hidden="false" customHeight="false" outlineLevel="0" collapsed="false">
      <c r="A24" s="14" t="s">
        <v>247</v>
      </c>
      <c r="B24" s="168" t="n">
        <v>-2059</v>
      </c>
      <c r="C24" s="168" t="n">
        <v>-1217</v>
      </c>
      <c r="D24" s="168" t="n">
        <v>-4775</v>
      </c>
      <c r="E24" s="168" t="n">
        <v>787</v>
      </c>
      <c r="F24" s="168" t="n">
        <v>0</v>
      </c>
      <c r="G24" s="169" t="n">
        <v>0</v>
      </c>
      <c r="H24" s="168" t="n">
        <v>0</v>
      </c>
      <c r="I24" s="168" t="n">
        <f aca="false">G24+H24</f>
        <v>0</v>
      </c>
      <c r="J24" s="168" t="n">
        <v>0</v>
      </c>
      <c r="K24" s="168" t="n">
        <v>0</v>
      </c>
      <c r="L24" s="168" t="n">
        <v>0</v>
      </c>
      <c r="M24" s="168" t="n">
        <v>0</v>
      </c>
    </row>
    <row r="25" customFormat="false" ht="12.75" hidden="false" customHeight="false" outlineLevel="0" collapsed="false">
      <c r="A25" s="14" t="s">
        <v>248</v>
      </c>
      <c r="B25" s="168" t="n">
        <v>-1177</v>
      </c>
      <c r="C25" s="168" t="n">
        <v>-5894</v>
      </c>
      <c r="D25" s="168" t="n">
        <v>-1471</v>
      </c>
      <c r="E25" s="168" t="n">
        <v>-12361</v>
      </c>
      <c r="F25" s="168" t="n">
        <v>-8000</v>
      </c>
      <c r="G25" s="169" t="n">
        <v>0</v>
      </c>
      <c r="H25" s="168" t="n">
        <f aca="false">+'Valuation - DCF'!L51</f>
        <v>-250</v>
      </c>
      <c r="I25" s="168" t="n">
        <f aca="false">G25+H25</f>
        <v>-250</v>
      </c>
      <c r="J25" s="168" t="n">
        <f aca="false">+'Valuation - DCF'!M51</f>
        <v>-500</v>
      </c>
      <c r="K25" s="168" t="n">
        <f aca="false">+'Valuation - DCF'!N51</f>
        <v>-500</v>
      </c>
      <c r="L25" s="168" t="n">
        <f aca="false">+'Valuation - DCF'!O51</f>
        <v>-500</v>
      </c>
      <c r="M25" s="168" t="n">
        <f aca="false">+'Valuation - DCF'!P51</f>
        <v>-500</v>
      </c>
    </row>
    <row r="26" customFormat="false" ht="15" hidden="false" customHeight="false" outlineLevel="0" collapsed="false">
      <c r="A26" s="14" t="s">
        <v>249</v>
      </c>
      <c r="B26" s="170" t="n">
        <v>435</v>
      </c>
      <c r="C26" s="170" t="n">
        <v>1914</v>
      </c>
      <c r="D26" s="170" t="n">
        <v>0</v>
      </c>
      <c r="E26" s="170" t="n">
        <v>0</v>
      </c>
      <c r="F26" s="170" t="n">
        <v>0</v>
      </c>
      <c r="G26" s="171" t="n">
        <v>0</v>
      </c>
      <c r="H26" s="170" t="n">
        <v>0</v>
      </c>
      <c r="I26" s="170" t="n">
        <f aca="false">G26+H26</f>
        <v>0</v>
      </c>
      <c r="J26" s="170" t="n">
        <v>0</v>
      </c>
      <c r="K26" s="170" t="n">
        <v>0</v>
      </c>
      <c r="L26" s="170" t="n">
        <v>0</v>
      </c>
      <c r="M26" s="170" t="n">
        <v>0</v>
      </c>
    </row>
    <row r="27" customFormat="false" ht="12.75" hidden="false" customHeight="false" outlineLevel="0" collapsed="false">
      <c r="A27" s="164" t="s">
        <v>250</v>
      </c>
      <c r="B27" s="15" t="n">
        <f aca="false">SUM(B23:B26)</f>
        <v>-3277</v>
      </c>
      <c r="C27" s="15" t="n">
        <f aca="false">SUM(C23:C26)</f>
        <v>-5612</v>
      </c>
      <c r="D27" s="15" t="n">
        <f aca="false">SUM(D23:D26)</f>
        <v>-6246</v>
      </c>
      <c r="E27" s="15" t="n">
        <f aca="false">SUM(E23:E26)</f>
        <v>-11574</v>
      </c>
      <c r="F27" s="15" t="n">
        <f aca="false">SUM(F23:F26)</f>
        <v>-8000</v>
      </c>
      <c r="G27" s="174" t="n">
        <f aca="false">SUM(G23:G26)</f>
        <v>0</v>
      </c>
      <c r="H27" s="15" t="n">
        <f aca="false">SUM(H23:H26)</f>
        <v>-250</v>
      </c>
      <c r="I27" s="15" t="n">
        <f aca="false">G27+H27</f>
        <v>-250</v>
      </c>
      <c r="J27" s="15" t="n">
        <f aca="false">SUM(J23:J26)</f>
        <v>-500</v>
      </c>
      <c r="K27" s="15" t="n">
        <f aca="false">SUM(K23:K26)</f>
        <v>-500</v>
      </c>
      <c r="L27" s="15" t="n">
        <f aca="false">SUM(L23:L26)</f>
        <v>-500</v>
      </c>
      <c r="M27" s="15" t="n">
        <f aca="false">SUM(M23:M26)</f>
        <v>-500</v>
      </c>
    </row>
    <row r="28" customFormat="false" ht="12.75" hidden="false" customHeight="false" outlineLevel="0" collapsed="false">
      <c r="B28" s="15"/>
      <c r="C28" s="15"/>
      <c r="D28" s="15"/>
      <c r="E28" s="15"/>
      <c r="F28" s="15"/>
      <c r="G28" s="174"/>
      <c r="H28" s="15"/>
      <c r="I28" s="15"/>
      <c r="J28" s="15"/>
      <c r="K28" s="15"/>
      <c r="L28" s="15"/>
      <c r="M28" s="15"/>
    </row>
    <row r="29" customFormat="false" ht="12.75" hidden="false" customHeight="false" outlineLevel="0" collapsed="false">
      <c r="A29" s="176" t="s">
        <v>251</v>
      </c>
      <c r="B29" s="15"/>
      <c r="C29" s="15"/>
      <c r="D29" s="15"/>
      <c r="E29" s="15"/>
      <c r="F29" s="15"/>
      <c r="G29" s="174"/>
      <c r="H29" s="15"/>
      <c r="I29" s="15"/>
      <c r="J29" s="15"/>
      <c r="K29" s="15"/>
      <c r="L29" s="15"/>
      <c r="M29" s="15"/>
    </row>
    <row r="30" customFormat="false" ht="12.75" hidden="false" customHeight="false" outlineLevel="0" collapsed="false">
      <c r="A30" s="14" t="s">
        <v>252</v>
      </c>
      <c r="B30" s="15" t="n">
        <v>49995</v>
      </c>
      <c r="C30" s="15" t="n">
        <v>-79200</v>
      </c>
      <c r="D30" s="15" t="n">
        <v>31900</v>
      </c>
      <c r="E30" s="15" t="n">
        <v>22700</v>
      </c>
      <c r="F30" s="15" t="n">
        <f aca="false">'Balance Sheet'!F27-'Balance Sheet'!E27+'Balance Sheet'!F33-'Balance Sheet'!E33</f>
        <v>76900</v>
      </c>
      <c r="G30" s="174" t="n">
        <f aca="false">+'Balance Sheet'!I27+'Balance Sheet'!I33-'Balance Sheet'!F27-'Balance Sheet'!F33</f>
        <v>0</v>
      </c>
      <c r="H30" s="15" t="n">
        <f aca="false">+'Balance Sheet'!J27+'Balance Sheet'!J33-'Balance Sheet'!I27-'Balance Sheet'!I33</f>
        <v>0</v>
      </c>
      <c r="I30" s="15" t="n">
        <f aca="false">G30+H30</f>
        <v>0</v>
      </c>
      <c r="J30" s="15" t="n">
        <f aca="false">+'Balance Sheet'!K27+'Balance Sheet'!K33-'Balance Sheet'!J27-'Balance Sheet'!J33</f>
        <v>0</v>
      </c>
      <c r="K30" s="15" t="n">
        <f aca="false">+'Balance Sheet'!L27+'Balance Sheet'!L33-'Balance Sheet'!K27-'Balance Sheet'!K33</f>
        <v>0</v>
      </c>
      <c r="L30" s="15" t="n">
        <f aca="false">+'Balance Sheet'!M27+'Balance Sheet'!M33-'Balance Sheet'!L27-'Balance Sheet'!L33</f>
        <v>0</v>
      </c>
      <c r="M30" s="15" t="n">
        <f aca="false">+'Balance Sheet'!N27+'Balance Sheet'!N33-'Balance Sheet'!M27-'Balance Sheet'!M33</f>
        <v>0</v>
      </c>
    </row>
    <row r="31" customFormat="false" ht="15" hidden="false" customHeight="false" outlineLevel="0" collapsed="false">
      <c r="A31" s="14" t="s">
        <v>253</v>
      </c>
      <c r="B31" s="170" t="n">
        <v>0</v>
      </c>
      <c r="C31" s="170" t="n">
        <v>0</v>
      </c>
      <c r="D31" s="170" t="n">
        <v>-10000</v>
      </c>
      <c r="E31" s="170" t="n">
        <v>-10000</v>
      </c>
      <c r="F31" s="170" t="n">
        <v>0</v>
      </c>
      <c r="G31" s="171" t="n">
        <v>0</v>
      </c>
      <c r="H31" s="170" t="n">
        <f aca="false">-(H20+H27+G38-(Assumptions!$B$16*1000))</f>
        <v>-57486.5305183982</v>
      </c>
      <c r="I31" s="170" t="n">
        <f aca="false">G31+H31</f>
        <v>-57486.5305183982</v>
      </c>
      <c r="J31" s="170" t="n">
        <f aca="false">-(J20+J27+H38-(Assumptions!$B$12*1000))</f>
        <v>-51114.0314588176</v>
      </c>
      <c r="K31" s="170" t="n">
        <f aca="false">-(K20+K27+J38-(Assumptions!$B$12*1000))</f>
        <v>-30527.9734383486</v>
      </c>
      <c r="L31" s="170" t="n">
        <f aca="false">-(L20+L27+K38-(Assumptions!$B$12*1000))</f>
        <v>-29559.8986091813</v>
      </c>
      <c r="M31" s="170" t="n">
        <f aca="false">-(M20+M27+L38-(Assumptions!$B$12*1000))</f>
        <v>-35813.6521882352</v>
      </c>
    </row>
    <row r="32" customFormat="false" ht="12.75" hidden="false" customHeight="false" outlineLevel="0" collapsed="false">
      <c r="A32" s="164" t="s">
        <v>254</v>
      </c>
      <c r="B32" s="15" t="n">
        <f aca="false">SUM(B30:B31)</f>
        <v>49995</v>
      </c>
      <c r="C32" s="15" t="n">
        <f aca="false">SUM(C30:C31)</f>
        <v>-79200</v>
      </c>
      <c r="D32" s="15" t="n">
        <f aca="false">SUM(D30:D31)</f>
        <v>21900</v>
      </c>
      <c r="E32" s="15" t="n">
        <f aca="false">SUM(E30:E31)</f>
        <v>12700</v>
      </c>
      <c r="F32" s="15" t="n">
        <f aca="false">SUM(F30:F31)</f>
        <v>76900</v>
      </c>
      <c r="G32" s="174" t="n">
        <f aca="false">SUM(G30:G31)</f>
        <v>0</v>
      </c>
      <c r="H32" s="15" t="n">
        <f aca="false">SUM(H30:H31)</f>
        <v>-57486.5305183982</v>
      </c>
      <c r="I32" s="15" t="n">
        <f aca="false">G32+H32</f>
        <v>-57486.5305183982</v>
      </c>
      <c r="J32" s="15" t="n">
        <f aca="false">SUM(J30:J31)</f>
        <v>-51114.0314588176</v>
      </c>
      <c r="K32" s="15" t="n">
        <f aca="false">SUM(K30:K31)</f>
        <v>-30527.9734383486</v>
      </c>
      <c r="L32" s="15" t="n">
        <f aca="false">SUM(L30:L31)</f>
        <v>-29559.8986091813</v>
      </c>
      <c r="M32" s="15" t="n">
        <f aca="false">SUM(M30:M31)</f>
        <v>-35813.6521882352</v>
      </c>
    </row>
    <row r="33" customFormat="false" ht="12.75" hidden="false" customHeight="false" outlineLevel="0" collapsed="false">
      <c r="B33" s="15"/>
      <c r="C33" s="15"/>
      <c r="D33" s="15"/>
      <c r="E33" s="15"/>
      <c r="F33" s="15"/>
      <c r="G33" s="174"/>
      <c r="H33" s="15"/>
      <c r="I33" s="15"/>
      <c r="J33" s="15"/>
      <c r="K33" s="15"/>
      <c r="L33" s="15"/>
      <c r="M33" s="15"/>
    </row>
    <row r="34" customFormat="false" ht="12.75" hidden="false" customHeight="false" outlineLevel="0" collapsed="false">
      <c r="A34" s="164" t="s">
        <v>255</v>
      </c>
      <c r="B34" s="15" t="n">
        <f aca="false">+B20+B27+B32</f>
        <v>-15570</v>
      </c>
      <c r="C34" s="15" t="n">
        <f aca="false">+C20+C27+C32</f>
        <v>37598</v>
      </c>
      <c r="D34" s="15" t="n">
        <f aca="false">+D20+D27+D32</f>
        <v>-7858</v>
      </c>
      <c r="E34" s="15" t="n">
        <f aca="false">+E20+E27+E32</f>
        <v>-8161</v>
      </c>
      <c r="F34" s="15" t="n">
        <f aca="false">+F20+F27+F32</f>
        <v>-24041</v>
      </c>
      <c r="G34" s="174" t="n">
        <f aca="false">+G20+G27+G32</f>
        <v>23488.3195594923</v>
      </c>
      <c r="H34" s="15" t="n">
        <f aca="false">+H20+H27+H32</f>
        <v>-37955.3185594923</v>
      </c>
      <c r="I34" s="15" t="n">
        <f aca="false">G34+H34</f>
        <v>-14466.999</v>
      </c>
      <c r="J34" s="15" t="n">
        <f aca="false">+J20+J27+J32</f>
        <v>9999.999</v>
      </c>
      <c r="K34" s="15" t="n">
        <f aca="false">+K20+K27+K32</f>
        <v>0</v>
      </c>
      <c r="L34" s="15" t="n">
        <f aca="false">+L20+L27+L32</f>
        <v>0</v>
      </c>
      <c r="M34" s="15" t="n">
        <f aca="false">+M20+M27+M32</f>
        <v>0</v>
      </c>
    </row>
    <row r="35" customFormat="false" ht="12.75" hidden="false" customHeight="false" outlineLevel="0" collapsed="false">
      <c r="B35" s="15"/>
      <c r="C35" s="15"/>
      <c r="D35" s="15"/>
      <c r="E35" s="15"/>
      <c r="F35" s="15"/>
      <c r="G35" s="174"/>
      <c r="H35" s="15"/>
      <c r="I35" s="15"/>
      <c r="J35" s="15"/>
      <c r="K35" s="15"/>
      <c r="L35" s="15"/>
      <c r="M35" s="15"/>
    </row>
    <row r="36" customFormat="false" ht="12.75" hidden="false" customHeight="false" outlineLevel="0" collapsed="false">
      <c r="A36" s="164" t="s">
        <v>256</v>
      </c>
      <c r="B36" s="15" t="n">
        <v>30004</v>
      </c>
      <c r="C36" s="15" t="n">
        <f aca="false">+B38</f>
        <v>14434</v>
      </c>
      <c r="D36" s="15" t="n">
        <f aca="false">+C38</f>
        <v>52032</v>
      </c>
      <c r="E36" s="15" t="n">
        <f aca="false">+D38</f>
        <v>44174</v>
      </c>
      <c r="F36" s="15" t="n">
        <f aca="false">+E38</f>
        <v>36013</v>
      </c>
      <c r="G36" s="174" t="n">
        <f aca="false">+'Balance Sheet'!F10</f>
        <v>14467</v>
      </c>
      <c r="H36" s="15" t="n">
        <f aca="false">+G38</f>
        <v>37955.3195594923</v>
      </c>
      <c r="I36" s="15" t="n">
        <f aca="false">G36+H36</f>
        <v>52422.3195594923</v>
      </c>
      <c r="J36" s="15" t="n">
        <f aca="false">+H38</f>
        <v>0.00100000000384171</v>
      </c>
      <c r="K36" s="15" t="n">
        <f aca="false">+J38</f>
        <v>10000</v>
      </c>
      <c r="L36" s="15" t="n">
        <f aca="false">+K38</f>
        <v>10000</v>
      </c>
      <c r="M36" s="15" t="n">
        <f aca="false">+L38</f>
        <v>10000</v>
      </c>
    </row>
    <row r="37" customFormat="false" ht="12.75" hidden="false" customHeight="false" outlineLevel="0" collapsed="false">
      <c r="B37" s="15"/>
      <c r="C37" s="15"/>
      <c r="D37" s="15"/>
      <c r="E37" s="15"/>
      <c r="F37" s="15"/>
      <c r="G37" s="174"/>
      <c r="H37" s="15"/>
      <c r="I37" s="15"/>
      <c r="J37" s="15"/>
      <c r="K37" s="15"/>
      <c r="L37" s="15"/>
      <c r="M37" s="15"/>
    </row>
    <row r="38" customFormat="false" ht="12.75" hidden="false" customHeight="false" outlineLevel="0" collapsed="false">
      <c r="A38" s="164" t="s">
        <v>257</v>
      </c>
      <c r="B38" s="179" t="n">
        <f aca="false">+B34+B36</f>
        <v>14434</v>
      </c>
      <c r="C38" s="179" t="n">
        <f aca="false">+C34+C36</f>
        <v>52032</v>
      </c>
      <c r="D38" s="179" t="n">
        <f aca="false">+D34+D36</f>
        <v>44174</v>
      </c>
      <c r="E38" s="179" t="n">
        <f aca="false">+E34+E36</f>
        <v>36013</v>
      </c>
      <c r="F38" s="179" t="n">
        <f aca="false">+F34+F36</f>
        <v>11972</v>
      </c>
      <c r="G38" s="243" t="n">
        <f aca="false">'Balance Sheet'!I10</f>
        <v>37955.3195594923</v>
      </c>
      <c r="H38" s="179" t="n">
        <f aca="false">+H34+H36</f>
        <v>0.00100000000384171</v>
      </c>
      <c r="I38" s="179" t="n">
        <f aca="false">G38+H38</f>
        <v>37955.3205594923</v>
      </c>
      <c r="J38" s="179" t="n">
        <f aca="false">+J34+J36</f>
        <v>10000</v>
      </c>
      <c r="K38" s="179" t="n">
        <f aca="false">+K34+K36</f>
        <v>10000</v>
      </c>
      <c r="L38" s="179" t="n">
        <f aca="false">+L34+L36</f>
        <v>10000</v>
      </c>
      <c r="M38" s="179" t="n">
        <f aca="false">+M34+M36</f>
        <v>10000</v>
      </c>
    </row>
    <row r="40" customFormat="false" ht="12.75" hidden="false" customHeight="false" outlineLevel="0" collapsed="false">
      <c r="B40" s="244"/>
      <c r="C40" s="244"/>
      <c r="D40" s="244"/>
      <c r="E40" s="244"/>
    </row>
    <row r="41" customFormat="false" ht="12.75" hidden="false" customHeight="false" outlineLevel="0" collapsed="false">
      <c r="B41" s="244"/>
      <c r="C41" s="244"/>
      <c r="D41" s="244"/>
      <c r="E41" s="244"/>
      <c r="F41" s="47"/>
    </row>
    <row r="42" customFormat="false" ht="12.75" hidden="false" customHeight="false" outlineLevel="0" collapsed="false">
      <c r="A42" s="245" t="s">
        <v>138</v>
      </c>
    </row>
    <row r="43" customFormat="false" ht="12.75" hidden="false" customHeight="false" outlineLevel="0" collapsed="false">
      <c r="C43" s="47"/>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47"/>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33" activeCellId="0" sqref="B33"/>
    </sheetView>
  </sheetViews>
  <sheetFormatPr defaultColWidth="9.0546875" defaultRowHeight="12.75" customHeight="true" zeroHeight="false" outlineLevelRow="1" outlineLevelCol="0"/>
  <cols>
    <col collapsed="false" customWidth="true" hidden="false" outlineLevel="0" max="7" min="3" style="0" width="12.28"/>
    <col collapsed="false" customWidth="true" hidden="false" outlineLevel="0" max="8" min="8" style="0" width="13.41"/>
    <col collapsed="false" customWidth="true" hidden="false" outlineLevel="0" max="9" min="9" style="0" width="12.85"/>
    <col collapsed="false" customWidth="true" hidden="false" outlineLevel="0" max="11" min="10" style="0" width="12.28"/>
    <col collapsed="false" customWidth="true" hidden="false" outlineLevel="0" max="15" min="12" style="0" width="12.42"/>
    <col collapsed="false" customWidth="true" hidden="false" outlineLevel="0" max="16" min="16" style="0" width="11.7"/>
    <col collapsed="false" customWidth="true" hidden="false" outlineLevel="0" max="17" min="17" style="0" width="12.42"/>
  </cols>
  <sheetData>
    <row r="1" customFormat="false" ht="27" hidden="false" customHeight="false" outlineLevel="0" collapsed="false">
      <c r="A1" s="246" t="s">
        <v>0</v>
      </c>
      <c r="B1" s="4"/>
      <c r="C1" s="4"/>
      <c r="D1" s="4"/>
      <c r="E1" s="4"/>
      <c r="F1" s="4"/>
      <c r="G1" s="4"/>
      <c r="H1" s="4"/>
      <c r="I1" s="4"/>
      <c r="J1" s="4"/>
      <c r="K1" s="4"/>
      <c r="L1" s="137"/>
      <c r="M1" s="137"/>
      <c r="N1" s="137"/>
      <c r="O1" s="4"/>
      <c r="P1" s="4"/>
      <c r="Q1" s="247" t="s">
        <v>258</v>
      </c>
    </row>
    <row r="3" customFormat="false" ht="15.75" hidden="false" customHeight="false" outlineLevel="0" collapsed="false">
      <c r="Q3" s="248" t="s">
        <v>110</v>
      </c>
    </row>
    <row r="6" customFormat="false" ht="12.75" hidden="false" customHeight="false" outlineLevel="0" collapsed="false">
      <c r="L6" s="7" t="s">
        <v>111</v>
      </c>
      <c r="M6" s="7" t="s">
        <v>112</v>
      </c>
    </row>
    <row r="7" customFormat="false" ht="18" hidden="false" customHeight="false" outlineLevel="0" collapsed="false">
      <c r="C7" s="17"/>
      <c r="D7" s="17"/>
      <c r="E7" s="17"/>
      <c r="F7" s="17"/>
      <c r="G7" s="17"/>
      <c r="I7" s="249" t="n">
        <v>1998</v>
      </c>
      <c r="J7" s="249" t="n">
        <v>1999</v>
      </c>
      <c r="K7" s="249" t="n">
        <v>2000</v>
      </c>
      <c r="L7" s="250" t="n">
        <v>2001</v>
      </c>
      <c r="M7" s="249" t="n">
        <v>2001</v>
      </c>
      <c r="N7" s="249" t="n">
        <v>2002</v>
      </c>
      <c r="O7" s="249" t="n">
        <v>2003</v>
      </c>
      <c r="P7" s="249" t="n">
        <v>2004</v>
      </c>
      <c r="Q7" s="251" t="n">
        <v>2005</v>
      </c>
    </row>
    <row r="8" customFormat="false" ht="18" hidden="false" customHeight="false" outlineLevel="0" collapsed="false">
      <c r="C8" s="110" t="s">
        <v>259</v>
      </c>
      <c r="D8" s="17"/>
      <c r="E8" s="17"/>
      <c r="F8" s="17"/>
      <c r="G8" s="17"/>
      <c r="H8" s="252"/>
      <c r="I8" s="253"/>
      <c r="J8" s="253"/>
      <c r="K8" s="253"/>
      <c r="L8" s="254"/>
      <c r="M8" s="253"/>
      <c r="N8" s="253"/>
      <c r="O8" s="253"/>
      <c r="P8" s="253"/>
      <c r="Q8" s="253"/>
    </row>
    <row r="9" customFormat="false" ht="18" hidden="true" customHeight="false" outlineLevel="1" collapsed="false">
      <c r="C9" s="110"/>
      <c r="D9" s="17"/>
      <c r="E9" s="17"/>
      <c r="F9" s="17"/>
      <c r="G9" s="17"/>
      <c r="H9" s="252"/>
      <c r="I9" s="255" t="n">
        <v>5909</v>
      </c>
      <c r="J9" s="255" t="n">
        <v>6191</v>
      </c>
      <c r="K9" s="255" t="n">
        <v>7508</v>
      </c>
      <c r="L9" s="256"/>
      <c r="M9" s="255"/>
      <c r="N9" s="255"/>
      <c r="O9" s="255"/>
      <c r="P9" s="255"/>
      <c r="Q9" s="255"/>
    </row>
    <row r="10" customFormat="false" ht="18" hidden="true" customHeight="false" outlineLevel="1" collapsed="false">
      <c r="C10" s="110"/>
      <c r="D10" s="17"/>
      <c r="E10" s="17"/>
      <c r="F10" s="17"/>
      <c r="G10" s="17"/>
      <c r="H10" s="252"/>
      <c r="I10" s="255" t="n">
        <f aca="false">(2/3)*2895</f>
        <v>1930</v>
      </c>
      <c r="J10" s="255" t="n">
        <f aca="false">(2/3)*2146</f>
        <v>1430.66666666667</v>
      </c>
      <c r="K10" s="255" t="n">
        <f aca="false">(2/3)*3300</f>
        <v>2200</v>
      </c>
      <c r="L10" s="255"/>
      <c r="M10" s="255"/>
      <c r="N10" s="255"/>
      <c r="O10" s="255"/>
      <c r="P10" s="255"/>
      <c r="Q10" s="255"/>
    </row>
    <row r="11" customFormat="false" ht="18" hidden="false" customHeight="false" outlineLevel="0" collapsed="false">
      <c r="C11" s="17" t="s">
        <v>260</v>
      </c>
      <c r="D11" s="17"/>
      <c r="E11" s="17"/>
      <c r="F11" s="17"/>
      <c r="G11" s="17"/>
      <c r="H11" s="255"/>
      <c r="I11" s="255" t="n">
        <f aca="false">I10+I9</f>
        <v>7839</v>
      </c>
      <c r="J11" s="255" t="n">
        <f aca="false">J10+J9</f>
        <v>7621.66666666667</v>
      </c>
      <c r="K11" s="255" t="n">
        <f aca="false">K10+K9</f>
        <v>9708</v>
      </c>
      <c r="L11" s="256" t="n">
        <f aca="false">'Valuation - DCF'!K19</f>
        <v>5025.06</v>
      </c>
      <c r="M11" s="255" t="n">
        <f aca="false">'Valuation - DCF'!L19</f>
        <v>5025.06</v>
      </c>
      <c r="N11" s="255" t="n">
        <f aca="false">'Valuation - DCF'!M19</f>
        <v>10244.12</v>
      </c>
      <c r="O11" s="255" t="n">
        <f aca="false">'Valuation - DCF'!N19</f>
        <v>8877.36</v>
      </c>
      <c r="P11" s="255" t="n">
        <f aca="false">'Valuation - DCF'!O19</f>
        <v>9019.152</v>
      </c>
      <c r="Q11" s="255" t="n">
        <f aca="false">'Valuation - DCF'!P19</f>
        <v>8942.61568</v>
      </c>
    </row>
    <row r="12" customFormat="false" ht="18" hidden="false" customHeight="false" outlineLevel="0" collapsed="false">
      <c r="C12" s="17" t="s">
        <v>261</v>
      </c>
      <c r="D12" s="17"/>
      <c r="E12" s="17"/>
      <c r="F12" s="17"/>
      <c r="G12" s="17"/>
      <c r="H12" s="252"/>
      <c r="I12" s="257" t="n">
        <f aca="false">'Rail Ops'!F15+'Rail Ops'!F17</f>
        <v>3180</v>
      </c>
      <c r="J12" s="257" t="n">
        <f aca="false">'Rail Ops'!G15+'Rail Ops'!G17</f>
        <v>3364</v>
      </c>
      <c r="K12" s="257" t="n">
        <f aca="false">'Rail Ops'!H15+'Rail Ops'!H17</f>
        <v>3858</v>
      </c>
      <c r="L12" s="254" t="n">
        <f aca="false">'Rail Ops'!I15+'Rail Ops'!I17</f>
        <v>1726.75</v>
      </c>
      <c r="M12" s="257" t="n">
        <f aca="false">'Rail Ops'!J15+'Rail Ops'!J17</f>
        <v>1726.75</v>
      </c>
      <c r="N12" s="257" t="n">
        <f aca="false">'Rail Ops'!K15+'Rail Ops'!K17</f>
        <v>3453.5</v>
      </c>
      <c r="O12" s="257" t="n">
        <f aca="false">'Rail Ops'!L15+'Rail Ops'!L17</f>
        <v>3425.74</v>
      </c>
      <c r="P12" s="257" t="n">
        <f aca="false">'Rail Ops'!M15+'Rail Ops'!M17</f>
        <v>3396.8696</v>
      </c>
      <c r="Q12" s="257" t="n">
        <f aca="false">'Rail Ops'!N15+'Rail Ops'!N17</f>
        <v>3366.844384</v>
      </c>
    </row>
    <row r="13" customFormat="false" ht="18" hidden="false" customHeight="false" outlineLevel="0" collapsed="false">
      <c r="C13" s="17" t="s">
        <v>262</v>
      </c>
      <c r="D13" s="17"/>
      <c r="E13" s="17"/>
      <c r="F13" s="17"/>
      <c r="G13" s="17"/>
      <c r="H13" s="252"/>
      <c r="I13" s="258" t="n">
        <f aca="false">I12+I11</f>
        <v>11019</v>
      </c>
      <c r="J13" s="258" t="n">
        <f aca="false">J12+J11</f>
        <v>10985.6666666667</v>
      </c>
      <c r="K13" s="258" t="n">
        <f aca="false">K12+K11</f>
        <v>13566</v>
      </c>
      <c r="L13" s="259" t="n">
        <f aca="false">L12+L11</f>
        <v>6751.81</v>
      </c>
      <c r="M13" s="258" t="n">
        <f aca="false">M12+M11</f>
        <v>6751.81</v>
      </c>
      <c r="N13" s="258" t="n">
        <f aca="false">N12+N11</f>
        <v>13697.62</v>
      </c>
      <c r="O13" s="258" t="n">
        <f aca="false">O12+O11</f>
        <v>12303.1</v>
      </c>
      <c r="P13" s="258" t="n">
        <f aca="false">P12+P11</f>
        <v>12416.0216</v>
      </c>
      <c r="Q13" s="258" t="n">
        <f aca="false">Q12+Q11</f>
        <v>12309.460064</v>
      </c>
    </row>
    <row r="14" customFormat="false" ht="18" hidden="false" customHeight="false" outlineLevel="0" collapsed="false">
      <c r="C14" s="17"/>
      <c r="D14" s="17"/>
      <c r="E14" s="17"/>
      <c r="F14" s="17"/>
      <c r="G14" s="17"/>
      <c r="H14" s="252"/>
      <c r="I14" s="258"/>
      <c r="J14" s="258"/>
      <c r="K14" s="258"/>
      <c r="L14" s="254"/>
      <c r="M14" s="258"/>
      <c r="N14" s="258"/>
      <c r="O14" s="258"/>
      <c r="P14" s="258"/>
      <c r="Q14" s="258"/>
    </row>
    <row r="15" customFormat="false" ht="18" hidden="true" customHeight="false" outlineLevel="1" collapsed="false">
      <c r="C15" s="17"/>
      <c r="D15" s="17"/>
      <c r="E15" s="17"/>
      <c r="F15" s="17"/>
      <c r="G15" s="17"/>
      <c r="H15" s="260"/>
      <c r="I15" s="257" t="n">
        <f aca="false">'Sea-3 NH '!F21+'Sea-3 Tampa'!F20</f>
        <v>-600</v>
      </c>
      <c r="J15" s="255" t="n">
        <f aca="false">'Sea-3 NH '!G21+'Sea-3 Tampa'!G20</f>
        <v>-583</v>
      </c>
      <c r="K15" s="255" t="n">
        <f aca="false">'Sea-3 NH '!H21+'Sea-3 Tampa'!H20</f>
        <v>-631</v>
      </c>
      <c r="L15" s="255" t="n">
        <f aca="false">'Sea-3 NH '!I21+'Sea-3 Tampa'!I20</f>
        <v>-365.5</v>
      </c>
      <c r="M15" s="255" t="n">
        <f aca="false">'Sea-3 NH '!J21+'Sea-3 Tampa'!J20</f>
        <v>-365.5</v>
      </c>
      <c r="N15" s="255" t="n">
        <f aca="false">'Sea-3 NH '!K21+'Sea-3 Tampa'!K20</f>
        <v>-728.853333333333</v>
      </c>
      <c r="O15" s="255" t="n">
        <f aca="false">'Sea-3 NH '!L21+'Sea-3 Tampa'!L20</f>
        <v>-758.007466666667</v>
      </c>
      <c r="P15" s="255" t="n">
        <f aca="false">'Sea-3 NH '!M21+'Sea-3 Tampa'!M20</f>
        <v>-788.327765333333</v>
      </c>
      <c r="Q15" s="255" t="n">
        <f aca="false">'Sea-3 NH '!N21+'Sea-3 Tampa'!N20</f>
        <v>-819.860875946667</v>
      </c>
    </row>
    <row r="16" customFormat="false" ht="18" hidden="false" customHeight="false" outlineLevel="0" collapsed="false">
      <c r="C16" s="17" t="s">
        <v>263</v>
      </c>
      <c r="D16" s="17"/>
      <c r="E16" s="17"/>
      <c r="F16" s="17"/>
      <c r="G16" s="17"/>
      <c r="H16" s="252"/>
      <c r="I16" s="257" t="n">
        <f aca="false">'Sea-3 NH '!F20+'Sea-3 Tampa'!F19+I15</f>
        <v>-873</v>
      </c>
      <c r="J16" s="257" t="n">
        <f aca="false">'Sea-3 NH '!G20+'Sea-3 Tampa'!G19+J15</f>
        <v>-853</v>
      </c>
      <c r="K16" s="257" t="n">
        <f aca="false">'Sea-3 NH '!H20+'Sea-3 Tampa'!H19+K15</f>
        <v>-994</v>
      </c>
      <c r="L16" s="254" t="n">
        <f aca="false">'Sea-3 NH '!I20+'Sea-3 Tampa'!I19+L15</f>
        <v>-595</v>
      </c>
      <c r="M16" s="257" t="n">
        <f aca="false">'Sea-3 NH '!J20+'Sea-3 Tampa'!J19+M15</f>
        <v>-595</v>
      </c>
      <c r="N16" s="257" t="n">
        <f aca="false">'Sea-3 NH '!K20+'Sea-3 Tampa'!K19+N15</f>
        <v>-1201.85333333333</v>
      </c>
      <c r="O16" s="257" t="n">
        <f aca="false">'Sea-3 NH '!L20+'Sea-3 Tampa'!L19+O15</f>
        <v>-1249.92746666667</v>
      </c>
      <c r="P16" s="257" t="n">
        <f aca="false">'Sea-3 NH '!M20+'Sea-3 Tampa'!M19+P15</f>
        <v>-1299.92456533333</v>
      </c>
      <c r="Q16" s="257" t="n">
        <f aca="false">'Sea-3 NH '!N20+'Sea-3 Tampa'!N19+Q15</f>
        <v>-1351.92154794667</v>
      </c>
    </row>
    <row r="17" customFormat="false" ht="18" hidden="false" customHeight="false" outlineLevel="0" collapsed="false">
      <c r="C17" s="110" t="s">
        <v>264</v>
      </c>
      <c r="D17" s="110"/>
      <c r="E17" s="110"/>
      <c r="F17" s="110"/>
      <c r="G17" s="110"/>
      <c r="H17" s="10"/>
      <c r="I17" s="258" t="n">
        <f aca="false">I13+I16</f>
        <v>10146</v>
      </c>
      <c r="J17" s="258" t="n">
        <f aca="false">J13+J16</f>
        <v>10132.6666666667</v>
      </c>
      <c r="K17" s="258" t="n">
        <f aca="false">K13+K16</f>
        <v>12572</v>
      </c>
      <c r="L17" s="259" t="n">
        <f aca="false">L13+L16</f>
        <v>6156.81</v>
      </c>
      <c r="M17" s="258" t="n">
        <f aca="false">M13+M16</f>
        <v>6156.81</v>
      </c>
      <c r="N17" s="258" t="n">
        <f aca="false">N13+N16</f>
        <v>12495.7666666667</v>
      </c>
      <c r="O17" s="258" t="n">
        <f aca="false">O13+O16</f>
        <v>11053.1725333333</v>
      </c>
      <c r="P17" s="258" t="n">
        <f aca="false">P13+P16</f>
        <v>11116.0970346667</v>
      </c>
      <c r="Q17" s="258" t="n">
        <f aca="false">Q13+Q16</f>
        <v>10957.5385160533</v>
      </c>
    </row>
    <row r="18" customFormat="false" ht="18" hidden="false" customHeight="false" outlineLevel="0" collapsed="false">
      <c r="L18" s="254"/>
    </row>
    <row r="19" customFormat="false" ht="18" hidden="false" customHeight="false" outlineLevel="0" collapsed="false">
      <c r="C19" s="110" t="s">
        <v>265</v>
      </c>
      <c r="D19" s="17"/>
      <c r="E19" s="17"/>
      <c r="F19" s="17"/>
      <c r="G19" s="17"/>
      <c r="H19" s="258"/>
      <c r="I19" s="258"/>
      <c r="J19" s="258"/>
      <c r="K19" s="258"/>
      <c r="L19" s="261"/>
      <c r="M19" s="262"/>
      <c r="N19" s="262"/>
      <c r="O19" s="262"/>
      <c r="P19" s="262"/>
      <c r="Q19" s="262"/>
    </row>
    <row r="20" customFormat="false" ht="18" hidden="false" customHeight="false" outlineLevel="0" collapsed="false">
      <c r="C20" s="17" t="s">
        <v>266</v>
      </c>
      <c r="D20" s="17"/>
      <c r="E20" s="17"/>
      <c r="F20" s="17"/>
      <c r="G20" s="17"/>
      <c r="H20" s="255"/>
      <c r="I20" s="255" t="n">
        <v>2862</v>
      </c>
      <c r="J20" s="255" t="n">
        <v>5444</v>
      </c>
      <c r="K20" s="255" t="n">
        <v>8922</v>
      </c>
      <c r="L20" s="256" t="n">
        <f aca="false">+'Valuation - DCF'!K14</f>
        <v>3591.5</v>
      </c>
      <c r="M20" s="255" t="n">
        <f aca="false">+'Valuation - DCF'!L14</f>
        <v>3591.5</v>
      </c>
      <c r="N20" s="255" t="n">
        <f aca="false">+'Valuation - DCF'!M14</f>
        <v>7470.32</v>
      </c>
      <c r="O20" s="255" t="n">
        <f aca="false">+'Valuation - DCF'!N14</f>
        <v>7769.1328</v>
      </c>
      <c r="P20" s="255" t="n">
        <f aca="false">+'Valuation - DCF'!O14</f>
        <v>8079.898112</v>
      </c>
      <c r="Q20" s="255" t="n">
        <f aca="false">+'Valuation - DCF'!P14</f>
        <v>8403.09403648</v>
      </c>
    </row>
    <row r="21" customFormat="false" ht="18" hidden="false" customHeight="false" outlineLevel="0" collapsed="false">
      <c r="C21" s="17" t="s">
        <v>267</v>
      </c>
      <c r="D21" s="17"/>
      <c r="E21" s="17"/>
      <c r="F21" s="17"/>
      <c r="G21" s="17"/>
      <c r="H21" s="255"/>
      <c r="I21" s="255" t="n">
        <v>3752</v>
      </c>
      <c r="J21" s="255" t="n">
        <v>3242</v>
      </c>
      <c r="K21" s="255" t="n">
        <v>10300</v>
      </c>
      <c r="L21" s="256" t="n">
        <f aca="false">+'Valuation - DCF'!K15</f>
        <v>3839.33333333333</v>
      </c>
      <c r="M21" s="255" t="n">
        <f aca="false">+'Valuation - DCF'!L15</f>
        <v>3839.33333333333</v>
      </c>
      <c r="N21" s="255" t="n">
        <f aca="false">+'Valuation - DCF'!M15</f>
        <v>7985.81333333333</v>
      </c>
      <c r="O21" s="255" t="n">
        <f aca="false">+'Valuation - DCF'!N15</f>
        <v>8305.24586666667</v>
      </c>
      <c r="P21" s="255" t="n">
        <f aca="false">+'Valuation - DCF'!O15</f>
        <v>8637.45570133333</v>
      </c>
      <c r="Q21" s="255" t="n">
        <f aca="false">+'Valuation - DCF'!P15</f>
        <v>8982.95392938667</v>
      </c>
    </row>
    <row r="22" customFormat="false" ht="18" hidden="false" customHeight="false" outlineLevel="0" collapsed="false">
      <c r="C22" s="17" t="s">
        <v>268</v>
      </c>
      <c r="D22" s="17"/>
      <c r="E22" s="17"/>
      <c r="F22" s="17"/>
      <c r="G22" s="17"/>
      <c r="H22" s="255"/>
      <c r="I22" s="255" t="n">
        <f aca="false">19597-(I12+(1/3*I36))</f>
        <v>17382</v>
      </c>
      <c r="J22" s="255" t="n">
        <f aca="false">25469-(J12+(1/3*J36))</f>
        <v>22820.3333333333</v>
      </c>
      <c r="K22" s="255" t="n">
        <f aca="false">41461-(K12+(1/3*K36))</f>
        <v>38703</v>
      </c>
      <c r="L22" s="256" t="n">
        <f aca="false">+'Valuation - DCF'!K16-L12</f>
        <v>15005.75</v>
      </c>
      <c r="M22" s="255" t="n">
        <f aca="false">+'Valuation - DCF'!L16-M12</f>
        <v>15005.75</v>
      </c>
      <c r="N22" s="255" t="n">
        <f aca="false">+'Valuation - DCF'!M16-N12</f>
        <v>31350.1</v>
      </c>
      <c r="O22" s="255" t="n">
        <f aca="false">+'Valuation - DCF'!N16-O12</f>
        <v>32770.004</v>
      </c>
      <c r="P22" s="255" t="n">
        <f aca="false">+'Valuation - DCF'!O16-P12</f>
        <v>34246.70416</v>
      </c>
      <c r="Q22" s="255" t="n">
        <f aca="false">+'Valuation - DCF'!P16-Q12</f>
        <v>35782.4723264</v>
      </c>
    </row>
    <row r="23" customFormat="false" ht="18" hidden="false" customHeight="false" outlineLevel="0" collapsed="false">
      <c r="C23" s="17" t="s">
        <v>269</v>
      </c>
      <c r="D23" s="17"/>
      <c r="E23" s="17"/>
      <c r="F23" s="17"/>
      <c r="G23" s="17"/>
      <c r="H23" s="255"/>
      <c r="I23" s="255" t="n">
        <v>3158</v>
      </c>
      <c r="J23" s="255" t="n">
        <v>13391</v>
      </c>
      <c r="K23" s="255" t="n">
        <v>11615</v>
      </c>
      <c r="L23" s="256" t="n">
        <f aca="false">+'Valuation - DCF'!K17</f>
        <v>6251.5</v>
      </c>
      <c r="M23" s="255" t="n">
        <f aca="false">+'Valuation - DCF'!L17</f>
        <v>6251.5</v>
      </c>
      <c r="N23" s="255" t="n">
        <f aca="false">+'Valuation - DCF'!M17</f>
        <v>13003.12</v>
      </c>
      <c r="O23" s="255" t="n">
        <f aca="false">+'Valuation - DCF'!N17</f>
        <v>13523.2448</v>
      </c>
      <c r="P23" s="255" t="n">
        <f aca="false">+'Valuation - DCF'!O17</f>
        <v>14064.174592</v>
      </c>
      <c r="Q23" s="255" t="n">
        <f aca="false">+'Valuation - DCF'!P17</f>
        <v>14626.74157568</v>
      </c>
    </row>
    <row r="24" customFormat="false" ht="18" hidden="false" customHeight="false" outlineLevel="0" collapsed="false">
      <c r="C24" s="17" t="s">
        <v>270</v>
      </c>
      <c r="D24" s="17"/>
      <c r="E24" s="17"/>
      <c r="F24" s="17"/>
      <c r="G24" s="17"/>
      <c r="H24" s="17"/>
      <c r="I24" s="263" t="n">
        <v>0</v>
      </c>
      <c r="J24" s="263" t="n">
        <v>0</v>
      </c>
      <c r="K24" s="263" t="n">
        <v>0</v>
      </c>
      <c r="L24" s="254" t="n">
        <f aca="false">+SUM('Valuation - DCF'!K29:K31)+'Valuation - DCF'!K27</f>
        <v>0</v>
      </c>
      <c r="M24" s="264" t="n">
        <f aca="false">+SUM('Valuation - DCF'!L29:L31)+'Valuation - DCF'!L27</f>
        <v>-2734.31</v>
      </c>
      <c r="N24" s="264" t="n">
        <f aca="false">+SUM('Valuation - DCF'!M29:M31)+'Valuation - DCF'!M27</f>
        <v>1572.10586666667</v>
      </c>
      <c r="O24" s="264" t="n">
        <f aca="false">+SUM('Valuation - DCF'!N29:N31)+'Valuation - DCF'!N27</f>
        <v>8780.03959466667</v>
      </c>
      <c r="P24" s="264" t="n">
        <f aca="false">+SUM('Valuation - DCF'!O29:O31)+'Valuation - DCF'!O27</f>
        <v>16165.29265152</v>
      </c>
      <c r="Q24" s="264" t="n">
        <f aca="false">+SUM('Valuation - DCF'!P29:P31)+'Valuation - DCF'!P27</f>
        <v>23738.5178895701</v>
      </c>
    </row>
    <row r="25" customFormat="false" ht="18" hidden="false" customHeight="false" outlineLevel="0" collapsed="false">
      <c r="C25" s="17" t="s">
        <v>262</v>
      </c>
      <c r="D25" s="17"/>
      <c r="E25" s="17"/>
      <c r="F25" s="17"/>
      <c r="G25" s="17"/>
      <c r="H25" s="252"/>
      <c r="I25" s="258" t="n">
        <f aca="false">SUM(I20:I24)</f>
        <v>27154</v>
      </c>
      <c r="J25" s="258" t="n">
        <f aca="false">SUM(J20:J24)</f>
        <v>44897.3333333333</v>
      </c>
      <c r="K25" s="258" t="n">
        <f aca="false">SUM(K20:K24)</f>
        <v>69540</v>
      </c>
      <c r="L25" s="259" t="n">
        <f aca="false">SUM(L20:L24)</f>
        <v>28688.0833333333</v>
      </c>
      <c r="M25" s="258" t="n">
        <f aca="false">SUM(M20:M24)</f>
        <v>25953.7733333333</v>
      </c>
      <c r="N25" s="258" t="n">
        <f aca="false">SUM(N20:N24)</f>
        <v>61381.4592</v>
      </c>
      <c r="O25" s="258" t="n">
        <f aca="false">SUM(O20:O24)</f>
        <v>71147.6670613333</v>
      </c>
      <c r="P25" s="258" t="n">
        <f aca="false">SUM(P20:P24)</f>
        <v>81193.5252168533</v>
      </c>
      <c r="Q25" s="258" t="n">
        <f aca="false">SUM(Q20:Q24)</f>
        <v>91533.7797575168</v>
      </c>
    </row>
    <row r="26" customFormat="false" ht="18" hidden="false" customHeight="false" outlineLevel="0" collapsed="false">
      <c r="C26" s="17"/>
      <c r="D26" s="17"/>
      <c r="E26" s="17"/>
      <c r="F26" s="17"/>
      <c r="G26" s="17"/>
      <c r="H26" s="252"/>
      <c r="I26" s="258"/>
      <c r="J26" s="258"/>
      <c r="K26" s="258"/>
      <c r="L26" s="259"/>
      <c r="M26" s="258"/>
      <c r="N26" s="258"/>
      <c r="O26" s="258"/>
      <c r="P26" s="258"/>
      <c r="Q26" s="258"/>
    </row>
    <row r="27" customFormat="false" ht="20.25" hidden="false" customHeight="false" outlineLevel="0" collapsed="false">
      <c r="C27" s="17" t="s">
        <v>271</v>
      </c>
      <c r="D27" s="17"/>
      <c r="E27" s="17"/>
      <c r="F27" s="17"/>
      <c r="G27" s="17"/>
      <c r="H27" s="257"/>
      <c r="I27" s="255" t="n">
        <v>6131</v>
      </c>
      <c r="J27" s="255" t="n">
        <v>7547</v>
      </c>
      <c r="K27" s="255" t="n">
        <v>14102</v>
      </c>
      <c r="L27" s="256" t="n">
        <f aca="false">+'Valuation - DCF'!K20</f>
        <v>5412.25</v>
      </c>
      <c r="M27" s="255" t="n">
        <f aca="false">+'Valuation - DCF'!L20</f>
        <v>5412.25</v>
      </c>
      <c r="N27" s="255" t="n">
        <f aca="false">+'Valuation - DCF'!M20</f>
        <v>11257.48</v>
      </c>
      <c r="O27" s="255" t="n">
        <f aca="false">+'Valuation - DCF'!N20</f>
        <v>11707.7792</v>
      </c>
      <c r="P27" s="255" t="n">
        <f aca="false">+'Valuation - DCF'!O20</f>
        <v>12176.090368</v>
      </c>
      <c r="Q27" s="255" t="n">
        <f aca="false">+'Valuation - DCF'!P20</f>
        <v>12663.13398272</v>
      </c>
    </row>
    <row r="28" customFormat="false" ht="18" hidden="false" customHeight="false" outlineLevel="0" collapsed="false">
      <c r="C28" s="17"/>
      <c r="D28" s="17"/>
      <c r="E28" s="17"/>
      <c r="F28" s="17"/>
      <c r="G28" s="17"/>
      <c r="H28" s="255"/>
      <c r="I28" s="255"/>
      <c r="J28" s="255"/>
      <c r="K28" s="255"/>
      <c r="L28" s="256"/>
      <c r="M28" s="255"/>
      <c r="N28" s="255"/>
      <c r="O28" s="255"/>
      <c r="P28" s="255"/>
      <c r="Q28" s="255"/>
    </row>
    <row r="29" customFormat="false" ht="18" hidden="true" customHeight="false" outlineLevel="1" collapsed="false">
      <c r="C29" s="17" t="s">
        <v>272</v>
      </c>
      <c r="D29" s="17"/>
      <c r="E29" s="17"/>
      <c r="F29" s="17"/>
      <c r="G29" s="17"/>
      <c r="H29" s="17"/>
      <c r="I29" s="255" t="n">
        <f aca="false">-35664+'Misc Calcs'!E9+'Misc Calcs'!I121</f>
        <v>-29072</v>
      </c>
      <c r="J29" s="255" t="n">
        <f aca="false">'Valuation - DCF'!I23</f>
        <v>-27622</v>
      </c>
      <c r="K29" s="255" t="n">
        <f aca="false">'Valuation - DCF'!J23</f>
        <v>-29440</v>
      </c>
      <c r="L29" s="255" t="n">
        <f aca="false">'Valuation - DCF'!K23</f>
        <v>-14265.5</v>
      </c>
      <c r="M29" s="255" t="n">
        <f aca="false">'Valuation - DCF'!L23</f>
        <v>-14265.5</v>
      </c>
      <c r="N29" s="255" t="n">
        <f aca="false">'Valuation - DCF'!M23</f>
        <v>-28531</v>
      </c>
      <c r="O29" s="255" t="n">
        <f aca="false">'Valuation - DCF'!N23</f>
        <v>-28531</v>
      </c>
      <c r="P29" s="255" t="n">
        <f aca="false">'Valuation - DCF'!O23</f>
        <v>-28531</v>
      </c>
      <c r="Q29" s="255" t="n">
        <f aca="false">'Valuation - DCF'!P23</f>
        <v>-28531</v>
      </c>
    </row>
    <row r="30" customFormat="false" ht="18" hidden="true" customHeight="false" outlineLevel="1" collapsed="false">
      <c r="C30" s="17" t="s">
        <v>273</v>
      </c>
      <c r="D30" s="17"/>
      <c r="E30" s="17"/>
      <c r="F30" s="17"/>
      <c r="G30" s="17"/>
      <c r="H30" s="17"/>
      <c r="I30" s="255" t="n">
        <f aca="false">-3563+'Misc Calcs'!E10+'Misc Calcs'!I123</f>
        <v>-3320</v>
      </c>
      <c r="J30" s="255" t="n">
        <f aca="false">'Valuation - DCF'!I24</f>
        <v>-9965</v>
      </c>
      <c r="K30" s="255" t="n">
        <f aca="false">'Valuation - DCF'!J24</f>
        <v>-19369</v>
      </c>
      <c r="L30" s="255" t="n">
        <f aca="false">'Valuation - DCF'!K24</f>
        <v>-7333.5</v>
      </c>
      <c r="M30" s="255" t="n">
        <f aca="false">'Valuation - DCF'!L24</f>
        <v>-7087.97866666667</v>
      </c>
      <c r="N30" s="255" t="n">
        <f aca="false">'Valuation - DCF'!M24</f>
        <v>-14701.3946666667</v>
      </c>
      <c r="O30" s="255" t="n">
        <f aca="false">'Valuation - DCF'!N24</f>
        <v>-14934.1454933333</v>
      </c>
      <c r="P30" s="255" t="n">
        <f aca="false">'Valuation - DCF'!O24</f>
        <v>-15488.8508330667</v>
      </c>
      <c r="Q30" s="255" t="n">
        <f aca="false">'Valuation - DCF'!P24</f>
        <v>-16020.9443863893</v>
      </c>
    </row>
    <row r="31" customFormat="false" ht="18" hidden="false" customHeight="false" outlineLevel="0" collapsed="false">
      <c r="C31" s="17" t="s">
        <v>263</v>
      </c>
      <c r="D31" s="17"/>
      <c r="E31" s="17"/>
      <c r="F31" s="17"/>
      <c r="G31" s="17"/>
      <c r="H31" s="252"/>
      <c r="I31" s="257" t="n">
        <f aca="false">I29+I30-I16</f>
        <v>-31519</v>
      </c>
      <c r="J31" s="257" t="n">
        <f aca="false">J29+J30-J16</f>
        <v>-36734</v>
      </c>
      <c r="K31" s="257" t="n">
        <f aca="false">K29+K30-K16</f>
        <v>-47815</v>
      </c>
      <c r="L31" s="254" t="n">
        <f aca="false">L29+L30-L16</f>
        <v>-21004</v>
      </c>
      <c r="M31" s="257" t="n">
        <f aca="false">M29+M30-M16</f>
        <v>-20758.4786666667</v>
      </c>
      <c r="N31" s="257" t="n">
        <f aca="false">N29+N30-N16</f>
        <v>-42030.5413333333</v>
      </c>
      <c r="O31" s="257" t="n">
        <f aca="false">O29+O30-O16</f>
        <v>-42215.2180266667</v>
      </c>
      <c r="P31" s="257" t="n">
        <f aca="false">P29+P30-P16</f>
        <v>-42719.9262677333</v>
      </c>
      <c r="Q31" s="257" t="n">
        <f aca="false">Q29+Q30-Q16</f>
        <v>-43200.0228384427</v>
      </c>
    </row>
    <row r="32" customFormat="false" ht="18" hidden="false" customHeight="false" outlineLevel="0" collapsed="false">
      <c r="C32" s="110" t="s">
        <v>274</v>
      </c>
      <c r="D32" s="110"/>
      <c r="E32" s="110"/>
      <c r="F32" s="110"/>
      <c r="G32" s="110"/>
      <c r="H32" s="10"/>
      <c r="I32" s="258" t="n">
        <f aca="false">I25+I27+I31</f>
        <v>1766</v>
      </c>
      <c r="J32" s="258" t="n">
        <f aca="false">J25+J27+J31</f>
        <v>15710.3333333333</v>
      </c>
      <c r="K32" s="258" t="n">
        <f aca="false">K25+K27+K31</f>
        <v>35827</v>
      </c>
      <c r="L32" s="259" t="n">
        <f aca="false">L25+L27+L31</f>
        <v>13096.3333333333</v>
      </c>
      <c r="M32" s="258" t="n">
        <f aca="false">M25+M27+M31</f>
        <v>10607.5446666667</v>
      </c>
      <c r="N32" s="258" t="n">
        <f aca="false">N25+N27+N31</f>
        <v>30608.3978666667</v>
      </c>
      <c r="O32" s="258" t="n">
        <f aca="false">O25+O27+O31</f>
        <v>40640.2282346667</v>
      </c>
      <c r="P32" s="258" t="n">
        <f aca="false">P25+P27+P31</f>
        <v>50649.68931712</v>
      </c>
      <c r="Q32" s="258" t="n">
        <f aca="false">Q25+Q27+Q31</f>
        <v>60996.8909017942</v>
      </c>
    </row>
    <row r="33" customFormat="false" ht="18" hidden="false" customHeight="false" outlineLevel="0" collapsed="false">
      <c r="L33" s="254"/>
    </row>
    <row r="34" customFormat="false" ht="18" hidden="false" customHeight="false" outlineLevel="0" collapsed="false">
      <c r="C34" s="110" t="s">
        <v>275</v>
      </c>
      <c r="D34" s="110"/>
      <c r="E34" s="110"/>
      <c r="F34" s="110"/>
      <c r="G34" s="110"/>
      <c r="H34" s="265"/>
      <c r="I34" s="258" t="n">
        <f aca="false">I17+I32</f>
        <v>11912</v>
      </c>
      <c r="J34" s="258" t="n">
        <f aca="false">J17+J32</f>
        <v>25843</v>
      </c>
      <c r="K34" s="258" t="n">
        <f aca="false">K17+K32</f>
        <v>48399</v>
      </c>
      <c r="L34" s="259" t="n">
        <f aca="false">L17+L32</f>
        <v>19253.1433333333</v>
      </c>
      <c r="M34" s="258" t="n">
        <f aca="false">M17+M32</f>
        <v>16764.3546666667</v>
      </c>
      <c r="N34" s="258" t="n">
        <f aca="false">N17+N32</f>
        <v>43104.1645333333</v>
      </c>
      <c r="O34" s="258" t="n">
        <f aca="false">O17+O32</f>
        <v>51693.400768</v>
      </c>
      <c r="P34" s="258" t="n">
        <f aca="false">P17+P32</f>
        <v>61765.7863517867</v>
      </c>
      <c r="Q34" s="258" t="n">
        <f aca="false">Q17+Q32</f>
        <v>71954.4294178475</v>
      </c>
    </row>
    <row r="35" customFormat="false" ht="18" hidden="false" customHeight="false" outlineLevel="0" collapsed="false">
      <c r="C35" s="17"/>
      <c r="D35" s="17"/>
      <c r="E35" s="17"/>
      <c r="F35" s="17"/>
      <c r="G35" s="17"/>
      <c r="H35" s="29"/>
      <c r="I35" s="29"/>
      <c r="J35" s="29"/>
      <c r="K35" s="29"/>
      <c r="L35" s="266"/>
      <c r="M35" s="17"/>
    </row>
    <row r="36" customFormat="false" ht="18" hidden="true" customHeight="false" outlineLevel="1" collapsed="false">
      <c r="C36" s="17" t="s">
        <v>276</v>
      </c>
      <c r="D36" s="17"/>
      <c r="E36" s="17"/>
      <c r="F36" s="17"/>
      <c r="G36" s="17"/>
      <c r="H36" s="17"/>
      <c r="I36" s="257" t="n">
        <f aca="false">-I10*(3/2)</f>
        <v>-2895</v>
      </c>
      <c r="J36" s="257" t="n">
        <f aca="false">-J10*(3/2)</f>
        <v>-2146</v>
      </c>
      <c r="K36" s="257" t="n">
        <f aca="false">-K10*(3/2)</f>
        <v>-3300</v>
      </c>
      <c r="L36" s="254" t="n">
        <f aca="false">+'Valuation - DCF'!K34</f>
        <v>-1332.93172758222</v>
      </c>
      <c r="M36" s="257" t="n">
        <f aca="false">+'Valuation - DCF'!L34</f>
        <v>-1845.0399427051</v>
      </c>
      <c r="N36" s="257" t="n">
        <f aca="false">+'Valuation - DCF'!M34</f>
        <v>-3706.74655207688</v>
      </c>
      <c r="O36" s="257" t="n">
        <f aca="false">+'Valuation - DCF'!N34</f>
        <v>-3723.41321874354</v>
      </c>
      <c r="P36" s="257" t="n">
        <f aca="false">+'Valuation - DCF'!O34</f>
        <v>-3740.07988541021</v>
      </c>
      <c r="Q36" s="257" t="n">
        <f aca="false">+'Valuation - DCF'!P34</f>
        <v>-3756.74655207688</v>
      </c>
    </row>
    <row r="37" customFormat="false" ht="18" hidden="true" customHeight="false" outlineLevel="1" collapsed="false">
      <c r="C37" s="17" t="s">
        <v>176</v>
      </c>
      <c r="D37" s="17"/>
      <c r="E37" s="17"/>
      <c r="F37" s="17"/>
      <c r="G37" s="17"/>
      <c r="H37" s="29"/>
      <c r="I37" s="258" t="n">
        <f aca="false">I34+I36</f>
        <v>9017</v>
      </c>
      <c r="J37" s="258" t="n">
        <f aca="false">J34+J36</f>
        <v>23697</v>
      </c>
      <c r="K37" s="258" t="n">
        <f aca="false">K34+K36</f>
        <v>45099</v>
      </c>
      <c r="L37" s="258" t="n">
        <f aca="false">L34+L36</f>
        <v>17920.2116057511</v>
      </c>
      <c r="M37" s="258" t="n">
        <f aca="false">M34+M36</f>
        <v>14919.3147239616</v>
      </c>
      <c r="N37" s="258" t="n">
        <f aca="false">N34+N36</f>
        <v>39397.4179812565</v>
      </c>
      <c r="O37" s="258" t="n">
        <f aca="false">O34+O36</f>
        <v>47969.9875492565</v>
      </c>
      <c r="P37" s="258" t="n">
        <f aca="false">P34+P36</f>
        <v>58025.7064663765</v>
      </c>
      <c r="Q37" s="258" t="n">
        <f aca="false">Q34+Q36</f>
        <v>68197.6828657706</v>
      </c>
    </row>
    <row r="38" customFormat="false" ht="18" hidden="true" customHeight="false" outlineLevel="1" collapsed="false">
      <c r="C38" s="17"/>
      <c r="D38" s="17"/>
      <c r="E38" s="17"/>
      <c r="F38" s="17"/>
      <c r="G38" s="17"/>
      <c r="H38" s="29"/>
      <c r="I38" s="258"/>
      <c r="J38" s="258"/>
      <c r="K38" s="258"/>
      <c r="L38" s="259"/>
      <c r="M38" s="17"/>
    </row>
    <row r="39" customFormat="false" ht="18" hidden="true" customHeight="false" outlineLevel="1" collapsed="false">
      <c r="C39" s="17" t="s">
        <v>277</v>
      </c>
      <c r="D39" s="17"/>
      <c r="E39" s="17"/>
      <c r="F39" s="17"/>
      <c r="G39" s="17"/>
      <c r="H39" s="29"/>
      <c r="I39" s="257" t="n">
        <v>-1547</v>
      </c>
      <c r="J39" s="257" t="n">
        <v>-3148</v>
      </c>
      <c r="K39" s="257" t="n">
        <v>-7978</v>
      </c>
      <c r="L39" s="254" t="n">
        <f aca="false">+'Valuation - DCF'!K36</f>
        <v>-6097.575</v>
      </c>
      <c r="M39" s="257" t="n">
        <f aca="false">+'Valuation - DCF'!L36</f>
        <v>-6765</v>
      </c>
      <c r="N39" s="257" t="n">
        <f aca="false">+'Valuation - DCF'!M36</f>
        <v>-13530</v>
      </c>
      <c r="O39" s="257" t="n">
        <f aca="false">+'Valuation - DCF'!N36</f>
        <v>-13530</v>
      </c>
      <c r="P39" s="257" t="n">
        <f aca="false">+'Valuation - DCF'!O36</f>
        <v>-13530</v>
      </c>
      <c r="Q39" s="257" t="n">
        <f aca="false">+'Valuation - DCF'!P36</f>
        <v>-13530</v>
      </c>
    </row>
    <row r="40" customFormat="false" ht="18" hidden="true" customHeight="false" outlineLevel="1" collapsed="false">
      <c r="C40" s="17" t="s">
        <v>278</v>
      </c>
      <c r="D40" s="17"/>
      <c r="E40" s="17"/>
      <c r="F40" s="17"/>
      <c r="G40" s="17"/>
      <c r="H40" s="29"/>
      <c r="I40" s="258" t="n">
        <f aca="false">+I37+I39</f>
        <v>7470</v>
      </c>
      <c r="J40" s="258" t="n">
        <f aca="false">+J37+J39</f>
        <v>20549</v>
      </c>
      <c r="K40" s="258" t="n">
        <f aca="false">+K37+K39</f>
        <v>37121</v>
      </c>
      <c r="L40" s="259" t="n">
        <f aca="false">+L37+L39</f>
        <v>11822.6366057511</v>
      </c>
      <c r="M40" s="258" t="n">
        <f aca="false">+M37+M39</f>
        <v>8154.31472396156</v>
      </c>
      <c r="N40" s="258" t="n">
        <f aca="false">+N37+N39</f>
        <v>25867.4179812565</v>
      </c>
      <c r="O40" s="258" t="n">
        <f aca="false">+O37+O39</f>
        <v>34439.9875492565</v>
      </c>
      <c r="P40" s="258" t="n">
        <f aca="false">+P37+P39</f>
        <v>44495.7064663765</v>
      </c>
      <c r="Q40" s="258" t="n">
        <f aca="false">+Q37+Q39</f>
        <v>54667.6828657706</v>
      </c>
    </row>
    <row r="41" customFormat="false" ht="18" hidden="true" customHeight="false" outlineLevel="1" collapsed="false">
      <c r="C41" s="17"/>
      <c r="D41" s="17"/>
      <c r="E41" s="17"/>
      <c r="F41" s="17"/>
      <c r="G41" s="17"/>
      <c r="H41" s="29"/>
      <c r="I41" s="258"/>
      <c r="J41" s="258"/>
      <c r="K41" s="258"/>
      <c r="L41" s="259"/>
      <c r="M41" s="17"/>
    </row>
    <row r="42" customFormat="false" ht="18" hidden="true" customHeight="false" outlineLevel="1" collapsed="false">
      <c r="C42" s="17" t="s">
        <v>279</v>
      </c>
      <c r="D42" s="17"/>
      <c r="E42" s="17"/>
      <c r="F42" s="17"/>
      <c r="G42" s="17"/>
      <c r="H42" s="29"/>
      <c r="I42" s="257" t="n">
        <v>-500</v>
      </c>
      <c r="J42" s="257" t="n">
        <v>-1436</v>
      </c>
      <c r="K42" s="257" t="n">
        <v>-2403</v>
      </c>
      <c r="L42" s="254" t="n">
        <f aca="false">+'Valuation - DCF'!K37</f>
        <v>-4137.92281201289</v>
      </c>
      <c r="M42" s="257" t="n">
        <f aca="false">+'Valuation - DCF'!L37</f>
        <v>-2854.01015338655</v>
      </c>
      <c r="N42" s="257" t="n">
        <f aca="false">+'Valuation - DCF'!M37</f>
        <v>-9053.59629343976</v>
      </c>
      <c r="O42" s="257" t="n">
        <f aca="false">+'Valuation - DCF'!N37</f>
        <v>-12053.9956422398</v>
      </c>
      <c r="P42" s="257" t="n">
        <f aca="false">+'Valuation - DCF'!O37</f>
        <v>-15573.4972632318</v>
      </c>
      <c r="Q42" s="257" t="n">
        <f aca="false">+'Valuation - DCF'!P37</f>
        <v>-19133.6890030197</v>
      </c>
    </row>
    <row r="43" customFormat="false" ht="18" hidden="true" customHeight="false" outlineLevel="1" collapsed="false">
      <c r="C43" s="17" t="s">
        <v>65</v>
      </c>
      <c r="D43" s="17"/>
      <c r="E43" s="17"/>
      <c r="F43" s="17"/>
      <c r="G43" s="17"/>
      <c r="H43" s="29"/>
      <c r="I43" s="267" t="n">
        <f aca="false">SUM(I40:I42)</f>
        <v>6970</v>
      </c>
      <c r="J43" s="267" t="n">
        <f aca="false">SUM(J40:J42)</f>
        <v>19113</v>
      </c>
      <c r="K43" s="267" t="n">
        <f aca="false">SUM(K40:K42)</f>
        <v>34718</v>
      </c>
      <c r="L43" s="268" t="n">
        <f aca="false">SUM(L40:L42)</f>
        <v>7684.71379373823</v>
      </c>
      <c r="M43" s="267" t="n">
        <f aca="false">SUM(M40:M42)</f>
        <v>5300.30457057502</v>
      </c>
      <c r="N43" s="267" t="n">
        <f aca="false">SUM(N40:N42)</f>
        <v>16813.8216878167</v>
      </c>
      <c r="O43" s="267" t="n">
        <f aca="false">SUM(O40:O42)</f>
        <v>22385.9919070167</v>
      </c>
      <c r="P43" s="267" t="n">
        <f aca="false">SUM(P40:P42)</f>
        <v>28922.2092031447</v>
      </c>
      <c r="Q43" s="267" t="n">
        <f aca="false">SUM(Q40:Q42)</f>
        <v>35533.9938627509</v>
      </c>
    </row>
    <row r="44" customFormat="false" ht="12.75" hidden="true" customHeight="false" outlineLevel="1" collapsed="false"/>
    <row r="45" customFormat="false" ht="12.75" hidden="true" customHeight="false" outlineLevel="1" collapsed="false"/>
    <row r="47" customFormat="false" ht="12.75" hidden="false" customHeight="false" outlineLevel="0" collapsed="false">
      <c r="C47" s="23" t="s">
        <v>280</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56"/>
  <sheetViews>
    <sheetView showFormulas="false" showGridLines="true" showRowColHeaders="true" showZeros="true" rightToLeft="false" tabSelected="false" showOutlineSymbols="true" defaultGridColor="true" view="normal" topLeftCell="C3" colorId="64" zoomScale="85" zoomScaleNormal="85"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1" min="1" style="0" width="5.99"/>
    <col collapsed="false" customWidth="true" hidden="false" outlineLevel="0" max="2" min="2" style="0" width="10.13"/>
    <col collapsed="false" customWidth="true" hidden="false" outlineLevel="0" max="3" min="3" style="0" width="15.13"/>
    <col collapsed="false" customWidth="true" hidden="false" outlineLevel="0" max="4" min="4" style="0" width="11.99"/>
    <col collapsed="false" customWidth="true" hidden="false" outlineLevel="0" max="5" min="5" style="58" width="1.99"/>
    <col collapsed="false" customWidth="true" hidden="false" outlineLevel="0" max="7" min="7" style="0" width="10.56"/>
    <col collapsed="false" customWidth="true" hidden="false" outlineLevel="0" max="9" min="9" style="0" width="8.56"/>
    <col collapsed="false" customWidth="true" hidden="false" outlineLevel="0" max="10" min="10" style="0" width="8.85"/>
    <col collapsed="false" customWidth="true" hidden="false" outlineLevel="0" max="11" min="11" style="0" width="9.56"/>
    <col collapsed="false" customWidth="true" hidden="false" outlineLevel="0" max="13" min="13" style="0" width="8.99"/>
    <col collapsed="false" customWidth="true" hidden="false" outlineLevel="0" max="14" min="14" style="0" width="9.28"/>
    <col collapsed="false" customWidth="true" hidden="false" outlineLevel="0" max="15" min="15" style="0" width="9.99"/>
    <col collapsed="false" customWidth="true" hidden="false" outlineLevel="0" max="18" min="16" style="0" width="9.56"/>
    <col collapsed="false" customWidth="true" hidden="false" outlineLevel="0" max="21" min="20" style="0" width="8.85"/>
  </cols>
  <sheetData>
    <row r="1" customFormat="false" ht="21" hidden="false" customHeight="false" outlineLevel="0" collapsed="false">
      <c r="A1" s="1" t="s">
        <v>0</v>
      </c>
      <c r="B1" s="112"/>
      <c r="C1" s="112"/>
      <c r="D1" s="113"/>
      <c r="E1" s="113"/>
      <c r="F1" s="113"/>
      <c r="G1" s="4"/>
      <c r="H1" s="4"/>
      <c r="I1" s="4"/>
      <c r="J1" s="4"/>
      <c r="K1" s="4"/>
      <c r="L1" s="4"/>
      <c r="M1" s="4"/>
      <c r="N1" s="4"/>
      <c r="O1" s="4"/>
      <c r="P1" s="4"/>
      <c r="Q1" s="4"/>
      <c r="R1" s="4"/>
      <c r="S1" s="4"/>
      <c r="T1" s="4"/>
      <c r="U1" s="16" t="s">
        <v>281</v>
      </c>
    </row>
    <row r="2" customFormat="false" ht="26.25" hidden="false" customHeight="false" outlineLevel="0" collapsed="false">
      <c r="A2" s="269"/>
      <c r="B2" s="270"/>
      <c r="C2" s="270"/>
      <c r="D2" s="271"/>
      <c r="E2" s="271"/>
      <c r="F2" s="271"/>
      <c r="G2" s="272"/>
      <c r="U2" s="248" t="s">
        <v>110</v>
      </c>
    </row>
    <row r="3" customFormat="false" ht="26.25" hidden="false" customHeight="false" outlineLevel="0" collapsed="false">
      <c r="A3" s="269"/>
      <c r="B3" s="270"/>
      <c r="C3" s="270"/>
      <c r="D3" s="271"/>
      <c r="E3" s="271"/>
      <c r="F3" s="273"/>
      <c r="G3" s="274"/>
    </row>
    <row r="4" customFormat="false" ht="26.25" hidden="false" customHeight="false" outlineLevel="0" collapsed="false">
      <c r="A4" s="269"/>
      <c r="B4" s="270"/>
      <c r="C4" s="270"/>
      <c r="D4" s="271"/>
      <c r="E4" s="271"/>
      <c r="F4" s="271"/>
      <c r="G4" s="272"/>
    </row>
    <row r="5" customFormat="false" ht="12.75" hidden="false" customHeight="false" outlineLevel="0" collapsed="false">
      <c r="B5" s="53" t="s">
        <v>282</v>
      </c>
    </row>
    <row r="7" customFormat="false" ht="12.75" hidden="false" customHeight="false" outlineLevel="0" collapsed="false">
      <c r="D7" s="7" t="s">
        <v>283</v>
      </c>
      <c r="F7" s="275" t="n">
        <v>36160</v>
      </c>
      <c r="G7" s="275" t="n">
        <v>36525</v>
      </c>
      <c r="H7" s="275" t="n">
        <v>36891</v>
      </c>
      <c r="I7" s="275" t="n">
        <v>37073</v>
      </c>
      <c r="J7" s="275" t="n">
        <v>37256</v>
      </c>
      <c r="K7" s="275" t="n">
        <v>37621</v>
      </c>
      <c r="L7" s="275" t="n">
        <v>37986</v>
      </c>
      <c r="M7" s="275" t="n">
        <v>38352</v>
      </c>
      <c r="N7" s="275" t="n">
        <v>38717</v>
      </c>
      <c r="O7" s="275" t="n">
        <v>39082</v>
      </c>
      <c r="P7" s="275" t="n">
        <v>39447</v>
      </c>
      <c r="Q7" s="275" t="n">
        <v>39813</v>
      </c>
      <c r="R7" s="275" t="n">
        <v>40178</v>
      </c>
      <c r="S7" s="275" t="n">
        <v>40543</v>
      </c>
      <c r="T7" s="275" t="n">
        <v>40908</v>
      </c>
      <c r="U7" s="275" t="n">
        <v>40909</v>
      </c>
    </row>
    <row r="8" customFormat="false" ht="12.75" hidden="false" customHeight="false" outlineLevel="0" collapsed="false">
      <c r="A8" s="0" t="s">
        <v>284</v>
      </c>
      <c r="F8" s="67" t="n">
        <v>51</v>
      </c>
      <c r="G8" s="67" t="n">
        <v>51</v>
      </c>
      <c r="H8" s="67" t="n">
        <v>51</v>
      </c>
      <c r="I8" s="67" t="n">
        <f aca="false">+J8</f>
        <v>51</v>
      </c>
      <c r="J8" s="67" t="n">
        <v>51</v>
      </c>
      <c r="K8" s="67" t="n">
        <v>51</v>
      </c>
      <c r="L8" s="67" t="n">
        <v>51</v>
      </c>
      <c r="M8" s="67" t="n">
        <v>51</v>
      </c>
      <c r="N8" s="67" t="n">
        <v>51</v>
      </c>
      <c r="O8" s="67" t="n">
        <v>51</v>
      </c>
      <c r="P8" s="67" t="n">
        <v>51</v>
      </c>
      <c r="Q8" s="67" t="n">
        <v>51</v>
      </c>
      <c r="R8" s="67" t="n">
        <v>51</v>
      </c>
      <c r="S8" s="67" t="n">
        <v>51</v>
      </c>
      <c r="T8" s="67" t="n">
        <v>51</v>
      </c>
      <c r="U8" s="276"/>
    </row>
    <row r="9" customFormat="false" ht="12.75" hidden="false" customHeight="false" outlineLevel="0" collapsed="false">
      <c r="A9" s="0" t="s">
        <v>285</v>
      </c>
      <c r="E9" s="277"/>
      <c r="F9" s="278" t="n">
        <f aca="false">F10/F8</f>
        <v>3.27450980392157</v>
      </c>
      <c r="G9" s="278" t="n">
        <f aca="false">G10/G8</f>
        <v>3.37254901960784</v>
      </c>
      <c r="H9" s="278" t="n">
        <f aca="false">H10/H8</f>
        <v>4.65545143201234</v>
      </c>
      <c r="I9" s="278" t="n">
        <f aca="false">I10/I8</f>
        <v>2.00700011290505</v>
      </c>
      <c r="J9" s="278" t="n">
        <f aca="false">J10/J8</f>
        <v>2.00700011290505</v>
      </c>
      <c r="K9" s="278" t="n">
        <f aca="false">K10/K8</f>
        <v>4.01400022581009</v>
      </c>
      <c r="L9" s="278" t="n">
        <f aca="false">L10/L8</f>
        <v>4.01400022581009</v>
      </c>
      <c r="M9" s="278" t="n">
        <f aca="false">M10/M8</f>
        <v>4.01400022581009</v>
      </c>
      <c r="N9" s="278" t="n">
        <f aca="false">N10/N8</f>
        <v>4.01400022581009</v>
      </c>
      <c r="O9" s="278" t="n">
        <f aca="false">O10/O8</f>
        <v>4.01400022581009</v>
      </c>
      <c r="P9" s="278" t="n">
        <f aca="false">P10/P8</f>
        <v>4.01400022581009</v>
      </c>
      <c r="Q9" s="278" t="n">
        <f aca="false">Q10/Q8</f>
        <v>4.01400022581009</v>
      </c>
      <c r="R9" s="278" t="n">
        <f aca="false">R10/R8</f>
        <v>4.01400022581009</v>
      </c>
      <c r="S9" s="278" t="n">
        <f aca="false">S10/S8</f>
        <v>4.01400022581009</v>
      </c>
      <c r="T9" s="278" t="n">
        <f aca="false">T10/T8</f>
        <v>4.01400022581009</v>
      </c>
      <c r="U9" s="276"/>
    </row>
    <row r="10" customFormat="false" ht="12.75" hidden="false" customHeight="false" outlineLevel="0" collapsed="false">
      <c r="A10" s="0" t="s">
        <v>286</v>
      </c>
      <c r="F10" s="67" t="n">
        <f aca="false">+F11/521</f>
        <v>167</v>
      </c>
      <c r="G10" s="67" t="n">
        <f aca="false">+G11/521</f>
        <v>172</v>
      </c>
      <c r="H10" s="67" t="n">
        <f aca="false">+H11/521</f>
        <v>237.42802303263</v>
      </c>
      <c r="I10" s="67" t="n">
        <f aca="false">+I11/521</f>
        <v>102.357005758157</v>
      </c>
      <c r="J10" s="67" t="n">
        <f aca="false">+J11/521</f>
        <v>102.357005758157</v>
      </c>
      <c r="K10" s="67" t="n">
        <f aca="false">+K11/521</f>
        <v>204.714011516315</v>
      </c>
      <c r="L10" s="67" t="n">
        <f aca="false">+L11/521</f>
        <v>204.714011516315</v>
      </c>
      <c r="M10" s="67" t="n">
        <f aca="false">+M11/521</f>
        <v>204.714011516315</v>
      </c>
      <c r="N10" s="67" t="n">
        <f aca="false">+N11/521</f>
        <v>204.714011516315</v>
      </c>
      <c r="O10" s="67" t="n">
        <f aca="false">+O11/521</f>
        <v>204.714011516315</v>
      </c>
      <c r="P10" s="67" t="n">
        <f aca="false">+P11/521</f>
        <v>204.714011516315</v>
      </c>
      <c r="Q10" s="67" t="n">
        <f aca="false">+Q11/521</f>
        <v>204.714011516315</v>
      </c>
      <c r="R10" s="67" t="n">
        <f aca="false">+R11/521</f>
        <v>204.714011516315</v>
      </c>
      <c r="S10" s="67" t="n">
        <f aca="false">+S11/521</f>
        <v>204.714011516315</v>
      </c>
      <c r="T10" s="67" t="n">
        <f aca="false">+T11/521</f>
        <v>204.714011516315</v>
      </c>
      <c r="U10" s="276"/>
    </row>
    <row r="11" customFormat="false" ht="12.75" hidden="false" customHeight="false" outlineLevel="0" collapsed="false">
      <c r="A11" s="0" t="s">
        <v>287</v>
      </c>
      <c r="F11" s="67" t="n">
        <f aca="false">+F10*521</f>
        <v>87007</v>
      </c>
      <c r="G11" s="67" t="n">
        <f aca="false">+G10*521</f>
        <v>89612</v>
      </c>
      <c r="H11" s="67" t="n">
        <v>123700</v>
      </c>
      <c r="I11" s="67" t="n">
        <f aca="false">AVERAGE(G11:H11)/2</f>
        <v>53328</v>
      </c>
      <c r="J11" s="67" t="n">
        <f aca="false">+I11</f>
        <v>53328</v>
      </c>
      <c r="K11" s="67" t="n">
        <f aca="false">AVERAGE(G11:H11)</f>
        <v>106656</v>
      </c>
      <c r="L11" s="67" t="n">
        <f aca="false">+K11</f>
        <v>106656</v>
      </c>
      <c r="M11" s="67" t="n">
        <f aca="false">+L11</f>
        <v>106656</v>
      </c>
      <c r="N11" s="67" t="n">
        <f aca="false">+M11</f>
        <v>106656</v>
      </c>
      <c r="O11" s="67" t="n">
        <f aca="false">+N11</f>
        <v>106656</v>
      </c>
      <c r="P11" s="67" t="n">
        <f aca="false">+O11</f>
        <v>106656</v>
      </c>
      <c r="Q11" s="67" t="n">
        <f aca="false">+P11</f>
        <v>106656</v>
      </c>
      <c r="R11" s="67" t="n">
        <f aca="false">+Q11</f>
        <v>106656</v>
      </c>
      <c r="S11" s="67" t="n">
        <f aca="false">+R11</f>
        <v>106656</v>
      </c>
      <c r="T11" s="67" t="n">
        <f aca="false">+S11</f>
        <v>106656</v>
      </c>
    </row>
    <row r="12" customFormat="false" ht="12.75" hidden="false" customHeight="false" outlineLevel="0" collapsed="false">
      <c r="F12" s="67"/>
      <c r="G12" s="67"/>
      <c r="H12" s="67"/>
      <c r="I12" s="67"/>
      <c r="J12" s="67"/>
      <c r="K12" s="67"/>
      <c r="L12" s="67"/>
      <c r="M12" s="67"/>
      <c r="N12" s="67"/>
      <c r="O12" s="67"/>
      <c r="P12" s="67"/>
      <c r="Q12" s="67"/>
      <c r="R12" s="67"/>
      <c r="S12" s="67"/>
      <c r="T12" s="67"/>
    </row>
    <row r="13" customFormat="false" ht="12.75" hidden="false" customHeight="false" outlineLevel="0" collapsed="false">
      <c r="A13" s="0" t="s">
        <v>288</v>
      </c>
      <c r="F13" s="279" t="n">
        <v>0.1023</v>
      </c>
      <c r="G13" s="279" t="n">
        <v>0.0994</v>
      </c>
      <c r="H13" s="279" t="n">
        <v>0.0833</v>
      </c>
      <c r="I13" s="279" t="n">
        <v>0.0833</v>
      </c>
      <c r="J13" s="279" t="n">
        <v>0.0825</v>
      </c>
      <c r="K13" s="279" t="n">
        <f aca="false">(+J13)</f>
        <v>0.0825</v>
      </c>
      <c r="L13" s="279" t="n">
        <v>0.0725</v>
      </c>
      <c r="M13" s="279" t="n">
        <f aca="false">(+L13)</f>
        <v>0.0725</v>
      </c>
      <c r="N13" s="279" t="n">
        <f aca="false">(+M13)</f>
        <v>0.0725</v>
      </c>
      <c r="O13" s="279" t="n">
        <f aca="false">(+N13)</f>
        <v>0.0725</v>
      </c>
      <c r="P13" s="279" t="n">
        <f aca="false">(+O13)</f>
        <v>0.0725</v>
      </c>
      <c r="Q13" s="279" t="n">
        <f aca="false">(+P13)</f>
        <v>0.0725</v>
      </c>
      <c r="R13" s="279" t="n">
        <f aca="false">(+Q13)</f>
        <v>0.0725</v>
      </c>
      <c r="S13" s="279" t="n">
        <f aca="false">(+R13)</f>
        <v>0.0725</v>
      </c>
      <c r="T13" s="279" t="n">
        <f aca="false">(+S13)</f>
        <v>0.0725</v>
      </c>
    </row>
    <row r="14" customFormat="false" ht="12.75" hidden="false" customHeight="false" outlineLevel="0" collapsed="false">
      <c r="F14" s="67"/>
      <c r="G14" s="67"/>
      <c r="H14" s="67"/>
      <c r="I14" s="67"/>
      <c r="J14" s="67"/>
      <c r="K14" s="67"/>
      <c r="L14" s="67"/>
      <c r="M14" s="67"/>
      <c r="N14" s="67"/>
      <c r="O14" s="67"/>
      <c r="P14" s="67"/>
      <c r="Q14" s="67"/>
      <c r="R14" s="67"/>
      <c r="S14" s="67"/>
      <c r="T14" s="67"/>
    </row>
    <row r="15" customFormat="false" ht="12.75" hidden="false" customHeight="false" outlineLevel="0" collapsed="false">
      <c r="A15" s="0" t="s">
        <v>289</v>
      </c>
      <c r="F15" s="280" t="n">
        <f aca="false">+F11*F13</f>
        <v>8900.8161</v>
      </c>
      <c r="G15" s="280" t="n">
        <f aca="false">+G11*G13</f>
        <v>8907.4328</v>
      </c>
      <c r="H15" s="280" t="n">
        <f aca="false">+H11*H13</f>
        <v>10304.21</v>
      </c>
      <c r="I15" s="280" t="n">
        <f aca="false">+I11*I13</f>
        <v>4442.2224</v>
      </c>
      <c r="J15" s="280" t="n">
        <f aca="false">+J11*J13</f>
        <v>4399.56</v>
      </c>
      <c r="K15" s="280" t="n">
        <f aca="false">+K11*K13</f>
        <v>8799.12</v>
      </c>
      <c r="L15" s="280" t="n">
        <f aca="false">+L11*L13</f>
        <v>7732.56</v>
      </c>
      <c r="M15" s="280" t="n">
        <f aca="false">+M11*M13</f>
        <v>7732.56</v>
      </c>
      <c r="N15" s="280" t="n">
        <f aca="false">+N11*N13</f>
        <v>7732.56</v>
      </c>
      <c r="O15" s="280" t="n">
        <f aca="false">+O11*O13</f>
        <v>7732.56</v>
      </c>
      <c r="P15" s="280" t="n">
        <f aca="false">+P11*P13</f>
        <v>7732.56</v>
      </c>
      <c r="Q15" s="280" t="n">
        <f aca="false">+Q11*Q13</f>
        <v>7732.56</v>
      </c>
      <c r="R15" s="280" t="n">
        <f aca="false">+R11*R13</f>
        <v>7732.56</v>
      </c>
      <c r="S15" s="280" t="n">
        <f aca="false">+S11*S13</f>
        <v>7732.56</v>
      </c>
      <c r="T15" s="280" t="n">
        <f aca="false">+T11*T13</f>
        <v>7732.56</v>
      </c>
      <c r="U15" s="280"/>
    </row>
    <row r="16" customFormat="false" ht="12.75" hidden="false" customHeight="false" outlineLevel="0" collapsed="false">
      <c r="A16" s="0" t="s">
        <v>290</v>
      </c>
      <c r="F16" s="280" t="n">
        <v>403</v>
      </c>
      <c r="G16" s="280" t="n">
        <v>779</v>
      </c>
      <c r="H16" s="280" t="n">
        <v>150</v>
      </c>
      <c r="I16" s="280" t="n">
        <f aca="false">110/2</f>
        <v>55</v>
      </c>
      <c r="J16" s="280" t="n">
        <f aca="false">110/2</f>
        <v>55</v>
      </c>
      <c r="K16" s="280" t="n">
        <v>50</v>
      </c>
      <c r="L16" s="280" t="n">
        <v>50</v>
      </c>
      <c r="M16" s="280" t="n">
        <v>50</v>
      </c>
      <c r="N16" s="280" t="n">
        <v>50</v>
      </c>
      <c r="O16" s="280" t="n">
        <v>50</v>
      </c>
      <c r="P16" s="280" t="n">
        <v>50</v>
      </c>
      <c r="Q16" s="280" t="n">
        <v>50</v>
      </c>
      <c r="R16" s="280" t="n">
        <v>50</v>
      </c>
      <c r="S16" s="280" t="n">
        <v>50</v>
      </c>
      <c r="T16" s="280" t="n">
        <v>50</v>
      </c>
      <c r="U16" s="280"/>
    </row>
    <row r="17" customFormat="false" ht="12.75" hidden="false" customHeight="false" outlineLevel="0" collapsed="false">
      <c r="A17" s="0" t="s">
        <v>291</v>
      </c>
      <c r="D17" s="281" t="n">
        <f aca="false">+D20</f>
        <v>0.04</v>
      </c>
      <c r="F17" s="282" t="n">
        <v>-2954</v>
      </c>
      <c r="G17" s="282" t="n">
        <v>-3311</v>
      </c>
      <c r="H17" s="282" t="n">
        <v>-3092</v>
      </c>
      <c r="I17" s="282" t="n">
        <f aca="false">-3169/2</f>
        <v>-1584.5</v>
      </c>
      <c r="J17" s="282" t="n">
        <f aca="false">-3169/2</f>
        <v>-1584.5</v>
      </c>
      <c r="K17" s="282" t="n">
        <v>-3264</v>
      </c>
      <c r="L17" s="282" t="n">
        <f aca="false">K17*(1+$D$20)</f>
        <v>-3394.56</v>
      </c>
      <c r="M17" s="282" t="n">
        <f aca="false">L17*(1+$D$20)</f>
        <v>-3530.3424</v>
      </c>
      <c r="N17" s="282" t="n">
        <f aca="false">M17*(1+$D$20)</f>
        <v>-3671.556096</v>
      </c>
      <c r="O17" s="282" t="n">
        <f aca="false">N17*(1+$D$20)</f>
        <v>-3818.41833984</v>
      </c>
      <c r="P17" s="282" t="n">
        <f aca="false">O17*(1+$D$20)</f>
        <v>-3971.1550734336</v>
      </c>
      <c r="Q17" s="282" t="n">
        <f aca="false">P17*(1+$D$20)</f>
        <v>-4130.00127637095</v>
      </c>
      <c r="R17" s="282" t="n">
        <f aca="false">Q17*(1+$D$20)</f>
        <v>-4295.20132742578</v>
      </c>
      <c r="S17" s="282" t="n">
        <f aca="false">R17*(1+$D$20)</f>
        <v>-4467.00938052281</v>
      </c>
      <c r="T17" s="282" t="n">
        <f aca="false">S17*(1+$D$20)</f>
        <v>-4645.68975574373</v>
      </c>
      <c r="U17" s="280"/>
    </row>
    <row r="18" customFormat="false" ht="12.75" hidden="false" customHeight="false" outlineLevel="0" collapsed="false">
      <c r="A18" s="0" t="s">
        <v>292</v>
      </c>
      <c r="F18" s="280" t="n">
        <f aca="false">SUM(F15:F17)</f>
        <v>6349.8161</v>
      </c>
      <c r="G18" s="280" t="n">
        <f aca="false">SUM(G15:G17)</f>
        <v>6375.4328</v>
      </c>
      <c r="H18" s="280" t="n">
        <f aca="false">SUM(H15:H17)</f>
        <v>7362.21</v>
      </c>
      <c r="I18" s="280" t="n">
        <f aca="false">SUM(I15:I17)</f>
        <v>2912.7224</v>
      </c>
      <c r="J18" s="280" t="n">
        <f aca="false">SUM(J15:J17)</f>
        <v>2870.06</v>
      </c>
      <c r="K18" s="280" t="n">
        <f aca="false">SUM(K15:K17)</f>
        <v>5585.12</v>
      </c>
      <c r="L18" s="280" t="n">
        <f aca="false">SUM(L15:L17)</f>
        <v>4388</v>
      </c>
      <c r="M18" s="280" t="n">
        <f aca="false">SUM(M15:M17)</f>
        <v>4252.2176</v>
      </c>
      <c r="N18" s="280" t="n">
        <f aca="false">SUM(N15:N17)</f>
        <v>4111.003904</v>
      </c>
      <c r="O18" s="280" t="n">
        <f aca="false">SUM(O15:O17)</f>
        <v>3964.14166016</v>
      </c>
      <c r="P18" s="280" t="n">
        <f aca="false">SUM(P15:P17)</f>
        <v>3811.4049265664</v>
      </c>
      <c r="Q18" s="280" t="n">
        <f aca="false">SUM(Q15:Q17)</f>
        <v>3652.55872362906</v>
      </c>
      <c r="R18" s="280" t="n">
        <f aca="false">SUM(R15:R17)</f>
        <v>3487.35867257422</v>
      </c>
      <c r="S18" s="280" t="n">
        <f aca="false">SUM(S15:S17)</f>
        <v>3315.55061947719</v>
      </c>
      <c r="T18" s="280" t="n">
        <f aca="false">SUM(T15:T17)</f>
        <v>3136.87024425627</v>
      </c>
      <c r="U18" s="280"/>
    </row>
    <row r="19" customFormat="false" ht="12.75" hidden="false" customHeight="false" outlineLevel="0" collapsed="false">
      <c r="F19" s="280"/>
      <c r="G19" s="280"/>
      <c r="H19" s="280"/>
      <c r="I19" s="280"/>
      <c r="J19" s="280"/>
      <c r="K19" s="280"/>
      <c r="L19" s="280"/>
      <c r="M19" s="280"/>
      <c r="N19" s="280"/>
      <c r="O19" s="280"/>
      <c r="P19" s="280"/>
      <c r="Q19" s="280"/>
      <c r="R19" s="280"/>
      <c r="S19" s="280"/>
      <c r="T19" s="280"/>
      <c r="U19" s="280"/>
    </row>
    <row r="20" customFormat="false" ht="12.75" hidden="false" customHeight="false" outlineLevel="0" collapsed="false">
      <c r="A20" s="0" t="s">
        <v>293</v>
      </c>
      <c r="D20" s="281" t="n">
        <v>0.04</v>
      </c>
      <c r="F20" s="283" t="n">
        <v>-273</v>
      </c>
      <c r="G20" s="283" t="n">
        <v>-270</v>
      </c>
      <c r="H20" s="283" t="n">
        <v>-269</v>
      </c>
      <c r="I20" s="283" t="n">
        <f aca="false">H20/2</f>
        <v>-134.5</v>
      </c>
      <c r="J20" s="283" t="n">
        <f aca="false">+H20/2</f>
        <v>-134.5</v>
      </c>
      <c r="K20" s="283" t="n">
        <v>-277</v>
      </c>
      <c r="L20" s="283" t="n">
        <f aca="false">K20*(1+$D$20)</f>
        <v>-288.08</v>
      </c>
      <c r="M20" s="283" t="n">
        <f aca="false">L20*(1+$D$20)</f>
        <v>-299.6032</v>
      </c>
      <c r="N20" s="283" t="n">
        <f aca="false">M20*(1+$D$20)</f>
        <v>-311.587328</v>
      </c>
      <c r="O20" s="283" t="n">
        <f aca="false">N20*(1+$D$20)</f>
        <v>-324.05082112</v>
      </c>
      <c r="P20" s="283" t="n">
        <f aca="false">O20*(1+$D$20)</f>
        <v>-337.0128539648</v>
      </c>
      <c r="Q20" s="283" t="n">
        <f aca="false">P20*(1+$D$20)</f>
        <v>-350.493368123392</v>
      </c>
      <c r="R20" s="283" t="n">
        <f aca="false">Q20*(1+$D$20)</f>
        <v>-364.513102848328</v>
      </c>
      <c r="S20" s="283" t="n">
        <f aca="false">R20*(1+$D$20)</f>
        <v>-379.093626962261</v>
      </c>
      <c r="T20" s="283" t="n">
        <f aca="false">S20*(1+$D$20)</f>
        <v>-394.257372040751</v>
      </c>
      <c r="U20" s="280"/>
    </row>
    <row r="21" customFormat="false" ht="12.75" hidden="false" customHeight="false" outlineLevel="0" collapsed="false">
      <c r="A21" s="0" t="s">
        <v>294</v>
      </c>
      <c r="D21" s="284"/>
      <c r="F21" s="285" t="n">
        <v>-600</v>
      </c>
      <c r="G21" s="285" t="n">
        <v>-583</v>
      </c>
      <c r="H21" s="285" t="n">
        <v>-631</v>
      </c>
      <c r="I21" s="285" t="n">
        <f aca="false">H21/2</f>
        <v>-315.5</v>
      </c>
      <c r="J21" s="285" t="n">
        <f aca="false">+H21/2</f>
        <v>-315.5</v>
      </c>
      <c r="K21" s="285" t="n">
        <f aca="false">AVERAGE(F21:H21)*(1+$D$20)</f>
        <v>-628.853333333333</v>
      </c>
      <c r="L21" s="285" t="n">
        <f aca="false">K21*(1+$D$20)</f>
        <v>-654.007466666667</v>
      </c>
      <c r="M21" s="285" t="n">
        <f aca="false">L21*(1+$D$20)</f>
        <v>-680.167765333333</v>
      </c>
      <c r="N21" s="285" t="n">
        <f aca="false">M21*(1+$D$20)</f>
        <v>-707.374475946667</v>
      </c>
      <c r="O21" s="285" t="n">
        <f aca="false">N21*(1+$D$20)</f>
        <v>-735.669454984533</v>
      </c>
      <c r="P21" s="285" t="n">
        <f aca="false">O21*(1+$D$20)</f>
        <v>-765.096233183915</v>
      </c>
      <c r="Q21" s="285" t="n">
        <f aca="false">P21*(1+$D$20)</f>
        <v>-795.700082511272</v>
      </c>
      <c r="R21" s="285" t="n">
        <f aca="false">Q21*(1+$D$20)</f>
        <v>-827.528085811722</v>
      </c>
      <c r="S21" s="285" t="n">
        <f aca="false">R21*(1+$D$20)</f>
        <v>-860.629209244191</v>
      </c>
      <c r="T21" s="285" t="n">
        <f aca="false">S21*(1+$D$20)</f>
        <v>-895.054377613959</v>
      </c>
      <c r="U21" s="280"/>
    </row>
    <row r="22" customFormat="false" ht="12.75" hidden="false" customHeight="false" outlineLevel="0" collapsed="false">
      <c r="A22" s="0" t="s">
        <v>68</v>
      </c>
      <c r="F22" s="280" t="n">
        <f aca="false">SUM(F18:F21)</f>
        <v>5476.8161</v>
      </c>
      <c r="G22" s="280" t="n">
        <f aca="false">SUM(G18:G21)</f>
        <v>5522.4328</v>
      </c>
      <c r="H22" s="280" t="n">
        <f aca="false">SUM(H18:H21)</f>
        <v>6462.21</v>
      </c>
      <c r="I22" s="280" t="n">
        <f aca="false">SUM(I18:I21)</f>
        <v>2462.7224</v>
      </c>
      <c r="J22" s="280" t="n">
        <f aca="false">SUM(J18:J21)</f>
        <v>2420.06</v>
      </c>
      <c r="K22" s="280" t="n">
        <f aca="false">SUM(K18:K21)</f>
        <v>4679.26666666667</v>
      </c>
      <c r="L22" s="280" t="n">
        <f aca="false">SUM(L18:L21)</f>
        <v>3445.91253333333</v>
      </c>
      <c r="M22" s="280" t="n">
        <f aca="false">SUM(M18:M21)</f>
        <v>3272.44663466667</v>
      </c>
      <c r="N22" s="280" t="n">
        <f aca="false">SUM(N18:N21)</f>
        <v>3092.04210005333</v>
      </c>
      <c r="O22" s="280" t="n">
        <f aca="false">SUM(O18:O21)</f>
        <v>2904.42138405547</v>
      </c>
      <c r="P22" s="280" t="n">
        <f aca="false">SUM(P18:P21)</f>
        <v>2709.29583941768</v>
      </c>
      <c r="Q22" s="280" t="n">
        <f aca="false">SUM(Q18:Q21)</f>
        <v>2506.36527299439</v>
      </c>
      <c r="R22" s="280" t="n">
        <f aca="false">SUM(R18:R21)</f>
        <v>2295.31748391417</v>
      </c>
      <c r="S22" s="280" t="n">
        <f aca="false">SUM(S18:S21)</f>
        <v>2075.82778327073</v>
      </c>
      <c r="T22" s="280" t="n">
        <f aca="false">SUM(T18:T21)</f>
        <v>1847.55849460156</v>
      </c>
      <c r="U22" s="280"/>
    </row>
    <row r="23" customFormat="false" ht="12.75" hidden="false" customHeight="false" outlineLevel="0" collapsed="false">
      <c r="F23" s="280"/>
      <c r="G23" s="280"/>
      <c r="H23" s="280"/>
      <c r="I23" s="280"/>
      <c r="J23" s="280"/>
      <c r="K23" s="280"/>
      <c r="L23" s="280"/>
      <c r="M23" s="280"/>
      <c r="N23" s="280"/>
      <c r="O23" s="280"/>
      <c r="P23" s="280"/>
      <c r="Q23" s="280"/>
      <c r="R23" s="280"/>
      <c r="S23" s="280"/>
      <c r="T23" s="280"/>
      <c r="U23" s="280"/>
    </row>
    <row r="24" customFormat="false" ht="12.75" hidden="false" customHeight="false" outlineLevel="0" collapsed="false">
      <c r="A24" s="0" t="s">
        <v>295</v>
      </c>
      <c r="F24" s="280"/>
      <c r="G24" s="280"/>
      <c r="H24" s="280"/>
      <c r="I24" s="280"/>
      <c r="J24" s="285" t="n">
        <f aca="false">-Dep!F110*0.5</f>
        <v>-466.807933295247</v>
      </c>
      <c r="K24" s="285" t="n">
        <f aca="false">-Dep!G110</f>
        <v>-941.949199923827</v>
      </c>
      <c r="L24" s="285" t="n">
        <f aca="false">-Dep!H110</f>
        <v>-950.282533257161</v>
      </c>
      <c r="M24" s="285" t="n">
        <f aca="false">-Dep!I110</f>
        <v>-958.615866590494</v>
      </c>
      <c r="N24" s="285" t="n">
        <f aca="false">-Dep!J110</f>
        <v>-966.949199923827</v>
      </c>
      <c r="O24" s="285" t="n">
        <f aca="false">-Dep!K110</f>
        <v>-975.282533257161</v>
      </c>
      <c r="P24" s="285" t="n">
        <f aca="false">-Dep!L110</f>
        <v>-983.615866590494</v>
      </c>
      <c r="Q24" s="285" t="n">
        <f aca="false">-Dep!M110</f>
        <v>-991.949199923827</v>
      </c>
      <c r="R24" s="285" t="n">
        <f aca="false">-Dep!N110</f>
        <v>-1000.28253325716</v>
      </c>
      <c r="S24" s="285" t="n">
        <f aca="false">-Dep!O110</f>
        <v>-1008.61586659049</v>
      </c>
      <c r="T24" s="285" t="n">
        <f aca="false">-Dep!P110</f>
        <v>-1016.94919992383</v>
      </c>
      <c r="U24" s="280"/>
    </row>
    <row r="25" customFormat="false" ht="12.75" hidden="false" customHeight="false" outlineLevel="0" collapsed="false">
      <c r="A25" s="0" t="s">
        <v>176</v>
      </c>
      <c r="F25" s="280"/>
      <c r="G25" s="280"/>
      <c r="H25" s="280"/>
      <c r="I25" s="280"/>
      <c r="J25" s="280" t="n">
        <f aca="false">+J22+J24</f>
        <v>1953.25206670475</v>
      </c>
      <c r="K25" s="280" t="n">
        <f aca="false">+K22+K24</f>
        <v>3737.31746674284</v>
      </c>
      <c r="L25" s="280" t="n">
        <f aca="false">+L22+L24</f>
        <v>2495.63000007617</v>
      </c>
      <c r="M25" s="280" t="n">
        <f aca="false">+M22+M24</f>
        <v>2313.83076807617</v>
      </c>
      <c r="N25" s="280" t="n">
        <f aca="false">+N22+N24</f>
        <v>2125.09290012951</v>
      </c>
      <c r="O25" s="280" t="n">
        <f aca="false">+O22+O24</f>
        <v>1929.13885079831</v>
      </c>
      <c r="P25" s="280" t="n">
        <f aca="false">+P22+P24</f>
        <v>1725.67997282719</v>
      </c>
      <c r="Q25" s="280" t="n">
        <f aca="false">+Q22+Q24</f>
        <v>1514.41607307056</v>
      </c>
      <c r="R25" s="280" t="n">
        <f aca="false">+R22+R24</f>
        <v>1295.03495065701</v>
      </c>
      <c r="S25" s="280" t="n">
        <f aca="false">+S22+S24</f>
        <v>1067.21191668024</v>
      </c>
      <c r="T25" s="280" t="n">
        <f aca="false">+T22+T24</f>
        <v>830.609294677736</v>
      </c>
      <c r="U25" s="280"/>
    </row>
    <row r="26" customFormat="false" ht="12.75" hidden="false" customHeight="false" outlineLevel="0" collapsed="false">
      <c r="F26" s="280"/>
      <c r="G26" s="280"/>
      <c r="H26" s="280"/>
      <c r="I26" s="280"/>
      <c r="J26" s="280"/>
      <c r="K26" s="280"/>
      <c r="L26" s="280"/>
      <c r="M26" s="280"/>
      <c r="N26" s="280"/>
      <c r="O26" s="280"/>
      <c r="P26" s="280"/>
      <c r="Q26" s="280"/>
      <c r="R26" s="280"/>
      <c r="S26" s="280"/>
      <c r="T26" s="280"/>
      <c r="U26" s="280"/>
    </row>
    <row r="27" customFormat="false" ht="12.75" hidden="false" customHeight="false" outlineLevel="0" collapsed="false">
      <c r="A27" s="0" t="s">
        <v>296</v>
      </c>
      <c r="F27" s="280"/>
      <c r="G27" s="280"/>
      <c r="H27" s="280"/>
      <c r="I27" s="283"/>
      <c r="J27" s="283" t="n">
        <f aca="false">-J25*Assumptions!$B$8</f>
        <v>-683.638223346664</v>
      </c>
      <c r="K27" s="283" t="n">
        <f aca="false">-K25*Assumptions!$B$8</f>
        <v>-1308.06111335999</v>
      </c>
      <c r="L27" s="283" t="n">
        <f aca="false">-L25*Assumptions!$B$8</f>
        <v>-873.47050002666</v>
      </c>
      <c r="M27" s="283" t="n">
        <f aca="false">-M25*Assumptions!$B$8</f>
        <v>-809.840768826661</v>
      </c>
      <c r="N27" s="283" t="n">
        <f aca="false">-N25*Assumptions!$B$8</f>
        <v>-743.782515045327</v>
      </c>
      <c r="O27" s="283" t="n">
        <f aca="false">-O25*Assumptions!$B$8</f>
        <v>-675.198597779407</v>
      </c>
      <c r="P27" s="283" t="n">
        <f aca="false">-P25*Assumptions!$B$8</f>
        <v>-603.987990489516</v>
      </c>
      <c r="Q27" s="283" t="n">
        <f aca="false">-Q25*Assumptions!$B$8</f>
        <v>-530.045625574697</v>
      </c>
      <c r="R27" s="283" t="n">
        <f aca="false">-R25*Assumptions!$B$8</f>
        <v>-453.262232729952</v>
      </c>
      <c r="S27" s="283" t="n">
        <f aca="false">-S25*Assumptions!$B$8</f>
        <v>-373.524170838084</v>
      </c>
      <c r="T27" s="283" t="n">
        <f aca="false">-T25*Assumptions!$B$8</f>
        <v>-290.713253137208</v>
      </c>
      <c r="U27" s="280"/>
    </row>
    <row r="28" customFormat="false" ht="12.75" hidden="false" customHeight="false" outlineLevel="0" collapsed="false">
      <c r="A28" s="0" t="s">
        <v>297</v>
      </c>
      <c r="F28" s="280"/>
      <c r="G28" s="280"/>
      <c r="H28" s="280"/>
      <c r="I28" s="280"/>
      <c r="J28" s="283" t="n">
        <f aca="false">+Dep!F113*0.5</f>
        <v>537.039186859517</v>
      </c>
      <c r="K28" s="283" t="n">
        <f aca="false">+Dep!G113</f>
        <v>2083.56805017079</v>
      </c>
      <c r="L28" s="283" t="n">
        <f aca="false">+Dep!H113</f>
        <v>1415.87247156011</v>
      </c>
      <c r="M28" s="283" t="n">
        <f aca="false">+Dep!I113</f>
        <v>938.11122493343</v>
      </c>
      <c r="N28" s="283" t="n">
        <f aca="false">+Dep!J113</f>
        <v>597.137697335237</v>
      </c>
      <c r="O28" s="283" t="n">
        <f aca="false">+Dep!K113</f>
        <v>601.05448400865</v>
      </c>
      <c r="P28" s="283" t="n">
        <f aca="false">+Dep!L113</f>
        <v>606.923114001904</v>
      </c>
      <c r="Q28" s="283" t="n">
        <f aca="false">+Dep!M113</f>
        <v>173.627590350989</v>
      </c>
      <c r="R28" s="283" t="n">
        <f aca="false">+Dep!N113</f>
        <v>-262.598886640006</v>
      </c>
      <c r="S28" s="283" t="n">
        <f aca="false">+Dep!O113</f>
        <v>-265.515553306673</v>
      </c>
      <c r="T28" s="283" t="n">
        <f aca="false">+Dep!P113</f>
        <v>-268.43221997334</v>
      </c>
      <c r="U28" s="280"/>
    </row>
    <row r="29" customFormat="false" ht="12.75" hidden="false" customHeight="false" outlineLevel="0" collapsed="false">
      <c r="A29" s="0" t="s">
        <v>295</v>
      </c>
      <c r="F29" s="280"/>
      <c r="G29" s="280"/>
      <c r="H29" s="280"/>
      <c r="I29" s="283"/>
      <c r="J29" s="283" t="n">
        <f aca="false">+-J24</f>
        <v>466.807933295247</v>
      </c>
      <c r="K29" s="283" t="n">
        <f aca="false">+-K24</f>
        <v>941.949199923827</v>
      </c>
      <c r="L29" s="283" t="n">
        <f aca="false">+-L24</f>
        <v>950.282533257161</v>
      </c>
      <c r="M29" s="283" t="n">
        <f aca="false">+-M24</f>
        <v>958.615866590494</v>
      </c>
      <c r="N29" s="283" t="n">
        <f aca="false">+-N24</f>
        <v>966.949199923827</v>
      </c>
      <c r="O29" s="283" t="n">
        <f aca="false">+-O24</f>
        <v>975.282533257161</v>
      </c>
      <c r="P29" s="283" t="n">
        <f aca="false">+-P24</f>
        <v>983.615866590494</v>
      </c>
      <c r="Q29" s="283" t="n">
        <f aca="false">+-Q24</f>
        <v>991.949199923827</v>
      </c>
      <c r="R29" s="283" t="n">
        <f aca="false">+-R24</f>
        <v>1000.28253325716</v>
      </c>
      <c r="S29" s="283" t="n">
        <f aca="false">+-S24</f>
        <v>1008.61586659049</v>
      </c>
      <c r="T29" s="283" t="n">
        <f aca="false">+-T24</f>
        <v>1016.94919992383</v>
      </c>
      <c r="U29" s="280"/>
    </row>
    <row r="30" customFormat="false" ht="12.75" hidden="false" customHeight="false" outlineLevel="0" collapsed="false">
      <c r="A30" s="0" t="s">
        <v>298</v>
      </c>
      <c r="F30" s="280"/>
      <c r="G30" s="280"/>
      <c r="H30" s="280"/>
      <c r="I30" s="280"/>
      <c r="J30" s="283" t="n">
        <f aca="false">+'Valuation - DCF'!L51/2</f>
        <v>-125</v>
      </c>
      <c r="K30" s="283" t="n">
        <f aca="false">+'Valuation - DCF'!M51/2</f>
        <v>-250</v>
      </c>
      <c r="L30" s="283" t="n">
        <f aca="false">+'Valuation - DCF'!N51/2</f>
        <v>-250</v>
      </c>
      <c r="M30" s="283" t="n">
        <f aca="false">+'Valuation - DCF'!O51/2</f>
        <v>-250</v>
      </c>
      <c r="N30" s="283" t="n">
        <f aca="false">+'Valuation - DCF'!P51/2</f>
        <v>-250</v>
      </c>
      <c r="O30" s="283" t="n">
        <f aca="false">N30</f>
        <v>-250</v>
      </c>
      <c r="P30" s="283" t="n">
        <f aca="false">O30</f>
        <v>-250</v>
      </c>
      <c r="Q30" s="283" t="n">
        <f aca="false">P30</f>
        <v>-250</v>
      </c>
      <c r="R30" s="283" t="n">
        <f aca="false">Q30</f>
        <v>-250</v>
      </c>
      <c r="S30" s="283" t="n">
        <f aca="false">R30</f>
        <v>-250</v>
      </c>
      <c r="T30" s="283" t="n">
        <f aca="false">S30</f>
        <v>-250</v>
      </c>
      <c r="U30" s="280"/>
    </row>
    <row r="31" customFormat="false" ht="12.75" hidden="false" customHeight="false" outlineLevel="0" collapsed="false">
      <c r="A31" s="0" t="s">
        <v>299</v>
      </c>
      <c r="F31" s="280"/>
      <c r="G31" s="280"/>
      <c r="H31" s="280"/>
      <c r="I31" s="280"/>
      <c r="J31" s="285" t="n">
        <f aca="false">+J56</f>
        <v>197.511111111107</v>
      </c>
      <c r="K31" s="285" t="n">
        <f aca="false">+K56</f>
        <v>279.018264840182</v>
      </c>
      <c r="L31" s="285" t="n">
        <f aca="false">+L56</f>
        <v>2435.06849315069</v>
      </c>
      <c r="M31" s="285" t="n">
        <f aca="false">+M56</f>
        <v>0</v>
      </c>
      <c r="N31" s="285" t="n">
        <f aca="false">+N56</f>
        <v>0</v>
      </c>
      <c r="O31" s="285" t="n">
        <f aca="false">+O56</f>
        <v>0</v>
      </c>
      <c r="P31" s="285" t="n">
        <f aca="false">+P56</f>
        <v>0</v>
      </c>
      <c r="Q31" s="285" t="n">
        <f aca="false">+Q56</f>
        <v>0</v>
      </c>
      <c r="R31" s="285" t="n">
        <f aca="false">+R56</f>
        <v>0</v>
      </c>
      <c r="S31" s="285" t="n">
        <f aca="false">+S56</f>
        <v>0</v>
      </c>
      <c r="T31" s="285" t="n">
        <f aca="false">+T56</f>
        <v>0</v>
      </c>
      <c r="U31" s="280"/>
    </row>
    <row r="32" customFormat="false" ht="12.75" hidden="false" customHeight="false" outlineLevel="0" collapsed="false">
      <c r="A32" s="0" t="s">
        <v>162</v>
      </c>
      <c r="F32" s="280"/>
      <c r="G32" s="280"/>
      <c r="H32" s="280"/>
      <c r="I32" s="286" t="n">
        <v>0</v>
      </c>
      <c r="J32" s="287" t="n">
        <f aca="false">SUM(J25:J31)</f>
        <v>2345.97207462396</v>
      </c>
      <c r="K32" s="287" t="n">
        <f aca="false">SUM(K25:K31)</f>
        <v>5483.79186831764</v>
      </c>
      <c r="L32" s="287" t="n">
        <f aca="false">SUM(L25:L31)</f>
        <v>6173.38299801747</v>
      </c>
      <c r="M32" s="287" t="n">
        <f aca="false">SUM(M25:M31)</f>
        <v>3150.71709077344</v>
      </c>
      <c r="N32" s="287" t="n">
        <f aca="false">SUM(N25:N31)</f>
        <v>2695.39728234324</v>
      </c>
      <c r="O32" s="287" t="n">
        <f aca="false">SUM(O25:O31)</f>
        <v>2580.27727028471</v>
      </c>
      <c r="P32" s="287" t="n">
        <f aca="false">SUM(P25:P31)</f>
        <v>2462.23096293007</v>
      </c>
      <c r="Q32" s="287" t="n">
        <f aca="false">SUM(Q25:Q31)</f>
        <v>1899.94723777068</v>
      </c>
      <c r="R32" s="287" t="n">
        <f aca="false">SUM(R25:R31)</f>
        <v>1329.45636454421</v>
      </c>
      <c r="S32" s="287" t="n">
        <f aca="false">SUM(S25:S31)</f>
        <v>1186.78805912598</v>
      </c>
      <c r="T32" s="287" t="n">
        <f aca="false">SUM(T25:T31)</f>
        <v>1038.41302149102</v>
      </c>
      <c r="U32" s="287" t="n">
        <f aca="false">+T22*D35</f>
        <v>11085.3509676094</v>
      </c>
    </row>
    <row r="33" customFormat="false" ht="12.75" hidden="false" customHeight="false" outlineLevel="0" collapsed="false">
      <c r="F33" s="280"/>
      <c r="G33" s="280"/>
      <c r="H33" s="280"/>
      <c r="I33" s="280"/>
      <c r="J33" s="280"/>
      <c r="K33" s="280"/>
      <c r="L33" s="280"/>
      <c r="M33" s="280"/>
      <c r="N33" s="280"/>
      <c r="O33" s="280"/>
      <c r="P33" s="280"/>
      <c r="Q33" s="280"/>
      <c r="R33" s="280"/>
      <c r="S33" s="280"/>
      <c r="T33" s="280"/>
      <c r="U33" s="280"/>
    </row>
    <row r="34" customFormat="false" ht="12.75" hidden="false" customHeight="false" outlineLevel="0" collapsed="false">
      <c r="C34" s="288" t="str">
        <f aca="false">"NPV@"&amp;(Assumptions!$B$6*100)&amp;"%"</f>
        <v>NPV@11%</v>
      </c>
      <c r="D34" s="289" t="n">
        <f aca="false">XNPV(Assumptions!$B$6,I32:U32,I7:U7)</f>
        <v>24145.862525677</v>
      </c>
      <c r="E34" s="290"/>
      <c r="F34" s="291"/>
      <c r="G34" s="291"/>
      <c r="H34" s="291"/>
      <c r="I34" s="291"/>
      <c r="J34" s="291"/>
      <c r="K34" s="291"/>
      <c r="L34" s="291"/>
      <c r="M34" s="291"/>
      <c r="N34" s="291"/>
      <c r="O34" s="291"/>
      <c r="P34" s="291"/>
      <c r="Q34" s="291"/>
      <c r="R34" s="291"/>
      <c r="S34" s="291"/>
      <c r="T34" s="291"/>
    </row>
    <row r="35" customFormat="false" ht="12.75" hidden="false" customHeight="false" outlineLevel="0" collapsed="false">
      <c r="C35" s="288" t="s">
        <v>300</v>
      </c>
      <c r="D35" s="292" t="n">
        <f aca="false">Assumptions!$B$7</f>
        <v>6</v>
      </c>
      <c r="F35" s="291"/>
      <c r="G35" s="291"/>
      <c r="H35" s="291"/>
      <c r="I35" s="291"/>
      <c r="J35" s="291"/>
      <c r="K35" s="291"/>
      <c r="L35" s="291"/>
      <c r="M35" s="291"/>
      <c r="N35" s="291"/>
      <c r="O35" s="291"/>
      <c r="P35" s="291"/>
      <c r="Q35" s="291"/>
      <c r="R35" s="291"/>
      <c r="S35" s="291"/>
      <c r="T35" s="291"/>
    </row>
    <row r="37" customFormat="false" ht="12.75" hidden="true" customHeight="false" outlineLevel="0" collapsed="false">
      <c r="A37" s="0" t="s">
        <v>301</v>
      </c>
      <c r="F37" s="280" t="n">
        <f aca="false">Segments!M6+'Profit &amp; Loss'!I22/3</f>
        <v>6874</v>
      </c>
      <c r="G37" s="280" t="n">
        <f aca="false">Segments!N6+'Profit &amp; Loss'!J22/3</f>
        <v>6906.33333333333</v>
      </c>
      <c r="H37" s="280" t="n">
        <f aca="false">Segments!O6+'Profit &amp; Loss'!K22/3</f>
        <v>8608</v>
      </c>
      <c r="I37" s="280"/>
    </row>
    <row r="38" customFormat="false" ht="12.75" hidden="true" customHeight="false" outlineLevel="0" collapsed="false">
      <c r="B38" s="0" t="s">
        <v>302</v>
      </c>
      <c r="F38" s="293" t="n">
        <f aca="false">1-F15/F37</f>
        <v>-0.294852502182136</v>
      </c>
      <c r="G38" s="293" t="n">
        <f aca="false">1-G15/G37</f>
        <v>-0.289748462763647</v>
      </c>
      <c r="H38" s="293" t="n">
        <f aca="false">1-H15/H37</f>
        <v>-0.197050418215613</v>
      </c>
      <c r="I38" s="293"/>
    </row>
    <row r="40" customFormat="false" ht="12.75" hidden="false" customHeight="false" outlineLevel="0" collapsed="false">
      <c r="B40" s="87" t="s">
        <v>303</v>
      </c>
    </row>
    <row r="42" customFormat="false" ht="12.75" hidden="false" customHeight="false" outlineLevel="0" collapsed="false">
      <c r="F42" s="275" t="n">
        <v>36160</v>
      </c>
      <c r="G42" s="275" t="n">
        <v>36525</v>
      </c>
      <c r="H42" s="275" t="n">
        <v>36891</v>
      </c>
      <c r="I42" s="275" t="n">
        <v>37073</v>
      </c>
      <c r="J42" s="275" t="n">
        <v>37256</v>
      </c>
      <c r="K42" s="275" t="n">
        <v>37621</v>
      </c>
      <c r="L42" s="275" t="n">
        <v>37986</v>
      </c>
      <c r="M42" s="275" t="n">
        <v>38352</v>
      </c>
      <c r="N42" s="275" t="n">
        <v>38717</v>
      </c>
      <c r="O42" s="275" t="n">
        <v>39082</v>
      </c>
      <c r="P42" s="275" t="n">
        <v>39447</v>
      </c>
      <c r="Q42" s="275" t="n">
        <v>39813</v>
      </c>
      <c r="R42" s="275" t="n">
        <v>40178</v>
      </c>
      <c r="S42" s="275" t="n">
        <v>40543</v>
      </c>
      <c r="T42" s="275" t="n">
        <v>40908</v>
      </c>
      <c r="U42" s="275" t="n">
        <v>40909</v>
      </c>
    </row>
    <row r="44" customFormat="false" ht="12.75" hidden="false" customHeight="false" outlineLevel="0" collapsed="false">
      <c r="A44" s="0" t="s">
        <v>304</v>
      </c>
      <c r="F44" s="127" t="n">
        <f aca="false">+F15</f>
        <v>8900.8161</v>
      </c>
      <c r="G44" s="127" t="n">
        <f aca="false">+G15</f>
        <v>8907.4328</v>
      </c>
      <c r="H44" s="127" t="n">
        <f aca="false">+H15</f>
        <v>10304.21</v>
      </c>
      <c r="I44" s="127" t="n">
        <f aca="false">+I15</f>
        <v>4442.2224</v>
      </c>
      <c r="J44" s="127" t="n">
        <f aca="false">+J15</f>
        <v>4399.56</v>
      </c>
      <c r="K44" s="127" t="n">
        <f aca="false">+K15</f>
        <v>8799.12</v>
      </c>
      <c r="L44" s="127" t="n">
        <f aca="false">+L15</f>
        <v>7732.56</v>
      </c>
      <c r="M44" s="127" t="n">
        <f aca="false">+M15</f>
        <v>7732.56</v>
      </c>
      <c r="N44" s="127" t="n">
        <f aca="false">+N15</f>
        <v>7732.56</v>
      </c>
      <c r="O44" s="127" t="n">
        <f aca="false">+O15</f>
        <v>7732.56</v>
      </c>
      <c r="P44" s="127" t="n">
        <f aca="false">+P15</f>
        <v>7732.56</v>
      </c>
      <c r="Q44" s="127" t="n">
        <f aca="false">+Q15</f>
        <v>7732.56</v>
      </c>
      <c r="R44" s="127" t="n">
        <f aca="false">+R15</f>
        <v>7732.56</v>
      </c>
      <c r="S44" s="127" t="n">
        <f aca="false">+S15</f>
        <v>7732.56</v>
      </c>
    </row>
    <row r="46" customFormat="false" ht="12.75" hidden="false" customHeight="false" outlineLevel="0" collapsed="false">
      <c r="A46" s="294" t="n">
        <v>0.075</v>
      </c>
      <c r="B46" s="0" t="s">
        <v>305</v>
      </c>
      <c r="F46" s="127" t="n">
        <f aca="false">+F44/$A$46</f>
        <v>118677.548</v>
      </c>
      <c r="G46" s="127" t="n">
        <f aca="false">+G44/$A$46</f>
        <v>118765.770666667</v>
      </c>
      <c r="H46" s="127" t="n">
        <f aca="false">+H44/$A$46</f>
        <v>137389.466666667</v>
      </c>
      <c r="I46" s="127" t="n">
        <f aca="false">+I44/$A$46</f>
        <v>59229.632</v>
      </c>
      <c r="J46" s="127" t="n">
        <f aca="false">+J44/$A$46</f>
        <v>58660.8</v>
      </c>
      <c r="K46" s="127" t="n">
        <f aca="false">+K44/$A$46</f>
        <v>117321.6</v>
      </c>
      <c r="L46" s="127" t="n">
        <f aca="false">+L44/$A$46</f>
        <v>103100.8</v>
      </c>
      <c r="M46" s="127" t="n">
        <f aca="false">+M44/$A$46</f>
        <v>103100.8</v>
      </c>
      <c r="N46" s="127" t="n">
        <f aca="false">+N44/$A$46</f>
        <v>103100.8</v>
      </c>
      <c r="O46" s="127" t="n">
        <f aca="false">+O44/$A$46</f>
        <v>103100.8</v>
      </c>
      <c r="P46" s="127" t="n">
        <f aca="false">+P44/$A$46</f>
        <v>103100.8</v>
      </c>
      <c r="Q46" s="127" t="n">
        <f aca="false">+Q44/$A$46</f>
        <v>103100.8</v>
      </c>
      <c r="R46" s="127" t="n">
        <f aca="false">+R44/$A$46</f>
        <v>103100.8</v>
      </c>
      <c r="S46" s="127" t="n">
        <f aca="false">+S44/$A$46</f>
        <v>103100.8</v>
      </c>
    </row>
    <row r="47" customFormat="false" ht="12.75" hidden="false" customHeight="false" outlineLevel="0" collapsed="false">
      <c r="B47" s="0" t="s">
        <v>306</v>
      </c>
      <c r="F47" s="295" t="n">
        <f aca="false">-F46*(1-$A$46)</f>
        <v>-109776.7319</v>
      </c>
      <c r="G47" s="295" t="n">
        <f aca="false">-G46*(1-$A$46)</f>
        <v>-109858.337866667</v>
      </c>
      <c r="H47" s="295" t="n">
        <f aca="false">-H46*(1-$A$46)</f>
        <v>-127085.256666667</v>
      </c>
      <c r="I47" s="295" t="n">
        <f aca="false">-I46*(1-$A$46)</f>
        <v>-54787.4096</v>
      </c>
      <c r="J47" s="295" t="n">
        <f aca="false">-J46*(1-$A$46)</f>
        <v>-54261.24</v>
      </c>
      <c r="K47" s="295" t="n">
        <f aca="false">-K46*(1-$A$46)</f>
        <v>-108522.48</v>
      </c>
      <c r="L47" s="295" t="n">
        <f aca="false">-L46*(1-$A$46)</f>
        <v>-95368.24</v>
      </c>
      <c r="M47" s="295" t="n">
        <f aca="false">-M46*(1-$A$46)</f>
        <v>-95368.24</v>
      </c>
      <c r="N47" s="295" t="n">
        <f aca="false">-N46*(1-$A$46)</f>
        <v>-95368.24</v>
      </c>
      <c r="O47" s="295" t="n">
        <f aca="false">-O46*(1-$A$46)</f>
        <v>-95368.24</v>
      </c>
      <c r="P47" s="295" t="n">
        <f aca="false">-P46*(1-$A$46)</f>
        <v>-95368.24</v>
      </c>
      <c r="Q47" s="295" t="n">
        <f aca="false">-Q46*(1-$A$46)</f>
        <v>-95368.24</v>
      </c>
      <c r="R47" s="295" t="n">
        <f aca="false">-R46*(1-$A$46)</f>
        <v>-95368.24</v>
      </c>
      <c r="S47" s="295" t="n">
        <f aca="false">-S46*(1-$A$46)</f>
        <v>-95368.24</v>
      </c>
    </row>
    <row r="48" customFormat="false" ht="12.75" hidden="false" customHeight="false" outlineLevel="0" collapsed="false">
      <c r="B48" s="0" t="s">
        <v>307</v>
      </c>
      <c r="F48" s="127" t="n">
        <f aca="false">SUM(F46:F47)</f>
        <v>8900.8161</v>
      </c>
      <c r="G48" s="127" t="n">
        <f aca="false">SUM(G46:G47)</f>
        <v>8907.4328</v>
      </c>
      <c r="H48" s="127" t="n">
        <f aca="false">SUM(H46:H47)</f>
        <v>10304.21</v>
      </c>
      <c r="I48" s="127" t="n">
        <f aca="false">SUM(I46:I47)</f>
        <v>4442.2224</v>
      </c>
      <c r="J48" s="127" t="n">
        <f aca="false">SUM(J46:J47)</f>
        <v>4399.56</v>
      </c>
      <c r="K48" s="127" t="n">
        <f aca="false">SUM(K46:K47)</f>
        <v>8799.12</v>
      </c>
      <c r="L48" s="127" t="n">
        <f aca="false">SUM(L46:L47)</f>
        <v>7732.56</v>
      </c>
      <c r="M48" s="127" t="n">
        <f aca="false">SUM(M46:M47)</f>
        <v>7732.56</v>
      </c>
      <c r="N48" s="127" t="n">
        <f aca="false">SUM(N46:N47)</f>
        <v>7732.56</v>
      </c>
      <c r="O48" s="127" t="n">
        <f aca="false">SUM(O46:O47)</f>
        <v>7732.56</v>
      </c>
      <c r="P48" s="127" t="n">
        <f aca="false">SUM(P46:P47)</f>
        <v>7732.56</v>
      </c>
      <c r="Q48" s="127" t="n">
        <f aca="false">SUM(Q46:Q47)</f>
        <v>7732.56</v>
      </c>
      <c r="R48" s="127" t="n">
        <f aca="false">SUM(R46:R47)</f>
        <v>7732.56</v>
      </c>
      <c r="S48" s="127" t="n">
        <f aca="false">SUM(S46:S47)</f>
        <v>7732.56</v>
      </c>
    </row>
    <row r="50" customFormat="false" ht="12.75" hidden="false" customHeight="false" outlineLevel="0" collapsed="false">
      <c r="A50" s="0" t="s">
        <v>308</v>
      </c>
    </row>
    <row r="51" customFormat="false" ht="12.75" hidden="false" customHeight="false" outlineLevel="0" collapsed="false">
      <c r="B51" s="0" t="s">
        <v>309</v>
      </c>
      <c r="D51" s="77" t="n">
        <v>66</v>
      </c>
      <c r="F51" s="60" t="n">
        <f aca="false">+F46*$D$51/365</f>
        <v>21459.501830137</v>
      </c>
      <c r="G51" s="60" t="n">
        <f aca="false">+G46*$D$51/365</f>
        <v>21475.4544219178</v>
      </c>
      <c r="H51" s="60" t="n">
        <f aca="false">+H46*$D$51/365</f>
        <v>24843.0268493151</v>
      </c>
      <c r="I51" s="60" t="n">
        <f aca="false">+I46*$D$51/180</f>
        <v>21717.5317333333</v>
      </c>
      <c r="J51" s="60" t="n">
        <f aca="false">+J46*$D$51/180</f>
        <v>21508.96</v>
      </c>
      <c r="K51" s="60" t="n">
        <f aca="false">+K46*$D$51/365</f>
        <v>21214.3167123288</v>
      </c>
      <c r="L51" s="60" t="n">
        <f aca="false">+L46*$D$51/365</f>
        <v>18642.8843835616</v>
      </c>
      <c r="M51" s="60" t="n">
        <f aca="false">+M46*$D$51/365</f>
        <v>18642.8843835616</v>
      </c>
      <c r="N51" s="60" t="n">
        <f aca="false">+N46*$D$51/365</f>
        <v>18642.8843835616</v>
      </c>
      <c r="O51" s="60" t="n">
        <f aca="false">+O46*$D$51/365</f>
        <v>18642.8843835616</v>
      </c>
      <c r="P51" s="60" t="n">
        <f aca="false">+P46*$D$51/365</f>
        <v>18642.8843835616</v>
      </c>
      <c r="Q51" s="60" t="n">
        <f aca="false">+Q46*$D$51/365</f>
        <v>18642.8843835616</v>
      </c>
      <c r="R51" s="60" t="n">
        <f aca="false">+R46*$D$51/365</f>
        <v>18642.8843835616</v>
      </c>
      <c r="S51" s="60" t="n">
        <f aca="false">+S46*$D$51/365</f>
        <v>18642.8843835616</v>
      </c>
    </row>
    <row r="52" customFormat="false" ht="12.75" hidden="false" customHeight="false" outlineLevel="0" collapsed="false">
      <c r="B52" s="0" t="s">
        <v>310</v>
      </c>
      <c r="D52" s="77" t="n">
        <v>15</v>
      </c>
      <c r="F52" s="60" t="n">
        <f aca="false">+F46*$D$52/365</f>
        <v>4877.15950684932</v>
      </c>
      <c r="G52" s="60" t="n">
        <f aca="false">+G46*$D$52/365</f>
        <v>4880.78509589041</v>
      </c>
      <c r="H52" s="60" t="n">
        <f aca="false">+H46*$D$52/365</f>
        <v>5646.14246575342</v>
      </c>
      <c r="I52" s="60" t="n">
        <f aca="false">+I46*$D$52/180</f>
        <v>4935.80266666667</v>
      </c>
      <c r="J52" s="60" t="n">
        <f aca="false">+J46*$D$52/180</f>
        <v>4888.4</v>
      </c>
      <c r="K52" s="60" t="n">
        <f aca="false">+K46*$D$52/365</f>
        <v>4821.43561643836</v>
      </c>
      <c r="L52" s="60" t="n">
        <f aca="false">+L46*$D$52/365</f>
        <v>4237.01917808219</v>
      </c>
      <c r="M52" s="60" t="n">
        <f aca="false">+M46*$D$52/365</f>
        <v>4237.01917808219</v>
      </c>
      <c r="N52" s="60" t="n">
        <f aca="false">+N46*$D$52/365</f>
        <v>4237.01917808219</v>
      </c>
      <c r="O52" s="60" t="n">
        <f aca="false">+O46*$D$52/365</f>
        <v>4237.01917808219</v>
      </c>
      <c r="P52" s="60" t="n">
        <f aca="false">+P46*$D$52/365</f>
        <v>4237.01917808219</v>
      </c>
      <c r="Q52" s="60" t="n">
        <f aca="false">+Q46*$D$52/365</f>
        <v>4237.01917808219</v>
      </c>
      <c r="R52" s="60" t="n">
        <f aca="false">+R46*$D$52/365</f>
        <v>4237.01917808219</v>
      </c>
      <c r="S52" s="60" t="n">
        <f aca="false">+S46*$D$52/365</f>
        <v>4237.01917808219</v>
      </c>
    </row>
    <row r="53" customFormat="false" ht="12.75" hidden="false" customHeight="false" outlineLevel="0" collapsed="false">
      <c r="B53" s="0" t="s">
        <v>213</v>
      </c>
      <c r="D53" s="77" t="n">
        <v>20</v>
      </c>
      <c r="F53" s="60" t="n">
        <f aca="false">-F47*$D$53/365</f>
        <v>6015.16339178082</v>
      </c>
      <c r="G53" s="60" t="n">
        <f aca="false">-G47*$D$53/365</f>
        <v>6019.63495159817</v>
      </c>
      <c r="H53" s="60" t="n">
        <f aca="false">-H47*$D$53/365</f>
        <v>6963.57570776256</v>
      </c>
      <c r="I53" s="60" t="n">
        <f aca="false">-I47*$D$53/180</f>
        <v>6087.48995555556</v>
      </c>
      <c r="J53" s="60" t="n">
        <f aca="false">-J47*$D$53/180</f>
        <v>6029.02666666667</v>
      </c>
      <c r="K53" s="60" t="n">
        <f aca="false">-K47*$D$53/365</f>
        <v>5946.43726027397</v>
      </c>
      <c r="L53" s="60" t="n">
        <f aca="false">-L47*$D$53/365</f>
        <v>5225.65698630137</v>
      </c>
      <c r="M53" s="60" t="n">
        <f aca="false">-M47*$D$53/365</f>
        <v>5225.65698630137</v>
      </c>
      <c r="N53" s="60" t="n">
        <f aca="false">-N47*$D$53/365</f>
        <v>5225.65698630137</v>
      </c>
      <c r="O53" s="60" t="n">
        <f aca="false">-O47*$D$53/365</f>
        <v>5225.65698630137</v>
      </c>
      <c r="P53" s="60" t="n">
        <f aca="false">-P47*$D$53/365</f>
        <v>5225.65698630137</v>
      </c>
      <c r="Q53" s="60" t="n">
        <f aca="false">-Q47*$D$53/365</f>
        <v>5225.65698630137</v>
      </c>
      <c r="R53" s="60" t="n">
        <f aca="false">-R47*$D$53/365</f>
        <v>5225.65698630137</v>
      </c>
      <c r="S53" s="60" t="n">
        <f aca="false">-S47*$D$53/365</f>
        <v>5225.65698630137</v>
      </c>
    </row>
    <row r="55" customFormat="false" ht="12.75" hidden="false" customHeight="false" outlineLevel="0" collapsed="false">
      <c r="B55" s="0" t="s">
        <v>226</v>
      </c>
      <c r="F55" s="60" t="n">
        <f aca="false">+F51+F52-F53</f>
        <v>20321.4979452055</v>
      </c>
      <c r="G55" s="60" t="n">
        <f aca="false">+G51+G52-G53</f>
        <v>20336.60456621</v>
      </c>
      <c r="H55" s="60" t="n">
        <f aca="false">+H51+H52-H53</f>
        <v>23525.5936073059</v>
      </c>
      <c r="I55" s="60" t="n">
        <f aca="false">+I51+I52-I53</f>
        <v>20565.8444444444</v>
      </c>
      <c r="J55" s="60" t="n">
        <f aca="false">+J51+J52-J53</f>
        <v>20368.3333333333</v>
      </c>
      <c r="K55" s="60" t="n">
        <f aca="false">+K51+K52-K53</f>
        <v>20089.3150684932</v>
      </c>
      <c r="L55" s="60" t="n">
        <f aca="false">+L51+L52-L53</f>
        <v>17654.2465753425</v>
      </c>
      <c r="M55" s="60" t="n">
        <f aca="false">+M51+M52-M53</f>
        <v>17654.2465753425</v>
      </c>
      <c r="N55" s="60" t="n">
        <f aca="false">+N51+N52-N53</f>
        <v>17654.2465753425</v>
      </c>
      <c r="O55" s="60" t="n">
        <f aca="false">+O51+O52-O53</f>
        <v>17654.2465753425</v>
      </c>
      <c r="P55" s="60" t="n">
        <f aca="false">+P51+P52-P53</f>
        <v>17654.2465753425</v>
      </c>
      <c r="Q55" s="60" t="n">
        <f aca="false">+Q51+Q52-Q53</f>
        <v>17654.2465753425</v>
      </c>
      <c r="R55" s="60" t="n">
        <f aca="false">+R51+R52-R53</f>
        <v>17654.2465753425</v>
      </c>
      <c r="S55" s="60" t="n">
        <f aca="false">+S51+S52-S53</f>
        <v>17654.2465753425</v>
      </c>
    </row>
    <row r="56" customFormat="false" ht="12.75" hidden="false" customHeight="false" outlineLevel="0" collapsed="false">
      <c r="B56" s="0" t="s">
        <v>227</v>
      </c>
      <c r="G56" s="127" t="n">
        <f aca="false">+F55-G55</f>
        <v>-15.106621004561</v>
      </c>
      <c r="H56" s="127" t="n">
        <f aca="false">+G55-H55</f>
        <v>-3188.98904109589</v>
      </c>
      <c r="I56" s="127" t="n">
        <f aca="false">+H55-I55</f>
        <v>2959.74916286149</v>
      </c>
      <c r="J56" s="127" t="n">
        <f aca="false">+I55-J55</f>
        <v>197.511111111107</v>
      </c>
      <c r="K56" s="127" t="n">
        <f aca="false">+J55-K55</f>
        <v>279.018264840182</v>
      </c>
      <c r="L56" s="127" t="n">
        <f aca="false">+K55-L55</f>
        <v>2435.06849315069</v>
      </c>
      <c r="M56" s="127" t="n">
        <f aca="false">+L55-M55</f>
        <v>0</v>
      </c>
      <c r="N56" s="127" t="n">
        <f aca="false">+M55-N55</f>
        <v>0</v>
      </c>
      <c r="O56" s="127" t="n">
        <f aca="false">+N55-O55</f>
        <v>0</v>
      </c>
      <c r="P56" s="127" t="n">
        <f aca="false">+O55-P55</f>
        <v>0</v>
      </c>
      <c r="Q56" s="127" t="n">
        <f aca="false">+P55-Q55</f>
        <v>0</v>
      </c>
      <c r="R56" s="127" t="n">
        <f aca="false">+Q55-R55</f>
        <v>0</v>
      </c>
      <c r="S56" s="127" t="n">
        <f aca="false">+R55-S55</f>
        <v>0</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P47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4" min="4" style="0" width="10.41"/>
    <col collapsed="false" customWidth="true" hidden="false" outlineLevel="0" max="5" min="5" style="0" width="10.85"/>
    <col collapsed="false" customWidth="true" hidden="false" outlineLevel="0" max="6" min="6" style="0" width="10.41"/>
    <col collapsed="false" customWidth="true" hidden="false" outlineLevel="0" max="7" min="7" style="0" width="11.56"/>
    <col collapsed="false" customWidth="true" hidden="false" outlineLevel="0" max="8" min="8" style="0" width="11.28"/>
    <col collapsed="false" customWidth="true" hidden="false" outlineLevel="0" max="9" min="9" style="0" width="10.85"/>
    <col collapsed="false" customWidth="true" hidden="false" outlineLevel="0" max="10" min="10" style="0" width="11.85"/>
    <col collapsed="false" customWidth="true" hidden="false" outlineLevel="0" max="11" min="11" style="0" width="10.56"/>
    <col collapsed="false" customWidth="true" hidden="false" outlineLevel="0" max="14" min="12" style="0" width="10.13"/>
  </cols>
  <sheetData>
    <row r="1" customFormat="false" ht="21" hidden="false" customHeight="false" outlineLevel="0" collapsed="false">
      <c r="A1" s="1" t="s">
        <v>0</v>
      </c>
      <c r="B1" s="112"/>
      <c r="C1" s="112"/>
      <c r="D1" s="113"/>
      <c r="E1" s="113"/>
      <c r="F1" s="4"/>
      <c r="G1" s="4"/>
      <c r="H1" s="4"/>
      <c r="I1" s="4"/>
      <c r="J1" s="4"/>
      <c r="K1" s="4"/>
      <c r="L1" s="4"/>
      <c r="M1" s="4"/>
      <c r="N1" s="4"/>
      <c r="O1" s="16" t="s">
        <v>311</v>
      </c>
    </row>
    <row r="2" customFormat="false" ht="26.25" hidden="false" customHeight="false" outlineLevel="0" collapsed="false">
      <c r="A2" s="269"/>
      <c r="B2" s="270"/>
      <c r="C2" s="270"/>
      <c r="D2" s="271"/>
      <c r="E2" s="271"/>
      <c r="F2" s="272"/>
      <c r="O2" s="114" t="s">
        <v>110</v>
      </c>
    </row>
    <row r="3" customFormat="false" ht="26.25" hidden="false" customHeight="false" outlineLevel="0" collapsed="false">
      <c r="A3" s="269"/>
      <c r="B3" s="270"/>
      <c r="C3" s="270"/>
      <c r="D3" s="271"/>
      <c r="E3" s="271"/>
      <c r="F3" s="272"/>
      <c r="O3" s="114"/>
    </row>
    <row r="4" customFormat="false" ht="26.25" hidden="false" customHeight="false" outlineLevel="0" collapsed="false">
      <c r="A4" s="269"/>
      <c r="B4" s="270"/>
      <c r="C4" s="270"/>
      <c r="D4" s="271"/>
      <c r="E4" s="271"/>
      <c r="F4" s="272"/>
      <c r="Q4" s="248"/>
    </row>
    <row r="5" customFormat="false" ht="15.75" hidden="false" customHeight="false" outlineLevel="0" collapsed="false">
      <c r="A5" s="139" t="s">
        <v>312</v>
      </c>
      <c r="D5" s="228" t="n">
        <v>37072</v>
      </c>
      <c r="E5" s="228" t="n">
        <v>37257</v>
      </c>
      <c r="F5" s="228" t="n">
        <v>37622</v>
      </c>
      <c r="G5" s="228" t="n">
        <v>37987</v>
      </c>
      <c r="H5" s="228" t="n">
        <v>38353</v>
      </c>
      <c r="I5" s="228" t="n">
        <v>38718</v>
      </c>
      <c r="J5" s="228" t="n">
        <v>39083</v>
      </c>
      <c r="K5" s="228" t="n">
        <v>39448</v>
      </c>
      <c r="L5" s="228" t="n">
        <v>39814</v>
      </c>
      <c r="M5" s="228" t="n">
        <v>40179</v>
      </c>
      <c r="N5" s="228" t="n">
        <v>40544</v>
      </c>
    </row>
    <row r="7" customFormat="false" ht="12.75" hidden="false" customHeight="false" outlineLevel="0" collapsed="false">
      <c r="A7" s="53" t="s">
        <v>313</v>
      </c>
    </row>
    <row r="8" customFormat="false" ht="12.75" hidden="false" customHeight="false" outlineLevel="0" collapsed="false">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row>
    <row r="9" customFormat="false" ht="12.75" hidden="false" customHeight="false" outlineLevel="0" collapsed="false">
      <c r="A9" s="0" t="s">
        <v>314</v>
      </c>
      <c r="D9" s="296" t="n">
        <f aca="false">Dep!A58</f>
        <v>27883.4759977148</v>
      </c>
      <c r="E9" s="296" t="n">
        <f aca="false">D12</f>
        <v>27541.6680644196</v>
      </c>
      <c r="F9" s="296" t="n">
        <f aca="false">E12</f>
        <v>26849.7188644957</v>
      </c>
      <c r="G9" s="296" t="n">
        <f aca="false">F12</f>
        <v>26149.4363312386</v>
      </c>
      <c r="H9" s="296" t="n">
        <f aca="false">G12</f>
        <v>25440.8204646481</v>
      </c>
      <c r="I9" s="296" t="n">
        <f aca="false">H12</f>
        <v>24723.8712647243</v>
      </c>
      <c r="J9" s="296" t="n">
        <f aca="false">I12</f>
        <v>23998.5887314671</v>
      </c>
      <c r="K9" s="296" t="n">
        <f aca="false">J12</f>
        <v>23264.9728648766</v>
      </c>
      <c r="L9" s="296" t="n">
        <f aca="false">K12</f>
        <v>22523.0236649528</v>
      </c>
      <c r="M9" s="296" t="n">
        <f aca="false">L12</f>
        <v>21772.7411316956</v>
      </c>
      <c r="N9" s="296" t="n">
        <f aca="false">M12</f>
        <v>21014.1252651051</v>
      </c>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row>
    <row r="10" customFormat="false" ht="12.75" hidden="false" customHeight="false" outlineLevel="0" collapsed="false">
      <c r="A10" s="0" t="s">
        <v>315</v>
      </c>
      <c r="D10" s="67" t="n">
        <f aca="false">-'Sea-3 NH '!J30</f>
        <v>125</v>
      </c>
      <c r="E10" s="67" t="n">
        <f aca="false">-'Sea-3 NH '!K30</f>
        <v>250</v>
      </c>
      <c r="F10" s="67" t="n">
        <f aca="false">-'Sea-3 NH '!L30</f>
        <v>250</v>
      </c>
      <c r="G10" s="67" t="n">
        <f aca="false">-'Sea-3 NH '!M30</f>
        <v>250</v>
      </c>
      <c r="H10" s="67" t="n">
        <f aca="false">-'Sea-3 NH '!N30</f>
        <v>250</v>
      </c>
      <c r="I10" s="67" t="n">
        <f aca="false">-'Sea-3 NH '!O30</f>
        <v>250</v>
      </c>
      <c r="J10" s="67" t="n">
        <f aca="false">-'Sea-3 NH '!P30</f>
        <v>250</v>
      </c>
      <c r="K10" s="67" t="n">
        <f aca="false">-'Sea-3 NH '!Q30</f>
        <v>250</v>
      </c>
      <c r="L10" s="67" t="n">
        <f aca="false">-'Sea-3 NH '!R30</f>
        <v>250</v>
      </c>
      <c r="M10" s="67" t="n">
        <f aca="false">-'Sea-3 NH '!S30</f>
        <v>250</v>
      </c>
      <c r="N10" s="67" t="n">
        <f aca="false">-'Sea-3 NH '!T30</f>
        <v>250</v>
      </c>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row>
    <row r="11" customFormat="false" ht="12.75" hidden="false" customHeight="false" outlineLevel="0" collapsed="false">
      <c r="A11" s="0" t="s">
        <v>295</v>
      </c>
      <c r="D11" s="297" t="n">
        <f aca="false">-'Sea-3 NH '!J29</f>
        <v>-466.807933295247</v>
      </c>
      <c r="E11" s="297" t="n">
        <f aca="false">-'Sea-3 NH '!K29</f>
        <v>-941.949199923827</v>
      </c>
      <c r="F11" s="297" t="n">
        <f aca="false">-'Sea-3 NH '!L29</f>
        <v>-950.282533257161</v>
      </c>
      <c r="G11" s="297" t="n">
        <f aca="false">-'Sea-3 NH '!M29</f>
        <v>-958.615866590494</v>
      </c>
      <c r="H11" s="297" t="n">
        <f aca="false">-'Sea-3 NH '!N29</f>
        <v>-966.949199923827</v>
      </c>
      <c r="I11" s="297" t="n">
        <f aca="false">-'Sea-3 NH '!O29</f>
        <v>-975.282533257161</v>
      </c>
      <c r="J11" s="297" t="n">
        <f aca="false">-'Sea-3 NH '!P29</f>
        <v>-983.615866590494</v>
      </c>
      <c r="K11" s="297" t="n">
        <f aca="false">-'Sea-3 NH '!Q29</f>
        <v>-991.949199923827</v>
      </c>
      <c r="L11" s="297" t="n">
        <f aca="false">-'Sea-3 NH '!R29</f>
        <v>-1000.28253325716</v>
      </c>
      <c r="M11" s="297" t="n">
        <f aca="false">-'Sea-3 NH '!S29</f>
        <v>-1008.61586659049</v>
      </c>
      <c r="N11" s="297" t="n">
        <f aca="false">-'Sea-3 NH '!T29</f>
        <v>-1016.94919992383</v>
      </c>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row>
    <row r="12" customFormat="false" ht="12.75" hidden="false" customHeight="false" outlineLevel="0" collapsed="false">
      <c r="A12" s="0" t="s">
        <v>316</v>
      </c>
      <c r="D12" s="296" t="n">
        <f aca="false">SUM(D9:D11)</f>
        <v>27541.6680644196</v>
      </c>
      <c r="E12" s="296" t="n">
        <f aca="false">SUM(E9:E11)</f>
        <v>26849.7188644957</v>
      </c>
      <c r="F12" s="296" t="n">
        <f aca="false">SUM(F9:F11)</f>
        <v>26149.4363312386</v>
      </c>
      <c r="G12" s="296" t="n">
        <f aca="false">SUM(G9:G11)</f>
        <v>25440.8204646481</v>
      </c>
      <c r="H12" s="296" t="n">
        <f aca="false">SUM(H9:H11)</f>
        <v>24723.8712647243</v>
      </c>
      <c r="I12" s="296" t="n">
        <f aca="false">SUM(I9:I11)</f>
        <v>23998.5887314671</v>
      </c>
      <c r="J12" s="296" t="n">
        <f aca="false">SUM(J9:J11)</f>
        <v>23264.9728648766</v>
      </c>
      <c r="K12" s="296" t="n">
        <f aca="false">SUM(K9:K11)</f>
        <v>22523.0236649528</v>
      </c>
      <c r="L12" s="296" t="n">
        <f aca="false">SUM(L9:L11)</f>
        <v>21772.7411316956</v>
      </c>
      <c r="M12" s="296" t="n">
        <f aca="false">SUM(M9:M11)</f>
        <v>21014.1252651051</v>
      </c>
      <c r="N12" s="296" t="n">
        <f aca="false">SUM(N9:N11)</f>
        <v>20247.1760651813</v>
      </c>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row>
    <row r="13" customFormat="false" ht="12.75" hidden="false" customHeight="false" outlineLevel="0" collapsed="false">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row>
    <row r="14" customFormat="false" ht="12.75" hidden="false" customHeight="false" outlineLevel="0" collapsed="false">
      <c r="A14" s="53" t="s">
        <v>317</v>
      </c>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row>
    <row r="15" customFormat="false" ht="12.75" hidden="false" customHeight="false" outlineLevel="0" collapsed="false">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row>
    <row r="16" customFormat="false" ht="12.75" hidden="false" customHeight="false" outlineLevel="0" collapsed="false">
      <c r="A16" s="0" t="s">
        <v>314</v>
      </c>
      <c r="D16" s="296" t="n">
        <f aca="false">Dep!A58</f>
        <v>27883.4759977148</v>
      </c>
      <c r="E16" s="296" t="n">
        <f aca="false">D19</f>
        <v>26007.2703876781</v>
      </c>
      <c r="F16" s="296" t="n">
        <f aca="false">E19</f>
        <v>19362.2696158377</v>
      </c>
      <c r="G16" s="296" t="n">
        <f aca="false">F19</f>
        <v>14616.6371638374</v>
      </c>
      <c r="H16" s="296" t="n">
        <f aca="false">G19</f>
        <v>11227.7035117228</v>
      </c>
      <c r="I16" s="296" t="n">
        <f aca="false">H19</f>
        <v>8804.6466051269</v>
      </c>
      <c r="J16" s="296" t="n">
        <f aca="false">I19</f>
        <v>6362.06554613074</v>
      </c>
      <c r="K16" s="296" t="n">
        <f aca="false">J19</f>
        <v>3894.3836395348</v>
      </c>
      <c r="L16" s="296" t="n">
        <f aca="false">K19</f>
        <v>2656.35561003672</v>
      </c>
      <c r="M16" s="296" t="n">
        <f aca="false">L19</f>
        <v>655.149999999999</v>
      </c>
      <c r="N16" s="296" t="n">
        <f aca="false">M19</f>
        <v>655.149999999999</v>
      </c>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row>
    <row r="17" customFormat="false" ht="12.75" hidden="false" customHeight="false" outlineLevel="0" collapsed="false">
      <c r="A17" s="0" t="s">
        <v>315</v>
      </c>
      <c r="D17" s="67" t="n">
        <f aca="false">D10</f>
        <v>125</v>
      </c>
      <c r="E17" s="67" t="n">
        <f aca="false">E10</f>
        <v>250</v>
      </c>
      <c r="F17" s="67" t="n">
        <f aca="false">F10</f>
        <v>250</v>
      </c>
      <c r="G17" s="67" t="n">
        <f aca="false">G10</f>
        <v>250</v>
      </c>
      <c r="H17" s="67" t="n">
        <f aca="false">H10</f>
        <v>250</v>
      </c>
      <c r="I17" s="67" t="n">
        <f aca="false">I10</f>
        <v>250</v>
      </c>
      <c r="J17" s="67" t="n">
        <f aca="false">J10</f>
        <v>250</v>
      </c>
      <c r="K17" s="67" t="n">
        <f aca="false">K10</f>
        <v>250</v>
      </c>
      <c r="L17" s="67" t="n">
        <f aca="false">L10</f>
        <v>250</v>
      </c>
      <c r="M17" s="67" t="n">
        <f aca="false">M10</f>
        <v>250</v>
      </c>
      <c r="N17" s="67" t="n">
        <f aca="false">N10</f>
        <v>250</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row>
    <row r="18" customFormat="false" ht="12.75" hidden="false" customHeight="false" outlineLevel="0" collapsed="false">
      <c r="A18" s="0" t="s">
        <v>295</v>
      </c>
      <c r="D18" s="297" t="n">
        <f aca="false">-(Dep!F79+Dep!F87/2)/2</f>
        <v>-2001.20561003672</v>
      </c>
      <c r="E18" s="297" t="n">
        <f aca="false">-(Dep!G79+Dep!G87/2)</f>
        <v>-6895.00077184036</v>
      </c>
      <c r="F18" s="297" t="n">
        <f aca="false">-(Dep!H79+Dep!H87/2)</f>
        <v>-4995.63245200032</v>
      </c>
      <c r="G18" s="297" t="n">
        <f aca="false">-(Dep!I79+Dep!I87/2)</f>
        <v>-3638.93365211458</v>
      </c>
      <c r="H18" s="297" t="n">
        <f aca="false">-(Dep!J79+Dep!J87/2)</f>
        <v>-2673.05690659593</v>
      </c>
      <c r="I18" s="297" t="n">
        <f aca="false">-(Dep!K79+Dep!K87/2)</f>
        <v>-2692.58105899616</v>
      </c>
      <c r="J18" s="297" t="n">
        <f aca="false">-(Dep!L79+Dep!L87/2)</f>
        <v>-2717.68190659593</v>
      </c>
      <c r="K18" s="297" t="n">
        <f aca="false">-(Dep!M79+Dep!M87/2)</f>
        <v>-1488.02802949808</v>
      </c>
      <c r="L18" s="297" t="n">
        <f aca="false">-(Dep!N79+Dep!N87/2)+D18</f>
        <v>-2251.20561003672</v>
      </c>
      <c r="M18" s="297" t="n">
        <f aca="false">-(Dep!O79+Dep!O87/2)</f>
        <v>-250</v>
      </c>
      <c r="N18" s="297" t="n">
        <f aca="false">-(Dep!P79+Dep!P87/2)</f>
        <v>-250</v>
      </c>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row>
    <row r="19" customFormat="false" ht="12.75" hidden="false" customHeight="false" outlineLevel="0" collapsed="false">
      <c r="A19" s="0" t="s">
        <v>316</v>
      </c>
      <c r="D19" s="296" t="n">
        <f aca="false">SUM(D16:D18)</f>
        <v>26007.2703876781</v>
      </c>
      <c r="E19" s="296" t="n">
        <f aca="false">SUM(E16:E18)</f>
        <v>19362.2696158377</v>
      </c>
      <c r="F19" s="296" t="n">
        <f aca="false">SUM(F16:F18)</f>
        <v>14616.6371638374</v>
      </c>
      <c r="G19" s="296" t="n">
        <f aca="false">SUM(G16:G18)</f>
        <v>11227.7035117228</v>
      </c>
      <c r="H19" s="296" t="n">
        <f aca="false">SUM(H16:H18)</f>
        <v>8804.6466051269</v>
      </c>
      <c r="I19" s="296" t="n">
        <f aca="false">SUM(I16:I18)</f>
        <v>6362.06554613074</v>
      </c>
      <c r="J19" s="296" t="n">
        <f aca="false">SUM(J16:J18)</f>
        <v>3894.3836395348</v>
      </c>
      <c r="K19" s="296" t="n">
        <f aca="false">SUM(K16:K18)</f>
        <v>2656.35561003672</v>
      </c>
      <c r="L19" s="296" t="n">
        <f aca="false">SUM(L16:L18)</f>
        <v>655.149999999999</v>
      </c>
      <c r="M19" s="296" t="n">
        <f aca="false">SUM(M16:M18)</f>
        <v>655.149999999999</v>
      </c>
      <c r="N19" s="296" t="n">
        <f aca="false">SUM(N16:N18)</f>
        <v>655.149999999999</v>
      </c>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row>
    <row r="20" customFormat="false" ht="12.75" hidden="false" customHeight="false" outlineLevel="0" collapsed="false">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row>
    <row r="21" customFormat="false" ht="12.75" hidden="false" customHeight="false" outlineLevel="0" collapsed="false">
      <c r="A21" s="0" t="s">
        <v>317</v>
      </c>
      <c r="D21" s="67" t="n">
        <f aca="false">D18</f>
        <v>-2001.20561003672</v>
      </c>
      <c r="E21" s="67" t="n">
        <f aca="false">E18</f>
        <v>-6895.00077184036</v>
      </c>
      <c r="F21" s="67" t="n">
        <f aca="false">F18</f>
        <v>-4995.63245200032</v>
      </c>
      <c r="G21" s="67" t="n">
        <f aca="false">G18</f>
        <v>-3638.93365211458</v>
      </c>
      <c r="H21" s="67" t="n">
        <f aca="false">H18</f>
        <v>-2673.05690659593</v>
      </c>
      <c r="I21" s="67" t="n">
        <f aca="false">I18</f>
        <v>-2692.58105899616</v>
      </c>
      <c r="J21" s="67" t="n">
        <f aca="false">J18</f>
        <v>-2717.68190659593</v>
      </c>
      <c r="K21" s="67" t="n">
        <f aca="false">K18</f>
        <v>-1488.02802949808</v>
      </c>
      <c r="L21" s="67" t="n">
        <f aca="false">L18</f>
        <v>-2251.20561003672</v>
      </c>
      <c r="M21" s="67" t="n">
        <f aca="false">M18</f>
        <v>-250</v>
      </c>
      <c r="N21" s="67" t="n">
        <f aca="false">N18</f>
        <v>-250</v>
      </c>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row>
    <row r="22" customFormat="false" ht="12.75" hidden="false" customHeight="false" outlineLevel="0" collapsed="false">
      <c r="A22" s="0" t="s">
        <v>313</v>
      </c>
      <c r="D22" s="67" t="n">
        <f aca="false">D11</f>
        <v>-466.807933295247</v>
      </c>
      <c r="E22" s="67" t="n">
        <f aca="false">E11</f>
        <v>-941.949199923827</v>
      </c>
      <c r="F22" s="67" t="n">
        <f aca="false">F11</f>
        <v>-950.282533257161</v>
      </c>
      <c r="G22" s="67" t="n">
        <f aca="false">G11</f>
        <v>-958.615866590494</v>
      </c>
      <c r="H22" s="67" t="n">
        <f aca="false">H11</f>
        <v>-966.949199923827</v>
      </c>
      <c r="I22" s="67" t="n">
        <f aca="false">I11</f>
        <v>-975.282533257161</v>
      </c>
      <c r="J22" s="67" t="n">
        <f aca="false">J11</f>
        <v>-983.615866590494</v>
      </c>
      <c r="K22" s="67" t="n">
        <f aca="false">K11</f>
        <v>-991.949199923827</v>
      </c>
      <c r="L22" s="67" t="n">
        <f aca="false">L11</f>
        <v>-1000.28253325716</v>
      </c>
      <c r="M22" s="67" t="n">
        <f aca="false">M11</f>
        <v>-1008.61586659049</v>
      </c>
      <c r="N22" s="67" t="n">
        <f aca="false">N11</f>
        <v>-1016.94919992383</v>
      </c>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row>
    <row r="23" customFormat="false" ht="12.75" hidden="false" customHeight="false" outlineLevel="0" collapsed="false">
      <c r="A23" s="0" t="s">
        <v>318</v>
      </c>
      <c r="D23" s="298" t="n">
        <f aca="false">D22-D21</f>
        <v>1534.39767674148</v>
      </c>
      <c r="E23" s="298" t="n">
        <f aca="false">E22-E21</f>
        <v>5953.05157191653</v>
      </c>
      <c r="F23" s="298" t="n">
        <f aca="false">F22-F21</f>
        <v>4045.34991874316</v>
      </c>
      <c r="G23" s="298" t="n">
        <f aca="false">G22-G21</f>
        <v>2680.31778552409</v>
      </c>
      <c r="H23" s="298" t="n">
        <f aca="false">H22-H21</f>
        <v>1706.10770667211</v>
      </c>
      <c r="I23" s="298" t="n">
        <f aca="false">I22-I21</f>
        <v>1717.298525739</v>
      </c>
      <c r="J23" s="298" t="n">
        <f aca="false">J22-J21</f>
        <v>1734.06604000544</v>
      </c>
      <c r="K23" s="298" t="n">
        <f aca="false">K22-K21</f>
        <v>496.078829574254</v>
      </c>
      <c r="L23" s="298" t="n">
        <f aca="false">L22-L21</f>
        <v>1250.92307677956</v>
      </c>
      <c r="M23" s="298" t="n">
        <f aca="false">M22-M21</f>
        <v>-758.615866590494</v>
      </c>
      <c r="N23" s="298" t="n">
        <f aca="false">N22-N21</f>
        <v>-766.949199923827</v>
      </c>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row>
    <row r="24" customFormat="false" ht="12.75" hidden="false" customHeight="false" outlineLevel="0" collapsed="false">
      <c r="A24" s="0" t="s">
        <v>297</v>
      </c>
      <c r="D24" s="296" t="n">
        <f aca="false">D23*Assumptions!$B$8</f>
        <v>537.039186859517</v>
      </c>
      <c r="E24" s="296" t="n">
        <f aca="false">E23*Assumptions!$B$8</f>
        <v>2083.56805017079</v>
      </c>
      <c r="F24" s="296" t="n">
        <f aca="false">F23*Assumptions!$B$8</f>
        <v>1415.87247156011</v>
      </c>
      <c r="G24" s="296" t="n">
        <f aca="false">G23*Assumptions!$B$8</f>
        <v>938.11122493343</v>
      </c>
      <c r="H24" s="296" t="n">
        <f aca="false">H23*Assumptions!$B$8</f>
        <v>597.137697335237</v>
      </c>
      <c r="I24" s="296" t="n">
        <f aca="false">I23*Assumptions!$B$8</f>
        <v>601.05448400865</v>
      </c>
      <c r="J24" s="296" t="n">
        <f aca="false">J23*Assumptions!$B$8</f>
        <v>606.923114001904</v>
      </c>
      <c r="K24" s="296" t="n">
        <f aca="false">K23*Assumptions!$B$8</f>
        <v>173.627590350989</v>
      </c>
      <c r="L24" s="296" t="n">
        <f aca="false">L23*Assumptions!$B$8</f>
        <v>437.823076872847</v>
      </c>
      <c r="M24" s="296" t="n">
        <f aca="false">M23*Assumptions!$B$8</f>
        <v>-265.515553306673</v>
      </c>
      <c r="N24" s="296" t="n">
        <f aca="false">N23*Assumptions!$B$8</f>
        <v>-268.43221997334</v>
      </c>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row>
    <row r="25" customFormat="false" ht="12.75" hidden="false" customHeight="false" outlineLevel="0" collapsed="false">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row>
    <row r="26" customFormat="false" ht="12.75" hidden="false" customHeight="false" outlineLevel="0" collapsed="false">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row>
    <row r="27" customFormat="false" ht="12.75" hidden="false" customHeight="false" outlineLevel="0" collapsed="false">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row>
    <row r="28" customFormat="false" ht="12.75" hidden="false" customHeight="false" outlineLevel="0" collapsed="false">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row>
    <row r="29" customFormat="false" ht="12.75" hidden="false" customHeight="false" outlineLevel="0" collapsed="false">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row>
    <row r="30" customFormat="false" ht="12.75" hidden="false" customHeight="false" outlineLevel="0" collapsed="false">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row>
    <row r="31" customFormat="false" ht="12.75" hidden="false" customHeight="false" outlineLevel="0" collapsed="false">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row>
    <row r="32" customFormat="false" ht="12.75" hidden="false" customHeight="false" outlineLevel="0" collapsed="false">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row>
    <row r="33" customFormat="false" ht="12.75" hidden="false" customHeight="false" outlineLevel="0" collapsed="false">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row>
    <row r="34" customFormat="false" ht="12.75" hidden="false" customHeight="false" outlineLevel="0" collapsed="false">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row>
    <row r="35" customFormat="false" ht="12.75" hidden="false" customHeight="false" outlineLevel="0" collapsed="false">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row>
    <row r="36" customFormat="false" ht="12.75" hidden="false" customHeight="false" outlineLevel="0" collapsed="false">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row>
    <row r="37" customFormat="false" ht="12.75" hidden="false" customHeight="false" outlineLevel="0" collapsed="false">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row>
    <row r="38" customFormat="false" ht="12.75" hidden="false" customHeight="false" outlineLevel="0" collapsed="false">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row>
    <row r="39" customFormat="false" ht="12.75" hidden="false" customHeight="false" outlineLevel="0" collapsed="false">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row>
    <row r="40" customFormat="false" ht="12.75" hidden="false" customHeight="false" outlineLevel="0" collapsed="false">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row>
    <row r="41" customFormat="false" ht="12.75" hidden="false" customHeight="false" outlineLevel="0" collapsed="false">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row>
    <row r="42" customFormat="false" ht="12.75" hidden="false" customHeight="false" outlineLevel="0" collapsed="false">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row>
    <row r="43" customFormat="false" ht="12.75" hidden="false" customHeight="false" outlineLevel="0" collapsed="false">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row>
    <row r="44" customFormat="false" ht="12.75" hidden="false" customHeight="false" outlineLevel="0" collapsed="false">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row>
    <row r="45" customFormat="false" ht="12.75" hidden="false" customHeight="false" outlineLevel="0" collapsed="false">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row>
    <row r="46" customFormat="false" ht="12.75" hidden="false" customHeight="false" outlineLevel="0" collapsed="false">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row>
    <row r="47" customFormat="false" ht="12.75" hidden="false" customHeight="false" outlineLevel="0" collapsed="false">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row>
    <row r="48" customFormat="false" ht="12.75" hidden="false" customHeight="false" outlineLevel="0" collapsed="false">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row>
    <row r="49" customFormat="false" ht="12.75" hidden="false" customHeight="false" outlineLevel="0" collapsed="false">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row>
    <row r="50" customFormat="false" ht="12.75" hidden="false" customHeight="false" outlineLevel="0" collapsed="false">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row>
    <row r="51" customFormat="false" ht="12.75" hidden="false" customHeight="false" outlineLevel="0" collapsed="false">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row>
    <row r="52" customFormat="false" ht="12.75" hidden="false" customHeight="false" outlineLevel="0" collapsed="false">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row>
    <row r="53" customFormat="false" ht="12.75" hidden="false" customHeight="false" outlineLevel="0" collapsed="false">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row>
    <row r="54" customFormat="false" ht="12.75" hidden="false" customHeight="false" outlineLevel="0" collapsed="false">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row>
    <row r="55" customFormat="false" ht="12.75" hidden="false" customHeight="false" outlineLevel="0" collapsed="false">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row>
    <row r="56" customFormat="false" ht="12.75" hidden="false" customHeight="false" outlineLevel="0" collapsed="false">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row>
    <row r="57" customFormat="false" ht="12.75" hidden="false" customHeight="false" outlineLevel="0" collapsed="false">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row>
    <row r="58" customFormat="false" ht="12.75" hidden="false" customHeight="false" outlineLevel="0" collapsed="false">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row>
    <row r="59" customFormat="false" ht="12.75" hidden="false" customHeight="false" outlineLevel="0" collapsed="false">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row>
    <row r="60" customFormat="false" ht="12.75" hidden="false" customHeight="false" outlineLevel="0" collapsed="false">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row>
    <row r="61" customFormat="false" ht="12.75" hidden="false" customHeight="false" outlineLevel="0" collapsed="false">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row>
    <row r="62" customFormat="false" ht="12.75" hidden="false" customHeight="false" outlineLevel="0" collapsed="false">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row>
    <row r="63" customFormat="false" ht="12.75" hidden="false" customHeight="false" outlineLevel="0" collapsed="false">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row>
    <row r="64" customFormat="false" ht="12.75" hidden="false" customHeight="false" outlineLevel="0" collapsed="false">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row>
    <row r="65" customFormat="false" ht="12.75" hidden="false" customHeight="false" outlineLevel="0" collapsed="false">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row>
    <row r="66" customFormat="false" ht="12.75" hidden="false" customHeight="false" outlineLevel="0" collapsed="false">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row>
    <row r="67" customFormat="false" ht="12.75" hidden="false" customHeight="false" outlineLevel="0" collapsed="false">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row>
    <row r="68" customFormat="false" ht="12.75" hidden="false" customHeight="false" outlineLevel="0" collapsed="false">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row>
    <row r="69" customFormat="false" ht="12.75" hidden="false" customHeight="false" outlineLevel="0" collapsed="false">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row>
    <row r="70" customFormat="false" ht="12.75" hidden="false" customHeight="false" outlineLevel="0" collapsed="false">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row>
    <row r="71" customFormat="false" ht="12.75" hidden="false" customHeight="false" outlineLevel="0" collapsed="false">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row>
    <row r="72" customFormat="false" ht="12.75" hidden="false" customHeight="false" outlineLevel="0" collapsed="false">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row>
    <row r="73" customFormat="false" ht="12.75" hidden="false" customHeight="false" outlineLevel="0" collapsed="false">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row>
    <row r="74" customFormat="false" ht="12.75" hidden="false" customHeight="false" outlineLevel="0" collapsed="false">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row>
    <row r="75" customFormat="false" ht="12.75" hidden="false" customHeight="false" outlineLevel="0" collapsed="false">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row>
    <row r="76" customFormat="false" ht="12.75" hidden="false" customHeight="false" outlineLevel="0" collapsed="false">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row>
    <row r="77" customFormat="false" ht="12.75" hidden="false" customHeight="false" outlineLevel="0" collapsed="false">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row>
    <row r="78" customFormat="false" ht="12.75" hidden="false" customHeight="false" outlineLevel="0" collapsed="false">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row>
    <row r="79" customFormat="false" ht="12.75" hidden="false" customHeight="false" outlineLevel="0" collapsed="false">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row>
    <row r="80" customFormat="false" ht="12.75" hidden="false" customHeight="false" outlineLevel="0" collapsed="false">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row>
    <row r="81" customFormat="false" ht="12.75" hidden="false" customHeight="false" outlineLevel="0" collapsed="false">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row>
    <row r="82" customFormat="false" ht="12.75" hidden="false" customHeight="false" outlineLevel="0" collapsed="false">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row>
    <row r="83" customFormat="false" ht="12.75" hidden="false" customHeight="false" outlineLevel="0" collapsed="false">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row>
    <row r="84" customFormat="false" ht="12.75" hidden="false" customHeight="false" outlineLevel="0" collapsed="false">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row>
    <row r="85" customFormat="false" ht="12.75" hidden="false" customHeight="false" outlineLevel="0" collapsed="false">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row>
    <row r="86" customFormat="false" ht="12.75" hidden="false" customHeight="false" outlineLevel="0" collapsed="false">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row>
    <row r="87" customFormat="false" ht="12.75" hidden="false" customHeight="false" outlineLevel="0" collapsed="false">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row>
    <row r="88" customFormat="false" ht="12.75" hidden="false" customHeight="false" outlineLevel="0" collapsed="false">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row>
    <row r="89" customFormat="false" ht="12.75" hidden="false" customHeight="false" outlineLevel="0" collapsed="false">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row>
    <row r="90" customFormat="false" ht="12.75" hidden="false" customHeight="false" outlineLevel="0" collapsed="false">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row>
    <row r="91" customFormat="false" ht="12.75" hidden="false" customHeight="false" outlineLevel="0" collapsed="false">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row>
    <row r="92" customFormat="false" ht="12.75" hidden="false" customHeight="false" outlineLevel="0" collapsed="false">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row>
    <row r="93" customFormat="false" ht="12.75" hidden="false" customHeight="false" outlineLevel="0" collapsed="false">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row>
    <row r="94" customFormat="false" ht="12.75" hidden="false" customHeight="false" outlineLevel="0" collapsed="false">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row>
    <row r="95" customFormat="false" ht="12.75" hidden="false" customHeight="false" outlineLevel="0" collapsed="false">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row>
    <row r="96" customFormat="false" ht="12.75" hidden="false" customHeight="false" outlineLevel="0" collapsed="false">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row>
    <row r="97" customFormat="false" ht="12.75" hidden="false" customHeight="false" outlineLevel="0" collapsed="false">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row>
    <row r="98" customFormat="false" ht="12.75" hidden="false" customHeight="false" outlineLevel="0" collapsed="false">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row>
    <row r="99" customFormat="false" ht="12.75" hidden="false" customHeight="false" outlineLevel="0" collapsed="false">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row>
    <row r="100" customFormat="false" ht="12.75" hidden="false" customHeight="false" outlineLevel="0" collapsed="false">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row>
    <row r="101" customFormat="false" ht="12.75" hidden="false" customHeight="false" outlineLevel="0" collapsed="false">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row>
    <row r="102" customFormat="false" ht="12.75" hidden="false" customHeight="false" outlineLevel="0" collapsed="false">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row>
    <row r="103" customFormat="false" ht="12.75" hidden="false" customHeight="false" outlineLevel="0" collapsed="false">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row>
    <row r="104" customFormat="false" ht="12.75" hidden="false" customHeight="false" outlineLevel="0" collapsed="false">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row>
    <row r="105" customFormat="false" ht="12.75" hidden="false" customHeight="false" outlineLevel="0" collapsed="false">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row>
    <row r="106" customFormat="false" ht="12.75" hidden="false" customHeight="false" outlineLevel="0" collapsed="false">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row>
    <row r="107" customFormat="false" ht="12.75" hidden="false" customHeight="false" outlineLevel="0" collapsed="false">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row>
    <row r="108" customFormat="false" ht="12.75" hidden="false" customHeight="false" outlineLevel="0" collapsed="false">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row>
    <row r="109" customFormat="false" ht="12.75" hidden="false" customHeight="false" outlineLevel="0" collapsed="false">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row>
    <row r="110" customFormat="false" ht="12.75" hidden="false" customHeight="false" outlineLevel="0" collapsed="false">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row>
    <row r="111" customFormat="false" ht="12.75" hidden="false" customHeight="false" outlineLevel="0" collapsed="false">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row>
    <row r="112" customFormat="false" ht="12.75" hidden="false" customHeight="false" outlineLevel="0" collapsed="false">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row>
    <row r="113" customFormat="false" ht="12.75" hidden="false" customHeight="false" outlineLevel="0" collapsed="false">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row>
    <row r="114" customFormat="false" ht="12.75" hidden="false" customHeight="false" outlineLevel="0" collapsed="false">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row>
    <row r="115" customFormat="false" ht="12.75" hidden="false" customHeight="false" outlineLevel="0" collapsed="false">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row>
    <row r="116" customFormat="false" ht="12.75" hidden="false" customHeight="false" outlineLevel="0" collapsed="false">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row>
    <row r="117" customFormat="false" ht="12.75" hidden="false" customHeight="false" outlineLevel="0" collapsed="false">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row>
    <row r="118" customFormat="false" ht="12.75" hidden="false" customHeight="false" outlineLevel="0" collapsed="false">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row>
    <row r="119" customFormat="false" ht="12.75" hidden="false" customHeight="false" outlineLevel="0" collapsed="false">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row>
    <row r="120" customFormat="false" ht="12.75" hidden="false" customHeight="false" outlineLevel="0" collapsed="false">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row>
    <row r="121" customFormat="false" ht="12.75" hidden="false" customHeight="false" outlineLevel="0" collapsed="false">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row>
    <row r="122" customFormat="false" ht="12.75" hidden="false" customHeight="false" outlineLevel="0" collapsed="false">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row>
    <row r="123" customFormat="false" ht="12.75" hidden="false" customHeight="false" outlineLevel="0" collapsed="false">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row>
    <row r="124" customFormat="false" ht="12.75" hidden="false" customHeight="false" outlineLevel="0" collapsed="false">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row>
    <row r="125" customFormat="false" ht="12.75" hidden="false" customHeight="false" outlineLevel="0" collapsed="false">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row>
    <row r="126" customFormat="false" ht="12.75" hidden="false" customHeight="false" outlineLevel="0" collapsed="false">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row>
    <row r="127" customFormat="false" ht="12.75" hidden="false" customHeight="false" outlineLevel="0" collapsed="false">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row>
    <row r="128" customFormat="false" ht="12.75" hidden="false" customHeight="false" outlineLevel="0" collapsed="false">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row>
    <row r="129" customFormat="false" ht="12.75" hidden="false" customHeight="false" outlineLevel="0" collapsed="false">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row>
    <row r="130" customFormat="false" ht="12.75" hidden="false" customHeight="false" outlineLevel="0" collapsed="false">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row>
    <row r="131" customFormat="false" ht="12.75" hidden="false" customHeight="false" outlineLevel="0" collapsed="false">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row>
    <row r="132" customFormat="false" ht="12.75" hidden="false" customHeight="false" outlineLevel="0" collapsed="false">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row>
    <row r="133" customFormat="false" ht="12.75" hidden="false" customHeight="false" outlineLevel="0" collapsed="false">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row>
    <row r="134" customFormat="false" ht="12.75" hidden="false" customHeight="false" outlineLevel="0" collapsed="false">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row>
    <row r="135" customFormat="false" ht="12.75" hidden="false" customHeight="false" outlineLevel="0" collapsed="false">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row>
    <row r="136" customFormat="false" ht="12.75" hidden="false" customHeight="false" outlineLevel="0" collapsed="false">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row>
    <row r="137" customFormat="false" ht="12.75" hidden="false" customHeight="false" outlineLevel="0" collapsed="false">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row>
    <row r="138" customFormat="false" ht="12.75" hidden="false" customHeight="false" outlineLevel="0" collapsed="false">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row>
    <row r="139" customFormat="false" ht="12.75" hidden="false" customHeight="false" outlineLevel="0" collapsed="false">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row>
    <row r="140" customFormat="false" ht="12.75" hidden="false" customHeight="false" outlineLevel="0" collapsed="false">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row>
    <row r="141" customFormat="false" ht="12.75" hidden="false" customHeight="false" outlineLevel="0" collapsed="false">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row>
    <row r="142" customFormat="false" ht="12.75" hidden="false" customHeight="false" outlineLevel="0" collapsed="false">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row>
    <row r="143" customFormat="false" ht="12.75" hidden="false" customHeight="false" outlineLevel="0" collapsed="false">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row>
    <row r="144" customFormat="false" ht="12.75" hidden="false" customHeight="false" outlineLevel="0" collapsed="false">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row>
    <row r="145" customFormat="false" ht="12.75" hidden="false" customHeight="false" outlineLevel="0" collapsed="false">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row>
    <row r="146" customFormat="false" ht="12.75" hidden="false" customHeight="false" outlineLevel="0" collapsed="false">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row>
    <row r="147" customFormat="false" ht="12.75" hidden="false" customHeight="false" outlineLevel="0" collapsed="false">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row>
    <row r="148" customFormat="false" ht="12.75" hidden="false" customHeight="false" outlineLevel="0" collapsed="false">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row>
    <row r="149" customFormat="false" ht="12.75" hidden="false" customHeight="false" outlineLevel="0" collapsed="false">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row>
    <row r="150" customFormat="false" ht="12.75" hidden="false" customHeight="false" outlineLevel="0" collapsed="false">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row>
    <row r="151" customFormat="false" ht="12.75" hidden="false" customHeight="false" outlineLevel="0" collapsed="false">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row>
    <row r="152" customFormat="false" ht="12.75" hidden="false" customHeight="false" outlineLevel="0" collapsed="false">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row>
    <row r="153" customFormat="false" ht="12.75" hidden="false" customHeight="false" outlineLevel="0" collapsed="false">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row>
    <row r="154" customFormat="false" ht="12.75" hidden="false" customHeight="false" outlineLevel="0" collapsed="false">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row>
    <row r="155" customFormat="false" ht="12.75" hidden="false" customHeight="false" outlineLevel="0" collapsed="false">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row>
    <row r="156" customFormat="false" ht="12.75" hidden="false" customHeight="false" outlineLevel="0" collapsed="false">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row>
    <row r="157" customFormat="false" ht="12.75" hidden="false" customHeight="false" outlineLevel="0" collapsed="false">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row>
    <row r="158" customFormat="false" ht="12.75" hidden="false" customHeight="false" outlineLevel="0" collapsed="false">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row>
    <row r="159" customFormat="false" ht="12.75" hidden="false" customHeight="false" outlineLevel="0" collapsed="false">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row>
    <row r="160" customFormat="false" ht="12.75" hidden="false" customHeight="false" outlineLevel="0" collapsed="false">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row>
    <row r="161" customFormat="false" ht="12.75" hidden="false" customHeight="false" outlineLevel="0" collapsed="false">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row>
    <row r="162" customFormat="false" ht="12.75" hidden="false" customHeight="false" outlineLevel="0" collapsed="false">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row>
    <row r="163" customFormat="false" ht="12.75" hidden="false" customHeight="false" outlineLevel="0" collapsed="false">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row>
    <row r="164" customFormat="false" ht="12.75" hidden="false" customHeight="false" outlineLevel="0" collapsed="false">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row>
    <row r="165" customFormat="false" ht="12.75" hidden="false" customHeight="false" outlineLevel="0" collapsed="false">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row>
    <row r="166" customFormat="false" ht="12.75" hidden="false" customHeight="false" outlineLevel="0" collapsed="false">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row>
    <row r="167" customFormat="false" ht="12.75" hidden="false" customHeight="false" outlineLevel="0" collapsed="false">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row>
    <row r="168" customFormat="false" ht="12.75" hidden="false" customHeight="false" outlineLevel="0" collapsed="false">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row>
    <row r="169" customFormat="false" ht="12.75" hidden="false" customHeight="false" outlineLevel="0" collapsed="false">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row>
    <row r="170" customFormat="false" ht="12.75" hidden="false" customHeight="false" outlineLevel="0" collapsed="false">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row>
    <row r="171" customFormat="false" ht="12.75" hidden="false" customHeight="false" outlineLevel="0" collapsed="false">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row>
    <row r="172" customFormat="false" ht="12.75" hidden="false" customHeight="false" outlineLevel="0" collapsed="false">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row>
    <row r="173" customFormat="false" ht="12.75" hidden="false" customHeight="false" outlineLevel="0" collapsed="false">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row>
    <row r="174" customFormat="false" ht="12.75" hidden="false" customHeight="false" outlineLevel="0" collapsed="false">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row>
    <row r="175" customFormat="false" ht="12.75" hidden="false" customHeight="false" outlineLevel="0" collapsed="false">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row>
    <row r="176" customFormat="false" ht="12.75" hidden="false" customHeight="false" outlineLevel="0" collapsed="false">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row>
    <row r="177" customFormat="false" ht="12.75" hidden="false" customHeight="false" outlineLevel="0" collapsed="false">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row>
    <row r="178" customFormat="false" ht="12.75" hidden="false" customHeight="false" outlineLevel="0" collapsed="false">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row>
    <row r="179" customFormat="false" ht="12.75" hidden="false" customHeight="false" outlineLevel="0" collapsed="false">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row>
    <row r="180" customFormat="false" ht="12.75" hidden="false" customHeight="false" outlineLevel="0" collapsed="false">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row>
    <row r="181" customFormat="false" ht="12.75" hidden="false" customHeight="false" outlineLevel="0" collapsed="false">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row>
    <row r="182" customFormat="false" ht="12.75" hidden="false" customHeight="false" outlineLevel="0" collapsed="false">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row>
    <row r="183" customFormat="false" ht="12.75" hidden="false" customHeight="false" outlineLevel="0" collapsed="false">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row>
    <row r="184" customFormat="false" ht="12.75" hidden="false" customHeight="false" outlineLevel="0" collapsed="false">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row>
    <row r="185" customFormat="false" ht="12.75" hidden="false" customHeight="false" outlineLevel="0" collapsed="false">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row>
    <row r="186" customFormat="false" ht="12.75" hidden="false" customHeight="false" outlineLevel="0" collapsed="false">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row>
    <row r="187" customFormat="false" ht="12.75" hidden="false" customHeight="false" outlineLevel="0" collapsed="false">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row>
    <row r="188" customFormat="false" ht="12.75" hidden="false" customHeight="false" outlineLevel="0" collapsed="false">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row>
    <row r="189" customFormat="false" ht="12.75" hidden="false" customHeight="false" outlineLevel="0" collapsed="false">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row>
    <row r="190" customFormat="false" ht="12.75" hidden="false" customHeight="false" outlineLevel="0" collapsed="false">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row>
    <row r="191" customFormat="false" ht="12.75" hidden="false" customHeight="false" outlineLevel="0" collapsed="false">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row>
    <row r="192" customFormat="false" ht="12.75" hidden="false" customHeight="false" outlineLevel="0" collapsed="false">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row>
    <row r="193" customFormat="false" ht="12.75" hidden="false" customHeight="false" outlineLevel="0" collapsed="false">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row>
    <row r="194" customFormat="false" ht="12.75" hidden="false" customHeight="false" outlineLevel="0" collapsed="false">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row>
    <row r="195" customFormat="false" ht="12.75" hidden="false" customHeight="false" outlineLevel="0" collapsed="false">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row>
    <row r="196" customFormat="false" ht="12.75" hidden="false" customHeight="false" outlineLevel="0" collapsed="false">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row>
    <row r="197" customFormat="false" ht="12.75" hidden="false" customHeight="false" outlineLevel="0" collapsed="false">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row>
    <row r="198" customFormat="false" ht="12.75" hidden="false" customHeight="false" outlineLevel="0" collapsed="false">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row>
    <row r="199" customFormat="false" ht="12.75" hidden="false" customHeight="false" outlineLevel="0" collapsed="false">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row>
    <row r="200" customFormat="false" ht="12.75" hidden="false" customHeight="false" outlineLevel="0" collapsed="false">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row>
    <row r="201" customFormat="false" ht="12.75" hidden="false" customHeight="false" outlineLevel="0" collapsed="false">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row>
    <row r="202" customFormat="false" ht="12.75" hidden="false" customHeight="false" outlineLevel="0" collapsed="false">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row>
    <row r="203" customFormat="false" ht="12.75" hidden="false" customHeight="false" outlineLevel="0" collapsed="false">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row>
    <row r="204" customFormat="false" ht="12.75" hidden="false" customHeight="false" outlineLevel="0" collapsed="false">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row>
    <row r="205" customFormat="false" ht="12.75" hidden="false" customHeight="false" outlineLevel="0" collapsed="false">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row>
    <row r="206" customFormat="false" ht="12.75" hidden="false" customHeight="false" outlineLevel="0" collapsed="false">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row>
    <row r="207" customFormat="false" ht="12.75" hidden="false" customHeight="false" outlineLevel="0" collapsed="false">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row>
    <row r="208" customFormat="false" ht="12.75" hidden="false" customHeight="false" outlineLevel="0" collapsed="false">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row>
    <row r="209" customFormat="false" ht="12.75" hidden="false" customHeight="false" outlineLevel="0" collapsed="false">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row>
    <row r="210" customFormat="false" ht="12.75" hidden="false" customHeight="false" outlineLevel="0" collapsed="false">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row>
    <row r="211" customFormat="false" ht="12.75" hidden="false" customHeight="false" outlineLevel="0" collapsed="false">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row>
    <row r="212" customFormat="false" ht="12.75" hidden="false" customHeight="false" outlineLevel="0" collapsed="false">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row>
    <row r="213" customFormat="false" ht="12.75" hidden="false" customHeight="false" outlineLevel="0" collapsed="false">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row>
    <row r="214" customFormat="false" ht="12.75" hidden="false" customHeight="false" outlineLevel="0" collapsed="false">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row>
    <row r="215" customFormat="false" ht="12.75" hidden="false" customHeight="false" outlineLevel="0" collapsed="false">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row>
    <row r="216" customFormat="false" ht="12.75" hidden="false" customHeight="false" outlineLevel="0" collapsed="false">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row>
    <row r="217" customFormat="false" ht="12.75" hidden="false" customHeight="false" outlineLevel="0" collapsed="false">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row>
    <row r="218" customFormat="false" ht="12.75" hidden="false" customHeight="false" outlineLevel="0" collapsed="false">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row>
    <row r="219" customFormat="false" ht="12.75" hidden="false" customHeight="false" outlineLevel="0" collapsed="false">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row>
    <row r="220" customFormat="false" ht="12.75" hidden="false" customHeight="false" outlineLevel="0" collapsed="false">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row>
    <row r="221" customFormat="false" ht="12.75" hidden="false" customHeight="false" outlineLevel="0" collapsed="false">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row>
    <row r="222" customFormat="false" ht="12.75" hidden="false" customHeight="false" outlineLevel="0" collapsed="false">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row>
    <row r="223" customFormat="false" ht="12.75" hidden="false" customHeight="false" outlineLevel="0" collapsed="false">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row>
    <row r="224" customFormat="false" ht="12.75" hidden="false" customHeight="false" outlineLevel="0" collapsed="false">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row>
    <row r="225" customFormat="false" ht="12.75" hidden="false" customHeight="false" outlineLevel="0" collapsed="false">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row>
    <row r="226" customFormat="false" ht="12.75" hidden="false" customHeight="false" outlineLevel="0" collapsed="false">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row>
    <row r="227" customFormat="false" ht="12.75" hidden="false" customHeight="false" outlineLevel="0" collapsed="false">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row>
    <row r="228" customFormat="false" ht="12.75" hidden="false" customHeight="false" outlineLevel="0" collapsed="false">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row>
    <row r="229" customFormat="false" ht="12.75" hidden="false" customHeight="false" outlineLevel="0" collapsed="false">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row>
    <row r="230" customFormat="false" ht="12.75" hidden="false" customHeight="false" outlineLevel="0" collapsed="false">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row>
    <row r="231" customFormat="false" ht="12.75" hidden="false" customHeight="false" outlineLevel="0" collapsed="false">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row>
    <row r="232" customFormat="false" ht="12.75" hidden="false" customHeight="false" outlineLevel="0" collapsed="false">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row>
    <row r="233" customFormat="false" ht="12.75" hidden="false" customHeight="false" outlineLevel="0" collapsed="false">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row>
    <row r="234" customFormat="false" ht="12.75" hidden="false" customHeight="false" outlineLevel="0" collapsed="false">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row>
    <row r="235" customFormat="false" ht="12.75" hidden="false" customHeight="false" outlineLevel="0" collapsed="false">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row>
    <row r="236" customFormat="false" ht="12.75" hidden="false" customHeight="false" outlineLevel="0" collapsed="false">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row>
    <row r="237" customFormat="false" ht="12.75" hidden="false" customHeight="false" outlineLevel="0" collapsed="false">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row>
    <row r="238" customFormat="false" ht="12.75" hidden="false" customHeight="false" outlineLevel="0" collapsed="false">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row>
    <row r="239" customFormat="false" ht="12.75" hidden="false" customHeight="false" outlineLevel="0" collapsed="false">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row>
    <row r="240" customFormat="false" ht="12.75" hidden="false" customHeight="false" outlineLevel="0" collapsed="false">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row>
    <row r="241" customFormat="false" ht="12.75" hidden="false" customHeight="false" outlineLevel="0" collapsed="false">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row>
    <row r="242" customFormat="false" ht="12.75" hidden="false" customHeight="false" outlineLevel="0" collapsed="false">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row>
    <row r="243" customFormat="false" ht="12.75" hidden="false" customHeight="false" outlineLevel="0" collapsed="false">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row>
    <row r="244" customFormat="false" ht="12.75" hidden="false" customHeight="false" outlineLevel="0" collapsed="false">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row>
    <row r="245" customFormat="false" ht="12.75" hidden="false" customHeight="false" outlineLevel="0" collapsed="false">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row>
    <row r="246" customFormat="false" ht="12.75" hidden="false" customHeight="false" outlineLevel="0" collapsed="false">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row>
    <row r="247" customFormat="false" ht="12.75" hidden="false" customHeight="false" outlineLevel="0" collapsed="false">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row>
    <row r="248" customFormat="false" ht="12.75" hidden="false" customHeight="false" outlineLevel="0" collapsed="false">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row>
    <row r="249" customFormat="false" ht="12.75" hidden="false" customHeight="false" outlineLevel="0" collapsed="false">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row>
    <row r="250" customFormat="false" ht="12.75" hidden="false" customHeight="false" outlineLevel="0" collapsed="false">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row>
    <row r="251" customFormat="false" ht="12.75" hidden="false" customHeight="false" outlineLevel="0" collapsed="false">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row>
    <row r="252" customFormat="false" ht="12.75" hidden="false" customHeight="false" outlineLevel="0" collapsed="false">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row>
    <row r="253" customFormat="false" ht="12.75" hidden="false" customHeight="false" outlineLevel="0" collapsed="false">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row>
    <row r="254" customFormat="false" ht="12.75" hidden="false" customHeight="false" outlineLevel="0" collapsed="false">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row>
    <row r="255" customFormat="false" ht="12.75" hidden="false" customHeight="false" outlineLevel="0" collapsed="false">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row>
    <row r="256" customFormat="false" ht="12.75" hidden="false" customHeight="false" outlineLevel="0" collapsed="false">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row>
    <row r="257" customFormat="false" ht="12.75" hidden="false" customHeight="false" outlineLevel="0" collapsed="false">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row>
    <row r="258" customFormat="false" ht="12.75" hidden="false" customHeight="false" outlineLevel="0" collapsed="false">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row>
    <row r="259" customFormat="false" ht="12.75" hidden="false" customHeight="false" outlineLevel="0" collapsed="false">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row>
    <row r="260" customFormat="false" ht="12.75" hidden="false" customHeight="false" outlineLevel="0" collapsed="false">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row>
    <row r="261" customFormat="false" ht="12.75" hidden="false" customHeight="false" outlineLevel="0" collapsed="false">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row>
    <row r="262" customFormat="false" ht="12.75" hidden="false" customHeight="false" outlineLevel="0" collapsed="false">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row>
    <row r="263" customFormat="false" ht="12.75" hidden="false" customHeight="false" outlineLevel="0" collapsed="false">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row>
    <row r="264" customFormat="false" ht="12.75" hidden="false" customHeight="false" outlineLevel="0" collapsed="false">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row>
    <row r="265" customFormat="false" ht="12.75" hidden="false" customHeight="false" outlineLevel="0" collapsed="false">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row>
    <row r="266" customFormat="false" ht="12.75" hidden="false" customHeight="false" outlineLevel="0" collapsed="false">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row>
    <row r="267" customFormat="false" ht="12.75" hidden="false" customHeight="false" outlineLevel="0" collapsed="false">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row>
    <row r="268" customFormat="false" ht="12.75" hidden="false" customHeight="false" outlineLevel="0" collapsed="false">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row>
    <row r="269" customFormat="false" ht="12.75" hidden="false" customHeight="false" outlineLevel="0" collapsed="false">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row>
    <row r="270" customFormat="false" ht="12.75" hidden="false" customHeight="false" outlineLevel="0" collapsed="false">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row>
    <row r="271" customFormat="false" ht="12.75" hidden="false" customHeight="false" outlineLevel="0" collapsed="false">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row>
    <row r="272" customFormat="false" ht="12.75" hidden="false" customHeight="false" outlineLevel="0" collapsed="false">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row>
    <row r="273" customFormat="false" ht="12.75" hidden="false" customHeight="false" outlineLevel="0" collapsed="false">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row>
    <row r="274" customFormat="false" ht="12.75" hidden="false" customHeight="false" outlineLevel="0" collapsed="false">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row>
    <row r="275" customFormat="false" ht="12.75" hidden="false" customHeight="false" outlineLevel="0" collapsed="false">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row>
    <row r="276" customFormat="false" ht="12.75" hidden="false" customHeight="false" outlineLevel="0" collapsed="false">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row>
    <row r="277" customFormat="false" ht="12.75" hidden="false" customHeight="false" outlineLevel="0" collapsed="false">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row>
    <row r="278" customFormat="false" ht="12.75" hidden="false" customHeight="false" outlineLevel="0" collapsed="false">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row>
    <row r="279" customFormat="false" ht="12.75" hidden="false" customHeight="false" outlineLevel="0" collapsed="false">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row>
    <row r="280" customFormat="false" ht="12.75" hidden="false" customHeight="false" outlineLevel="0" collapsed="false">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row>
    <row r="281" customFormat="false" ht="12.75" hidden="false" customHeight="false" outlineLevel="0" collapsed="false">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row>
    <row r="282" customFormat="false" ht="12.75" hidden="false" customHeight="false" outlineLevel="0" collapsed="false">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row>
    <row r="283" customFormat="false" ht="12.75" hidden="false" customHeight="false" outlineLevel="0" collapsed="false">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row>
    <row r="284" customFormat="false" ht="12.75" hidden="false" customHeight="false" outlineLevel="0" collapsed="false">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row>
    <row r="285" customFormat="false" ht="12.75" hidden="false" customHeight="false" outlineLevel="0" collapsed="false">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row>
    <row r="286" customFormat="false" ht="12.75" hidden="false" customHeight="false" outlineLevel="0" collapsed="false">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row>
    <row r="287" customFormat="false" ht="12.75" hidden="false" customHeight="false" outlineLevel="0" collapsed="false">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row>
    <row r="288" customFormat="false" ht="12.75" hidden="false" customHeight="false" outlineLevel="0" collapsed="false">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row>
    <row r="289" customFormat="false" ht="12.75" hidden="false" customHeight="false" outlineLevel="0" collapsed="false">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row>
    <row r="290" customFormat="false" ht="12.75" hidden="false" customHeight="false" outlineLevel="0" collapsed="false">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row>
    <row r="291" customFormat="false" ht="12.75" hidden="false" customHeight="false" outlineLevel="0" collapsed="false">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row>
    <row r="292" customFormat="false" ht="12.75" hidden="false" customHeight="false" outlineLevel="0" collapsed="false">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row>
    <row r="293" customFormat="false" ht="12.75" hidden="false" customHeight="false" outlineLevel="0" collapsed="false">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row>
    <row r="294" customFormat="false" ht="12.75" hidden="false" customHeight="false" outlineLevel="0" collapsed="false">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row>
    <row r="295" customFormat="false" ht="12.75" hidden="false" customHeight="false" outlineLevel="0" collapsed="false">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row>
    <row r="296" customFormat="false" ht="12.75" hidden="false" customHeight="false" outlineLevel="0" collapsed="false">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row>
    <row r="297" customFormat="false" ht="12.75" hidden="false" customHeight="false" outlineLevel="0" collapsed="false">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row>
    <row r="298" customFormat="false" ht="12.75" hidden="false" customHeight="false" outlineLevel="0" collapsed="false">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row>
    <row r="299" customFormat="false" ht="12.75" hidden="false" customHeight="false" outlineLevel="0" collapsed="false">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row>
    <row r="300" customFormat="false" ht="12.75" hidden="false" customHeight="false" outlineLevel="0" collapsed="false">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row>
    <row r="301" customFormat="false" ht="12.75" hidden="false" customHeight="false" outlineLevel="0" collapsed="false">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row>
    <row r="302" customFormat="false" ht="12.75" hidden="false" customHeight="false" outlineLevel="0" collapsed="false">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row>
    <row r="303" customFormat="false" ht="12.75" hidden="false" customHeight="false" outlineLevel="0" collapsed="false">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row>
    <row r="304" customFormat="false" ht="12.75" hidden="false" customHeight="false" outlineLevel="0" collapsed="false">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row>
    <row r="305" customFormat="false" ht="12.75" hidden="false" customHeight="false" outlineLevel="0" collapsed="false">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row>
    <row r="306" customFormat="false" ht="12.75" hidden="false" customHeight="false" outlineLevel="0" collapsed="false">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row>
    <row r="307" customFormat="false" ht="12.75" hidden="false" customHeight="false" outlineLevel="0" collapsed="false">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row>
    <row r="308" customFormat="false" ht="12.75" hidden="false" customHeight="false" outlineLevel="0" collapsed="false">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row>
    <row r="309" customFormat="false" ht="12.75" hidden="false" customHeight="false" outlineLevel="0" collapsed="false">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row>
    <row r="310" customFormat="false" ht="12.75" hidden="false" customHeight="false" outlineLevel="0" collapsed="false">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row>
    <row r="311" customFormat="false" ht="12.75" hidden="false" customHeight="false" outlineLevel="0" collapsed="false">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row>
    <row r="312" customFormat="false" ht="12.75" hidden="false" customHeight="false" outlineLevel="0" collapsed="false">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row>
    <row r="313" customFormat="false" ht="12.75" hidden="false" customHeight="false" outlineLevel="0" collapsed="false">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row>
    <row r="314" customFormat="false" ht="12.75" hidden="false" customHeight="false" outlineLevel="0" collapsed="false">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row>
    <row r="315" customFormat="false" ht="12.75" hidden="false" customHeight="false" outlineLevel="0" collapsed="false">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row>
    <row r="316" customFormat="false" ht="12.75" hidden="false" customHeight="false" outlineLevel="0" collapsed="false">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row>
    <row r="317" customFormat="false" ht="12.75" hidden="false" customHeight="false" outlineLevel="0" collapsed="false">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row>
    <row r="318" customFormat="false" ht="12.75" hidden="false" customHeight="false" outlineLevel="0" collapsed="false">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row>
    <row r="319" customFormat="false" ht="12.75" hidden="false" customHeight="false" outlineLevel="0" collapsed="false">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row>
    <row r="320" customFormat="false" ht="12.75" hidden="false" customHeight="false" outlineLevel="0" collapsed="false">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row>
    <row r="321" customFormat="false" ht="12.75" hidden="false" customHeight="false" outlineLevel="0" collapsed="false">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row>
    <row r="322" customFormat="false" ht="12.75" hidden="false" customHeight="false" outlineLevel="0" collapsed="false">
      <c r="E322" s="67"/>
      <c r="F322" s="67"/>
      <c r="G322" s="67"/>
      <c r="H322" s="67"/>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row>
    <row r="323" customFormat="false" ht="12.75" hidden="false" customHeight="false" outlineLevel="0" collapsed="false">
      <c r="E323" s="67"/>
      <c r="F323" s="67"/>
      <c r="G323" s="67"/>
      <c r="H323" s="67"/>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row>
    <row r="324" customFormat="false" ht="12.75" hidden="false" customHeight="false" outlineLevel="0" collapsed="false">
      <c r="E324" s="67"/>
      <c r="F324" s="67"/>
      <c r="G324" s="67"/>
      <c r="H324" s="67"/>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row>
    <row r="325" customFormat="false" ht="12.75" hidden="false" customHeight="false" outlineLevel="0" collapsed="false">
      <c r="E325" s="67"/>
      <c r="F325" s="67"/>
      <c r="G325" s="67"/>
      <c r="H325" s="67"/>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row>
    <row r="326" customFormat="false" ht="12.75" hidden="false" customHeight="false" outlineLevel="0" collapsed="false">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row>
    <row r="327" customFormat="false" ht="12.75" hidden="false" customHeight="false" outlineLevel="0" collapsed="false">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row>
    <row r="328" customFormat="false" ht="12.75" hidden="false" customHeight="false" outlineLevel="0" collapsed="false">
      <c r="E328" s="67"/>
      <c r="F328" s="67"/>
      <c r="G328" s="67"/>
      <c r="H328" s="67"/>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row>
    <row r="329" customFormat="false" ht="12.75" hidden="false" customHeight="false" outlineLevel="0" collapsed="false">
      <c r="E329" s="67"/>
      <c r="F329" s="67"/>
      <c r="G329" s="67"/>
      <c r="H329" s="67"/>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row>
    <row r="330" customFormat="false" ht="12.75" hidden="false" customHeight="false" outlineLevel="0" collapsed="false">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row>
    <row r="331" customFormat="false" ht="12.75" hidden="false" customHeight="false" outlineLevel="0" collapsed="false">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row>
    <row r="332" customFormat="false" ht="12.75" hidden="false" customHeight="false" outlineLevel="0" collapsed="false">
      <c r="E332" s="67"/>
      <c r="F332" s="67"/>
      <c r="G332" s="67"/>
      <c r="H332" s="67"/>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row>
    <row r="333" customFormat="false" ht="12.75" hidden="false" customHeight="false" outlineLevel="0" collapsed="false">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row>
    <row r="334" customFormat="false" ht="12.75" hidden="false" customHeight="false" outlineLevel="0" collapsed="false">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row>
    <row r="335" customFormat="false" ht="12.75" hidden="false" customHeight="false" outlineLevel="0" collapsed="false">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row>
    <row r="336" customFormat="false" ht="12.75" hidden="false" customHeight="false" outlineLevel="0" collapsed="false">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row>
    <row r="337" customFormat="false" ht="12.75" hidden="false" customHeight="false" outlineLevel="0" collapsed="false">
      <c r="E337" s="67"/>
      <c r="F337" s="67"/>
      <c r="G337" s="67"/>
      <c r="H337" s="67"/>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row>
    <row r="338" customFormat="false" ht="12.75" hidden="false" customHeight="false" outlineLevel="0" collapsed="false">
      <c r="E338" s="67"/>
      <c r="F338" s="67"/>
      <c r="G338" s="67"/>
      <c r="H338" s="67"/>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row>
    <row r="339" customFormat="false" ht="12.75" hidden="false" customHeight="false" outlineLevel="0" collapsed="false">
      <c r="E339" s="67"/>
      <c r="F339" s="67"/>
      <c r="G339" s="67"/>
      <c r="H339" s="67"/>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row>
    <row r="340" customFormat="false" ht="12.75" hidden="false" customHeight="false" outlineLevel="0" collapsed="false">
      <c r="E340" s="67"/>
      <c r="F340" s="67"/>
      <c r="G340" s="67"/>
      <c r="H340" s="67"/>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row>
    <row r="341" customFormat="false" ht="12.75" hidden="false" customHeight="false" outlineLevel="0" collapsed="false">
      <c r="E341" s="67"/>
      <c r="F341" s="67"/>
      <c r="G341" s="67"/>
      <c r="H341" s="67"/>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row>
    <row r="342" customFormat="false" ht="12.75" hidden="false" customHeight="false" outlineLevel="0" collapsed="false">
      <c r="E342" s="67"/>
      <c r="F342" s="67"/>
      <c r="G342" s="67"/>
      <c r="H342" s="67"/>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row>
    <row r="343" customFormat="false" ht="12.75" hidden="false" customHeight="false" outlineLevel="0" collapsed="false">
      <c r="E343" s="67"/>
      <c r="F343" s="67"/>
      <c r="G343" s="67"/>
      <c r="H343" s="67"/>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row>
    <row r="344" customFormat="false" ht="12.75" hidden="false" customHeight="false" outlineLevel="0" collapsed="false">
      <c r="E344" s="67"/>
      <c r="F344" s="67"/>
      <c r="G344" s="67"/>
      <c r="H344" s="67"/>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row>
    <row r="345" customFormat="false" ht="12.75" hidden="false" customHeight="false" outlineLevel="0" collapsed="false">
      <c r="E345" s="67"/>
      <c r="F345" s="67"/>
      <c r="G345" s="67"/>
      <c r="H345" s="67"/>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row>
    <row r="346" customFormat="false" ht="12.75" hidden="false" customHeight="false" outlineLevel="0" collapsed="false">
      <c r="E346" s="67"/>
      <c r="F346" s="67"/>
      <c r="G346" s="67"/>
      <c r="H346" s="67"/>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row>
    <row r="347" customFormat="false" ht="12.75" hidden="false" customHeight="false" outlineLevel="0" collapsed="false">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row>
    <row r="348" customFormat="false" ht="12.75" hidden="false" customHeight="false" outlineLevel="0" collapsed="false">
      <c r="E348" s="67"/>
      <c r="F348" s="67"/>
      <c r="G348" s="67"/>
      <c r="H348" s="67"/>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row>
    <row r="349" customFormat="false" ht="12.75" hidden="false" customHeight="false" outlineLevel="0" collapsed="false">
      <c r="E349" s="67"/>
      <c r="F349" s="67"/>
      <c r="G349" s="67"/>
      <c r="H349" s="67"/>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row>
    <row r="350" customFormat="false" ht="12.75" hidden="false" customHeight="false" outlineLevel="0" collapsed="false">
      <c r="E350" s="67"/>
      <c r="F350" s="67"/>
      <c r="G350" s="67"/>
      <c r="H350" s="67"/>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row>
    <row r="351" customFormat="false" ht="12.75" hidden="false" customHeight="false" outlineLevel="0" collapsed="false">
      <c r="E351" s="67"/>
      <c r="F351" s="67"/>
      <c r="G351" s="67"/>
      <c r="H351" s="67"/>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c r="AH351" s="67"/>
      <c r="AI351" s="67"/>
      <c r="AJ351" s="67"/>
      <c r="AK351" s="67"/>
      <c r="AL351" s="67"/>
      <c r="AM351" s="67"/>
      <c r="AN351" s="67"/>
      <c r="AO351" s="67"/>
      <c r="AP351" s="67"/>
    </row>
    <row r="352" customFormat="false" ht="12.75" hidden="false" customHeight="false" outlineLevel="0" collapsed="false">
      <c r="E352" s="67"/>
      <c r="F352" s="67"/>
      <c r="G352" s="67"/>
      <c r="H352" s="67"/>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c r="AH352" s="67"/>
      <c r="AI352" s="67"/>
      <c r="AJ352" s="67"/>
      <c r="AK352" s="67"/>
      <c r="AL352" s="67"/>
      <c r="AM352" s="67"/>
      <c r="AN352" s="67"/>
      <c r="AO352" s="67"/>
      <c r="AP352" s="67"/>
    </row>
    <row r="353" customFormat="false" ht="12.75" hidden="false" customHeight="false" outlineLevel="0" collapsed="false">
      <c r="E353" s="67"/>
      <c r="F353" s="67"/>
      <c r="G353" s="67"/>
      <c r="H353" s="67"/>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c r="AH353" s="67"/>
      <c r="AI353" s="67"/>
      <c r="AJ353" s="67"/>
      <c r="AK353" s="67"/>
      <c r="AL353" s="67"/>
      <c r="AM353" s="67"/>
      <c r="AN353" s="67"/>
      <c r="AO353" s="67"/>
      <c r="AP353" s="67"/>
    </row>
    <row r="354" customFormat="false" ht="12.75" hidden="false" customHeight="false" outlineLevel="0" collapsed="false">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row>
    <row r="355" customFormat="false" ht="12.75" hidden="false" customHeight="false" outlineLevel="0" collapsed="false">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row>
    <row r="356" customFormat="false" ht="12.75" hidden="false" customHeight="false" outlineLevel="0" collapsed="false">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row>
    <row r="357" customFormat="false" ht="12.75" hidden="false" customHeight="false" outlineLevel="0" collapsed="false">
      <c r="E357" s="67"/>
      <c r="F357" s="67"/>
      <c r="G357" s="67"/>
      <c r="H357" s="67"/>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67"/>
      <c r="AP357" s="67"/>
    </row>
    <row r="358" customFormat="false" ht="12.75" hidden="false" customHeight="false" outlineLevel="0" collapsed="false">
      <c r="E358" s="67"/>
      <c r="F358" s="67"/>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67"/>
      <c r="AP358" s="67"/>
    </row>
    <row r="359" customFormat="false" ht="12.75" hidden="false" customHeight="false" outlineLevel="0" collapsed="false">
      <c r="E359" s="67"/>
      <c r="F359" s="67"/>
      <c r="G359" s="67"/>
      <c r="H359" s="67"/>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c r="AH359" s="67"/>
      <c r="AI359" s="67"/>
      <c r="AJ359" s="67"/>
      <c r="AK359" s="67"/>
      <c r="AL359" s="67"/>
      <c r="AM359" s="67"/>
      <c r="AN359" s="67"/>
      <c r="AO359" s="67"/>
      <c r="AP359" s="67"/>
    </row>
    <row r="360" customFormat="false" ht="12.75" hidden="false" customHeight="false" outlineLevel="0" collapsed="false">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row>
    <row r="361" customFormat="false" ht="12.75" hidden="false" customHeight="false" outlineLevel="0" collapsed="false">
      <c r="E361" s="67"/>
      <c r="F361" s="67"/>
      <c r="G361" s="67"/>
      <c r="H361" s="67"/>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c r="AH361" s="67"/>
      <c r="AI361" s="67"/>
      <c r="AJ361" s="67"/>
      <c r="AK361" s="67"/>
      <c r="AL361" s="67"/>
      <c r="AM361" s="67"/>
      <c r="AN361" s="67"/>
      <c r="AO361" s="67"/>
      <c r="AP361" s="67"/>
    </row>
    <row r="362" customFormat="false" ht="12.75" hidden="false" customHeight="false" outlineLevel="0" collapsed="false">
      <c r="E362" s="67"/>
      <c r="F362" s="67"/>
      <c r="G362" s="67"/>
      <c r="H362" s="67"/>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c r="AH362" s="67"/>
      <c r="AI362" s="67"/>
      <c r="AJ362" s="67"/>
      <c r="AK362" s="67"/>
      <c r="AL362" s="67"/>
      <c r="AM362" s="67"/>
      <c r="AN362" s="67"/>
      <c r="AO362" s="67"/>
      <c r="AP362" s="67"/>
    </row>
    <row r="363" customFormat="false" ht="12.75" hidden="false" customHeight="false" outlineLevel="0" collapsed="false">
      <c r="E363" s="67"/>
      <c r="F363" s="67"/>
      <c r="G363" s="67"/>
      <c r="H363" s="67"/>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c r="AH363" s="67"/>
      <c r="AI363" s="67"/>
      <c r="AJ363" s="67"/>
      <c r="AK363" s="67"/>
      <c r="AL363" s="67"/>
      <c r="AM363" s="67"/>
      <c r="AN363" s="67"/>
      <c r="AO363" s="67"/>
      <c r="AP363" s="67"/>
    </row>
    <row r="364" customFormat="false" ht="12.75" hidden="false" customHeight="false" outlineLevel="0" collapsed="false">
      <c r="E364" s="67"/>
      <c r="F364" s="67"/>
      <c r="G364" s="67"/>
      <c r="H364" s="67"/>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row>
    <row r="365" customFormat="false" ht="12.75" hidden="false" customHeight="false" outlineLevel="0" collapsed="false">
      <c r="E365" s="67"/>
      <c r="F365" s="67"/>
      <c r="G365" s="67"/>
      <c r="H365" s="67"/>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c r="AH365" s="67"/>
      <c r="AI365" s="67"/>
      <c r="AJ365" s="67"/>
      <c r="AK365" s="67"/>
      <c r="AL365" s="67"/>
      <c r="AM365" s="67"/>
      <c r="AN365" s="67"/>
      <c r="AO365" s="67"/>
      <c r="AP365" s="67"/>
    </row>
    <row r="366" customFormat="false" ht="12.75" hidden="false" customHeight="false" outlineLevel="0" collapsed="false">
      <c r="E366" s="67"/>
      <c r="F366" s="67"/>
      <c r="G366" s="67"/>
      <c r="H366" s="67"/>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c r="AH366" s="67"/>
      <c r="AI366" s="67"/>
      <c r="AJ366" s="67"/>
      <c r="AK366" s="67"/>
      <c r="AL366" s="67"/>
      <c r="AM366" s="67"/>
      <c r="AN366" s="67"/>
      <c r="AO366" s="67"/>
      <c r="AP366" s="67"/>
    </row>
    <row r="367" customFormat="false" ht="12.75" hidden="false" customHeight="false" outlineLevel="0" collapsed="false">
      <c r="E367" s="67"/>
      <c r="F367" s="67"/>
      <c r="G367" s="67"/>
      <c r="H367" s="67"/>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c r="AH367" s="67"/>
      <c r="AI367" s="67"/>
      <c r="AJ367" s="67"/>
      <c r="AK367" s="67"/>
      <c r="AL367" s="67"/>
      <c r="AM367" s="67"/>
      <c r="AN367" s="67"/>
      <c r="AO367" s="67"/>
      <c r="AP367" s="67"/>
    </row>
    <row r="368" customFormat="false" ht="12.75" hidden="false" customHeight="false" outlineLevel="0" collapsed="false">
      <c r="E368" s="67"/>
      <c r="F368" s="67"/>
      <c r="G368" s="67"/>
      <c r="H368" s="67"/>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c r="AH368" s="67"/>
      <c r="AI368" s="67"/>
      <c r="AJ368" s="67"/>
      <c r="AK368" s="67"/>
      <c r="AL368" s="67"/>
      <c r="AM368" s="67"/>
      <c r="AN368" s="67"/>
      <c r="AO368" s="67"/>
      <c r="AP368" s="67"/>
    </row>
    <row r="369" customFormat="false" ht="12.75" hidden="false" customHeight="false" outlineLevel="0" collapsed="false">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row>
    <row r="370" customFormat="false" ht="12.75" hidden="false" customHeight="false" outlineLevel="0" collapsed="false">
      <c r="E370" s="67"/>
      <c r="F370" s="67"/>
      <c r="G370" s="67"/>
      <c r="H370" s="67"/>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c r="AH370" s="67"/>
      <c r="AI370" s="67"/>
      <c r="AJ370" s="67"/>
      <c r="AK370" s="67"/>
      <c r="AL370" s="67"/>
      <c r="AM370" s="67"/>
      <c r="AN370" s="67"/>
      <c r="AO370" s="67"/>
      <c r="AP370" s="67"/>
    </row>
    <row r="371" customFormat="false" ht="12.75" hidden="false" customHeight="false" outlineLevel="0" collapsed="false">
      <c r="E371" s="67"/>
      <c r="F371" s="67"/>
      <c r="G371" s="67"/>
      <c r="H371" s="67"/>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c r="AH371" s="67"/>
      <c r="AI371" s="67"/>
      <c r="AJ371" s="67"/>
      <c r="AK371" s="67"/>
      <c r="AL371" s="67"/>
      <c r="AM371" s="67"/>
      <c r="AN371" s="67"/>
      <c r="AO371" s="67"/>
      <c r="AP371" s="67"/>
    </row>
    <row r="372" customFormat="false" ht="12.75" hidden="false" customHeight="false" outlineLevel="0" collapsed="false">
      <c r="E372" s="67"/>
      <c r="F372" s="67"/>
      <c r="G372" s="67"/>
      <c r="H372" s="67"/>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c r="AH372" s="67"/>
      <c r="AI372" s="67"/>
      <c r="AJ372" s="67"/>
      <c r="AK372" s="67"/>
      <c r="AL372" s="67"/>
      <c r="AM372" s="67"/>
      <c r="AN372" s="67"/>
      <c r="AO372" s="67"/>
      <c r="AP372" s="67"/>
    </row>
    <row r="373" customFormat="false" ht="12.75" hidden="false" customHeight="false" outlineLevel="0" collapsed="false">
      <c r="E373" s="67"/>
      <c r="F373" s="6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c r="AH373" s="67"/>
      <c r="AI373" s="67"/>
      <c r="AJ373" s="67"/>
      <c r="AK373" s="67"/>
      <c r="AL373" s="67"/>
      <c r="AM373" s="67"/>
      <c r="AN373" s="67"/>
      <c r="AO373" s="67"/>
      <c r="AP373" s="67"/>
    </row>
    <row r="374" customFormat="false" ht="12.75" hidden="false" customHeight="false" outlineLevel="0" collapsed="false">
      <c r="E374" s="67"/>
      <c r="F374" s="67"/>
      <c r="G374" s="67"/>
      <c r="H374" s="67"/>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c r="AH374" s="67"/>
      <c r="AI374" s="67"/>
      <c r="AJ374" s="67"/>
      <c r="AK374" s="67"/>
      <c r="AL374" s="67"/>
      <c r="AM374" s="67"/>
      <c r="AN374" s="67"/>
      <c r="AO374" s="67"/>
      <c r="AP374" s="67"/>
    </row>
    <row r="375" customFormat="false" ht="12.75" hidden="false" customHeight="false" outlineLevel="0" collapsed="false">
      <c r="E375" s="67"/>
      <c r="F375" s="67"/>
      <c r="G375" s="67"/>
      <c r="H375" s="67"/>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c r="AH375" s="67"/>
      <c r="AI375" s="67"/>
      <c r="AJ375" s="67"/>
      <c r="AK375" s="67"/>
      <c r="AL375" s="67"/>
      <c r="AM375" s="67"/>
      <c r="AN375" s="67"/>
      <c r="AO375" s="67"/>
      <c r="AP375" s="67"/>
    </row>
    <row r="376" customFormat="false" ht="12.75" hidden="false" customHeight="false" outlineLevel="0" collapsed="false">
      <c r="E376" s="67"/>
      <c r="F376" s="67"/>
      <c r="G376" s="67"/>
      <c r="H376" s="67"/>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c r="AH376" s="67"/>
      <c r="AI376" s="67"/>
      <c r="AJ376" s="67"/>
      <c r="AK376" s="67"/>
      <c r="AL376" s="67"/>
      <c r="AM376" s="67"/>
      <c r="AN376" s="67"/>
      <c r="AO376" s="67"/>
      <c r="AP376" s="67"/>
    </row>
    <row r="377" customFormat="false" ht="12.75" hidden="false" customHeight="false" outlineLevel="0" collapsed="false">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row>
    <row r="378" customFormat="false" ht="12.75" hidden="false" customHeight="false" outlineLevel="0" collapsed="false">
      <c r="E378" s="67"/>
      <c r="F378" s="67"/>
      <c r="G378" s="67"/>
      <c r="H378" s="67"/>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c r="AH378" s="67"/>
      <c r="AI378" s="67"/>
      <c r="AJ378" s="67"/>
      <c r="AK378" s="67"/>
      <c r="AL378" s="67"/>
      <c r="AM378" s="67"/>
      <c r="AN378" s="67"/>
      <c r="AO378" s="67"/>
      <c r="AP378" s="67"/>
    </row>
    <row r="379" customFormat="false" ht="12.75" hidden="false" customHeight="false" outlineLevel="0" collapsed="false">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c r="AH379" s="67"/>
      <c r="AI379" s="67"/>
      <c r="AJ379" s="67"/>
      <c r="AK379" s="67"/>
      <c r="AL379" s="67"/>
      <c r="AM379" s="67"/>
      <c r="AN379" s="67"/>
      <c r="AO379" s="67"/>
      <c r="AP379" s="67"/>
    </row>
    <row r="380" customFormat="false" ht="12.75" hidden="false" customHeight="false" outlineLevel="0" collapsed="false">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row>
    <row r="381" customFormat="false" ht="12.75" hidden="false" customHeight="false" outlineLevel="0" collapsed="false">
      <c r="E381" s="67"/>
      <c r="F381" s="67"/>
      <c r="G381" s="67"/>
      <c r="H381" s="67"/>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c r="AH381" s="67"/>
      <c r="AI381" s="67"/>
      <c r="AJ381" s="67"/>
      <c r="AK381" s="67"/>
      <c r="AL381" s="67"/>
      <c r="AM381" s="67"/>
      <c r="AN381" s="67"/>
      <c r="AO381" s="67"/>
      <c r="AP381" s="67"/>
    </row>
    <row r="382" customFormat="false" ht="12.75" hidden="false" customHeight="false" outlineLevel="0" collapsed="false">
      <c r="E382" s="67"/>
      <c r="F382" s="67"/>
      <c r="G382" s="67"/>
      <c r="H382" s="67"/>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c r="AH382" s="67"/>
      <c r="AI382" s="67"/>
      <c r="AJ382" s="67"/>
      <c r="AK382" s="67"/>
      <c r="AL382" s="67"/>
      <c r="AM382" s="67"/>
      <c r="AN382" s="67"/>
      <c r="AO382" s="67"/>
      <c r="AP382" s="67"/>
    </row>
    <row r="383" customFormat="false" ht="12.75" hidden="false" customHeight="false" outlineLevel="0" collapsed="false">
      <c r="E383" s="67"/>
      <c r="F383" s="67"/>
      <c r="G383" s="67"/>
      <c r="H383" s="67"/>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c r="AH383" s="67"/>
      <c r="AI383" s="67"/>
      <c r="AJ383" s="67"/>
      <c r="AK383" s="67"/>
      <c r="AL383" s="67"/>
      <c r="AM383" s="67"/>
      <c r="AN383" s="67"/>
      <c r="AO383" s="67"/>
      <c r="AP383" s="67"/>
    </row>
    <row r="384" customFormat="false" ht="12.75" hidden="false" customHeight="false" outlineLevel="0" collapsed="false">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row>
    <row r="385" customFormat="false" ht="12.75" hidden="false" customHeight="false" outlineLevel="0" collapsed="false">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row>
    <row r="386" customFormat="false" ht="12.75" hidden="false" customHeight="false" outlineLevel="0" collapsed="false">
      <c r="E386" s="67"/>
      <c r="F386" s="67"/>
      <c r="G386" s="67"/>
      <c r="H386" s="67"/>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c r="AH386" s="67"/>
      <c r="AI386" s="67"/>
      <c r="AJ386" s="67"/>
      <c r="AK386" s="67"/>
      <c r="AL386" s="67"/>
      <c r="AM386" s="67"/>
      <c r="AN386" s="67"/>
      <c r="AO386" s="67"/>
      <c r="AP386" s="67"/>
    </row>
    <row r="387" customFormat="false" ht="12.75" hidden="false" customHeight="false" outlineLevel="0" collapsed="false">
      <c r="E387" s="67"/>
      <c r="F387" s="67"/>
      <c r="G387" s="67"/>
      <c r="H387" s="67"/>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c r="AH387" s="67"/>
      <c r="AI387" s="67"/>
      <c r="AJ387" s="67"/>
      <c r="AK387" s="67"/>
      <c r="AL387" s="67"/>
      <c r="AM387" s="67"/>
      <c r="AN387" s="67"/>
      <c r="AO387" s="67"/>
      <c r="AP387" s="67"/>
    </row>
    <row r="388" customFormat="false" ht="12.75" hidden="false" customHeight="false" outlineLevel="0" collapsed="false">
      <c r="E388" s="67"/>
      <c r="F388" s="67"/>
      <c r="G388" s="67"/>
      <c r="H388" s="67"/>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c r="AH388" s="67"/>
      <c r="AI388" s="67"/>
      <c r="AJ388" s="67"/>
      <c r="AK388" s="67"/>
      <c r="AL388" s="67"/>
      <c r="AM388" s="67"/>
      <c r="AN388" s="67"/>
      <c r="AO388" s="67"/>
      <c r="AP388" s="67"/>
    </row>
    <row r="389" customFormat="false" ht="12.75" hidden="false" customHeight="false" outlineLevel="0" collapsed="false">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row>
    <row r="390" customFormat="false" ht="12.75" hidden="false" customHeight="false" outlineLevel="0" collapsed="false">
      <c r="E390" s="67"/>
      <c r="F390" s="67"/>
      <c r="G390" s="67"/>
      <c r="H390" s="67"/>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c r="AH390" s="67"/>
      <c r="AI390" s="67"/>
      <c r="AJ390" s="67"/>
      <c r="AK390" s="67"/>
      <c r="AL390" s="67"/>
      <c r="AM390" s="67"/>
      <c r="AN390" s="67"/>
      <c r="AO390" s="67"/>
      <c r="AP390" s="67"/>
    </row>
    <row r="391" customFormat="false" ht="12.75" hidden="false" customHeight="false" outlineLevel="0" collapsed="false">
      <c r="E391" s="67"/>
      <c r="F391" s="67"/>
      <c r="G391" s="67"/>
      <c r="H391" s="67"/>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c r="AH391" s="67"/>
      <c r="AI391" s="67"/>
      <c r="AJ391" s="67"/>
      <c r="AK391" s="67"/>
      <c r="AL391" s="67"/>
      <c r="AM391" s="67"/>
      <c r="AN391" s="67"/>
      <c r="AO391" s="67"/>
      <c r="AP391" s="67"/>
    </row>
    <row r="392" customFormat="false" ht="12.75" hidden="false" customHeight="false" outlineLevel="0" collapsed="false">
      <c r="E392" s="67"/>
      <c r="F392" s="67"/>
      <c r="G392" s="67"/>
      <c r="H392" s="67"/>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c r="AH392" s="67"/>
      <c r="AI392" s="67"/>
      <c r="AJ392" s="67"/>
      <c r="AK392" s="67"/>
      <c r="AL392" s="67"/>
      <c r="AM392" s="67"/>
      <c r="AN392" s="67"/>
      <c r="AO392" s="67"/>
      <c r="AP392" s="67"/>
    </row>
    <row r="393" customFormat="false" ht="12.75" hidden="false" customHeight="false" outlineLevel="0" collapsed="false">
      <c r="E393" s="67"/>
      <c r="F393" s="67"/>
      <c r="G393" s="67"/>
      <c r="H393" s="67"/>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c r="AH393" s="67"/>
      <c r="AI393" s="67"/>
      <c r="AJ393" s="67"/>
      <c r="AK393" s="67"/>
      <c r="AL393" s="67"/>
      <c r="AM393" s="67"/>
      <c r="AN393" s="67"/>
      <c r="AO393" s="67"/>
      <c r="AP393" s="67"/>
    </row>
    <row r="394" customFormat="false" ht="12.75" hidden="false" customHeight="false" outlineLevel="0" collapsed="false">
      <c r="E394" s="67"/>
      <c r="F394" s="67"/>
      <c r="G394" s="67"/>
      <c r="H394" s="67"/>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c r="AH394" s="67"/>
      <c r="AI394" s="67"/>
      <c r="AJ394" s="67"/>
      <c r="AK394" s="67"/>
      <c r="AL394" s="67"/>
      <c r="AM394" s="67"/>
      <c r="AN394" s="67"/>
      <c r="AO394" s="67"/>
      <c r="AP394" s="67"/>
    </row>
    <row r="395" customFormat="false" ht="12.75" hidden="false" customHeight="false" outlineLevel="0" collapsed="false">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c r="AL395" s="67"/>
      <c r="AM395" s="67"/>
      <c r="AN395" s="67"/>
      <c r="AO395" s="67"/>
      <c r="AP395" s="67"/>
    </row>
    <row r="396" customFormat="false" ht="12.75" hidden="false" customHeight="false" outlineLevel="0" collapsed="false">
      <c r="E396" s="67"/>
      <c r="F396" s="67"/>
      <c r="G396" s="67"/>
      <c r="H396" s="67"/>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c r="AH396" s="67"/>
      <c r="AI396" s="67"/>
      <c r="AJ396" s="67"/>
      <c r="AK396" s="67"/>
      <c r="AL396" s="67"/>
      <c r="AM396" s="67"/>
      <c r="AN396" s="67"/>
      <c r="AO396" s="67"/>
      <c r="AP396" s="67"/>
    </row>
    <row r="397" customFormat="false" ht="12.75" hidden="false" customHeight="false" outlineLevel="0" collapsed="false">
      <c r="E397" s="67"/>
      <c r="F397" s="67"/>
      <c r="G397" s="67"/>
      <c r="H397" s="67"/>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c r="AH397" s="67"/>
      <c r="AI397" s="67"/>
      <c r="AJ397" s="67"/>
      <c r="AK397" s="67"/>
      <c r="AL397" s="67"/>
      <c r="AM397" s="67"/>
      <c r="AN397" s="67"/>
      <c r="AO397" s="67"/>
      <c r="AP397" s="67"/>
    </row>
    <row r="398" customFormat="false" ht="12.75" hidden="false" customHeight="false" outlineLevel="0" collapsed="false">
      <c r="E398" s="67"/>
      <c r="F398" s="67"/>
      <c r="G398" s="67"/>
      <c r="H398" s="67"/>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c r="AH398" s="67"/>
      <c r="AI398" s="67"/>
      <c r="AJ398" s="67"/>
      <c r="AK398" s="67"/>
      <c r="AL398" s="67"/>
      <c r="AM398" s="67"/>
      <c r="AN398" s="67"/>
      <c r="AO398" s="67"/>
      <c r="AP398" s="67"/>
    </row>
    <row r="399" customFormat="false" ht="12.75" hidden="false" customHeight="false" outlineLevel="0" collapsed="false">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row>
    <row r="400" customFormat="false" ht="12.75" hidden="false" customHeight="false" outlineLevel="0" collapsed="false">
      <c r="E400" s="67"/>
      <c r="F400" s="67"/>
      <c r="G400" s="67"/>
      <c r="H400" s="67"/>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c r="AH400" s="67"/>
      <c r="AI400" s="67"/>
      <c r="AJ400" s="67"/>
      <c r="AK400" s="67"/>
      <c r="AL400" s="67"/>
      <c r="AM400" s="67"/>
      <c r="AN400" s="67"/>
      <c r="AO400" s="67"/>
      <c r="AP400" s="67"/>
    </row>
    <row r="401" customFormat="false" ht="12.75" hidden="false" customHeight="false" outlineLevel="0" collapsed="false">
      <c r="E401" s="67"/>
      <c r="F401" s="67"/>
      <c r="G401" s="67"/>
      <c r="H401" s="67"/>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c r="AH401" s="67"/>
      <c r="AI401" s="67"/>
      <c r="AJ401" s="67"/>
      <c r="AK401" s="67"/>
      <c r="AL401" s="67"/>
      <c r="AM401" s="67"/>
      <c r="AN401" s="67"/>
      <c r="AO401" s="67"/>
      <c r="AP401" s="67"/>
    </row>
    <row r="402" customFormat="false" ht="12.75" hidden="false" customHeight="false" outlineLevel="0" collapsed="false">
      <c r="E402" s="67"/>
      <c r="F402" s="67"/>
      <c r="G402" s="67"/>
      <c r="H402" s="67"/>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c r="AH402" s="67"/>
      <c r="AI402" s="67"/>
      <c r="AJ402" s="67"/>
      <c r="AK402" s="67"/>
      <c r="AL402" s="67"/>
      <c r="AM402" s="67"/>
      <c r="AN402" s="67"/>
      <c r="AO402" s="67"/>
      <c r="AP402" s="67"/>
    </row>
    <row r="403" customFormat="false" ht="12.75" hidden="false" customHeight="false" outlineLevel="0" collapsed="false">
      <c r="E403" s="67"/>
      <c r="F403" s="67"/>
      <c r="G403" s="67"/>
      <c r="H403" s="67"/>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c r="AH403" s="67"/>
      <c r="AI403" s="67"/>
      <c r="AJ403" s="67"/>
      <c r="AK403" s="67"/>
      <c r="AL403" s="67"/>
      <c r="AM403" s="67"/>
      <c r="AN403" s="67"/>
      <c r="AO403" s="67"/>
      <c r="AP403" s="67"/>
    </row>
    <row r="404" customFormat="false" ht="12.75" hidden="false" customHeight="false" outlineLevel="0" collapsed="false">
      <c r="E404" s="67"/>
      <c r="F404" s="67"/>
      <c r="G404" s="67"/>
      <c r="H404" s="67"/>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c r="AH404" s="67"/>
      <c r="AI404" s="67"/>
      <c r="AJ404" s="67"/>
      <c r="AK404" s="67"/>
      <c r="AL404" s="67"/>
      <c r="AM404" s="67"/>
      <c r="AN404" s="67"/>
      <c r="AO404" s="67"/>
      <c r="AP404" s="67"/>
    </row>
    <row r="405" customFormat="false" ht="12.75" hidden="false" customHeight="false" outlineLevel="0" collapsed="false">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c r="AL405" s="67"/>
      <c r="AM405" s="67"/>
      <c r="AN405" s="67"/>
      <c r="AO405" s="67"/>
      <c r="AP405" s="67"/>
    </row>
    <row r="406" customFormat="false" ht="12.75" hidden="false" customHeight="false" outlineLevel="0" collapsed="false">
      <c r="E406" s="67"/>
      <c r="F406" s="67"/>
      <c r="G406" s="67"/>
      <c r="H406" s="67"/>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c r="AH406" s="67"/>
      <c r="AI406" s="67"/>
      <c r="AJ406" s="67"/>
      <c r="AK406" s="67"/>
      <c r="AL406" s="67"/>
      <c r="AM406" s="67"/>
      <c r="AN406" s="67"/>
      <c r="AO406" s="67"/>
      <c r="AP406" s="67"/>
    </row>
    <row r="407" customFormat="false" ht="12.75" hidden="false" customHeight="false" outlineLevel="0" collapsed="false">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c r="AL407" s="67"/>
      <c r="AM407" s="67"/>
      <c r="AN407" s="67"/>
      <c r="AO407" s="67"/>
      <c r="AP407" s="67"/>
    </row>
    <row r="408" customFormat="false" ht="12.75" hidden="false" customHeight="false" outlineLevel="0" collapsed="false">
      <c r="E408" s="67"/>
      <c r="F408" s="67"/>
      <c r="G408" s="67"/>
      <c r="H408" s="67"/>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c r="AH408" s="67"/>
      <c r="AI408" s="67"/>
      <c r="AJ408" s="67"/>
      <c r="AK408" s="67"/>
      <c r="AL408" s="67"/>
      <c r="AM408" s="67"/>
      <c r="AN408" s="67"/>
      <c r="AO408" s="67"/>
      <c r="AP408" s="67"/>
    </row>
    <row r="409" customFormat="false" ht="12.75" hidden="false" customHeight="false" outlineLevel="0" collapsed="false">
      <c r="E409" s="67"/>
      <c r="F409" s="67"/>
      <c r="G409" s="67"/>
      <c r="H409" s="67"/>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c r="AH409" s="67"/>
      <c r="AI409" s="67"/>
      <c r="AJ409" s="67"/>
      <c r="AK409" s="67"/>
      <c r="AL409" s="67"/>
      <c r="AM409" s="67"/>
      <c r="AN409" s="67"/>
      <c r="AO409" s="67"/>
      <c r="AP409" s="67"/>
    </row>
    <row r="410" customFormat="false" ht="12.75" hidden="false" customHeight="false" outlineLevel="0" collapsed="false">
      <c r="E410" s="67"/>
      <c r="F410" s="67"/>
      <c r="G410" s="67"/>
      <c r="H410" s="67"/>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c r="AH410" s="67"/>
      <c r="AI410" s="67"/>
      <c r="AJ410" s="67"/>
      <c r="AK410" s="67"/>
      <c r="AL410" s="67"/>
      <c r="AM410" s="67"/>
      <c r="AN410" s="67"/>
      <c r="AO410" s="67"/>
      <c r="AP410" s="67"/>
    </row>
    <row r="411" customFormat="false" ht="12.75" hidden="false" customHeight="false" outlineLevel="0" collapsed="false">
      <c r="E411" s="67"/>
      <c r="F411" s="67"/>
      <c r="G411" s="67"/>
      <c r="H411" s="67"/>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c r="AH411" s="67"/>
      <c r="AI411" s="67"/>
      <c r="AJ411" s="67"/>
      <c r="AK411" s="67"/>
      <c r="AL411" s="67"/>
      <c r="AM411" s="67"/>
      <c r="AN411" s="67"/>
      <c r="AO411" s="67"/>
      <c r="AP411" s="67"/>
    </row>
    <row r="412" customFormat="false" ht="12.75" hidden="false" customHeight="false" outlineLevel="0" collapsed="false">
      <c r="E412" s="67"/>
      <c r="F412" s="67"/>
      <c r="G412" s="67"/>
      <c r="H412" s="67"/>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c r="AH412" s="67"/>
      <c r="AI412" s="67"/>
      <c r="AJ412" s="67"/>
      <c r="AK412" s="67"/>
      <c r="AL412" s="67"/>
      <c r="AM412" s="67"/>
      <c r="AN412" s="67"/>
      <c r="AO412" s="67"/>
      <c r="AP412" s="67"/>
    </row>
    <row r="413" customFormat="false" ht="12.75" hidden="false" customHeight="false" outlineLevel="0" collapsed="false">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row>
    <row r="414" customFormat="false" ht="12.75" hidden="false" customHeight="false" outlineLevel="0" collapsed="false">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row>
    <row r="415" customFormat="false" ht="12.75" hidden="false" customHeight="false" outlineLevel="0" collapsed="false">
      <c r="E415" s="67"/>
      <c r="F415" s="67"/>
      <c r="G415" s="67"/>
      <c r="H415" s="67"/>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c r="AH415" s="67"/>
      <c r="AI415" s="67"/>
      <c r="AJ415" s="67"/>
      <c r="AK415" s="67"/>
      <c r="AL415" s="67"/>
      <c r="AM415" s="67"/>
      <c r="AN415" s="67"/>
      <c r="AO415" s="67"/>
      <c r="AP415" s="67"/>
    </row>
    <row r="416" customFormat="false" ht="12.75" hidden="false" customHeight="false" outlineLevel="0" collapsed="false">
      <c r="E416" s="67"/>
      <c r="F416" s="67"/>
      <c r="G416" s="67"/>
      <c r="H416" s="67"/>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c r="AH416" s="67"/>
      <c r="AI416" s="67"/>
      <c r="AJ416" s="67"/>
      <c r="AK416" s="67"/>
      <c r="AL416" s="67"/>
      <c r="AM416" s="67"/>
      <c r="AN416" s="67"/>
      <c r="AO416" s="67"/>
      <c r="AP416" s="67"/>
    </row>
    <row r="417" customFormat="false" ht="12.75" hidden="false" customHeight="false" outlineLevel="0" collapsed="false">
      <c r="E417" s="67"/>
      <c r="F417" s="67"/>
      <c r="G417" s="67"/>
      <c r="H417" s="67"/>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c r="AH417" s="67"/>
      <c r="AI417" s="67"/>
      <c r="AJ417" s="67"/>
      <c r="AK417" s="67"/>
      <c r="AL417" s="67"/>
      <c r="AM417" s="67"/>
      <c r="AN417" s="67"/>
      <c r="AO417" s="67"/>
      <c r="AP417" s="67"/>
    </row>
    <row r="418" customFormat="false" ht="12.75" hidden="false" customHeight="false" outlineLevel="0" collapsed="false">
      <c r="E418" s="67"/>
      <c r="F418" s="67"/>
      <c r="G418" s="67"/>
      <c r="H418" s="67"/>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c r="AH418" s="67"/>
      <c r="AI418" s="67"/>
      <c r="AJ418" s="67"/>
      <c r="AK418" s="67"/>
      <c r="AL418" s="67"/>
      <c r="AM418" s="67"/>
      <c r="AN418" s="67"/>
      <c r="AO418" s="67"/>
      <c r="AP418" s="67"/>
    </row>
    <row r="419" customFormat="false" ht="12.75" hidden="false" customHeight="false" outlineLevel="0" collapsed="false">
      <c r="E419" s="67"/>
      <c r="F419" s="67"/>
      <c r="G419" s="67"/>
      <c r="H419" s="67"/>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c r="AH419" s="67"/>
      <c r="AI419" s="67"/>
      <c r="AJ419" s="67"/>
      <c r="AK419" s="67"/>
      <c r="AL419" s="67"/>
      <c r="AM419" s="67"/>
      <c r="AN419" s="67"/>
      <c r="AO419" s="67"/>
      <c r="AP419" s="67"/>
    </row>
    <row r="420" customFormat="false" ht="12.75" hidden="false" customHeight="false" outlineLevel="0" collapsed="false">
      <c r="E420" s="67"/>
      <c r="F420" s="67"/>
      <c r="G420" s="67"/>
      <c r="H420" s="67"/>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c r="AH420" s="67"/>
      <c r="AI420" s="67"/>
      <c r="AJ420" s="67"/>
      <c r="AK420" s="67"/>
      <c r="AL420" s="67"/>
      <c r="AM420" s="67"/>
      <c r="AN420" s="67"/>
      <c r="AO420" s="67"/>
      <c r="AP420" s="67"/>
    </row>
    <row r="421" customFormat="false" ht="12.75" hidden="false" customHeight="false" outlineLevel="0" collapsed="false">
      <c r="E421" s="67"/>
      <c r="F421" s="67"/>
      <c r="G421" s="67"/>
      <c r="H421" s="67"/>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c r="AH421" s="67"/>
      <c r="AI421" s="67"/>
      <c r="AJ421" s="67"/>
      <c r="AK421" s="67"/>
      <c r="AL421" s="67"/>
      <c r="AM421" s="67"/>
      <c r="AN421" s="67"/>
      <c r="AO421" s="67"/>
      <c r="AP421" s="67"/>
    </row>
    <row r="422" customFormat="false" ht="12.75" hidden="false" customHeight="false" outlineLevel="0" collapsed="false">
      <c r="E422" s="67"/>
      <c r="F422" s="67"/>
      <c r="G422" s="67"/>
      <c r="H422" s="67"/>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c r="AH422" s="67"/>
      <c r="AI422" s="67"/>
      <c r="AJ422" s="67"/>
      <c r="AK422" s="67"/>
      <c r="AL422" s="67"/>
      <c r="AM422" s="67"/>
      <c r="AN422" s="67"/>
      <c r="AO422" s="67"/>
      <c r="AP422" s="67"/>
    </row>
    <row r="423" customFormat="false" ht="12.75" hidden="false" customHeight="false" outlineLevel="0" collapsed="false">
      <c r="E423" s="67"/>
      <c r="F423" s="67"/>
      <c r="G423" s="67"/>
      <c r="H423" s="67"/>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c r="AH423" s="67"/>
      <c r="AI423" s="67"/>
      <c r="AJ423" s="67"/>
      <c r="AK423" s="67"/>
      <c r="AL423" s="67"/>
      <c r="AM423" s="67"/>
      <c r="AN423" s="67"/>
      <c r="AO423" s="67"/>
      <c r="AP423" s="67"/>
    </row>
    <row r="424" customFormat="false" ht="12.75" hidden="false" customHeight="false" outlineLevel="0" collapsed="false">
      <c r="E424" s="67"/>
      <c r="F424" s="67"/>
      <c r="G424" s="67"/>
      <c r="H424" s="67"/>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c r="AH424" s="67"/>
      <c r="AI424" s="67"/>
      <c r="AJ424" s="67"/>
      <c r="AK424" s="67"/>
      <c r="AL424" s="67"/>
      <c r="AM424" s="67"/>
      <c r="AN424" s="67"/>
      <c r="AO424" s="67"/>
      <c r="AP424" s="67"/>
    </row>
    <row r="425" customFormat="false" ht="12.75" hidden="false" customHeight="false" outlineLevel="0" collapsed="false">
      <c r="E425" s="67"/>
      <c r="F425" s="67"/>
      <c r="G425" s="67"/>
      <c r="H425" s="67"/>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c r="AH425" s="67"/>
      <c r="AI425" s="67"/>
      <c r="AJ425" s="67"/>
      <c r="AK425" s="67"/>
      <c r="AL425" s="67"/>
      <c r="AM425" s="67"/>
      <c r="AN425" s="67"/>
      <c r="AO425" s="67"/>
      <c r="AP425" s="67"/>
    </row>
    <row r="426" customFormat="false" ht="12.75" hidden="false" customHeight="false" outlineLevel="0" collapsed="false">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row>
    <row r="427" customFormat="false" ht="12.75" hidden="false" customHeight="false" outlineLevel="0" collapsed="false">
      <c r="E427" s="67"/>
      <c r="F427" s="67"/>
      <c r="G427" s="67"/>
      <c r="H427" s="67"/>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c r="AH427" s="67"/>
      <c r="AI427" s="67"/>
      <c r="AJ427" s="67"/>
      <c r="AK427" s="67"/>
      <c r="AL427" s="67"/>
      <c r="AM427" s="67"/>
      <c r="AN427" s="67"/>
      <c r="AO427" s="67"/>
      <c r="AP427" s="67"/>
    </row>
    <row r="428" customFormat="false" ht="12.75" hidden="false" customHeight="false" outlineLevel="0" collapsed="false">
      <c r="E428" s="67"/>
      <c r="F428" s="67"/>
      <c r="G428" s="67"/>
      <c r="H428" s="67"/>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c r="AH428" s="67"/>
      <c r="AI428" s="67"/>
      <c r="AJ428" s="67"/>
      <c r="AK428" s="67"/>
      <c r="AL428" s="67"/>
      <c r="AM428" s="67"/>
      <c r="AN428" s="67"/>
      <c r="AO428" s="67"/>
      <c r="AP428" s="67"/>
    </row>
    <row r="429" customFormat="false" ht="12.75" hidden="false" customHeight="false" outlineLevel="0" collapsed="false">
      <c r="E429" s="67"/>
      <c r="F429" s="67"/>
      <c r="G429" s="67"/>
      <c r="H429" s="67"/>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c r="AH429" s="67"/>
      <c r="AI429" s="67"/>
      <c r="AJ429" s="67"/>
      <c r="AK429" s="67"/>
      <c r="AL429" s="67"/>
      <c r="AM429" s="67"/>
      <c r="AN429" s="67"/>
      <c r="AO429" s="67"/>
      <c r="AP429" s="67"/>
    </row>
    <row r="430" customFormat="false" ht="12.75" hidden="false" customHeight="false" outlineLevel="0" collapsed="false">
      <c r="E430" s="67"/>
      <c r="F430" s="67"/>
      <c r="G430" s="67"/>
      <c r="H430" s="67"/>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c r="AH430" s="67"/>
      <c r="AI430" s="67"/>
      <c r="AJ430" s="67"/>
      <c r="AK430" s="67"/>
      <c r="AL430" s="67"/>
      <c r="AM430" s="67"/>
      <c r="AN430" s="67"/>
      <c r="AO430" s="67"/>
      <c r="AP430" s="67"/>
    </row>
    <row r="431" customFormat="false" ht="12.75" hidden="false" customHeight="false" outlineLevel="0" collapsed="false">
      <c r="E431" s="67"/>
      <c r="F431" s="67"/>
      <c r="G431" s="67"/>
      <c r="H431" s="67"/>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c r="AH431" s="67"/>
      <c r="AI431" s="67"/>
      <c r="AJ431" s="67"/>
      <c r="AK431" s="67"/>
      <c r="AL431" s="67"/>
      <c r="AM431" s="67"/>
      <c r="AN431" s="67"/>
      <c r="AO431" s="67"/>
      <c r="AP431" s="67"/>
    </row>
    <row r="432" customFormat="false" ht="12.75" hidden="false" customHeight="false" outlineLevel="0" collapsed="false">
      <c r="E432" s="67"/>
      <c r="F432" s="67"/>
      <c r="G432" s="67"/>
      <c r="H432" s="67"/>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c r="AH432" s="67"/>
      <c r="AI432" s="67"/>
      <c r="AJ432" s="67"/>
      <c r="AK432" s="67"/>
      <c r="AL432" s="67"/>
      <c r="AM432" s="67"/>
      <c r="AN432" s="67"/>
      <c r="AO432" s="67"/>
      <c r="AP432" s="67"/>
    </row>
    <row r="433" customFormat="false" ht="12.75" hidden="false" customHeight="false" outlineLevel="0" collapsed="false">
      <c r="E433" s="67"/>
      <c r="F433" s="67"/>
      <c r="G433" s="67"/>
      <c r="H433" s="67"/>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c r="AH433" s="67"/>
      <c r="AI433" s="67"/>
      <c r="AJ433" s="67"/>
      <c r="AK433" s="67"/>
      <c r="AL433" s="67"/>
      <c r="AM433" s="67"/>
      <c r="AN433" s="67"/>
      <c r="AO433" s="67"/>
      <c r="AP433" s="67"/>
    </row>
    <row r="434" customFormat="false" ht="12.75" hidden="false" customHeight="false" outlineLevel="0" collapsed="false">
      <c r="E434" s="67"/>
      <c r="F434" s="67"/>
      <c r="G434" s="67"/>
      <c r="H434" s="67"/>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c r="AH434" s="67"/>
      <c r="AI434" s="67"/>
      <c r="AJ434" s="67"/>
      <c r="AK434" s="67"/>
      <c r="AL434" s="67"/>
      <c r="AM434" s="67"/>
      <c r="AN434" s="67"/>
      <c r="AO434" s="67"/>
      <c r="AP434" s="67"/>
    </row>
    <row r="435" customFormat="false" ht="12.75" hidden="false" customHeight="false" outlineLevel="0" collapsed="false">
      <c r="E435" s="67"/>
      <c r="F435" s="67"/>
      <c r="G435" s="67"/>
      <c r="H435" s="67"/>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c r="AH435" s="67"/>
      <c r="AI435" s="67"/>
      <c r="AJ435" s="67"/>
      <c r="AK435" s="67"/>
      <c r="AL435" s="67"/>
      <c r="AM435" s="67"/>
      <c r="AN435" s="67"/>
      <c r="AO435" s="67"/>
      <c r="AP435" s="67"/>
    </row>
    <row r="436" customFormat="false" ht="12.75" hidden="false" customHeight="false" outlineLevel="0" collapsed="false">
      <c r="E436" s="67"/>
      <c r="F436" s="67"/>
      <c r="G436" s="67"/>
      <c r="H436" s="67"/>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c r="AH436" s="67"/>
      <c r="AI436" s="67"/>
      <c r="AJ436" s="67"/>
      <c r="AK436" s="67"/>
      <c r="AL436" s="67"/>
      <c r="AM436" s="67"/>
      <c r="AN436" s="67"/>
      <c r="AO436" s="67"/>
      <c r="AP436" s="67"/>
    </row>
    <row r="437" customFormat="false" ht="12.75" hidden="false" customHeight="false" outlineLevel="0" collapsed="false">
      <c r="E437" s="67"/>
      <c r="F437" s="67"/>
      <c r="G437" s="67"/>
      <c r="H437" s="67"/>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c r="AH437" s="67"/>
      <c r="AI437" s="67"/>
      <c r="AJ437" s="67"/>
      <c r="AK437" s="67"/>
      <c r="AL437" s="67"/>
      <c r="AM437" s="67"/>
      <c r="AN437" s="67"/>
      <c r="AO437" s="67"/>
      <c r="AP437" s="67"/>
    </row>
    <row r="438" customFormat="false" ht="12.75" hidden="false" customHeight="false" outlineLevel="0" collapsed="false">
      <c r="E438" s="67"/>
      <c r="F438" s="67"/>
      <c r="G438" s="67"/>
      <c r="H438" s="67"/>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row>
    <row r="439" customFormat="false" ht="12.75" hidden="false" customHeight="false" outlineLevel="0" collapsed="false">
      <c r="E439" s="67"/>
      <c r="F439" s="67"/>
      <c r="G439" s="67"/>
      <c r="H439" s="67"/>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c r="AH439" s="67"/>
      <c r="AI439" s="67"/>
      <c r="AJ439" s="67"/>
      <c r="AK439" s="67"/>
      <c r="AL439" s="67"/>
      <c r="AM439" s="67"/>
      <c r="AN439" s="67"/>
      <c r="AO439" s="67"/>
      <c r="AP439" s="67"/>
    </row>
    <row r="440" customFormat="false" ht="12.75" hidden="false" customHeight="false" outlineLevel="0" collapsed="false">
      <c r="E440" s="67"/>
      <c r="F440" s="67"/>
      <c r="G440" s="67"/>
      <c r="H440" s="67"/>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c r="AH440" s="67"/>
      <c r="AI440" s="67"/>
      <c r="AJ440" s="67"/>
      <c r="AK440" s="67"/>
      <c r="AL440" s="67"/>
      <c r="AM440" s="67"/>
      <c r="AN440" s="67"/>
      <c r="AO440" s="67"/>
      <c r="AP440" s="67"/>
    </row>
    <row r="441" customFormat="false" ht="12.75" hidden="false" customHeight="false" outlineLevel="0" collapsed="false">
      <c r="E441" s="67"/>
      <c r="F441" s="67"/>
      <c r="G441" s="67"/>
      <c r="H441" s="67"/>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c r="AH441" s="67"/>
      <c r="AI441" s="67"/>
      <c r="AJ441" s="67"/>
      <c r="AK441" s="67"/>
      <c r="AL441" s="67"/>
      <c r="AM441" s="67"/>
      <c r="AN441" s="67"/>
      <c r="AO441" s="67"/>
      <c r="AP441" s="67"/>
    </row>
    <row r="442" customFormat="false" ht="12.75" hidden="false" customHeight="false" outlineLevel="0" collapsed="false">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row>
    <row r="443" customFormat="false" ht="12.75" hidden="false" customHeight="false" outlineLevel="0" collapsed="false">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row>
    <row r="444" customFormat="false" ht="12.75" hidden="false" customHeight="false" outlineLevel="0" collapsed="false">
      <c r="E444" s="67"/>
      <c r="F444" s="67"/>
      <c r="G444" s="67"/>
      <c r="H444" s="67"/>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c r="AH444" s="67"/>
      <c r="AI444" s="67"/>
      <c r="AJ444" s="67"/>
      <c r="AK444" s="67"/>
      <c r="AL444" s="67"/>
      <c r="AM444" s="67"/>
      <c r="AN444" s="67"/>
      <c r="AO444" s="67"/>
      <c r="AP444" s="67"/>
    </row>
    <row r="445" customFormat="false" ht="12.75" hidden="false" customHeight="false" outlineLevel="0" collapsed="false">
      <c r="E445" s="67"/>
      <c r="F445" s="67"/>
      <c r="G445" s="67"/>
      <c r="H445" s="67"/>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c r="AH445" s="67"/>
      <c r="AI445" s="67"/>
      <c r="AJ445" s="67"/>
      <c r="AK445" s="67"/>
      <c r="AL445" s="67"/>
      <c r="AM445" s="67"/>
      <c r="AN445" s="67"/>
      <c r="AO445" s="67"/>
      <c r="AP445" s="67"/>
    </row>
    <row r="446" customFormat="false" ht="12.75" hidden="false" customHeight="false" outlineLevel="0" collapsed="false">
      <c r="E446" s="67"/>
      <c r="F446" s="67"/>
      <c r="G446" s="67"/>
      <c r="H446" s="67"/>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c r="AH446" s="67"/>
      <c r="AI446" s="67"/>
      <c r="AJ446" s="67"/>
      <c r="AK446" s="67"/>
      <c r="AL446" s="67"/>
      <c r="AM446" s="67"/>
      <c r="AN446" s="67"/>
      <c r="AO446" s="67"/>
      <c r="AP446" s="67"/>
    </row>
    <row r="447" customFormat="false" ht="12.75" hidden="false" customHeight="false" outlineLevel="0" collapsed="false">
      <c r="E447" s="67"/>
      <c r="F447" s="67"/>
      <c r="G447" s="67"/>
      <c r="H447" s="67"/>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c r="AH447" s="67"/>
      <c r="AI447" s="67"/>
      <c r="AJ447" s="67"/>
      <c r="AK447" s="67"/>
      <c r="AL447" s="67"/>
      <c r="AM447" s="67"/>
      <c r="AN447" s="67"/>
      <c r="AO447" s="67"/>
      <c r="AP447" s="67"/>
    </row>
    <row r="448" customFormat="false" ht="12.75" hidden="false" customHeight="false" outlineLevel="0" collapsed="false">
      <c r="E448" s="67"/>
      <c r="F448" s="67"/>
      <c r="G448" s="67"/>
      <c r="H448" s="67"/>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c r="AH448" s="67"/>
      <c r="AI448" s="67"/>
      <c r="AJ448" s="67"/>
      <c r="AK448" s="67"/>
      <c r="AL448" s="67"/>
      <c r="AM448" s="67"/>
      <c r="AN448" s="67"/>
      <c r="AO448" s="67"/>
      <c r="AP448" s="67"/>
    </row>
    <row r="449" customFormat="false" ht="12.75" hidden="false" customHeight="false" outlineLevel="0" collapsed="false">
      <c r="E449" s="67"/>
      <c r="F449" s="67"/>
      <c r="G449" s="67"/>
      <c r="H449" s="67"/>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c r="AH449" s="67"/>
      <c r="AI449" s="67"/>
      <c r="AJ449" s="67"/>
      <c r="AK449" s="67"/>
      <c r="AL449" s="67"/>
      <c r="AM449" s="67"/>
      <c r="AN449" s="67"/>
      <c r="AO449" s="67"/>
      <c r="AP449" s="67"/>
    </row>
    <row r="450" customFormat="false" ht="12.75" hidden="false" customHeight="false" outlineLevel="0" collapsed="false">
      <c r="E450" s="67"/>
      <c r="F450" s="67"/>
      <c r="G450" s="67"/>
      <c r="H450" s="67"/>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c r="AH450" s="67"/>
      <c r="AI450" s="67"/>
      <c r="AJ450" s="67"/>
      <c r="AK450" s="67"/>
      <c r="AL450" s="67"/>
      <c r="AM450" s="67"/>
      <c r="AN450" s="67"/>
      <c r="AO450" s="67"/>
      <c r="AP450" s="67"/>
    </row>
    <row r="451" customFormat="false" ht="12.75" hidden="false" customHeight="false" outlineLevel="0" collapsed="false">
      <c r="E451" s="67"/>
      <c r="F451" s="67"/>
      <c r="G451" s="67"/>
      <c r="H451" s="67"/>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c r="AH451" s="67"/>
      <c r="AI451" s="67"/>
      <c r="AJ451" s="67"/>
      <c r="AK451" s="67"/>
      <c r="AL451" s="67"/>
      <c r="AM451" s="67"/>
      <c r="AN451" s="67"/>
      <c r="AO451" s="67"/>
      <c r="AP451" s="67"/>
    </row>
    <row r="452" customFormat="false" ht="12.75" hidden="false" customHeight="false" outlineLevel="0" collapsed="false">
      <c r="E452" s="67"/>
      <c r="F452" s="67"/>
      <c r="G452" s="67"/>
      <c r="H452" s="67"/>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c r="AH452" s="67"/>
      <c r="AI452" s="67"/>
      <c r="AJ452" s="67"/>
      <c r="AK452" s="67"/>
      <c r="AL452" s="67"/>
      <c r="AM452" s="67"/>
      <c r="AN452" s="67"/>
      <c r="AO452" s="67"/>
      <c r="AP452" s="67"/>
    </row>
    <row r="453" customFormat="false" ht="12.75" hidden="false" customHeight="false" outlineLevel="0" collapsed="false">
      <c r="E453" s="67"/>
      <c r="F453" s="67"/>
      <c r="G453" s="67"/>
      <c r="H453" s="67"/>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c r="AH453" s="67"/>
      <c r="AI453" s="67"/>
      <c r="AJ453" s="67"/>
      <c r="AK453" s="67"/>
      <c r="AL453" s="67"/>
      <c r="AM453" s="67"/>
      <c r="AN453" s="67"/>
      <c r="AO453" s="67"/>
      <c r="AP453" s="67"/>
    </row>
    <row r="454" customFormat="false" ht="12.75" hidden="false" customHeight="false" outlineLevel="0" collapsed="false">
      <c r="E454" s="67"/>
      <c r="F454" s="67"/>
      <c r="G454" s="67"/>
      <c r="H454" s="67"/>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c r="AH454" s="67"/>
      <c r="AI454" s="67"/>
      <c r="AJ454" s="67"/>
      <c r="AK454" s="67"/>
      <c r="AL454" s="67"/>
      <c r="AM454" s="67"/>
      <c r="AN454" s="67"/>
      <c r="AO454" s="67"/>
      <c r="AP454" s="67"/>
    </row>
    <row r="455" customFormat="false" ht="12.75" hidden="false" customHeight="false" outlineLevel="0" collapsed="false">
      <c r="E455" s="67"/>
      <c r="F455" s="67"/>
      <c r="G455" s="67"/>
      <c r="H455" s="67"/>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c r="AH455" s="67"/>
      <c r="AI455" s="67"/>
      <c r="AJ455" s="67"/>
      <c r="AK455" s="67"/>
      <c r="AL455" s="67"/>
      <c r="AM455" s="67"/>
      <c r="AN455" s="67"/>
      <c r="AO455" s="67"/>
      <c r="AP455" s="67"/>
    </row>
    <row r="456" customFormat="false" ht="12.75" hidden="false" customHeight="false" outlineLevel="0" collapsed="false">
      <c r="E456" s="67"/>
      <c r="F456" s="67"/>
      <c r="G456" s="67"/>
      <c r="H456" s="67"/>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c r="AH456" s="67"/>
      <c r="AI456" s="67"/>
      <c r="AJ456" s="67"/>
      <c r="AK456" s="67"/>
      <c r="AL456" s="67"/>
      <c r="AM456" s="67"/>
      <c r="AN456" s="67"/>
      <c r="AO456" s="67"/>
      <c r="AP456" s="67"/>
    </row>
    <row r="457" customFormat="false" ht="12.75" hidden="false" customHeight="false" outlineLevel="0" collapsed="false">
      <c r="E457" s="67"/>
      <c r="F457" s="67"/>
      <c r="G457" s="67"/>
      <c r="H457" s="67"/>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c r="AH457" s="67"/>
      <c r="AI457" s="67"/>
      <c r="AJ457" s="67"/>
      <c r="AK457" s="67"/>
      <c r="AL457" s="67"/>
      <c r="AM457" s="67"/>
      <c r="AN457" s="67"/>
      <c r="AO457" s="67"/>
      <c r="AP457" s="67"/>
    </row>
    <row r="458" customFormat="false" ht="12.75" hidden="false" customHeight="false" outlineLevel="0" collapsed="false">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c r="AH458" s="67"/>
      <c r="AI458" s="67"/>
      <c r="AJ458" s="67"/>
      <c r="AK458" s="67"/>
      <c r="AL458" s="67"/>
      <c r="AM458" s="67"/>
      <c r="AN458" s="67"/>
      <c r="AO458" s="67"/>
      <c r="AP458" s="67"/>
    </row>
    <row r="459" customFormat="false" ht="12.75" hidden="false" customHeight="false" outlineLevel="0" collapsed="false">
      <c r="E459" s="67"/>
      <c r="F459" s="67"/>
      <c r="G459" s="67"/>
      <c r="H459" s="67"/>
      <c r="I459" s="67"/>
      <c r="J459" s="67"/>
      <c r="K459" s="67"/>
      <c r="L459" s="67"/>
      <c r="M459" s="67"/>
      <c r="N459" s="67"/>
      <c r="O459" s="67"/>
      <c r="P459" s="67"/>
      <c r="Q459" s="67"/>
      <c r="R459" s="67"/>
      <c r="S459" s="67"/>
      <c r="T459" s="67"/>
      <c r="U459" s="67"/>
      <c r="V459" s="67"/>
      <c r="W459" s="67"/>
      <c r="X459" s="67"/>
      <c r="Y459" s="67"/>
      <c r="Z459" s="67"/>
      <c r="AA459" s="67"/>
      <c r="AB459" s="67"/>
      <c r="AC459" s="67"/>
      <c r="AD459" s="67"/>
      <c r="AE459" s="67"/>
      <c r="AF459" s="67"/>
      <c r="AG459" s="67"/>
      <c r="AH459" s="67"/>
      <c r="AI459" s="67"/>
      <c r="AJ459" s="67"/>
      <c r="AK459" s="67"/>
      <c r="AL459" s="67"/>
      <c r="AM459" s="67"/>
      <c r="AN459" s="67"/>
      <c r="AO459" s="67"/>
      <c r="AP459" s="67"/>
    </row>
    <row r="460" customFormat="false" ht="12.75" hidden="false" customHeight="false" outlineLevel="0" collapsed="false">
      <c r="E460" s="67"/>
      <c r="F460" s="67"/>
      <c r="G460" s="67"/>
      <c r="H460" s="67"/>
      <c r="I460" s="67"/>
      <c r="J460" s="67"/>
      <c r="K460" s="67"/>
      <c r="L460" s="67"/>
      <c r="M460" s="67"/>
      <c r="N460" s="67"/>
      <c r="O460" s="67"/>
      <c r="P460" s="67"/>
      <c r="Q460" s="67"/>
      <c r="R460" s="67"/>
      <c r="S460" s="67"/>
      <c r="T460" s="67"/>
      <c r="U460" s="67"/>
      <c r="V460" s="67"/>
      <c r="W460" s="67"/>
      <c r="X460" s="67"/>
      <c r="Y460" s="67"/>
      <c r="Z460" s="67"/>
      <c r="AA460" s="67"/>
      <c r="AB460" s="67"/>
      <c r="AC460" s="67"/>
      <c r="AD460" s="67"/>
      <c r="AE460" s="67"/>
      <c r="AF460" s="67"/>
      <c r="AG460" s="67"/>
      <c r="AH460" s="67"/>
      <c r="AI460" s="67"/>
      <c r="AJ460" s="67"/>
      <c r="AK460" s="67"/>
      <c r="AL460" s="67"/>
      <c r="AM460" s="67"/>
      <c r="AN460" s="67"/>
      <c r="AO460" s="67"/>
      <c r="AP460" s="67"/>
    </row>
    <row r="461" customFormat="false" ht="12.75" hidden="false" customHeight="false" outlineLevel="0" collapsed="false">
      <c r="E461" s="67"/>
      <c r="F461" s="67"/>
      <c r="G461" s="67"/>
      <c r="H461" s="67"/>
      <c r="I461" s="67"/>
      <c r="J461" s="67"/>
      <c r="K461" s="67"/>
      <c r="L461" s="67"/>
      <c r="M461" s="67"/>
      <c r="N461" s="67"/>
      <c r="O461" s="67"/>
      <c r="P461" s="67"/>
      <c r="Q461" s="67"/>
      <c r="R461" s="67"/>
      <c r="S461" s="67"/>
      <c r="T461" s="67"/>
      <c r="U461" s="67"/>
      <c r="V461" s="67"/>
      <c r="W461" s="67"/>
      <c r="X461" s="67"/>
      <c r="Y461" s="67"/>
      <c r="Z461" s="67"/>
      <c r="AA461" s="67"/>
      <c r="AB461" s="67"/>
      <c r="AC461" s="67"/>
      <c r="AD461" s="67"/>
      <c r="AE461" s="67"/>
      <c r="AF461" s="67"/>
      <c r="AG461" s="67"/>
      <c r="AH461" s="67"/>
      <c r="AI461" s="67"/>
      <c r="AJ461" s="67"/>
      <c r="AK461" s="67"/>
      <c r="AL461" s="67"/>
      <c r="AM461" s="67"/>
      <c r="AN461" s="67"/>
      <c r="AO461" s="67"/>
      <c r="AP461" s="67"/>
    </row>
    <row r="462" customFormat="false" ht="12.75" hidden="false" customHeight="false" outlineLevel="0" collapsed="false">
      <c r="E462" s="67"/>
      <c r="F462" s="67"/>
      <c r="G462" s="67"/>
      <c r="H462" s="67"/>
      <c r="I462" s="67"/>
      <c r="J462" s="67"/>
      <c r="K462" s="67"/>
      <c r="L462" s="67"/>
      <c r="M462" s="67"/>
      <c r="N462" s="67"/>
      <c r="O462" s="67"/>
      <c r="P462" s="67"/>
      <c r="Q462" s="67"/>
      <c r="R462" s="67"/>
      <c r="S462" s="67"/>
      <c r="T462" s="67"/>
      <c r="U462" s="67"/>
      <c r="V462" s="67"/>
      <c r="W462" s="67"/>
      <c r="X462" s="67"/>
      <c r="Y462" s="67"/>
      <c r="Z462" s="67"/>
      <c r="AA462" s="67"/>
      <c r="AB462" s="67"/>
      <c r="AC462" s="67"/>
      <c r="AD462" s="67"/>
      <c r="AE462" s="67"/>
      <c r="AF462" s="67"/>
      <c r="AG462" s="67"/>
      <c r="AH462" s="67"/>
      <c r="AI462" s="67"/>
      <c r="AJ462" s="67"/>
      <c r="AK462" s="67"/>
      <c r="AL462" s="67"/>
      <c r="AM462" s="67"/>
      <c r="AN462" s="67"/>
      <c r="AO462" s="67"/>
      <c r="AP462" s="67"/>
    </row>
    <row r="463" customFormat="false" ht="12.75" hidden="false" customHeight="false" outlineLevel="0" collapsed="false">
      <c r="E463" s="67"/>
      <c r="F463" s="67"/>
      <c r="G463" s="67"/>
      <c r="H463" s="67"/>
      <c r="I463" s="67"/>
      <c r="J463" s="67"/>
      <c r="K463" s="67"/>
      <c r="L463" s="67"/>
      <c r="M463" s="67"/>
      <c r="N463" s="67"/>
      <c r="O463" s="67"/>
      <c r="P463" s="67"/>
      <c r="Q463" s="67"/>
      <c r="R463" s="67"/>
      <c r="S463" s="67"/>
      <c r="T463" s="67"/>
      <c r="U463" s="67"/>
      <c r="V463" s="67"/>
      <c r="W463" s="67"/>
      <c r="X463" s="67"/>
      <c r="Y463" s="67"/>
      <c r="Z463" s="67"/>
      <c r="AA463" s="67"/>
      <c r="AB463" s="67"/>
      <c r="AC463" s="67"/>
      <c r="AD463" s="67"/>
      <c r="AE463" s="67"/>
      <c r="AF463" s="67"/>
      <c r="AG463" s="67"/>
      <c r="AH463" s="67"/>
      <c r="AI463" s="67"/>
      <c r="AJ463" s="67"/>
      <c r="AK463" s="67"/>
      <c r="AL463" s="67"/>
      <c r="AM463" s="67"/>
      <c r="AN463" s="67"/>
      <c r="AO463" s="67"/>
      <c r="AP463" s="67"/>
    </row>
    <row r="464" customFormat="false" ht="12.75" hidden="false" customHeight="false" outlineLevel="0" collapsed="false">
      <c r="E464" s="67"/>
      <c r="F464" s="67"/>
      <c r="G464" s="67"/>
      <c r="H464" s="67"/>
      <c r="I464" s="67"/>
      <c r="J464" s="67"/>
      <c r="K464" s="67"/>
      <c r="L464" s="67"/>
      <c r="M464" s="67"/>
      <c r="N464" s="67"/>
      <c r="O464" s="67"/>
      <c r="P464" s="67"/>
      <c r="Q464" s="67"/>
      <c r="R464" s="67"/>
      <c r="S464" s="67"/>
      <c r="T464" s="67"/>
      <c r="U464" s="67"/>
      <c r="V464" s="67"/>
      <c r="W464" s="67"/>
      <c r="X464" s="67"/>
      <c r="Y464" s="67"/>
      <c r="Z464" s="67"/>
      <c r="AA464" s="67"/>
      <c r="AB464" s="67"/>
      <c r="AC464" s="67"/>
      <c r="AD464" s="67"/>
      <c r="AE464" s="67"/>
      <c r="AF464" s="67"/>
      <c r="AG464" s="67"/>
      <c r="AH464" s="67"/>
      <c r="AI464" s="67"/>
      <c r="AJ464" s="67"/>
      <c r="AK464" s="67"/>
      <c r="AL464" s="67"/>
      <c r="AM464" s="67"/>
      <c r="AN464" s="67"/>
      <c r="AO464" s="67"/>
      <c r="AP464" s="67"/>
    </row>
    <row r="465" customFormat="false" ht="12.75" hidden="false" customHeight="false" outlineLevel="0" collapsed="false">
      <c r="E465" s="67"/>
      <c r="F465" s="67"/>
      <c r="G465" s="67"/>
      <c r="H465" s="67"/>
      <c r="I465" s="67"/>
      <c r="J465" s="67"/>
      <c r="K465" s="67"/>
      <c r="L465" s="67"/>
      <c r="M465" s="67"/>
      <c r="N465" s="67"/>
      <c r="O465" s="67"/>
      <c r="P465" s="67"/>
      <c r="Q465" s="67"/>
      <c r="R465" s="67"/>
      <c r="S465" s="67"/>
      <c r="T465" s="67"/>
      <c r="U465" s="67"/>
      <c r="V465" s="67"/>
      <c r="W465" s="67"/>
      <c r="X465" s="67"/>
      <c r="Y465" s="67"/>
      <c r="Z465" s="67"/>
      <c r="AA465" s="67"/>
      <c r="AB465" s="67"/>
      <c r="AC465" s="67"/>
      <c r="AD465" s="67"/>
      <c r="AE465" s="67"/>
      <c r="AF465" s="67"/>
      <c r="AG465" s="67"/>
      <c r="AH465" s="67"/>
      <c r="AI465" s="67"/>
      <c r="AJ465" s="67"/>
      <c r="AK465" s="67"/>
      <c r="AL465" s="67"/>
      <c r="AM465" s="67"/>
      <c r="AN465" s="67"/>
      <c r="AO465" s="67"/>
      <c r="AP465" s="67"/>
    </row>
    <row r="466" customFormat="false" ht="12.75" hidden="false" customHeight="false" outlineLevel="0" collapsed="false">
      <c r="E466" s="67"/>
      <c r="F466" s="67"/>
      <c r="G466" s="67"/>
      <c r="H466" s="67"/>
      <c r="I466" s="67"/>
      <c r="J466" s="67"/>
      <c r="K466" s="67"/>
      <c r="L466" s="67"/>
      <c r="M466" s="67"/>
      <c r="N466" s="67"/>
      <c r="O466" s="67"/>
      <c r="P466" s="67"/>
      <c r="Q466" s="67"/>
      <c r="R466" s="67"/>
      <c r="S466" s="67"/>
      <c r="T466" s="67"/>
      <c r="U466" s="67"/>
      <c r="V466" s="67"/>
      <c r="W466" s="67"/>
      <c r="X466" s="67"/>
      <c r="Y466" s="67"/>
      <c r="Z466" s="67"/>
      <c r="AA466" s="67"/>
      <c r="AB466" s="67"/>
      <c r="AC466" s="67"/>
      <c r="AD466" s="67"/>
      <c r="AE466" s="67"/>
      <c r="AF466" s="67"/>
      <c r="AG466" s="67"/>
      <c r="AH466" s="67"/>
      <c r="AI466" s="67"/>
      <c r="AJ466" s="67"/>
      <c r="AK466" s="67"/>
      <c r="AL466" s="67"/>
      <c r="AM466" s="67"/>
      <c r="AN466" s="67"/>
      <c r="AO466" s="67"/>
      <c r="AP466" s="67"/>
    </row>
    <row r="467" customFormat="false" ht="12.75" hidden="false" customHeight="false" outlineLevel="0" collapsed="false">
      <c r="E467" s="67"/>
      <c r="F467" s="67"/>
      <c r="G467" s="67"/>
      <c r="H467" s="67"/>
      <c r="I467" s="67"/>
      <c r="J467" s="67"/>
      <c r="K467" s="67"/>
      <c r="L467" s="67"/>
      <c r="M467" s="67"/>
      <c r="N467" s="67"/>
      <c r="O467" s="67"/>
      <c r="P467" s="67"/>
      <c r="Q467" s="67"/>
      <c r="R467" s="67"/>
      <c r="S467" s="67"/>
      <c r="T467" s="67"/>
      <c r="U467" s="67"/>
      <c r="V467" s="67"/>
      <c r="W467" s="67"/>
      <c r="X467" s="67"/>
      <c r="Y467" s="67"/>
      <c r="Z467" s="67"/>
      <c r="AA467" s="67"/>
      <c r="AB467" s="67"/>
      <c r="AC467" s="67"/>
      <c r="AD467" s="67"/>
      <c r="AE467" s="67"/>
      <c r="AF467" s="67"/>
      <c r="AG467" s="67"/>
      <c r="AH467" s="67"/>
      <c r="AI467" s="67"/>
      <c r="AJ467" s="67"/>
      <c r="AK467" s="67"/>
      <c r="AL467" s="67"/>
      <c r="AM467" s="67"/>
      <c r="AN467" s="67"/>
      <c r="AO467" s="67"/>
      <c r="AP467" s="67"/>
    </row>
    <row r="468" customFormat="false" ht="12.75" hidden="false" customHeight="false" outlineLevel="0" collapsed="false">
      <c r="E468" s="67"/>
      <c r="F468" s="67"/>
      <c r="G468" s="67"/>
      <c r="H468" s="67"/>
      <c r="I468" s="67"/>
      <c r="J468" s="67"/>
      <c r="K468" s="67"/>
      <c r="L468" s="67"/>
      <c r="M468" s="67"/>
      <c r="N468" s="67"/>
      <c r="O468" s="67"/>
      <c r="P468" s="67"/>
      <c r="Q468" s="67"/>
      <c r="R468" s="67"/>
      <c r="S468" s="67"/>
      <c r="T468" s="67"/>
      <c r="U468" s="67"/>
      <c r="V468" s="67"/>
      <c r="W468" s="67"/>
      <c r="X468" s="67"/>
      <c r="Y468" s="67"/>
      <c r="Z468" s="67"/>
      <c r="AA468" s="67"/>
      <c r="AB468" s="67"/>
      <c r="AC468" s="67"/>
      <c r="AD468" s="67"/>
      <c r="AE468" s="67"/>
      <c r="AF468" s="67"/>
      <c r="AG468" s="67"/>
      <c r="AH468" s="67"/>
      <c r="AI468" s="67"/>
      <c r="AJ468" s="67"/>
      <c r="AK468" s="67"/>
      <c r="AL468" s="67"/>
      <c r="AM468" s="67"/>
      <c r="AN468" s="67"/>
      <c r="AO468" s="67"/>
      <c r="AP468" s="67"/>
    </row>
    <row r="469" customFormat="false" ht="12.75" hidden="false" customHeight="false" outlineLevel="0" collapsed="false">
      <c r="E469" s="67"/>
      <c r="F469" s="67"/>
      <c r="G469" s="67"/>
      <c r="H469" s="67"/>
      <c r="I469" s="67"/>
      <c r="J469" s="67"/>
      <c r="K469" s="67"/>
      <c r="L469" s="67"/>
      <c r="M469" s="67"/>
      <c r="N469" s="67"/>
      <c r="O469" s="67"/>
      <c r="P469" s="67"/>
      <c r="Q469" s="67"/>
      <c r="R469" s="67"/>
      <c r="S469" s="67"/>
      <c r="T469" s="67"/>
      <c r="U469" s="67"/>
      <c r="V469" s="67"/>
      <c r="W469" s="67"/>
      <c r="X469" s="67"/>
      <c r="Y469" s="67"/>
      <c r="Z469" s="67"/>
      <c r="AA469" s="67"/>
      <c r="AB469" s="67"/>
      <c r="AC469" s="67"/>
      <c r="AD469" s="67"/>
      <c r="AE469" s="67"/>
      <c r="AF469" s="67"/>
      <c r="AG469" s="67"/>
      <c r="AH469" s="67"/>
      <c r="AI469" s="67"/>
      <c r="AJ469" s="67"/>
      <c r="AK469" s="67"/>
      <c r="AL469" s="67"/>
      <c r="AM469" s="67"/>
      <c r="AN469" s="67"/>
      <c r="AO469" s="67"/>
      <c r="AP469" s="67"/>
    </row>
    <row r="470" customFormat="false" ht="12.75" hidden="false" customHeight="false" outlineLevel="0" collapsed="false">
      <c r="E470" s="67"/>
      <c r="F470" s="67"/>
      <c r="G470" s="67"/>
      <c r="H470" s="67"/>
      <c r="I470" s="67"/>
      <c r="J470" s="67"/>
      <c r="K470" s="67"/>
      <c r="L470" s="67"/>
      <c r="M470" s="67"/>
      <c r="N470" s="67"/>
      <c r="O470" s="67"/>
      <c r="P470" s="67"/>
      <c r="Q470" s="67"/>
      <c r="R470" s="67"/>
      <c r="S470" s="67"/>
      <c r="T470" s="67"/>
      <c r="U470" s="67"/>
      <c r="V470" s="67"/>
      <c r="W470" s="67"/>
      <c r="X470" s="67"/>
      <c r="Y470" s="67"/>
      <c r="Z470" s="67"/>
      <c r="AA470" s="67"/>
      <c r="AB470" s="67"/>
      <c r="AC470" s="67"/>
      <c r="AD470" s="67"/>
      <c r="AE470" s="67"/>
      <c r="AF470" s="67"/>
      <c r="AG470" s="67"/>
      <c r="AH470" s="67"/>
      <c r="AI470" s="67"/>
      <c r="AJ470" s="67"/>
      <c r="AK470" s="67"/>
      <c r="AL470" s="67"/>
      <c r="AM470" s="67"/>
      <c r="AN470" s="67"/>
      <c r="AO470" s="67"/>
      <c r="AP470" s="67"/>
    </row>
    <row r="471" customFormat="false" ht="12.75" hidden="false" customHeight="false" outlineLevel="0" collapsed="false">
      <c r="E471" s="67"/>
      <c r="F471" s="67"/>
      <c r="G471" s="67"/>
      <c r="H471" s="67"/>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c r="AH471" s="67"/>
      <c r="AI471" s="67"/>
      <c r="AJ471" s="67"/>
      <c r="AK471" s="67"/>
      <c r="AL471" s="67"/>
      <c r="AM471" s="67"/>
      <c r="AN471" s="67"/>
      <c r="AO471" s="67"/>
      <c r="AP471" s="67"/>
    </row>
    <row r="472" customFormat="false" ht="12.75" hidden="false" customHeight="false" outlineLevel="0" collapsed="false">
      <c r="E472" s="67"/>
      <c r="F472" s="67"/>
      <c r="G472" s="67"/>
      <c r="H472" s="67"/>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c r="AH472" s="67"/>
      <c r="AI472" s="67"/>
      <c r="AJ472" s="67"/>
      <c r="AK472" s="67"/>
      <c r="AL472" s="67"/>
      <c r="AM472" s="67"/>
      <c r="AN472" s="67"/>
      <c r="AO472" s="67"/>
      <c r="AP472" s="67"/>
    </row>
    <row r="473" customFormat="false" ht="12.75" hidden="false" customHeight="false" outlineLevel="0" collapsed="false">
      <c r="E473" s="67"/>
      <c r="F473" s="67"/>
      <c r="G473" s="67"/>
      <c r="H473" s="67"/>
      <c r="I473" s="67"/>
      <c r="J473" s="67"/>
      <c r="K473" s="67"/>
      <c r="L473" s="67"/>
      <c r="M473" s="67"/>
      <c r="N473" s="67"/>
      <c r="O473" s="67"/>
      <c r="P473" s="67"/>
      <c r="Q473" s="67"/>
      <c r="R473" s="67"/>
      <c r="S473" s="67"/>
      <c r="T473" s="67"/>
      <c r="U473" s="67"/>
      <c r="V473" s="67"/>
      <c r="W473" s="67"/>
      <c r="X473" s="67"/>
      <c r="Y473" s="67"/>
      <c r="Z473" s="67"/>
      <c r="AA473" s="67"/>
      <c r="AB473" s="67"/>
      <c r="AC473" s="67"/>
      <c r="AD473" s="67"/>
      <c r="AE473" s="67"/>
      <c r="AF473" s="67"/>
      <c r="AG473" s="67"/>
      <c r="AH473" s="67"/>
      <c r="AI473" s="67"/>
      <c r="AJ473" s="67"/>
      <c r="AK473" s="67"/>
      <c r="AL473" s="67"/>
      <c r="AM473" s="67"/>
      <c r="AN473" s="67"/>
      <c r="AO473" s="67"/>
      <c r="AP473" s="67"/>
    </row>
    <row r="474" customFormat="false" ht="12.75" hidden="false" customHeight="false" outlineLevel="0" collapsed="false">
      <c r="E474" s="67"/>
      <c r="F474" s="67"/>
      <c r="G474" s="67"/>
      <c r="H474" s="67"/>
      <c r="I474" s="67"/>
      <c r="J474" s="67"/>
      <c r="K474" s="67"/>
      <c r="L474" s="67"/>
      <c r="M474" s="67"/>
      <c r="N474" s="67"/>
      <c r="O474" s="67"/>
      <c r="P474" s="67"/>
      <c r="Q474" s="67"/>
      <c r="R474" s="67"/>
      <c r="S474" s="67"/>
      <c r="T474" s="67"/>
      <c r="U474" s="67"/>
      <c r="V474" s="67"/>
      <c r="W474" s="67"/>
      <c r="X474" s="67"/>
      <c r="Y474" s="67"/>
      <c r="Z474" s="67"/>
      <c r="AA474" s="67"/>
      <c r="AB474" s="67"/>
      <c r="AC474" s="67"/>
      <c r="AD474" s="67"/>
      <c r="AE474" s="67"/>
      <c r="AF474" s="67"/>
      <c r="AG474" s="67"/>
      <c r="AH474" s="67"/>
      <c r="AI474" s="67"/>
      <c r="AJ474" s="67"/>
      <c r="AK474" s="67"/>
      <c r="AL474" s="67"/>
      <c r="AM474" s="67"/>
      <c r="AN474" s="67"/>
      <c r="AO474" s="67"/>
      <c r="AP474" s="67"/>
    </row>
    <row r="475" customFormat="false" ht="12.75" hidden="false" customHeight="false" outlineLevel="0" collapsed="false">
      <c r="E475" s="67"/>
      <c r="F475" s="67"/>
      <c r="G475" s="67"/>
      <c r="H475" s="67"/>
      <c r="I475" s="67"/>
      <c r="J475" s="67"/>
      <c r="K475" s="67"/>
      <c r="L475" s="67"/>
      <c r="M475" s="67"/>
      <c r="N475" s="67"/>
      <c r="O475" s="67"/>
      <c r="P475" s="67"/>
      <c r="Q475" s="67"/>
      <c r="R475" s="67"/>
      <c r="S475" s="67"/>
      <c r="T475" s="67"/>
      <c r="U475" s="67"/>
      <c r="V475" s="67"/>
      <c r="W475" s="67"/>
      <c r="X475" s="67"/>
      <c r="Y475" s="67"/>
      <c r="Z475" s="67"/>
      <c r="AA475" s="67"/>
      <c r="AB475" s="67"/>
      <c r="AC475" s="67"/>
      <c r="AD475" s="67"/>
      <c r="AE475" s="67"/>
      <c r="AF475" s="67"/>
      <c r="AG475" s="67"/>
      <c r="AH475" s="67"/>
      <c r="AI475" s="67"/>
      <c r="AJ475" s="67"/>
      <c r="AK475" s="67"/>
      <c r="AL475" s="67"/>
      <c r="AM475" s="67"/>
      <c r="AN475" s="67"/>
      <c r="AO475" s="67"/>
      <c r="AP475" s="67"/>
    </row>
    <row r="476" customFormat="false" ht="12.75" hidden="false" customHeight="false" outlineLevel="0" collapsed="false">
      <c r="E476" s="67"/>
      <c r="F476" s="67"/>
      <c r="G476" s="67"/>
      <c r="H476" s="67"/>
      <c r="I476" s="67"/>
      <c r="J476" s="67"/>
      <c r="K476" s="67"/>
      <c r="L476" s="67"/>
      <c r="M476" s="67"/>
      <c r="N476" s="67"/>
      <c r="O476" s="67"/>
      <c r="P476" s="67"/>
      <c r="Q476" s="67"/>
      <c r="R476" s="67"/>
      <c r="S476" s="67"/>
      <c r="T476" s="67"/>
      <c r="U476" s="67"/>
      <c r="V476" s="67"/>
      <c r="W476" s="67"/>
      <c r="X476" s="67"/>
      <c r="Y476" s="67"/>
      <c r="Z476" s="67"/>
      <c r="AA476" s="67"/>
      <c r="AB476" s="67"/>
      <c r="AC476" s="67"/>
      <c r="AD476" s="67"/>
      <c r="AE476" s="67"/>
      <c r="AF476" s="67"/>
      <c r="AG476" s="67"/>
      <c r="AH476" s="67"/>
      <c r="AI476" s="67"/>
      <c r="AJ476" s="67"/>
      <c r="AK476" s="67"/>
      <c r="AL476" s="67"/>
      <c r="AM476" s="67"/>
      <c r="AN476" s="67"/>
      <c r="AO476" s="67"/>
      <c r="AP476" s="67"/>
    </row>
    <row r="477" customFormat="false" ht="12.75" hidden="false" customHeight="false" outlineLevel="0" collapsed="false">
      <c r="E477" s="67"/>
      <c r="F477" s="67"/>
      <c r="G477" s="67"/>
      <c r="H477" s="67"/>
      <c r="I477" s="67"/>
      <c r="J477" s="67"/>
      <c r="K477" s="67"/>
      <c r="L477" s="67"/>
      <c r="M477" s="67"/>
      <c r="N477" s="67"/>
      <c r="O477" s="67"/>
      <c r="P477" s="67"/>
      <c r="Q477" s="67"/>
      <c r="R477" s="67"/>
      <c r="S477" s="67"/>
      <c r="T477" s="67"/>
      <c r="U477" s="67"/>
      <c r="V477" s="67"/>
      <c r="W477" s="67"/>
      <c r="X477" s="67"/>
      <c r="Y477" s="67"/>
      <c r="Z477" s="67"/>
      <c r="AA477" s="67"/>
      <c r="AB477" s="67"/>
      <c r="AC477" s="67"/>
      <c r="AD477" s="67"/>
      <c r="AE477" s="67"/>
      <c r="AF477" s="67"/>
      <c r="AG477" s="67"/>
      <c r="AH477" s="67"/>
      <c r="AI477" s="67"/>
      <c r="AJ477" s="67"/>
      <c r="AK477" s="67"/>
      <c r="AL477" s="67"/>
      <c r="AM477" s="67"/>
      <c r="AN477" s="67"/>
      <c r="AO477" s="67"/>
      <c r="AP477" s="67"/>
    </row>
  </sheetData>
  <printOptions headings="false" gridLines="false" gridLinesSet="true" horizontalCentered="true" verticalCentered="false"/>
  <pageMargins left="0.25" right="0.25" top="0.490277777777778" bottom="0.5" header="0.511811023622047" footer="0.5"/>
  <pageSetup paperSize="1" scale="75" fitToWidth="1" fitToHeight="1" pageOrder="downThenOver" orientation="landscape" blackAndWhite="false" draft="false" cellComments="none" horizontalDpi="300" verticalDpi="300" copies="1"/>
  <headerFooter differentFirst="false" differentOddEven="false">
    <oddHeader/>
    <oddFooter>&amp;L&amp;D&amp;T&amp;C&amp;P&amp;Ro:/Corpdev/North America/Raul/Ammonia/&amp;F</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53"/>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1" min="1" style="0" width="5.99"/>
    <col collapsed="false" customWidth="true" hidden="false" outlineLevel="0" max="2" min="2" style="0" width="10.13"/>
    <col collapsed="false" customWidth="true" hidden="false" outlineLevel="0" max="3" min="3" style="0" width="10.99"/>
    <col collapsed="false" customWidth="true" hidden="false" outlineLevel="0" max="4" min="4" style="0" width="11.85"/>
    <col collapsed="false" customWidth="true" hidden="false" outlineLevel="0" max="6" min="5" style="0" width="1.99"/>
    <col collapsed="false" customWidth="true" hidden="false" outlineLevel="0" max="7" min="7" style="58" width="1.99"/>
    <col collapsed="false" customWidth="true" hidden="false" outlineLevel="0" max="8" min="8" style="0" width="8.41"/>
    <col collapsed="false" customWidth="true" hidden="false" outlineLevel="0" max="9" min="9" style="0" width="7.99"/>
    <col collapsed="false" customWidth="true" hidden="false" outlineLevel="0" max="10" min="10" style="0" width="9.28"/>
    <col collapsed="false" customWidth="true" hidden="false" outlineLevel="0" max="11" min="11" style="0" width="8.56"/>
    <col collapsed="false" customWidth="true" hidden="false" outlineLevel="0" max="12" min="12" style="0" width="8.41"/>
    <col collapsed="false" customWidth="true" hidden="false" outlineLevel="0" max="13" min="13" style="0" width="9.28"/>
    <col collapsed="false" customWidth="true" hidden="false" outlineLevel="0" max="14" min="14" style="0" width="9.41"/>
    <col collapsed="false" customWidth="true" hidden="false" outlineLevel="0" max="15" min="15" style="0" width="9.28"/>
    <col collapsed="false" customWidth="true" hidden="false" outlineLevel="0" max="16" min="16" style="0" width="8.99"/>
    <col collapsed="false" customWidth="true" hidden="false" outlineLevel="0" max="17" min="17" style="0" width="9.28"/>
    <col collapsed="false" customWidth="true" hidden="false" outlineLevel="0" max="19" min="19" style="0" width="9.56"/>
    <col collapsed="false" customWidth="true" hidden="false" outlineLevel="0" max="20" min="20" style="0" width="8.41"/>
    <col collapsed="false" customWidth="true" hidden="false" outlineLevel="0" max="21" min="21" style="0" width="8.85"/>
  </cols>
  <sheetData>
    <row r="1" customFormat="false" ht="21" hidden="false" customHeight="false" outlineLevel="0" collapsed="false">
      <c r="A1" s="1" t="s">
        <v>0</v>
      </c>
      <c r="B1" s="112"/>
      <c r="C1" s="112"/>
      <c r="D1" s="113"/>
      <c r="E1" s="113"/>
      <c r="F1" s="113"/>
      <c r="G1" s="113"/>
      <c r="H1" s="4"/>
      <c r="I1" s="4"/>
      <c r="J1" s="4"/>
      <c r="K1" s="4"/>
      <c r="L1" s="4"/>
      <c r="M1" s="4"/>
      <c r="N1" s="4"/>
      <c r="O1" s="4"/>
      <c r="P1" s="4"/>
      <c r="Q1" s="4"/>
      <c r="R1" s="4"/>
      <c r="S1" s="4"/>
      <c r="T1" s="4"/>
      <c r="U1" s="16" t="s">
        <v>319</v>
      </c>
    </row>
    <row r="2" customFormat="false" ht="26.25" hidden="false" customHeight="false" outlineLevel="0" collapsed="false">
      <c r="A2" s="269"/>
      <c r="B2" s="270"/>
      <c r="C2" s="270"/>
      <c r="D2" s="271"/>
      <c r="E2" s="271"/>
      <c r="F2" s="271"/>
      <c r="G2" s="271"/>
      <c r="U2" s="139" t="s">
        <v>110</v>
      </c>
    </row>
    <row r="3" customFormat="false" ht="26.25" hidden="false" customHeight="false" outlineLevel="0" collapsed="false">
      <c r="A3" s="269"/>
      <c r="B3" s="270"/>
      <c r="C3" s="270"/>
      <c r="D3" s="271"/>
      <c r="E3" s="271"/>
      <c r="F3" s="271"/>
      <c r="G3" s="271"/>
    </row>
    <row r="4" customFormat="false" ht="26.25" hidden="false" customHeight="false" outlineLevel="0" collapsed="false">
      <c r="A4" s="269"/>
      <c r="B4" s="270"/>
      <c r="C4" s="270"/>
      <c r="D4" s="271"/>
      <c r="E4" s="271"/>
      <c r="F4" s="271"/>
      <c r="G4" s="271"/>
    </row>
    <row r="5" customFormat="false" ht="12.75" hidden="false" customHeight="false" outlineLevel="0" collapsed="false">
      <c r="B5" s="53" t="s">
        <v>320</v>
      </c>
    </row>
    <row r="7" customFormat="false" ht="12.75" hidden="false" customHeight="false" outlineLevel="0" collapsed="false">
      <c r="H7" s="275" t="n">
        <v>36891</v>
      </c>
      <c r="I7" s="275" t="n">
        <v>37073</v>
      </c>
      <c r="J7" s="275" t="n">
        <v>37256</v>
      </c>
      <c r="K7" s="275" t="n">
        <v>37621</v>
      </c>
      <c r="L7" s="275" t="n">
        <v>37986</v>
      </c>
      <c r="M7" s="275" t="n">
        <v>38352</v>
      </c>
      <c r="N7" s="275" t="n">
        <v>38717</v>
      </c>
      <c r="O7" s="275" t="n">
        <v>39082</v>
      </c>
      <c r="P7" s="275" t="n">
        <v>39447</v>
      </c>
      <c r="Q7" s="275" t="n">
        <v>39813</v>
      </c>
      <c r="R7" s="275" t="n">
        <v>40178</v>
      </c>
      <c r="S7" s="275" t="n">
        <v>40543</v>
      </c>
      <c r="T7" s="275" t="n">
        <v>40908</v>
      </c>
      <c r="U7" s="275" t="n">
        <v>40909</v>
      </c>
    </row>
    <row r="8" customFormat="false" ht="12.75" hidden="false" customHeight="false" outlineLevel="0" collapsed="false">
      <c r="A8" s="0" t="s">
        <v>284</v>
      </c>
      <c r="H8" s="67" t="n">
        <v>50</v>
      </c>
      <c r="I8" s="67" t="n">
        <f aca="false">+H8</f>
        <v>50</v>
      </c>
      <c r="J8" s="67" t="n">
        <f aca="false">+I8</f>
        <v>50</v>
      </c>
      <c r="K8" s="67" t="n">
        <f aca="false">+J8</f>
        <v>50</v>
      </c>
      <c r="L8" s="67" t="n">
        <f aca="false">+K8</f>
        <v>50</v>
      </c>
      <c r="M8" s="67" t="n">
        <f aca="false">+L8</f>
        <v>50</v>
      </c>
      <c r="N8" s="67" t="n">
        <f aca="false">+M8</f>
        <v>50</v>
      </c>
      <c r="O8" s="67" t="n">
        <f aca="false">+N8</f>
        <v>50</v>
      </c>
      <c r="P8" s="67" t="n">
        <f aca="false">+O8</f>
        <v>50</v>
      </c>
      <c r="Q8" s="67" t="n">
        <f aca="false">+P8</f>
        <v>50</v>
      </c>
      <c r="R8" s="67" t="n">
        <f aca="false">+Q8</f>
        <v>50</v>
      </c>
      <c r="S8" s="67" t="n">
        <f aca="false">+R8</f>
        <v>50</v>
      </c>
      <c r="T8" s="67" t="n">
        <f aca="false">+S8</f>
        <v>50</v>
      </c>
    </row>
    <row r="9" customFormat="false" ht="12.75" hidden="false" customHeight="false" outlineLevel="0" collapsed="false">
      <c r="A9" s="0" t="s">
        <v>285</v>
      </c>
      <c r="G9" s="277"/>
      <c r="H9" s="278" t="n">
        <f aca="false">H10/H8</f>
        <v>0.58</v>
      </c>
      <c r="I9" s="278" t="n">
        <f aca="false">I10/I8</f>
        <v>1.43953934740883</v>
      </c>
      <c r="J9" s="278" t="n">
        <f aca="false">J10/J8</f>
        <v>1.43953934740883</v>
      </c>
      <c r="K9" s="278" t="n">
        <f aca="false">K10/K8</f>
        <v>3.07101727447217</v>
      </c>
      <c r="L9" s="278" t="n">
        <f aca="false">L10/L8</f>
        <v>3.45489443378119</v>
      </c>
      <c r="M9" s="278" t="n">
        <f aca="false">M10/M8</f>
        <v>3.6468330134357</v>
      </c>
      <c r="N9" s="278" t="n">
        <f aca="false">N10/N8</f>
        <v>3.7236084452975</v>
      </c>
      <c r="O9" s="278" t="n">
        <f aca="false">O10/O8</f>
        <v>3.7236084452975</v>
      </c>
      <c r="P9" s="278" t="n">
        <f aca="false">P10/P8</f>
        <v>3.7236084452975</v>
      </c>
      <c r="Q9" s="278" t="n">
        <f aca="false">Q10/Q8</f>
        <v>3.7236084452975</v>
      </c>
      <c r="R9" s="278" t="n">
        <f aca="false">R10/R8</f>
        <v>3.7236084452975</v>
      </c>
      <c r="S9" s="278" t="n">
        <f aca="false">S10/S8</f>
        <v>3.7236084452975</v>
      </c>
      <c r="T9" s="278" t="n">
        <f aca="false">T10/T8</f>
        <v>3.7236084452975</v>
      </c>
    </row>
    <row r="10" customFormat="false" ht="12.75" hidden="false" customHeight="false" outlineLevel="0" collapsed="false">
      <c r="A10" s="0" t="s">
        <v>286</v>
      </c>
      <c r="H10" s="67" t="n">
        <f aca="false">+H11/521</f>
        <v>29</v>
      </c>
      <c r="I10" s="67" t="n">
        <f aca="false">+I11/521</f>
        <v>71.9769673704415</v>
      </c>
      <c r="J10" s="67" t="n">
        <f aca="false">+J11/521</f>
        <v>71.9769673704415</v>
      </c>
      <c r="K10" s="67" t="n">
        <f aca="false">+K11/521</f>
        <v>153.550863723608</v>
      </c>
      <c r="L10" s="67" t="n">
        <f aca="false">+L11/521</f>
        <v>172.74472168906</v>
      </c>
      <c r="M10" s="67" t="n">
        <f aca="false">+M11/521</f>
        <v>182.341650671785</v>
      </c>
      <c r="N10" s="67" t="n">
        <f aca="false">+N11/521</f>
        <v>186.180422264875</v>
      </c>
      <c r="O10" s="67" t="n">
        <f aca="false">+O11/521</f>
        <v>186.180422264875</v>
      </c>
      <c r="P10" s="67" t="n">
        <f aca="false">+P11/521</f>
        <v>186.180422264875</v>
      </c>
      <c r="Q10" s="67" t="n">
        <f aca="false">+Q11/521</f>
        <v>186.180422264875</v>
      </c>
      <c r="R10" s="67" t="n">
        <f aca="false">+R11/521</f>
        <v>186.180422264875</v>
      </c>
      <c r="S10" s="67" t="n">
        <f aca="false">+S11/521</f>
        <v>186.180422264875</v>
      </c>
      <c r="T10" s="67" t="n">
        <f aca="false">+T11/521</f>
        <v>186.180422264875</v>
      </c>
    </row>
    <row r="11" customFormat="false" ht="12.75" hidden="false" customHeight="false" outlineLevel="0" collapsed="false">
      <c r="A11" s="0" t="s">
        <v>287</v>
      </c>
      <c r="H11" s="67" t="n">
        <v>15109</v>
      </c>
      <c r="I11" s="67" t="n">
        <f aca="false">75000/2</f>
        <v>37500</v>
      </c>
      <c r="J11" s="67" t="n">
        <f aca="false">+I11</f>
        <v>37500</v>
      </c>
      <c r="K11" s="67" t="n">
        <v>80000</v>
      </c>
      <c r="L11" s="67" t="n">
        <v>90000</v>
      </c>
      <c r="M11" s="67" t="n">
        <v>95000</v>
      </c>
      <c r="N11" s="67" t="n">
        <v>97000</v>
      </c>
      <c r="O11" s="67" t="n">
        <f aca="false">+N11</f>
        <v>97000</v>
      </c>
      <c r="P11" s="67" t="n">
        <f aca="false">+O11</f>
        <v>97000</v>
      </c>
      <c r="Q11" s="67" t="n">
        <f aca="false">+P11</f>
        <v>97000</v>
      </c>
      <c r="R11" s="67" t="n">
        <f aca="false">+Q11</f>
        <v>97000</v>
      </c>
      <c r="S11" s="67" t="n">
        <f aca="false">+R11</f>
        <v>97000</v>
      </c>
      <c r="T11" s="67" t="n">
        <f aca="false">+S11</f>
        <v>97000</v>
      </c>
    </row>
    <row r="12" customFormat="false" ht="12.75" hidden="false" customHeight="false" outlineLevel="0" collapsed="false">
      <c r="H12" s="67"/>
      <c r="I12" s="67"/>
      <c r="J12" s="67"/>
      <c r="K12" s="67"/>
      <c r="L12" s="67"/>
      <c r="M12" s="67"/>
      <c r="N12" s="67"/>
      <c r="O12" s="67"/>
      <c r="P12" s="67"/>
      <c r="Q12" s="67"/>
      <c r="R12" s="67"/>
      <c r="S12" s="67"/>
      <c r="T12" s="67"/>
    </row>
    <row r="13" customFormat="false" ht="12.75" hidden="false" customHeight="false" outlineLevel="0" collapsed="false">
      <c r="A13" s="0" t="s">
        <v>288</v>
      </c>
      <c r="H13" s="279" t="n">
        <v>0.1364</v>
      </c>
      <c r="I13" s="279" t="n">
        <v>0.08</v>
      </c>
      <c r="J13" s="279" t="n">
        <f aca="false">+I13</f>
        <v>0.08</v>
      </c>
      <c r="K13" s="279" t="n">
        <f aca="false">+J13</f>
        <v>0.08</v>
      </c>
      <c r="L13" s="279" t="n">
        <v>0.07</v>
      </c>
      <c r="M13" s="279" t="n">
        <f aca="false">+L13</f>
        <v>0.07</v>
      </c>
      <c r="N13" s="279" t="n">
        <f aca="false">+M13</f>
        <v>0.07</v>
      </c>
      <c r="O13" s="279" t="n">
        <f aca="false">+N13</f>
        <v>0.07</v>
      </c>
      <c r="P13" s="279" t="n">
        <f aca="false">+O13</f>
        <v>0.07</v>
      </c>
      <c r="Q13" s="279" t="n">
        <f aca="false">+P13</f>
        <v>0.07</v>
      </c>
      <c r="R13" s="279" t="n">
        <f aca="false">+Q13</f>
        <v>0.07</v>
      </c>
      <c r="S13" s="279" t="n">
        <f aca="false">+R13</f>
        <v>0.07</v>
      </c>
      <c r="T13" s="279" t="n">
        <f aca="false">+S13</f>
        <v>0.07</v>
      </c>
    </row>
    <row r="14" customFormat="false" ht="12.75" hidden="false" customHeight="false" outlineLevel="0" collapsed="false">
      <c r="D14" s="299"/>
      <c r="E14" s="299"/>
      <c r="F14" s="299"/>
      <c r="G14" s="299"/>
      <c r="H14" s="299"/>
      <c r="I14" s="299"/>
      <c r="J14" s="299"/>
      <c r="K14" s="299"/>
      <c r="L14" s="299"/>
      <c r="M14" s="299"/>
      <c r="N14" s="299"/>
      <c r="O14" s="299"/>
      <c r="P14" s="299"/>
      <c r="Q14" s="299"/>
      <c r="R14" s="299"/>
      <c r="S14" s="299"/>
      <c r="T14" s="299"/>
      <c r="U14" s="299"/>
    </row>
    <row r="15" customFormat="false" ht="12.75" hidden="false" customHeight="false" outlineLevel="0" collapsed="false">
      <c r="A15" s="0" t="s">
        <v>321</v>
      </c>
      <c r="H15" s="280" t="n">
        <f aca="false">+H11*H13</f>
        <v>2060.8676</v>
      </c>
      <c r="I15" s="280" t="n">
        <f aca="false">+I11*I13</f>
        <v>3000</v>
      </c>
      <c r="J15" s="280" t="n">
        <f aca="false">+J11*J13</f>
        <v>3000</v>
      </c>
      <c r="K15" s="280" t="n">
        <f aca="false">+K11*K13</f>
        <v>6400</v>
      </c>
      <c r="L15" s="280" t="n">
        <f aca="false">+L11*L13</f>
        <v>6300</v>
      </c>
      <c r="M15" s="280" t="n">
        <f aca="false">+M11*M13</f>
        <v>6650</v>
      </c>
      <c r="N15" s="280" t="n">
        <f aca="false">+N11*N13</f>
        <v>6790</v>
      </c>
      <c r="O15" s="280" t="n">
        <f aca="false">+O11*O13</f>
        <v>6790</v>
      </c>
      <c r="P15" s="280" t="n">
        <f aca="false">+P11*P13</f>
        <v>6790</v>
      </c>
      <c r="Q15" s="280" t="n">
        <f aca="false">+Q11*Q13</f>
        <v>6790</v>
      </c>
      <c r="R15" s="280" t="n">
        <f aca="false">+R11*R13</f>
        <v>6790</v>
      </c>
      <c r="S15" s="280" t="n">
        <f aca="false">+S11*S13</f>
        <v>6790</v>
      </c>
      <c r="T15" s="280" t="n">
        <f aca="false">+T11*T13</f>
        <v>6790</v>
      </c>
      <c r="U15" s="280"/>
    </row>
    <row r="16" customFormat="false" ht="12.75" hidden="false" customHeight="false" outlineLevel="0" collapsed="false">
      <c r="A16" s="0" t="s">
        <v>322</v>
      </c>
      <c r="D16" s="281" t="n">
        <f aca="false">+D19</f>
        <v>0.04</v>
      </c>
      <c r="E16" s="284"/>
      <c r="F16" s="284"/>
      <c r="H16" s="282" t="n">
        <v>-1592</v>
      </c>
      <c r="I16" s="282" t="n">
        <f aca="false">-1690/2</f>
        <v>-845</v>
      </c>
      <c r="J16" s="282" t="n">
        <f aca="false">-1690/2</f>
        <v>-845</v>
      </c>
      <c r="K16" s="282" t="n">
        <v>-1741</v>
      </c>
      <c r="L16" s="282" t="n">
        <f aca="false">K16*(1+$D$19)</f>
        <v>-1810.64</v>
      </c>
      <c r="M16" s="282" t="n">
        <f aca="false">L16*(1+$D$19)</f>
        <v>-1883.0656</v>
      </c>
      <c r="N16" s="282" t="n">
        <f aca="false">M16*(1+$D$19)</f>
        <v>-1958.388224</v>
      </c>
      <c r="O16" s="282" t="n">
        <f aca="false">N16*(1+$D$19)</f>
        <v>-2036.72375296</v>
      </c>
      <c r="P16" s="282" t="n">
        <f aca="false">O16*(1+$D$19)</f>
        <v>-2118.1927030784</v>
      </c>
      <c r="Q16" s="282" t="n">
        <f aca="false">P16*(1+$D$19)</f>
        <v>-2202.92041120154</v>
      </c>
      <c r="R16" s="282" t="n">
        <f aca="false">Q16*(1+$D$19)</f>
        <v>-2291.0372276496</v>
      </c>
      <c r="S16" s="282" t="n">
        <f aca="false">R16*(1+$D$19)</f>
        <v>-2382.67871675558</v>
      </c>
      <c r="T16" s="282" t="n">
        <f aca="false">S16*(1+$D$19)</f>
        <v>-2477.98586542581</v>
      </c>
      <c r="U16" s="280"/>
    </row>
    <row r="17" customFormat="false" ht="12.75" hidden="false" customHeight="false" outlineLevel="0" collapsed="false">
      <c r="A17" s="0" t="s">
        <v>292</v>
      </c>
      <c r="H17" s="280" t="n">
        <f aca="false">SUM(H15:H16)</f>
        <v>468.8676</v>
      </c>
      <c r="I17" s="280" t="n">
        <f aca="false">SUM(I15:I16)</f>
        <v>2155</v>
      </c>
      <c r="J17" s="280" t="n">
        <f aca="false">SUM(J15:J16)</f>
        <v>2155</v>
      </c>
      <c r="K17" s="280" t="n">
        <f aca="false">SUM(K15:K16)</f>
        <v>4659</v>
      </c>
      <c r="L17" s="280" t="n">
        <f aca="false">SUM(L15:L16)</f>
        <v>4489.36</v>
      </c>
      <c r="M17" s="280" t="n">
        <f aca="false">SUM(M15:M16)</f>
        <v>4766.9344</v>
      </c>
      <c r="N17" s="280" t="n">
        <f aca="false">SUM(N15:N16)</f>
        <v>4831.611776</v>
      </c>
      <c r="O17" s="280" t="n">
        <f aca="false">SUM(O15:O16)</f>
        <v>4753.27624704</v>
      </c>
      <c r="P17" s="280" t="n">
        <f aca="false">SUM(P15:P16)</f>
        <v>4671.8072969216</v>
      </c>
      <c r="Q17" s="280" t="n">
        <f aca="false">SUM(Q15:Q16)</f>
        <v>4587.07958879846</v>
      </c>
      <c r="R17" s="280" t="n">
        <f aca="false">SUM(R15:R16)</f>
        <v>4498.9627723504</v>
      </c>
      <c r="S17" s="280" t="n">
        <f aca="false">SUM(S15:S16)</f>
        <v>4407.32128324442</v>
      </c>
      <c r="T17" s="280" t="n">
        <f aca="false">SUM(T15:T16)</f>
        <v>4312.0141345742</v>
      </c>
      <c r="U17" s="280"/>
    </row>
    <row r="18" customFormat="false" ht="12.75" hidden="false" customHeight="false" outlineLevel="0" collapsed="false">
      <c r="H18" s="280"/>
      <c r="I18" s="280"/>
      <c r="J18" s="280"/>
      <c r="K18" s="280"/>
      <c r="L18" s="280"/>
      <c r="M18" s="280"/>
      <c r="N18" s="280"/>
      <c r="O18" s="280"/>
      <c r="P18" s="280"/>
      <c r="Q18" s="280"/>
      <c r="R18" s="280"/>
      <c r="S18" s="280"/>
      <c r="T18" s="280"/>
      <c r="U18" s="280"/>
    </row>
    <row r="19" customFormat="false" ht="12.75" hidden="false" customHeight="false" outlineLevel="0" collapsed="false">
      <c r="A19" s="0" t="s">
        <v>323</v>
      </c>
      <c r="D19" s="281" t="n">
        <f aca="false">'Sea-3 NH '!D20</f>
        <v>0.04</v>
      </c>
      <c r="E19" s="284"/>
      <c r="F19" s="284"/>
      <c r="H19" s="300" t="n">
        <v>-94</v>
      </c>
      <c r="I19" s="300" t="n">
        <f aca="false">-190/2</f>
        <v>-95</v>
      </c>
      <c r="J19" s="300" t="n">
        <f aca="false">-190/2</f>
        <v>-95</v>
      </c>
      <c r="K19" s="300" t="n">
        <v>-196</v>
      </c>
      <c r="L19" s="300" t="n">
        <f aca="false">K19*(1+$D$19)</f>
        <v>-203.84</v>
      </c>
      <c r="M19" s="300" t="n">
        <f aca="false">L19*(1+$D$19)</f>
        <v>-211.9936</v>
      </c>
      <c r="N19" s="300" t="n">
        <f aca="false">M19*(1+$D$19)</f>
        <v>-220.473344</v>
      </c>
      <c r="O19" s="300" t="n">
        <f aca="false">N19*(1+$D$19)</f>
        <v>-229.29227776</v>
      </c>
      <c r="P19" s="300" t="n">
        <f aca="false">O19*(1+$D$19)</f>
        <v>-238.4639688704</v>
      </c>
      <c r="Q19" s="300" t="n">
        <f aca="false">P19*(1+$D$19)</f>
        <v>-248.002527625216</v>
      </c>
      <c r="R19" s="300" t="n">
        <f aca="false">Q19*(1+$D$19)</f>
        <v>-257.922628730225</v>
      </c>
      <c r="S19" s="300" t="n">
        <f aca="false">R19*(1+$D$19)</f>
        <v>-268.239533879434</v>
      </c>
      <c r="T19" s="300" t="n">
        <f aca="false">S19*(1+$D$19)</f>
        <v>-278.969115234611</v>
      </c>
      <c r="U19" s="280"/>
    </row>
    <row r="20" customFormat="false" ht="12.75" hidden="false" customHeight="false" outlineLevel="0" collapsed="false">
      <c r="A20" s="0" t="s">
        <v>324</v>
      </c>
      <c r="D20" s="284"/>
      <c r="E20" s="284"/>
      <c r="F20" s="284"/>
      <c r="H20" s="282" t="n">
        <v>0</v>
      </c>
      <c r="I20" s="282" t="n">
        <f aca="false">-100/2</f>
        <v>-50</v>
      </c>
      <c r="J20" s="282" t="n">
        <f aca="false">-100/2</f>
        <v>-50</v>
      </c>
      <c r="K20" s="282" t="n">
        <f aca="false">-100</f>
        <v>-100</v>
      </c>
      <c r="L20" s="282" t="n">
        <f aca="false">K20*(1+$D$19)</f>
        <v>-104</v>
      </c>
      <c r="M20" s="282" t="n">
        <f aca="false">L20*(1+$D$19)</f>
        <v>-108.16</v>
      </c>
      <c r="N20" s="282" t="n">
        <f aca="false">M20*(1+$D$19)</f>
        <v>-112.4864</v>
      </c>
      <c r="O20" s="282" t="n">
        <f aca="false">N20*(1+$D$19)</f>
        <v>-116.985856</v>
      </c>
      <c r="P20" s="282" t="n">
        <f aca="false">O20*(1+$D$19)</f>
        <v>-121.66529024</v>
      </c>
      <c r="Q20" s="282" t="n">
        <f aca="false">P20*(1+$D$19)</f>
        <v>-126.5319018496</v>
      </c>
      <c r="R20" s="282" t="n">
        <f aca="false">Q20*(1+$D$19)</f>
        <v>-131.593177923584</v>
      </c>
      <c r="S20" s="282" t="n">
        <f aca="false">R20*(1+$D$19)</f>
        <v>-136.856905040527</v>
      </c>
      <c r="T20" s="282" t="n">
        <f aca="false">S20*(1+$D$19)</f>
        <v>-142.331181242149</v>
      </c>
      <c r="U20" s="280"/>
    </row>
    <row r="21" customFormat="false" ht="12.75" hidden="false" customHeight="false" outlineLevel="0" collapsed="false">
      <c r="A21" s="0" t="s">
        <v>68</v>
      </c>
      <c r="H21" s="280" t="n">
        <f aca="false">SUM(H17:H20)</f>
        <v>374.8676</v>
      </c>
      <c r="I21" s="280" t="n">
        <f aca="false">SUM(I17:I20)</f>
        <v>2010</v>
      </c>
      <c r="J21" s="280" t="n">
        <f aca="false">SUM(J17:J20)</f>
        <v>2010</v>
      </c>
      <c r="K21" s="280" t="n">
        <f aca="false">SUM(K17:K20)</f>
        <v>4363</v>
      </c>
      <c r="L21" s="280" t="n">
        <f aca="false">SUM(L17:L20)</f>
        <v>4181.52</v>
      </c>
      <c r="M21" s="280" t="n">
        <f aca="false">SUM(M17:M20)</f>
        <v>4446.7808</v>
      </c>
      <c r="N21" s="280" t="n">
        <f aca="false">SUM(N17:N20)</f>
        <v>4498.652032</v>
      </c>
      <c r="O21" s="280" t="n">
        <f aca="false">SUM(O17:O20)</f>
        <v>4406.99811328</v>
      </c>
      <c r="P21" s="280" t="n">
        <f aca="false">SUM(P17:P20)</f>
        <v>4311.6780378112</v>
      </c>
      <c r="Q21" s="280" t="n">
        <f aca="false">SUM(Q17:Q20)</f>
        <v>4212.54515932365</v>
      </c>
      <c r="R21" s="280" t="n">
        <f aca="false">SUM(R17:R20)</f>
        <v>4109.4469656966</v>
      </c>
      <c r="S21" s="280" t="n">
        <f aca="false">SUM(S17:S20)</f>
        <v>4002.22484432446</v>
      </c>
      <c r="T21" s="280" t="n">
        <f aca="false">SUM(T17:T20)</f>
        <v>3890.71383809744</v>
      </c>
      <c r="U21" s="280"/>
    </row>
    <row r="22" customFormat="false" ht="12.75" hidden="false" customHeight="false" outlineLevel="0" collapsed="false">
      <c r="H22" s="280"/>
      <c r="I22" s="280"/>
      <c r="J22" s="280"/>
      <c r="K22" s="280"/>
      <c r="L22" s="280"/>
      <c r="M22" s="280"/>
      <c r="N22" s="280"/>
      <c r="O22" s="280"/>
      <c r="P22" s="280"/>
      <c r="Q22" s="280"/>
      <c r="R22" s="280"/>
      <c r="S22" s="280"/>
      <c r="T22" s="280"/>
      <c r="U22" s="280"/>
    </row>
    <row r="23" customFormat="false" ht="12.75" hidden="false" customHeight="false" outlineLevel="0" collapsed="false">
      <c r="A23" s="0" t="s">
        <v>325</v>
      </c>
      <c r="H23" s="280"/>
      <c r="I23" s="280"/>
      <c r="J23" s="285" t="n">
        <f aca="false">-Dep!F115*0.5</f>
        <v>-404.51437542795</v>
      </c>
      <c r="K23" s="285" t="n">
        <f aca="false">-Dep!G115</f>
        <v>-817.362084189234</v>
      </c>
      <c r="L23" s="285" t="n">
        <f aca="false">-Dep!H115</f>
        <v>-825.695417522567</v>
      </c>
      <c r="M23" s="285" t="n">
        <f aca="false">-Dep!I115</f>
        <v>-834.028750855901</v>
      </c>
      <c r="N23" s="285" t="n">
        <f aca="false">-Dep!J115</f>
        <v>-842.362084189234</v>
      </c>
      <c r="O23" s="285" t="n">
        <f aca="false">-Dep!K115</f>
        <v>-850.695417522567</v>
      </c>
      <c r="P23" s="285" t="n">
        <f aca="false">-Dep!L115</f>
        <v>-859.028750855901</v>
      </c>
      <c r="Q23" s="285" t="n">
        <f aca="false">-Dep!M115</f>
        <v>-867.362084189234</v>
      </c>
      <c r="R23" s="285" t="n">
        <f aca="false">-Dep!N115</f>
        <v>-875.695417522567</v>
      </c>
      <c r="S23" s="285" t="n">
        <f aca="false">-Dep!O115</f>
        <v>-884.028750855901</v>
      </c>
      <c r="T23" s="285" t="n">
        <f aca="false">-Dep!P115</f>
        <v>-892.362084189234</v>
      </c>
      <c r="U23" s="280"/>
    </row>
    <row r="24" customFormat="false" ht="12.75" hidden="false" customHeight="false" outlineLevel="0" collapsed="false">
      <c r="A24" s="0" t="s">
        <v>176</v>
      </c>
      <c r="H24" s="280"/>
      <c r="I24" s="280"/>
      <c r="J24" s="280" t="n">
        <f aca="false">+J21+J23</f>
        <v>1605.48562457205</v>
      </c>
      <c r="K24" s="280" t="n">
        <f aca="false">+K21+K23</f>
        <v>3545.63791581077</v>
      </c>
      <c r="L24" s="280" t="n">
        <f aca="false">+L21+L23</f>
        <v>3355.82458247743</v>
      </c>
      <c r="M24" s="280" t="n">
        <f aca="false">+M21+M23</f>
        <v>3612.7520491441</v>
      </c>
      <c r="N24" s="280" t="n">
        <f aca="false">+N21+N23</f>
        <v>3656.28994781077</v>
      </c>
      <c r="O24" s="280" t="n">
        <f aca="false">+O21+O23</f>
        <v>3556.30269575743</v>
      </c>
      <c r="P24" s="280" t="n">
        <f aca="false">+P21+P23</f>
        <v>3452.6492869553</v>
      </c>
      <c r="Q24" s="280" t="n">
        <f aca="false">+Q21+Q23</f>
        <v>3345.18307513441</v>
      </c>
      <c r="R24" s="280" t="n">
        <f aca="false">+R21+R23</f>
        <v>3233.75154817403</v>
      </c>
      <c r="S24" s="280" t="n">
        <f aca="false">+S21+S23</f>
        <v>3118.19609346856</v>
      </c>
      <c r="T24" s="280" t="n">
        <f aca="false">+T21+T23</f>
        <v>2998.3517539082</v>
      </c>
      <c r="U24" s="280"/>
    </row>
    <row r="25" customFormat="false" ht="12.75" hidden="false" customHeight="false" outlineLevel="0" collapsed="false">
      <c r="H25" s="280"/>
      <c r="I25" s="280"/>
      <c r="J25" s="280"/>
      <c r="K25" s="280"/>
      <c r="L25" s="280"/>
      <c r="M25" s="280"/>
      <c r="N25" s="280"/>
      <c r="O25" s="280"/>
      <c r="P25" s="280"/>
      <c r="Q25" s="280"/>
      <c r="R25" s="280"/>
      <c r="S25" s="280"/>
      <c r="T25" s="280"/>
      <c r="U25" s="280"/>
    </row>
    <row r="26" customFormat="false" ht="12.75" hidden="false" customHeight="false" outlineLevel="0" collapsed="false">
      <c r="A26" s="0" t="s">
        <v>326</v>
      </c>
      <c r="H26" s="280"/>
      <c r="I26" s="280"/>
      <c r="J26" s="301" t="n">
        <f aca="false">-J24*Assumptions!$B$8</f>
        <v>-561.919968600217</v>
      </c>
      <c r="K26" s="301" t="n">
        <f aca="false">-K24*Assumptions!$B$8</f>
        <v>-1240.97327053377</v>
      </c>
      <c r="L26" s="301" t="n">
        <f aca="false">-L24*Assumptions!$B$8</f>
        <v>-1174.5386038671</v>
      </c>
      <c r="M26" s="301" t="n">
        <f aca="false">-M24*Assumptions!$B$8</f>
        <v>-1264.46321720044</v>
      </c>
      <c r="N26" s="301" t="n">
        <f aca="false">-N24*Assumptions!$B$8</f>
        <v>-1279.70148173377</v>
      </c>
      <c r="O26" s="301" t="n">
        <f aca="false">-O24*Assumptions!$B$8</f>
        <v>-1244.7059435151</v>
      </c>
      <c r="P26" s="301" t="n">
        <f aca="false">-P24*Assumptions!$B$8</f>
        <v>-1208.42725043436</v>
      </c>
      <c r="Q26" s="301" t="n">
        <f aca="false">-Q24*Assumptions!$B$8</f>
        <v>-1170.81407629704</v>
      </c>
      <c r="R26" s="301" t="n">
        <f aca="false">-R24*Assumptions!$B$8</f>
        <v>-1131.81304186091</v>
      </c>
      <c r="S26" s="301" t="n">
        <f aca="false">-S24*Assumptions!$B$8</f>
        <v>-1091.36863271399</v>
      </c>
      <c r="T26" s="301" t="n">
        <f aca="false">-T24*Assumptions!$B$8</f>
        <v>-1049.42311386787</v>
      </c>
      <c r="U26" s="280"/>
    </row>
    <row r="27" customFormat="false" ht="12.75" hidden="false" customHeight="false" outlineLevel="0" collapsed="false">
      <c r="A27" s="0" t="s">
        <v>327</v>
      </c>
      <c r="H27" s="280"/>
      <c r="I27" s="280"/>
      <c r="J27" s="301" t="n">
        <f aca="false">+Dep!F118*0.5</f>
        <v>465.373563211086</v>
      </c>
      <c r="K27" s="301" t="n">
        <f aca="false">+Dep!G118</f>
        <v>1806.80400192217</v>
      </c>
      <c r="L27" s="301" t="n">
        <f aca="false">+Dep!H118</f>
        <v>1230.67995337642</v>
      </c>
      <c r="M27" s="301" t="n">
        <f aca="false">+Dep!I118</f>
        <v>818.326942510406</v>
      </c>
      <c r="N27" s="301" t="n">
        <f aca="false">+Dep!J118</f>
        <v>523.924078773803</v>
      </c>
      <c r="O27" s="301" t="n">
        <f aca="false">+Dep!K118</f>
        <v>527.971681918738</v>
      </c>
      <c r="P27" s="301" t="n">
        <f aca="false">+Dep!L118</f>
        <v>533.70949544047</v>
      </c>
      <c r="Q27" s="301" t="n">
        <f aca="false">+Dep!M118</f>
        <v>158.888934559586</v>
      </c>
      <c r="R27" s="301" t="n">
        <f aca="false">+Dep!N118</f>
        <v>-218.993396132899</v>
      </c>
      <c r="S27" s="301" t="n">
        <f aca="false">+Dep!O118</f>
        <v>-221.910062799565</v>
      </c>
      <c r="T27" s="301" t="n">
        <f aca="false">+Dep!P118</f>
        <v>-224.826729466232</v>
      </c>
      <c r="U27" s="280"/>
    </row>
    <row r="28" customFormat="false" ht="12.75" hidden="false" customHeight="false" outlineLevel="0" collapsed="false">
      <c r="A28" s="0" t="s">
        <v>328</v>
      </c>
      <c r="H28" s="280"/>
      <c r="I28" s="280"/>
      <c r="J28" s="301" t="n">
        <f aca="false">+J23*-1</f>
        <v>404.51437542795</v>
      </c>
      <c r="K28" s="301" t="n">
        <f aca="false">+K23*-1</f>
        <v>817.362084189234</v>
      </c>
      <c r="L28" s="301" t="n">
        <f aca="false">+L23*-1</f>
        <v>825.695417522567</v>
      </c>
      <c r="M28" s="301" t="n">
        <f aca="false">+M23*-1</f>
        <v>834.028750855901</v>
      </c>
      <c r="N28" s="301" t="n">
        <f aca="false">+N23*-1</f>
        <v>842.362084189234</v>
      </c>
      <c r="O28" s="301" t="n">
        <f aca="false">+O23*-1</f>
        <v>850.695417522567</v>
      </c>
      <c r="P28" s="301" t="n">
        <f aca="false">+P23*-1</f>
        <v>859.028750855901</v>
      </c>
      <c r="Q28" s="301" t="n">
        <f aca="false">+Q23*-1</f>
        <v>867.362084189234</v>
      </c>
      <c r="R28" s="301" t="n">
        <f aca="false">+R23*-1</f>
        <v>875.695417522567</v>
      </c>
      <c r="S28" s="301" t="n">
        <f aca="false">+S23*-1</f>
        <v>884.028750855901</v>
      </c>
      <c r="T28" s="301" t="n">
        <f aca="false">+T23*-1</f>
        <v>892.362084189234</v>
      </c>
      <c r="U28" s="280"/>
    </row>
    <row r="29" customFormat="false" ht="12.75" hidden="false" customHeight="false" outlineLevel="0" collapsed="false">
      <c r="A29" s="0" t="s">
        <v>329</v>
      </c>
      <c r="H29" s="280"/>
      <c r="I29" s="280"/>
      <c r="J29" s="301" t="n">
        <f aca="false">+'Valuation - DCF'!L51/2</f>
        <v>-125</v>
      </c>
      <c r="K29" s="301" t="n">
        <f aca="false">+'Valuation - DCF'!M51/2</f>
        <v>-250</v>
      </c>
      <c r="L29" s="301" t="n">
        <f aca="false">+'Valuation - DCF'!N51/2</f>
        <v>-250</v>
      </c>
      <c r="M29" s="301" t="n">
        <f aca="false">+'Valuation - DCF'!O51/2</f>
        <v>-250</v>
      </c>
      <c r="N29" s="301" t="n">
        <f aca="false">+'Valuation - DCF'!P51/2</f>
        <v>-250</v>
      </c>
      <c r="O29" s="301" t="n">
        <f aca="false">N29</f>
        <v>-250</v>
      </c>
      <c r="P29" s="301" t="n">
        <f aca="false">O29</f>
        <v>-250</v>
      </c>
      <c r="Q29" s="301" t="n">
        <f aca="false">P29</f>
        <v>-250</v>
      </c>
      <c r="R29" s="301" t="n">
        <f aca="false">Q29</f>
        <v>-250</v>
      </c>
      <c r="S29" s="301" t="n">
        <f aca="false">R29</f>
        <v>-250</v>
      </c>
      <c r="T29" s="301" t="n">
        <f aca="false">S29</f>
        <v>-250</v>
      </c>
      <c r="U29" s="280"/>
    </row>
    <row r="30" customFormat="false" ht="12.75" hidden="false" customHeight="false" outlineLevel="0" collapsed="false">
      <c r="A30" s="0" t="s">
        <v>330</v>
      </c>
      <c r="H30" s="280"/>
      <c r="I30" s="280"/>
      <c r="J30" s="285" t="n">
        <f aca="false">+J53</f>
        <v>0</v>
      </c>
      <c r="K30" s="285" t="n">
        <f aca="false">+K53</f>
        <v>-722.983257229835</v>
      </c>
      <c r="L30" s="285" t="n">
        <f aca="false">+L53</f>
        <v>228.310502283104</v>
      </c>
      <c r="M30" s="285" t="n">
        <f aca="false">+M53</f>
        <v>-799.086757990868</v>
      </c>
      <c r="N30" s="285" t="n">
        <f aca="false">+N53</f>
        <v>-319.634703196347</v>
      </c>
      <c r="O30" s="285" t="n">
        <f aca="false">+O53</f>
        <v>0</v>
      </c>
      <c r="P30" s="285" t="n">
        <f aca="false">+P53</f>
        <v>0</v>
      </c>
      <c r="Q30" s="285" t="n">
        <f aca="false">+Q53</f>
        <v>0</v>
      </c>
      <c r="R30" s="285" t="n">
        <f aca="false">+R53</f>
        <v>0</v>
      </c>
      <c r="S30" s="285" t="n">
        <f aca="false">+S53</f>
        <v>0</v>
      </c>
      <c r="T30" s="285" t="n">
        <f aca="false">+T53</f>
        <v>0</v>
      </c>
      <c r="U30" s="280"/>
    </row>
    <row r="31" customFormat="false" ht="12.75" hidden="false" customHeight="false" outlineLevel="0" collapsed="false">
      <c r="A31" s="0" t="s">
        <v>162</v>
      </c>
      <c r="I31" s="66" t="n">
        <v>0</v>
      </c>
      <c r="J31" s="302" t="n">
        <f aca="false">SUM(J24:J30)</f>
        <v>1788.45359461087</v>
      </c>
      <c r="K31" s="302" t="n">
        <f aca="false">SUM(K24:K30)</f>
        <v>3955.84747415857</v>
      </c>
      <c r="L31" s="302" t="n">
        <f aca="false">SUM(L24:L30)</f>
        <v>4215.97185179242</v>
      </c>
      <c r="M31" s="302" t="n">
        <f aca="false">SUM(M24:M30)</f>
        <v>2951.5577673191</v>
      </c>
      <c r="N31" s="302" t="n">
        <f aca="false">SUM(N24:N30)</f>
        <v>3173.23992584369</v>
      </c>
      <c r="O31" s="302" t="n">
        <f aca="false">SUM(O24:O30)</f>
        <v>3440.26385168364</v>
      </c>
      <c r="P31" s="302" t="n">
        <f aca="false">SUM(P24:P30)</f>
        <v>3386.96028281732</v>
      </c>
      <c r="Q31" s="302" t="n">
        <f aca="false">SUM(Q24:Q30)</f>
        <v>2950.62001758619</v>
      </c>
      <c r="R31" s="302" t="n">
        <f aca="false">SUM(R24:R30)</f>
        <v>2508.64052770279</v>
      </c>
      <c r="S31" s="302" t="n">
        <f aca="false">SUM(S24:S30)</f>
        <v>2438.9461488109</v>
      </c>
      <c r="T31" s="302" t="n">
        <f aca="false">SUM(T24:T30)</f>
        <v>2366.46399476333</v>
      </c>
      <c r="U31" s="302" t="n">
        <f aca="false">+T21*D35</f>
        <v>23344.2830285846</v>
      </c>
    </row>
    <row r="33" customFormat="false" ht="12.75" hidden="false" customHeight="false" outlineLevel="0" collapsed="false">
      <c r="B33" s="303"/>
      <c r="C33" s="303"/>
      <c r="D33" s="303"/>
      <c r="E33" s="303"/>
      <c r="F33" s="303"/>
      <c r="G33" s="290"/>
      <c r="H33" s="291"/>
      <c r="I33" s="291"/>
      <c r="J33" s="291"/>
      <c r="K33" s="291"/>
      <c r="L33" s="291"/>
      <c r="M33" s="291"/>
      <c r="N33" s="291"/>
      <c r="O33" s="291"/>
      <c r="P33" s="291"/>
      <c r="Q33" s="291"/>
      <c r="R33" s="291"/>
      <c r="S33" s="291"/>
      <c r="T33" s="291"/>
    </row>
    <row r="34" customFormat="false" ht="12.75" hidden="false" customHeight="false" outlineLevel="0" collapsed="false">
      <c r="C34" s="288" t="str">
        <f aca="false">"NPV@"&amp;(Assumptions!$B$6*100)&amp;"%"</f>
        <v>NPV@11%</v>
      </c>
      <c r="D34" s="289" t="n">
        <f aca="false">XNPV(Assumptions!$B$6,I31:U31,I7:U7)</f>
        <v>27883.4759977148</v>
      </c>
      <c r="E34" s="289"/>
      <c r="F34" s="289"/>
      <c r="G34" s="290"/>
      <c r="H34" s="291"/>
      <c r="I34" s="291"/>
      <c r="J34" s="291"/>
      <c r="K34" s="291"/>
      <c r="L34" s="291"/>
      <c r="M34" s="291"/>
      <c r="N34" s="291"/>
      <c r="O34" s="291"/>
      <c r="P34" s="291"/>
      <c r="Q34" s="291"/>
      <c r="R34" s="291"/>
      <c r="S34" s="291"/>
      <c r="T34" s="291"/>
    </row>
    <row r="35" customFormat="false" ht="12.75" hidden="false" customHeight="false" outlineLevel="0" collapsed="false">
      <c r="C35" s="288" t="s">
        <v>300</v>
      </c>
      <c r="D35" s="292" t="n">
        <f aca="false">Assumptions!$B$7</f>
        <v>6</v>
      </c>
      <c r="E35" s="292"/>
      <c r="F35" s="292"/>
      <c r="H35" s="291"/>
      <c r="I35" s="291"/>
      <c r="J35" s="304"/>
      <c r="K35" s="291"/>
      <c r="L35" s="291"/>
      <c r="M35" s="291"/>
      <c r="N35" s="291"/>
      <c r="O35" s="291"/>
      <c r="P35" s="291"/>
      <c r="Q35" s="291"/>
      <c r="R35" s="291"/>
      <c r="S35" s="291"/>
      <c r="T35" s="291"/>
    </row>
    <row r="37" customFormat="false" ht="12.75" hidden="false" customHeight="false" outlineLevel="0" collapsed="false">
      <c r="H37" s="280"/>
      <c r="I37" s="280"/>
    </row>
    <row r="38" customFormat="false" ht="12.75" hidden="false" customHeight="false" outlineLevel="0" collapsed="false">
      <c r="B38" s="87" t="s">
        <v>303</v>
      </c>
      <c r="H38" s="293"/>
      <c r="I38" s="293"/>
    </row>
    <row r="40" customFormat="false" ht="12.75" hidden="false" customHeight="false" outlineLevel="0" collapsed="false">
      <c r="H40" s="275" t="n">
        <v>36891</v>
      </c>
      <c r="I40" s="275" t="n">
        <v>37073</v>
      </c>
      <c r="J40" s="275" t="n">
        <v>37256</v>
      </c>
      <c r="K40" s="275" t="n">
        <v>37621</v>
      </c>
      <c r="L40" s="275" t="n">
        <v>37986</v>
      </c>
      <c r="M40" s="275" t="n">
        <v>38352</v>
      </c>
      <c r="N40" s="275" t="n">
        <v>38717</v>
      </c>
      <c r="O40" s="275" t="n">
        <v>39082</v>
      </c>
      <c r="P40" s="275" t="n">
        <v>39447</v>
      </c>
      <c r="Q40" s="275" t="n">
        <v>39813</v>
      </c>
      <c r="R40" s="275" t="n">
        <v>40178</v>
      </c>
      <c r="S40" s="275" t="n">
        <v>40543</v>
      </c>
      <c r="T40" s="275" t="n">
        <v>40908</v>
      </c>
      <c r="U40" s="275" t="n">
        <v>40909</v>
      </c>
    </row>
    <row r="41" customFormat="false" ht="12.75" hidden="false" customHeight="false" outlineLevel="0" collapsed="false">
      <c r="A41" s="0" t="s">
        <v>304</v>
      </c>
      <c r="H41" s="127" t="n">
        <f aca="false">+H15</f>
        <v>2060.8676</v>
      </c>
      <c r="I41" s="127" t="n">
        <f aca="false">+I15</f>
        <v>3000</v>
      </c>
      <c r="J41" s="127" t="n">
        <f aca="false">+J15</f>
        <v>3000</v>
      </c>
      <c r="K41" s="127" t="n">
        <f aca="false">+K15</f>
        <v>6400</v>
      </c>
      <c r="L41" s="127" t="n">
        <f aca="false">+L15</f>
        <v>6300</v>
      </c>
      <c r="M41" s="127" t="n">
        <f aca="false">+M15</f>
        <v>6650</v>
      </c>
      <c r="N41" s="127" t="n">
        <f aca="false">+N15</f>
        <v>6790</v>
      </c>
      <c r="O41" s="127" t="n">
        <f aca="false">+O15</f>
        <v>6790</v>
      </c>
      <c r="P41" s="127" t="n">
        <f aca="false">+P15</f>
        <v>6790</v>
      </c>
      <c r="Q41" s="127" t="n">
        <f aca="false">+Q15</f>
        <v>6790</v>
      </c>
      <c r="R41" s="127" t="n">
        <f aca="false">+R15</f>
        <v>6790</v>
      </c>
      <c r="S41" s="127" t="n">
        <f aca="false">+S15</f>
        <v>6790</v>
      </c>
    </row>
    <row r="43" customFormat="false" ht="12.75" hidden="false" customHeight="false" outlineLevel="0" collapsed="false">
      <c r="A43" s="294" t="n">
        <v>0.075</v>
      </c>
      <c r="B43" s="0" t="s">
        <v>305</v>
      </c>
      <c r="H43" s="127" t="n">
        <f aca="false">+H41/$A$43</f>
        <v>27478.2346666667</v>
      </c>
      <c r="I43" s="127" t="n">
        <f aca="false">+I41/$A$43</f>
        <v>40000</v>
      </c>
      <c r="J43" s="127" t="n">
        <f aca="false">+J41/$A$43</f>
        <v>40000</v>
      </c>
      <c r="K43" s="127" t="n">
        <f aca="false">+K41/$A$43</f>
        <v>85333.3333333333</v>
      </c>
      <c r="L43" s="127" t="n">
        <f aca="false">+L41/$A$43</f>
        <v>84000</v>
      </c>
      <c r="M43" s="127" t="n">
        <f aca="false">+M41/$A$43</f>
        <v>88666.6666666667</v>
      </c>
      <c r="N43" s="127" t="n">
        <f aca="false">+N41/$A$43</f>
        <v>90533.3333333333</v>
      </c>
      <c r="O43" s="127" t="n">
        <f aca="false">+O41/$A$43</f>
        <v>90533.3333333333</v>
      </c>
      <c r="P43" s="127" t="n">
        <f aca="false">+P41/$A$43</f>
        <v>90533.3333333333</v>
      </c>
      <c r="Q43" s="127" t="n">
        <f aca="false">+Q41/$A$43</f>
        <v>90533.3333333333</v>
      </c>
      <c r="R43" s="127" t="n">
        <f aca="false">+R41/$A$43</f>
        <v>90533.3333333333</v>
      </c>
      <c r="S43" s="127" t="n">
        <f aca="false">+S41/$A$43</f>
        <v>90533.3333333333</v>
      </c>
    </row>
    <row r="44" customFormat="false" ht="12.75" hidden="false" customHeight="false" outlineLevel="0" collapsed="false">
      <c r="B44" s="0" t="s">
        <v>306</v>
      </c>
      <c r="H44" s="295" t="n">
        <f aca="false">-H43*(1-$A$43)</f>
        <v>-25417.3670666667</v>
      </c>
      <c r="I44" s="295" t="n">
        <f aca="false">-I43*(1-$A$43)</f>
        <v>-37000</v>
      </c>
      <c r="J44" s="295" t="n">
        <f aca="false">-J43*(1-$A$43)</f>
        <v>-37000</v>
      </c>
      <c r="K44" s="295" t="n">
        <f aca="false">-K43*(1-$A$43)</f>
        <v>-78933.3333333333</v>
      </c>
      <c r="L44" s="295" t="n">
        <f aca="false">-L43*(1-$A$43)</f>
        <v>-77700</v>
      </c>
      <c r="M44" s="295" t="n">
        <f aca="false">-M43*(1-$A$43)</f>
        <v>-82016.6666666667</v>
      </c>
      <c r="N44" s="295" t="n">
        <f aca="false">-N43*(1-$A$43)</f>
        <v>-83743.3333333333</v>
      </c>
      <c r="O44" s="295" t="n">
        <f aca="false">-O43*(1-$A$43)</f>
        <v>-83743.3333333333</v>
      </c>
      <c r="P44" s="295" t="n">
        <f aca="false">-P43*(1-$A$43)</f>
        <v>-83743.3333333333</v>
      </c>
      <c r="Q44" s="295" t="n">
        <f aca="false">-Q43*(1-$A$43)</f>
        <v>-83743.3333333333</v>
      </c>
      <c r="R44" s="295" t="n">
        <f aca="false">-R43*(1-$A$43)</f>
        <v>-83743.3333333333</v>
      </c>
      <c r="S44" s="295" t="n">
        <f aca="false">-S43*(1-$A$43)</f>
        <v>-83743.3333333333</v>
      </c>
    </row>
    <row r="45" customFormat="false" ht="12.75" hidden="false" customHeight="false" outlineLevel="0" collapsed="false">
      <c r="B45" s="0" t="s">
        <v>307</v>
      </c>
      <c r="H45" s="127" t="n">
        <f aca="false">SUM(H43:H44)</f>
        <v>2060.8676</v>
      </c>
      <c r="I45" s="127" t="n">
        <f aca="false">SUM(I43:I44)</f>
        <v>3000</v>
      </c>
      <c r="J45" s="127" t="n">
        <f aca="false">SUM(J43:J44)</f>
        <v>3000</v>
      </c>
      <c r="K45" s="127" t="n">
        <f aca="false">SUM(K43:K44)</f>
        <v>6400</v>
      </c>
      <c r="L45" s="127" t="n">
        <f aca="false">SUM(L43:L44)</f>
        <v>6300</v>
      </c>
      <c r="M45" s="127" t="n">
        <f aca="false">SUM(M43:M44)</f>
        <v>6650</v>
      </c>
      <c r="N45" s="127" t="n">
        <f aca="false">SUM(N43:N44)</f>
        <v>6790</v>
      </c>
      <c r="O45" s="127" t="n">
        <f aca="false">SUM(O43:O44)</f>
        <v>6790</v>
      </c>
      <c r="P45" s="127" t="n">
        <f aca="false">SUM(P43:P44)</f>
        <v>6790</v>
      </c>
      <c r="Q45" s="127" t="n">
        <f aca="false">SUM(Q43:Q44)</f>
        <v>6790</v>
      </c>
      <c r="R45" s="127" t="n">
        <f aca="false">SUM(R43:R44)</f>
        <v>6790</v>
      </c>
      <c r="S45" s="127" t="n">
        <f aca="false">SUM(S43:S44)</f>
        <v>6790</v>
      </c>
    </row>
    <row r="47" customFormat="false" ht="12.75" hidden="false" customHeight="false" outlineLevel="0" collapsed="false">
      <c r="A47" s="0" t="s">
        <v>308</v>
      </c>
    </row>
    <row r="48" customFormat="false" ht="12.75" hidden="false" customHeight="false" outlineLevel="0" collapsed="false">
      <c r="B48" s="0" t="s">
        <v>309</v>
      </c>
      <c r="D48" s="77" t="n">
        <v>66</v>
      </c>
      <c r="E48" s="77"/>
      <c r="F48" s="77"/>
      <c r="H48" s="60" t="n">
        <f aca="false">+H43*$D$48/365</f>
        <v>4968.66709041096</v>
      </c>
      <c r="I48" s="60" t="n">
        <f aca="false">+I43*$D$48/180</f>
        <v>14666.6666666667</v>
      </c>
      <c r="J48" s="60" t="n">
        <f aca="false">+J43*$D$48/180</f>
        <v>14666.6666666667</v>
      </c>
      <c r="K48" s="60" t="n">
        <f aca="false">+K43*$D$48/365</f>
        <v>15430.1369863014</v>
      </c>
      <c r="L48" s="60" t="n">
        <f aca="false">+L43*$D$48/365</f>
        <v>15189.0410958904</v>
      </c>
      <c r="M48" s="60" t="n">
        <f aca="false">+M43*$D$48/365</f>
        <v>16032.8767123288</v>
      </c>
      <c r="N48" s="60" t="n">
        <f aca="false">+N43*$D$48/365</f>
        <v>16370.4109589041</v>
      </c>
      <c r="O48" s="60" t="n">
        <f aca="false">+O43*$D$48/365</f>
        <v>16370.4109589041</v>
      </c>
      <c r="P48" s="60" t="n">
        <f aca="false">+P43*$D$48/365</f>
        <v>16370.4109589041</v>
      </c>
      <c r="Q48" s="60" t="n">
        <f aca="false">+Q43*$D$48/365</f>
        <v>16370.4109589041</v>
      </c>
      <c r="R48" s="60" t="n">
        <f aca="false">+R43*$D$48/365</f>
        <v>16370.4109589041</v>
      </c>
      <c r="S48" s="60" t="n">
        <f aca="false">+S43*$D$48/365</f>
        <v>16370.4109589041</v>
      </c>
    </row>
    <row r="49" customFormat="false" ht="12.75" hidden="false" customHeight="false" outlineLevel="0" collapsed="false">
      <c r="B49" s="0" t="s">
        <v>310</v>
      </c>
      <c r="D49" s="77" t="n">
        <v>15</v>
      </c>
      <c r="E49" s="77"/>
      <c r="F49" s="77"/>
      <c r="H49" s="60" t="n">
        <f aca="false">+H43*$D$49/365</f>
        <v>1129.24252054795</v>
      </c>
      <c r="I49" s="60" t="n">
        <f aca="false">+I43*$D$49/180</f>
        <v>3333.33333333333</v>
      </c>
      <c r="J49" s="60" t="n">
        <f aca="false">+J43*$D$49/180</f>
        <v>3333.33333333333</v>
      </c>
      <c r="K49" s="60" t="n">
        <f aca="false">+K43*$D$49/365</f>
        <v>3506.84931506849</v>
      </c>
      <c r="L49" s="60" t="n">
        <f aca="false">+L43*$D$49/365</f>
        <v>3452.05479452055</v>
      </c>
      <c r="M49" s="60" t="n">
        <f aca="false">+M43*$D$49/365</f>
        <v>3643.83561643836</v>
      </c>
      <c r="N49" s="60" t="n">
        <f aca="false">+N43*$D$49/365</f>
        <v>3720.54794520548</v>
      </c>
      <c r="O49" s="60" t="n">
        <f aca="false">+O43*$D$49/365</f>
        <v>3720.54794520548</v>
      </c>
      <c r="P49" s="60" t="n">
        <f aca="false">+P43*$D$49/365</f>
        <v>3720.54794520548</v>
      </c>
      <c r="Q49" s="60" t="n">
        <f aca="false">+Q43*$D$49/365</f>
        <v>3720.54794520548</v>
      </c>
      <c r="R49" s="60" t="n">
        <f aca="false">+R43*$D$49/365</f>
        <v>3720.54794520548</v>
      </c>
      <c r="S49" s="60" t="n">
        <f aca="false">+S43*$D$49/365</f>
        <v>3720.54794520548</v>
      </c>
    </row>
    <row r="50" customFormat="false" ht="12.75" hidden="false" customHeight="false" outlineLevel="0" collapsed="false">
      <c r="B50" s="0" t="s">
        <v>213</v>
      </c>
      <c r="D50" s="77" t="n">
        <v>20</v>
      </c>
      <c r="E50" s="77"/>
      <c r="F50" s="77"/>
      <c r="H50" s="60" t="n">
        <f aca="false">-H44*$D$50/365</f>
        <v>1392.73244200913</v>
      </c>
      <c r="I50" s="60" t="n">
        <f aca="false">-I44*$D$50/180</f>
        <v>4111.11111111111</v>
      </c>
      <c r="J50" s="60" t="n">
        <f aca="false">-J44*$D$50/180</f>
        <v>4111.11111111111</v>
      </c>
      <c r="K50" s="60" t="n">
        <f aca="false">-K44*$D$50/365</f>
        <v>4325.11415525114</v>
      </c>
      <c r="L50" s="60" t="n">
        <f aca="false">-L44*$D$50/365</f>
        <v>4257.53424657534</v>
      </c>
      <c r="M50" s="60" t="n">
        <f aca="false">-M44*$D$50/365</f>
        <v>4494.06392694064</v>
      </c>
      <c r="N50" s="60" t="n">
        <f aca="false">-N44*$D$50/365</f>
        <v>4588.67579908676</v>
      </c>
      <c r="O50" s="60" t="n">
        <f aca="false">-O44*$D$50/365</f>
        <v>4588.67579908676</v>
      </c>
      <c r="P50" s="60" t="n">
        <f aca="false">-P44*$D$50/365</f>
        <v>4588.67579908676</v>
      </c>
      <c r="Q50" s="60" t="n">
        <f aca="false">-Q44*$D$50/365</f>
        <v>4588.67579908676</v>
      </c>
      <c r="R50" s="60" t="n">
        <f aca="false">-R44*$D$50/365</f>
        <v>4588.67579908676</v>
      </c>
      <c r="S50" s="60" t="n">
        <f aca="false">-S44*$D$50/365</f>
        <v>4588.67579908676</v>
      </c>
    </row>
    <row r="52" customFormat="false" ht="12.75" hidden="false" customHeight="false" outlineLevel="0" collapsed="false">
      <c r="B52" s="0" t="s">
        <v>226</v>
      </c>
      <c r="H52" s="60" t="n">
        <f aca="false">+H48+H49-H50</f>
        <v>4705.17716894977</v>
      </c>
      <c r="I52" s="60" t="n">
        <f aca="false">+I48+I49-I50</f>
        <v>13888.8888888889</v>
      </c>
      <c r="J52" s="60" t="n">
        <f aca="false">+J48+J49-J50</f>
        <v>13888.8888888889</v>
      </c>
      <c r="K52" s="60" t="n">
        <f aca="false">+K48+K49-K50</f>
        <v>14611.8721461187</v>
      </c>
      <c r="L52" s="60" t="n">
        <f aca="false">+L48+L49-L50</f>
        <v>14383.5616438356</v>
      </c>
      <c r="M52" s="60" t="n">
        <f aca="false">+M48+M49-M50</f>
        <v>15182.6484018265</v>
      </c>
      <c r="N52" s="60" t="n">
        <f aca="false">+N48+N49-N50</f>
        <v>15502.2831050228</v>
      </c>
      <c r="O52" s="60" t="n">
        <f aca="false">+O48+O49-O50</f>
        <v>15502.2831050228</v>
      </c>
      <c r="P52" s="60" t="n">
        <f aca="false">+P48+P49-P50</f>
        <v>15502.2831050228</v>
      </c>
      <c r="Q52" s="60" t="n">
        <f aca="false">+Q48+Q49-Q50</f>
        <v>15502.2831050228</v>
      </c>
      <c r="R52" s="60" t="n">
        <f aca="false">+R48+R49-R50</f>
        <v>15502.2831050228</v>
      </c>
      <c r="S52" s="60" t="n">
        <f aca="false">+S48+S49-S50</f>
        <v>15502.2831050228</v>
      </c>
    </row>
    <row r="53" customFormat="false" ht="12.75" hidden="false" customHeight="false" outlineLevel="0" collapsed="false">
      <c r="B53" s="0" t="s">
        <v>227</v>
      </c>
      <c r="H53" s="305" t="s">
        <v>331</v>
      </c>
      <c r="I53" s="127" t="n">
        <f aca="false">+H52-I52</f>
        <v>-9183.71171993912</v>
      </c>
      <c r="J53" s="127" t="n">
        <f aca="false">+I52-J52</f>
        <v>0</v>
      </c>
      <c r="K53" s="127" t="n">
        <f aca="false">+J52-K52</f>
        <v>-722.983257229835</v>
      </c>
      <c r="L53" s="127" t="n">
        <f aca="false">+K52-L52</f>
        <v>228.310502283104</v>
      </c>
      <c r="M53" s="127" t="n">
        <f aca="false">+L52-M52</f>
        <v>-799.086757990868</v>
      </c>
      <c r="N53" s="127" t="n">
        <f aca="false">+M52-N52</f>
        <v>-319.634703196347</v>
      </c>
      <c r="O53" s="127" t="n">
        <f aca="false">+N52-O52</f>
        <v>0</v>
      </c>
      <c r="P53" s="127" t="n">
        <f aca="false">+O52-P52</f>
        <v>0</v>
      </c>
      <c r="Q53" s="127" t="n">
        <f aca="false">+P52-Q52</f>
        <v>0</v>
      </c>
      <c r="R53" s="127" t="n">
        <f aca="false">+Q52-R52</f>
        <v>0</v>
      </c>
      <c r="S53" s="127" t="n">
        <f aca="false">+R52-S52</f>
        <v>0</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P484"/>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5" min="4" style="0" width="10.85"/>
    <col collapsed="false" customWidth="true" hidden="false" outlineLevel="0" max="6" min="6" style="0" width="11.28"/>
    <col collapsed="false" customWidth="true" hidden="false" outlineLevel="0" max="7" min="7" style="0" width="11.85"/>
    <col collapsed="false" customWidth="true" hidden="false" outlineLevel="0" max="8" min="8" style="0" width="11.28"/>
    <col collapsed="false" customWidth="true" hidden="false" outlineLevel="0" max="10" min="9" style="0" width="11.85"/>
    <col collapsed="false" customWidth="true" hidden="false" outlineLevel="0" max="11" min="11" style="0" width="10.56"/>
    <col collapsed="false" customWidth="true" hidden="false" outlineLevel="0" max="14" min="12" style="0" width="9.85"/>
  </cols>
  <sheetData>
    <row r="1" customFormat="false" ht="21" hidden="false" customHeight="false" outlineLevel="0" collapsed="false">
      <c r="A1" s="1" t="s">
        <v>0</v>
      </c>
      <c r="B1" s="112"/>
      <c r="C1" s="112"/>
      <c r="D1" s="113"/>
      <c r="E1" s="113"/>
      <c r="F1" s="4"/>
      <c r="G1" s="4"/>
      <c r="H1" s="4"/>
      <c r="I1" s="4"/>
      <c r="J1" s="4"/>
      <c r="K1" s="4"/>
      <c r="L1" s="4"/>
      <c r="M1" s="4"/>
      <c r="N1" s="4"/>
      <c r="O1" s="16" t="s">
        <v>332</v>
      </c>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row>
    <row r="2" customFormat="false" ht="26.25" hidden="false" customHeight="false" outlineLevel="0" collapsed="false">
      <c r="A2" s="269"/>
      <c r="B2" s="270"/>
      <c r="C2" s="270"/>
      <c r="D2" s="271"/>
      <c r="E2" s="271"/>
      <c r="F2" s="272"/>
      <c r="O2" s="114" t="s">
        <v>110</v>
      </c>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row>
    <row r="3" customFormat="false" ht="26.25" hidden="false" customHeight="false" outlineLevel="0" collapsed="false">
      <c r="A3" s="269"/>
      <c r="B3" s="270"/>
      <c r="C3" s="270"/>
      <c r="D3" s="271"/>
      <c r="E3" s="271"/>
      <c r="F3" s="272"/>
      <c r="O3" s="114"/>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row>
    <row r="4" customFormat="false" ht="26.25" hidden="false" customHeight="false" outlineLevel="0" collapsed="false">
      <c r="A4" s="269"/>
      <c r="B4" s="270"/>
      <c r="C4" s="270"/>
      <c r="D4" s="271"/>
      <c r="E4" s="271"/>
      <c r="F4" s="272"/>
      <c r="O4" s="114"/>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row>
    <row r="5" customFormat="false" ht="12.75" hidden="false" customHeight="false" outlineLevel="0" collapsed="false">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row>
    <row r="6" customFormat="false" ht="15.75" hidden="false" customHeight="false" outlineLevel="0" collapsed="false">
      <c r="A6" s="139" t="s">
        <v>333</v>
      </c>
      <c r="D6" s="228" t="n">
        <v>37072</v>
      </c>
      <c r="E6" s="228" t="n">
        <v>37257</v>
      </c>
      <c r="F6" s="228" t="n">
        <v>37622</v>
      </c>
      <c r="G6" s="228" t="n">
        <v>37987</v>
      </c>
      <c r="H6" s="228" t="n">
        <v>38353</v>
      </c>
      <c r="I6" s="228" t="n">
        <v>38718</v>
      </c>
      <c r="J6" s="228" t="n">
        <v>39083</v>
      </c>
      <c r="K6" s="228" t="n">
        <v>39448</v>
      </c>
      <c r="L6" s="228" t="n">
        <v>39814</v>
      </c>
      <c r="M6" s="228" t="n">
        <v>40179</v>
      </c>
      <c r="N6" s="228" t="n">
        <v>40544</v>
      </c>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row>
    <row r="7" customFormat="false" ht="12.75" hidden="false" customHeight="false" outlineLevel="0" collapsed="false">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row>
    <row r="8" customFormat="false" ht="12.75" hidden="false" customHeight="false" outlineLevel="0" collapsed="false">
      <c r="A8" s="53" t="s">
        <v>313</v>
      </c>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row>
    <row r="9" customFormat="false" ht="12.75" hidden="false" customHeight="false" outlineLevel="0" collapsed="false">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row>
    <row r="10" customFormat="false" ht="12.75" hidden="false" customHeight="false" outlineLevel="0" collapsed="false">
      <c r="A10" s="0" t="s">
        <v>314</v>
      </c>
      <c r="D10" s="296" t="n">
        <f aca="false">Dep!A60</f>
        <v>24145.862525677</v>
      </c>
      <c r="E10" s="296" t="n">
        <f aca="false">D13</f>
        <v>23866.3481502491</v>
      </c>
      <c r="F10" s="296" t="n">
        <f aca="false">E13</f>
        <v>23298.9860660598</v>
      </c>
      <c r="G10" s="296" t="n">
        <f aca="false">F13</f>
        <v>22723.2906485373</v>
      </c>
      <c r="H10" s="296" t="n">
        <f aca="false">G13</f>
        <v>22139.2618976814</v>
      </c>
      <c r="I10" s="296" t="n">
        <f aca="false">H13</f>
        <v>21546.8998134921</v>
      </c>
      <c r="J10" s="296" t="n">
        <f aca="false">I13</f>
        <v>20946.2043959696</v>
      </c>
      <c r="K10" s="296" t="n">
        <f aca="false">J13</f>
        <v>20337.1756451137</v>
      </c>
      <c r="L10" s="296" t="n">
        <f aca="false">K13</f>
        <v>19719.8135609244</v>
      </c>
      <c r="M10" s="296" t="n">
        <f aca="false">L13</f>
        <v>19094.1181434019</v>
      </c>
      <c r="N10" s="296" t="n">
        <f aca="false">M13</f>
        <v>18460.089392546</v>
      </c>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row>
    <row r="11" customFormat="false" ht="12.75" hidden="false" customHeight="false" outlineLevel="0" collapsed="false">
      <c r="A11" s="0" t="s">
        <v>315</v>
      </c>
      <c r="D11" s="67" t="n">
        <f aca="false">-'Sea-3 Tampa'!J29</f>
        <v>125</v>
      </c>
      <c r="E11" s="67" t="n">
        <f aca="false">-'Sea-3 Tampa'!K29</f>
        <v>250</v>
      </c>
      <c r="F11" s="67" t="n">
        <f aca="false">-'Sea-3 Tampa'!L29</f>
        <v>250</v>
      </c>
      <c r="G11" s="67" t="n">
        <f aca="false">-'Sea-3 Tampa'!M29</f>
        <v>250</v>
      </c>
      <c r="H11" s="67" t="n">
        <f aca="false">-'Sea-3 Tampa'!N29</f>
        <v>250</v>
      </c>
      <c r="I11" s="67" t="n">
        <f aca="false">-'Sea-3 Tampa'!O29</f>
        <v>250</v>
      </c>
      <c r="J11" s="67" t="n">
        <f aca="false">-'Sea-3 Tampa'!P29</f>
        <v>250</v>
      </c>
      <c r="K11" s="67" t="n">
        <f aca="false">-'Sea-3 Tampa'!Q29</f>
        <v>250</v>
      </c>
      <c r="L11" s="67" t="n">
        <f aca="false">-'Sea-3 Tampa'!R29</f>
        <v>250</v>
      </c>
      <c r="M11" s="67" t="n">
        <f aca="false">-'Sea-3 Tampa'!S29</f>
        <v>250</v>
      </c>
      <c r="N11" s="67" t="n">
        <f aca="false">-'Sea-3 Tampa'!T29</f>
        <v>250</v>
      </c>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row>
    <row r="12" customFormat="false" ht="12.75" hidden="false" customHeight="false" outlineLevel="0" collapsed="false">
      <c r="A12" s="0" t="s">
        <v>295</v>
      </c>
      <c r="D12" s="297" t="n">
        <f aca="false">'Sea-3 Tampa'!J23</f>
        <v>-404.51437542795</v>
      </c>
      <c r="E12" s="297" t="n">
        <f aca="false">'Sea-3 Tampa'!K23</f>
        <v>-817.362084189234</v>
      </c>
      <c r="F12" s="297" t="n">
        <f aca="false">'Sea-3 Tampa'!L23</f>
        <v>-825.695417522567</v>
      </c>
      <c r="G12" s="297" t="n">
        <f aca="false">'Sea-3 Tampa'!M23</f>
        <v>-834.028750855901</v>
      </c>
      <c r="H12" s="297" t="n">
        <f aca="false">'Sea-3 Tampa'!N23</f>
        <v>-842.362084189234</v>
      </c>
      <c r="I12" s="297" t="n">
        <f aca="false">'Sea-3 Tampa'!O23</f>
        <v>-850.695417522567</v>
      </c>
      <c r="J12" s="297" t="n">
        <f aca="false">'Sea-3 Tampa'!P23</f>
        <v>-859.028750855901</v>
      </c>
      <c r="K12" s="297" t="n">
        <f aca="false">'Sea-3 Tampa'!Q23</f>
        <v>-867.362084189234</v>
      </c>
      <c r="L12" s="297" t="n">
        <f aca="false">'Sea-3 Tampa'!R23</f>
        <v>-875.695417522567</v>
      </c>
      <c r="M12" s="297" t="n">
        <f aca="false">'Sea-3 Tampa'!S23</f>
        <v>-884.028750855901</v>
      </c>
      <c r="N12" s="297" t="n">
        <f aca="false">'Sea-3 Tampa'!T23</f>
        <v>-892.362084189234</v>
      </c>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row>
    <row r="13" customFormat="false" ht="12.75" hidden="false" customHeight="false" outlineLevel="0" collapsed="false">
      <c r="A13" s="0" t="s">
        <v>316</v>
      </c>
      <c r="D13" s="296" t="n">
        <f aca="false">SUM(D10:D12)</f>
        <v>23866.3481502491</v>
      </c>
      <c r="E13" s="296" t="n">
        <f aca="false">SUM(E10:E12)</f>
        <v>23298.9860660598</v>
      </c>
      <c r="F13" s="296" t="n">
        <f aca="false">SUM(F10:F12)</f>
        <v>22723.2906485373</v>
      </c>
      <c r="G13" s="296" t="n">
        <f aca="false">SUM(G10:G12)</f>
        <v>22139.2618976814</v>
      </c>
      <c r="H13" s="296" t="n">
        <f aca="false">SUM(H10:H12)</f>
        <v>21546.8998134921</v>
      </c>
      <c r="I13" s="296" t="n">
        <f aca="false">SUM(I10:I12)</f>
        <v>20946.2043959696</v>
      </c>
      <c r="J13" s="296" t="n">
        <f aca="false">SUM(J10:J12)</f>
        <v>20337.1756451137</v>
      </c>
      <c r="K13" s="296" t="n">
        <f aca="false">SUM(K10:K12)</f>
        <v>19719.8135609244</v>
      </c>
      <c r="L13" s="296" t="n">
        <f aca="false">SUM(L10:L12)</f>
        <v>19094.1181434019</v>
      </c>
      <c r="M13" s="296" t="n">
        <f aca="false">SUM(M10:M12)</f>
        <v>18460.089392546</v>
      </c>
      <c r="N13" s="296" t="n">
        <f aca="false">SUM(N10:N12)</f>
        <v>17817.7273083567</v>
      </c>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row>
    <row r="14" customFormat="false" ht="12.75" hidden="false" customHeight="false" outlineLevel="0" collapsed="false">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row>
    <row r="15" customFormat="false" ht="12.75" hidden="false" customHeight="false" outlineLevel="0" collapsed="false">
      <c r="A15" s="53" t="s">
        <v>317</v>
      </c>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row>
    <row r="16" customFormat="false" ht="12.75" hidden="false" customHeight="false" outlineLevel="0" collapsed="false">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row>
    <row r="17" customFormat="false" ht="12.75" hidden="false" customHeight="false" outlineLevel="0" collapsed="false">
      <c r="A17" s="0" t="s">
        <v>314</v>
      </c>
      <c r="D17" s="296" t="n">
        <f aca="false">D10</f>
        <v>24145.862525677</v>
      </c>
      <c r="E17" s="296" t="n">
        <f aca="false">D20</f>
        <v>22536.7093982174</v>
      </c>
      <c r="F17" s="296" t="n">
        <f aca="false">E20</f>
        <v>16807.0501656791</v>
      </c>
      <c r="G17" s="296" t="n">
        <f aca="false">F20</f>
        <v>12715.1263099382</v>
      </c>
      <c r="H17" s="296" t="n">
        <f aca="false">G20</f>
        <v>9793.02058048112</v>
      </c>
      <c r="I17" s="296" t="n">
        <f aca="false">H20</f>
        <v>7703.73255693817</v>
      </c>
      <c r="J17" s="296" t="n">
        <f aca="false">I20</f>
        <v>5594.54661964777</v>
      </c>
      <c r="K17" s="296" t="n">
        <f aca="false">J20</f>
        <v>3460.63359610482</v>
      </c>
      <c r="L17" s="296" t="n">
        <f aca="false">K20</f>
        <v>2389.30312745962</v>
      </c>
      <c r="M17" s="296" t="n">
        <f aca="false">L20</f>
        <v>655.149999999997</v>
      </c>
      <c r="N17" s="296" t="n">
        <f aca="false">M20</f>
        <v>655.149999999997</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row>
    <row r="18" customFormat="false" ht="12.75" hidden="false" customHeight="false" outlineLevel="0" collapsed="false">
      <c r="A18" s="0" t="s">
        <v>315</v>
      </c>
      <c r="D18" s="67" t="n">
        <f aca="false">D11</f>
        <v>125</v>
      </c>
      <c r="E18" s="67" t="n">
        <f aca="false">E11</f>
        <v>250</v>
      </c>
      <c r="F18" s="67" t="n">
        <f aca="false">F11</f>
        <v>250</v>
      </c>
      <c r="G18" s="67" t="n">
        <f aca="false">G11</f>
        <v>250</v>
      </c>
      <c r="H18" s="67" t="n">
        <f aca="false">H11</f>
        <v>250</v>
      </c>
      <c r="I18" s="67" t="n">
        <f aca="false">I11</f>
        <v>250</v>
      </c>
      <c r="J18" s="67" t="n">
        <f aca="false">J11</f>
        <v>250</v>
      </c>
      <c r="K18" s="67" t="n">
        <f aca="false">K11</f>
        <v>250</v>
      </c>
      <c r="L18" s="67" t="n">
        <f aca="false">L11</f>
        <v>250</v>
      </c>
      <c r="M18" s="67" t="n">
        <f aca="false">M11</f>
        <v>250</v>
      </c>
      <c r="N18" s="67" t="n">
        <f aca="false">N11</f>
        <v>250</v>
      </c>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row>
    <row r="19" customFormat="false" ht="12.75" hidden="false" customHeight="false" outlineLevel="0" collapsed="false">
      <c r="A19" s="0" t="s">
        <v>295</v>
      </c>
      <c r="D19" s="297" t="n">
        <f aca="false">-(Dep!F81+Dep!F87/2)/2</f>
        <v>-1734.15312745962</v>
      </c>
      <c r="E19" s="297" t="n">
        <f aca="false">-(Dep!G81+Dep!G87/2)</f>
        <v>-5979.6592325383</v>
      </c>
      <c r="F19" s="297" t="n">
        <f aca="false">-(Dep!H81+Dep!H87/2)</f>
        <v>-4341.92385574091</v>
      </c>
      <c r="G19" s="297" t="n">
        <f aca="false">-(Dep!I81+Dep!I87/2)</f>
        <v>-3172.10572945706</v>
      </c>
      <c r="H19" s="297" t="n">
        <f aca="false">-(Dep!J81+Dep!J87/2)</f>
        <v>-2339.28802354296</v>
      </c>
      <c r="I19" s="297" t="n">
        <f aca="false">-(Dep!K81+Dep!K87/2)</f>
        <v>-2359.18593729039</v>
      </c>
      <c r="J19" s="297" t="n">
        <f aca="false">-(Dep!L81+Dep!L87/2)</f>
        <v>-2383.91302354296</v>
      </c>
      <c r="K19" s="297" t="n">
        <f aca="false">-(Dep!M81+Dep!M87/2)</f>
        <v>-1321.3304686452</v>
      </c>
      <c r="L19" s="297" t="n">
        <f aca="false">-(Dep!N81+Dep!N87/2)+D19</f>
        <v>-1984.15312745962</v>
      </c>
      <c r="M19" s="297" t="n">
        <f aca="false">-(Dep!O81+Dep!O87/2)</f>
        <v>-250</v>
      </c>
      <c r="N19" s="297" t="n">
        <f aca="false">-(Dep!P81+Dep!P87/2)</f>
        <v>-250</v>
      </c>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row>
    <row r="20" customFormat="false" ht="12.75" hidden="false" customHeight="false" outlineLevel="0" collapsed="false">
      <c r="A20" s="0" t="s">
        <v>316</v>
      </c>
      <c r="D20" s="296" t="n">
        <f aca="false">SUM(D17:D19)</f>
        <v>22536.7093982174</v>
      </c>
      <c r="E20" s="296" t="n">
        <f aca="false">SUM(E17:E19)</f>
        <v>16807.0501656791</v>
      </c>
      <c r="F20" s="296" t="n">
        <f aca="false">SUM(F17:F19)</f>
        <v>12715.1263099382</v>
      </c>
      <c r="G20" s="296" t="n">
        <f aca="false">SUM(G17:G19)</f>
        <v>9793.02058048112</v>
      </c>
      <c r="H20" s="296" t="n">
        <f aca="false">SUM(H17:H19)</f>
        <v>7703.73255693817</v>
      </c>
      <c r="I20" s="296" t="n">
        <f aca="false">SUM(I17:I19)</f>
        <v>5594.54661964777</v>
      </c>
      <c r="J20" s="296" t="n">
        <f aca="false">SUM(J17:J19)</f>
        <v>3460.63359610482</v>
      </c>
      <c r="K20" s="296" t="n">
        <f aca="false">SUM(K17:K19)</f>
        <v>2389.30312745962</v>
      </c>
      <c r="L20" s="296" t="n">
        <f aca="false">SUM(L17:L19)</f>
        <v>655.149999999997</v>
      </c>
      <c r="M20" s="296" t="n">
        <f aca="false">SUM(M17:M19)</f>
        <v>655.149999999997</v>
      </c>
      <c r="N20" s="296" t="n">
        <f aca="false">SUM(N17:N19)</f>
        <v>655.149999999997</v>
      </c>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row>
    <row r="21" customFormat="false" ht="12.75" hidden="false" customHeight="false" outlineLevel="0" collapsed="false">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row>
    <row r="22" customFormat="false" ht="12.75" hidden="false" customHeight="false" outlineLevel="0" collapsed="false">
      <c r="A22" s="0" t="s">
        <v>317</v>
      </c>
      <c r="D22" s="67" t="n">
        <f aca="false">D19</f>
        <v>-1734.15312745962</v>
      </c>
      <c r="E22" s="67" t="n">
        <f aca="false">E19</f>
        <v>-5979.6592325383</v>
      </c>
      <c r="F22" s="67" t="n">
        <f aca="false">F19</f>
        <v>-4341.92385574091</v>
      </c>
      <c r="G22" s="67" t="n">
        <f aca="false">G19</f>
        <v>-3172.10572945706</v>
      </c>
      <c r="H22" s="67" t="n">
        <f aca="false">H19</f>
        <v>-2339.28802354296</v>
      </c>
      <c r="I22" s="67" t="n">
        <f aca="false">I19</f>
        <v>-2359.18593729039</v>
      </c>
      <c r="J22" s="67" t="n">
        <f aca="false">J19</f>
        <v>-2383.91302354296</v>
      </c>
      <c r="K22" s="67" t="n">
        <f aca="false">K19</f>
        <v>-1321.3304686452</v>
      </c>
      <c r="L22" s="67" t="n">
        <f aca="false">L19</f>
        <v>-1984.15312745962</v>
      </c>
      <c r="M22" s="67" t="n">
        <f aca="false">M19</f>
        <v>-250</v>
      </c>
      <c r="N22" s="67" t="n">
        <f aca="false">N19</f>
        <v>-250</v>
      </c>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row>
    <row r="23" customFormat="false" ht="12.75" hidden="false" customHeight="false" outlineLevel="0" collapsed="false">
      <c r="A23" s="0" t="s">
        <v>313</v>
      </c>
      <c r="D23" s="67" t="n">
        <f aca="false">D12</f>
        <v>-404.51437542795</v>
      </c>
      <c r="E23" s="67" t="n">
        <f aca="false">E12</f>
        <v>-817.362084189234</v>
      </c>
      <c r="F23" s="67" t="n">
        <f aca="false">F12</f>
        <v>-825.695417522567</v>
      </c>
      <c r="G23" s="67" t="n">
        <f aca="false">G12</f>
        <v>-834.028750855901</v>
      </c>
      <c r="H23" s="67" t="n">
        <f aca="false">H12</f>
        <v>-842.362084189234</v>
      </c>
      <c r="I23" s="67" t="n">
        <f aca="false">I12</f>
        <v>-850.695417522567</v>
      </c>
      <c r="J23" s="67" t="n">
        <f aca="false">J12</f>
        <v>-859.028750855901</v>
      </c>
      <c r="K23" s="67" t="n">
        <f aca="false">K12</f>
        <v>-867.362084189234</v>
      </c>
      <c r="L23" s="67" t="n">
        <f aca="false">L12</f>
        <v>-875.695417522567</v>
      </c>
      <c r="M23" s="67" t="n">
        <f aca="false">M12</f>
        <v>-884.028750855901</v>
      </c>
      <c r="N23" s="67" t="n">
        <f aca="false">N12</f>
        <v>-892.362084189234</v>
      </c>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row>
    <row r="24" customFormat="false" ht="12.75" hidden="false" customHeight="false" outlineLevel="0" collapsed="false">
      <c r="A24" s="0" t="s">
        <v>318</v>
      </c>
      <c r="D24" s="298" t="n">
        <f aca="false">D23-D22</f>
        <v>1329.63875203167</v>
      </c>
      <c r="E24" s="298" t="n">
        <f aca="false">E23-E22</f>
        <v>5162.29714834907</v>
      </c>
      <c r="F24" s="298" t="n">
        <f aca="false">F23-F22</f>
        <v>3516.22843821834</v>
      </c>
      <c r="G24" s="298" t="n">
        <f aca="false">G23-G22</f>
        <v>2338.07697860116</v>
      </c>
      <c r="H24" s="298" t="n">
        <f aca="false">H23-H22</f>
        <v>1496.92593935372</v>
      </c>
      <c r="I24" s="298" t="n">
        <f aca="false">I23-I22</f>
        <v>1508.49051976782</v>
      </c>
      <c r="J24" s="298" t="n">
        <f aca="false">J23-J22</f>
        <v>1524.88427268706</v>
      </c>
      <c r="K24" s="298" t="n">
        <f aca="false">K23-K22</f>
        <v>453.968384455961</v>
      </c>
      <c r="L24" s="298" t="n">
        <f aca="false">L23-L22</f>
        <v>1108.45770993706</v>
      </c>
      <c r="M24" s="298" t="n">
        <f aca="false">M23-M22</f>
        <v>-634.028750855901</v>
      </c>
      <c r="N24" s="298" t="n">
        <f aca="false">N23-N22</f>
        <v>-642.362084189234</v>
      </c>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row>
    <row r="25" customFormat="false" ht="12.75" hidden="false" customHeight="false" outlineLevel="0" collapsed="false">
      <c r="A25" s="0" t="s">
        <v>297</v>
      </c>
      <c r="D25" s="296" t="n">
        <f aca="false">D24*Assumptions!$B$8</f>
        <v>465.373563211086</v>
      </c>
      <c r="E25" s="296" t="n">
        <f aca="false">E24*Assumptions!$B$8</f>
        <v>1806.80400192217</v>
      </c>
      <c r="F25" s="296" t="n">
        <f aca="false">F24*Assumptions!$B$8</f>
        <v>1230.67995337642</v>
      </c>
      <c r="G25" s="296" t="n">
        <f aca="false">G24*Assumptions!$B$8</f>
        <v>818.326942510406</v>
      </c>
      <c r="H25" s="296" t="n">
        <f aca="false">H24*Assumptions!$B$8</f>
        <v>523.924078773803</v>
      </c>
      <c r="I25" s="296" t="n">
        <f aca="false">I24*Assumptions!$B$8</f>
        <v>527.971681918738</v>
      </c>
      <c r="J25" s="296" t="n">
        <f aca="false">J24*Assumptions!$B$8</f>
        <v>533.70949544047</v>
      </c>
      <c r="K25" s="296" t="n">
        <f aca="false">K24*Assumptions!$B$8</f>
        <v>158.888934559586</v>
      </c>
      <c r="L25" s="296" t="n">
        <f aca="false">L24*Assumptions!$B$8</f>
        <v>387.96019847797</v>
      </c>
      <c r="M25" s="296" t="n">
        <f aca="false">M24*Assumptions!$B$8</f>
        <v>-221.910062799565</v>
      </c>
      <c r="N25" s="296" t="n">
        <f aca="false">N24*Assumptions!$B$8</f>
        <v>-224.826729466232</v>
      </c>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row>
    <row r="26" customFormat="false" ht="12.75" hidden="false" customHeight="false" outlineLevel="0" collapsed="false">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row>
    <row r="27" customFormat="false" ht="12.75" hidden="false" customHeight="false" outlineLevel="0" collapsed="false">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row>
    <row r="28" customFormat="false" ht="12.75" hidden="false" customHeight="false" outlineLevel="0" collapsed="false">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row>
    <row r="29" customFormat="false" ht="12.75" hidden="false" customHeight="false" outlineLevel="0" collapsed="false">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row>
    <row r="30" customFormat="false" ht="12.75" hidden="false" customHeight="false" outlineLevel="0" collapsed="false">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row>
    <row r="31" customFormat="false" ht="12.75" hidden="false" customHeight="false" outlineLevel="0" collapsed="false">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row>
    <row r="32" customFormat="false" ht="12.75" hidden="false" customHeight="false" outlineLevel="0" collapsed="false">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row>
    <row r="33" customFormat="false" ht="12.75" hidden="false" customHeight="false" outlineLevel="0" collapsed="false">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row>
    <row r="34" customFormat="false" ht="12.75" hidden="false" customHeight="false" outlineLevel="0" collapsed="false">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row>
    <row r="35" customFormat="false" ht="12.75" hidden="false" customHeight="false" outlineLevel="0" collapsed="false">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row>
    <row r="36" customFormat="false" ht="12.75" hidden="false" customHeight="false" outlineLevel="0" collapsed="false">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row>
    <row r="37" customFormat="false" ht="12.75" hidden="false" customHeight="false" outlineLevel="0" collapsed="false">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row>
    <row r="38" customFormat="false" ht="12.75" hidden="false" customHeight="false" outlineLevel="0" collapsed="false">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row>
    <row r="39" customFormat="false" ht="12.75" hidden="false" customHeight="false" outlineLevel="0" collapsed="false">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row>
    <row r="40" customFormat="false" ht="12.75" hidden="false" customHeight="false" outlineLevel="0" collapsed="false">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row>
    <row r="41" customFormat="false" ht="12.75" hidden="false" customHeight="false" outlineLevel="0" collapsed="false">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row>
    <row r="42" customFormat="false" ht="12.75" hidden="false" customHeight="false" outlineLevel="0" collapsed="false">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row>
    <row r="43" customFormat="false" ht="12.75" hidden="false" customHeight="false" outlineLevel="0" collapsed="false">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row>
    <row r="44" customFormat="false" ht="12.75" hidden="false" customHeight="false" outlineLevel="0" collapsed="false">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row>
    <row r="45" customFormat="false" ht="12.75" hidden="false" customHeight="false" outlineLevel="0" collapsed="false">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row>
    <row r="46" customFormat="false" ht="12.75" hidden="false" customHeight="false" outlineLevel="0" collapsed="false">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row>
    <row r="47" customFormat="false" ht="12.75" hidden="false" customHeight="false" outlineLevel="0" collapsed="false">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row>
    <row r="48" customFormat="false" ht="12.75" hidden="false" customHeight="false" outlineLevel="0" collapsed="false">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row>
    <row r="49" customFormat="false" ht="12.75" hidden="false" customHeight="false" outlineLevel="0" collapsed="false">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row>
    <row r="50" customFormat="false" ht="12.75" hidden="false" customHeight="false" outlineLevel="0" collapsed="false">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row>
    <row r="51" customFormat="false" ht="12.75" hidden="false" customHeight="false" outlineLevel="0" collapsed="false">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row>
    <row r="52" customFormat="false" ht="12.75" hidden="false" customHeight="false" outlineLevel="0" collapsed="false">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row>
    <row r="53" customFormat="false" ht="12.75" hidden="false" customHeight="false" outlineLevel="0" collapsed="false">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row>
    <row r="54" customFormat="false" ht="12.75" hidden="false" customHeight="false" outlineLevel="0" collapsed="false">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row>
    <row r="55" customFormat="false" ht="12.75" hidden="false" customHeight="false" outlineLevel="0" collapsed="false">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row>
    <row r="56" customFormat="false" ht="12.75" hidden="false" customHeight="false" outlineLevel="0" collapsed="false">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row>
    <row r="57" customFormat="false" ht="12.75" hidden="false" customHeight="false" outlineLevel="0" collapsed="false">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row>
    <row r="58" customFormat="false" ht="12.75" hidden="false" customHeight="false" outlineLevel="0" collapsed="false">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row>
    <row r="59" customFormat="false" ht="12.75" hidden="false" customHeight="false" outlineLevel="0" collapsed="false">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row>
    <row r="60" customFormat="false" ht="12.75" hidden="false" customHeight="false" outlineLevel="0" collapsed="false">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row>
    <row r="61" customFormat="false" ht="12.75" hidden="false" customHeight="false" outlineLevel="0" collapsed="false">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row>
    <row r="62" customFormat="false" ht="12.75" hidden="false" customHeight="false" outlineLevel="0" collapsed="false">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row>
    <row r="63" customFormat="false" ht="12.75" hidden="false" customHeight="false" outlineLevel="0" collapsed="false">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row>
    <row r="64" customFormat="false" ht="12.75" hidden="false" customHeight="false" outlineLevel="0" collapsed="false">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row>
    <row r="65" customFormat="false" ht="12.75" hidden="false" customHeight="false" outlineLevel="0" collapsed="false">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row>
    <row r="66" customFormat="false" ht="12.75" hidden="false" customHeight="false" outlineLevel="0" collapsed="false">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row>
    <row r="67" customFormat="false" ht="12.75" hidden="false" customHeight="false" outlineLevel="0" collapsed="false">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row>
    <row r="68" customFormat="false" ht="12.75" hidden="false" customHeight="false" outlineLevel="0" collapsed="false">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row>
    <row r="69" customFormat="false" ht="12.75" hidden="false" customHeight="false" outlineLevel="0" collapsed="false">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row>
    <row r="70" customFormat="false" ht="12.75" hidden="false" customHeight="false" outlineLevel="0" collapsed="false">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row>
    <row r="71" customFormat="false" ht="12.75" hidden="false" customHeight="false" outlineLevel="0" collapsed="false">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row>
    <row r="72" customFormat="false" ht="12.75" hidden="false" customHeight="false" outlineLevel="0" collapsed="false">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row>
    <row r="73" customFormat="false" ht="12.75" hidden="false" customHeight="false" outlineLevel="0" collapsed="false">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row>
    <row r="74" customFormat="false" ht="12.75" hidden="false" customHeight="false" outlineLevel="0" collapsed="false">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row>
    <row r="75" customFormat="false" ht="12.75" hidden="false" customHeight="false" outlineLevel="0" collapsed="false">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row>
    <row r="76" customFormat="false" ht="12.75" hidden="false" customHeight="false" outlineLevel="0" collapsed="false">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row>
    <row r="77" customFormat="false" ht="12.75" hidden="false" customHeight="false" outlineLevel="0" collapsed="false">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row>
    <row r="78" customFormat="false" ht="12.75" hidden="false" customHeight="false" outlineLevel="0" collapsed="false">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row>
    <row r="79" customFormat="false" ht="12.75" hidden="false" customHeight="false" outlineLevel="0" collapsed="false">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row>
    <row r="80" customFormat="false" ht="12.75" hidden="false" customHeight="false" outlineLevel="0" collapsed="false">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row>
    <row r="81" customFormat="false" ht="12.75" hidden="false" customHeight="false" outlineLevel="0" collapsed="false">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row>
    <row r="82" customFormat="false" ht="12.75" hidden="false" customHeight="false" outlineLevel="0" collapsed="false">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row>
    <row r="83" customFormat="false" ht="12.75" hidden="false" customHeight="false" outlineLevel="0" collapsed="false">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row>
    <row r="84" customFormat="false" ht="12.75" hidden="false" customHeight="false" outlineLevel="0" collapsed="false">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row>
    <row r="85" customFormat="false" ht="12.75" hidden="false" customHeight="false" outlineLevel="0" collapsed="false">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row>
    <row r="86" customFormat="false" ht="12.75" hidden="false" customHeight="false" outlineLevel="0" collapsed="false">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row>
    <row r="87" customFormat="false" ht="12.75" hidden="false" customHeight="false" outlineLevel="0" collapsed="false">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row>
    <row r="88" customFormat="false" ht="12.75" hidden="false" customHeight="false" outlineLevel="0" collapsed="false">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row>
    <row r="89" customFormat="false" ht="12.75" hidden="false" customHeight="false" outlineLevel="0" collapsed="false">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row>
    <row r="90" customFormat="false" ht="12.75" hidden="false" customHeight="false" outlineLevel="0" collapsed="false">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row>
    <row r="91" customFormat="false" ht="12.75" hidden="false" customHeight="false" outlineLevel="0" collapsed="false">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row>
    <row r="92" customFormat="false" ht="12.75" hidden="false" customHeight="false" outlineLevel="0" collapsed="false">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row>
    <row r="93" customFormat="false" ht="12.75" hidden="false" customHeight="false" outlineLevel="0" collapsed="false">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row>
    <row r="94" customFormat="false" ht="12.75" hidden="false" customHeight="false" outlineLevel="0" collapsed="false">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row>
    <row r="95" customFormat="false" ht="12.75" hidden="false" customHeight="false" outlineLevel="0" collapsed="false">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row>
    <row r="96" customFormat="false" ht="12.75" hidden="false" customHeight="false" outlineLevel="0" collapsed="false">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row>
    <row r="97" customFormat="false" ht="12.75" hidden="false" customHeight="false" outlineLevel="0" collapsed="false">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row>
    <row r="98" customFormat="false" ht="12.75" hidden="false" customHeight="false" outlineLevel="0" collapsed="false">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row>
    <row r="99" customFormat="false" ht="12.75" hidden="false" customHeight="false" outlineLevel="0" collapsed="false">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row>
    <row r="100" customFormat="false" ht="12.75" hidden="false" customHeight="false" outlineLevel="0" collapsed="false">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row>
    <row r="101" customFormat="false" ht="12.75" hidden="false" customHeight="false" outlineLevel="0" collapsed="false">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row>
    <row r="102" customFormat="false" ht="12.75" hidden="false" customHeight="false" outlineLevel="0" collapsed="false">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row>
    <row r="103" customFormat="false" ht="12.75" hidden="false" customHeight="false" outlineLevel="0" collapsed="false">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row>
    <row r="104" customFormat="false" ht="12.75" hidden="false" customHeight="false" outlineLevel="0" collapsed="false">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row>
    <row r="105" customFormat="false" ht="12.75" hidden="false" customHeight="false" outlineLevel="0" collapsed="false">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row>
    <row r="106" customFormat="false" ht="12.75" hidden="false" customHeight="false" outlineLevel="0" collapsed="false">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row>
    <row r="107" customFormat="false" ht="12.75" hidden="false" customHeight="false" outlineLevel="0" collapsed="false">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row>
    <row r="108" customFormat="false" ht="12.75" hidden="false" customHeight="false" outlineLevel="0" collapsed="false">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row>
    <row r="109" customFormat="false" ht="12.75" hidden="false" customHeight="false" outlineLevel="0" collapsed="false">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row>
    <row r="110" customFormat="false" ht="12.75" hidden="false" customHeight="false" outlineLevel="0" collapsed="false">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row>
    <row r="111" customFormat="false" ht="12.75" hidden="false" customHeight="false" outlineLevel="0" collapsed="false">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row>
    <row r="112" customFormat="false" ht="12.75" hidden="false" customHeight="false" outlineLevel="0" collapsed="false">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row>
    <row r="113" customFormat="false" ht="12.75" hidden="false" customHeight="false" outlineLevel="0" collapsed="false">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row>
    <row r="114" customFormat="false" ht="12.75" hidden="false" customHeight="false" outlineLevel="0" collapsed="false">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row>
    <row r="115" customFormat="false" ht="12.75" hidden="false" customHeight="false" outlineLevel="0" collapsed="false">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row>
    <row r="116" customFormat="false" ht="12.75" hidden="false" customHeight="false" outlineLevel="0" collapsed="false">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row>
    <row r="117" customFormat="false" ht="12.75" hidden="false" customHeight="false" outlineLevel="0" collapsed="false">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row>
    <row r="118" customFormat="false" ht="12.75" hidden="false" customHeight="false" outlineLevel="0" collapsed="false">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row>
    <row r="119" customFormat="false" ht="12.75" hidden="false" customHeight="false" outlineLevel="0" collapsed="false">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row>
    <row r="120" customFormat="false" ht="12.75" hidden="false" customHeight="false" outlineLevel="0" collapsed="false">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row>
    <row r="121" customFormat="false" ht="12.75" hidden="false" customHeight="false" outlineLevel="0" collapsed="false">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row>
    <row r="122" customFormat="false" ht="12.75" hidden="false" customHeight="false" outlineLevel="0" collapsed="false">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row>
    <row r="123" customFormat="false" ht="12.75" hidden="false" customHeight="false" outlineLevel="0" collapsed="false">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row>
    <row r="124" customFormat="false" ht="12.75" hidden="false" customHeight="false" outlineLevel="0" collapsed="false">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row>
    <row r="125" customFormat="false" ht="12.75" hidden="false" customHeight="false" outlineLevel="0" collapsed="false">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row>
    <row r="126" customFormat="false" ht="12.75" hidden="false" customHeight="false" outlineLevel="0" collapsed="false">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row>
    <row r="127" customFormat="false" ht="12.75" hidden="false" customHeight="false" outlineLevel="0" collapsed="false">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row>
    <row r="128" customFormat="false" ht="12.75" hidden="false" customHeight="false" outlineLevel="0" collapsed="false">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row>
    <row r="129" customFormat="false" ht="12.75" hidden="false" customHeight="false" outlineLevel="0" collapsed="false">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row>
    <row r="130" customFormat="false" ht="12.75" hidden="false" customHeight="false" outlineLevel="0" collapsed="false">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row>
    <row r="131" customFormat="false" ht="12.75" hidden="false" customHeight="false" outlineLevel="0" collapsed="false">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row>
    <row r="132" customFormat="false" ht="12.75" hidden="false" customHeight="false" outlineLevel="0" collapsed="false">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row>
    <row r="133" customFormat="false" ht="12.75" hidden="false" customHeight="false" outlineLevel="0" collapsed="false">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row>
    <row r="134" customFormat="false" ht="12.75" hidden="false" customHeight="false" outlineLevel="0" collapsed="false">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row>
    <row r="135" customFormat="false" ht="12.75" hidden="false" customHeight="false" outlineLevel="0" collapsed="false">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row>
    <row r="136" customFormat="false" ht="12.75" hidden="false" customHeight="false" outlineLevel="0" collapsed="false">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row>
    <row r="137" customFormat="false" ht="12.75" hidden="false" customHeight="false" outlineLevel="0" collapsed="false">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row>
    <row r="138" customFormat="false" ht="12.75" hidden="false" customHeight="false" outlineLevel="0" collapsed="false">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row>
    <row r="139" customFormat="false" ht="12.75" hidden="false" customHeight="false" outlineLevel="0" collapsed="false">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row>
    <row r="140" customFormat="false" ht="12.75" hidden="false" customHeight="false" outlineLevel="0" collapsed="false">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row>
    <row r="141" customFormat="false" ht="12.75" hidden="false" customHeight="false" outlineLevel="0" collapsed="false">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row>
    <row r="142" customFormat="false" ht="12.75" hidden="false" customHeight="false" outlineLevel="0" collapsed="false">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row>
    <row r="143" customFormat="false" ht="12.75" hidden="false" customHeight="false" outlineLevel="0" collapsed="false">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row>
    <row r="144" customFormat="false" ht="12.75" hidden="false" customHeight="false" outlineLevel="0" collapsed="false">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row>
    <row r="145" customFormat="false" ht="12.75" hidden="false" customHeight="false" outlineLevel="0" collapsed="false">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row>
    <row r="146" customFormat="false" ht="12.75" hidden="false" customHeight="false" outlineLevel="0" collapsed="false">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row>
    <row r="147" customFormat="false" ht="12.75" hidden="false" customHeight="false" outlineLevel="0" collapsed="false">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row>
    <row r="148" customFormat="false" ht="12.75" hidden="false" customHeight="false" outlineLevel="0" collapsed="false">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row>
    <row r="149" customFormat="false" ht="12.75" hidden="false" customHeight="false" outlineLevel="0" collapsed="false">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row>
    <row r="150" customFormat="false" ht="12.75" hidden="false" customHeight="false" outlineLevel="0" collapsed="false">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row>
    <row r="151" customFormat="false" ht="12.75" hidden="false" customHeight="false" outlineLevel="0" collapsed="false">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row>
    <row r="152" customFormat="false" ht="12.75" hidden="false" customHeight="false" outlineLevel="0" collapsed="false">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row>
    <row r="153" customFormat="false" ht="12.75" hidden="false" customHeight="false" outlineLevel="0" collapsed="false">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row>
    <row r="154" customFormat="false" ht="12.75" hidden="false" customHeight="false" outlineLevel="0" collapsed="false">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row>
    <row r="155" customFormat="false" ht="12.75" hidden="false" customHeight="false" outlineLevel="0" collapsed="false">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row>
    <row r="156" customFormat="false" ht="12.75" hidden="false" customHeight="false" outlineLevel="0" collapsed="false">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row>
    <row r="157" customFormat="false" ht="12.75" hidden="false" customHeight="false" outlineLevel="0" collapsed="false">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row>
    <row r="158" customFormat="false" ht="12.75" hidden="false" customHeight="false" outlineLevel="0" collapsed="false">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row>
    <row r="159" customFormat="false" ht="12.75" hidden="false" customHeight="false" outlineLevel="0" collapsed="false">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row>
    <row r="160" customFormat="false" ht="12.75" hidden="false" customHeight="false" outlineLevel="0" collapsed="false">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row>
    <row r="161" customFormat="false" ht="12.75" hidden="false" customHeight="false" outlineLevel="0" collapsed="false">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row>
    <row r="162" customFormat="false" ht="12.75" hidden="false" customHeight="false" outlineLevel="0" collapsed="false">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row>
    <row r="163" customFormat="false" ht="12.75" hidden="false" customHeight="false" outlineLevel="0" collapsed="false">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row>
    <row r="164" customFormat="false" ht="12.75" hidden="false" customHeight="false" outlineLevel="0" collapsed="false">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row>
    <row r="165" customFormat="false" ht="12.75" hidden="false" customHeight="false" outlineLevel="0" collapsed="false">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row>
    <row r="166" customFormat="false" ht="12.75" hidden="false" customHeight="false" outlineLevel="0" collapsed="false">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row>
    <row r="167" customFormat="false" ht="12.75" hidden="false" customHeight="false" outlineLevel="0" collapsed="false">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row>
    <row r="168" customFormat="false" ht="12.75" hidden="false" customHeight="false" outlineLevel="0" collapsed="false">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row>
    <row r="169" customFormat="false" ht="12.75" hidden="false" customHeight="false" outlineLevel="0" collapsed="false">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row>
    <row r="170" customFormat="false" ht="12.75" hidden="false" customHeight="false" outlineLevel="0" collapsed="false">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row>
    <row r="171" customFormat="false" ht="12.75" hidden="false" customHeight="false" outlineLevel="0" collapsed="false">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row>
    <row r="172" customFormat="false" ht="12.75" hidden="false" customHeight="false" outlineLevel="0" collapsed="false">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row>
    <row r="173" customFormat="false" ht="12.75" hidden="false" customHeight="false" outlineLevel="0" collapsed="false">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row>
    <row r="174" customFormat="false" ht="12.75" hidden="false" customHeight="false" outlineLevel="0" collapsed="false">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row>
    <row r="175" customFormat="false" ht="12.75" hidden="false" customHeight="false" outlineLevel="0" collapsed="false">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row>
    <row r="176" customFormat="false" ht="12.75" hidden="false" customHeight="false" outlineLevel="0" collapsed="false">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row>
    <row r="177" customFormat="false" ht="12.75" hidden="false" customHeight="false" outlineLevel="0" collapsed="false">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row>
    <row r="178" customFormat="false" ht="12.75" hidden="false" customHeight="false" outlineLevel="0" collapsed="false">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row>
    <row r="179" customFormat="false" ht="12.75" hidden="false" customHeight="false" outlineLevel="0" collapsed="false">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row>
    <row r="180" customFormat="false" ht="12.75" hidden="false" customHeight="false" outlineLevel="0" collapsed="false">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row>
    <row r="181" customFormat="false" ht="12.75" hidden="false" customHeight="false" outlineLevel="0" collapsed="false">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row>
    <row r="182" customFormat="false" ht="12.75" hidden="false" customHeight="false" outlineLevel="0" collapsed="false">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row>
    <row r="183" customFormat="false" ht="12.75" hidden="false" customHeight="false" outlineLevel="0" collapsed="false">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row>
    <row r="184" customFormat="false" ht="12.75" hidden="false" customHeight="false" outlineLevel="0" collapsed="false">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row>
    <row r="185" customFormat="false" ht="12.75" hidden="false" customHeight="false" outlineLevel="0" collapsed="false">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row>
    <row r="186" customFormat="false" ht="12.75" hidden="false" customHeight="false" outlineLevel="0" collapsed="false">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row>
    <row r="187" customFormat="false" ht="12.75" hidden="false" customHeight="false" outlineLevel="0" collapsed="false">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row>
    <row r="188" customFormat="false" ht="12.75" hidden="false" customHeight="false" outlineLevel="0" collapsed="false">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row>
    <row r="189" customFormat="false" ht="12.75" hidden="false" customHeight="false" outlineLevel="0" collapsed="false">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row>
    <row r="190" customFormat="false" ht="12.75" hidden="false" customHeight="false" outlineLevel="0" collapsed="false">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row>
    <row r="191" customFormat="false" ht="12.75" hidden="false" customHeight="false" outlineLevel="0" collapsed="false">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row>
    <row r="192" customFormat="false" ht="12.75" hidden="false" customHeight="false" outlineLevel="0" collapsed="false">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row>
    <row r="193" customFormat="false" ht="12.75" hidden="false" customHeight="false" outlineLevel="0" collapsed="false">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row>
    <row r="194" customFormat="false" ht="12.75" hidden="false" customHeight="false" outlineLevel="0" collapsed="false">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row>
    <row r="195" customFormat="false" ht="12.75" hidden="false" customHeight="false" outlineLevel="0" collapsed="false">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row>
    <row r="196" customFormat="false" ht="12.75" hidden="false" customHeight="false" outlineLevel="0" collapsed="false">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row>
    <row r="197" customFormat="false" ht="12.75" hidden="false" customHeight="false" outlineLevel="0" collapsed="false">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row>
    <row r="198" customFormat="false" ht="12.75" hidden="false" customHeight="false" outlineLevel="0" collapsed="false">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row>
    <row r="199" customFormat="false" ht="12.75" hidden="false" customHeight="false" outlineLevel="0" collapsed="false">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row>
    <row r="200" customFormat="false" ht="12.75" hidden="false" customHeight="false" outlineLevel="0" collapsed="false">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row>
    <row r="201" customFormat="false" ht="12.75" hidden="false" customHeight="false" outlineLevel="0" collapsed="false">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row>
    <row r="202" customFormat="false" ht="12.75" hidden="false" customHeight="false" outlineLevel="0" collapsed="false">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row>
    <row r="203" customFormat="false" ht="12.75" hidden="false" customHeight="false" outlineLevel="0" collapsed="false">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row>
    <row r="204" customFormat="false" ht="12.75" hidden="false" customHeight="false" outlineLevel="0" collapsed="false">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row>
    <row r="205" customFormat="false" ht="12.75" hidden="false" customHeight="false" outlineLevel="0" collapsed="false">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row>
    <row r="206" customFormat="false" ht="12.75" hidden="false" customHeight="false" outlineLevel="0" collapsed="false">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row>
    <row r="207" customFormat="false" ht="12.75" hidden="false" customHeight="false" outlineLevel="0" collapsed="false">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row>
    <row r="208" customFormat="false" ht="12.75" hidden="false" customHeight="false" outlineLevel="0" collapsed="false">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row>
    <row r="209" customFormat="false" ht="12.75" hidden="false" customHeight="false" outlineLevel="0" collapsed="false">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row>
    <row r="210" customFormat="false" ht="12.75" hidden="false" customHeight="false" outlineLevel="0" collapsed="false">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row>
    <row r="211" customFormat="false" ht="12.75" hidden="false" customHeight="false" outlineLevel="0" collapsed="false">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row>
    <row r="212" customFormat="false" ht="12.75" hidden="false" customHeight="false" outlineLevel="0" collapsed="false">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row>
    <row r="213" customFormat="false" ht="12.75" hidden="false" customHeight="false" outlineLevel="0" collapsed="false">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row>
    <row r="214" customFormat="false" ht="12.75" hidden="false" customHeight="false" outlineLevel="0" collapsed="false">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row>
    <row r="215" customFormat="false" ht="12.75" hidden="false" customHeight="false" outlineLevel="0" collapsed="false">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row>
    <row r="216" customFormat="false" ht="12.75" hidden="false" customHeight="false" outlineLevel="0" collapsed="false">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row>
    <row r="217" customFormat="false" ht="12.75" hidden="false" customHeight="false" outlineLevel="0" collapsed="false">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row>
    <row r="218" customFormat="false" ht="12.75" hidden="false" customHeight="false" outlineLevel="0" collapsed="false">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row>
    <row r="219" customFormat="false" ht="12.75" hidden="false" customHeight="false" outlineLevel="0" collapsed="false">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row>
    <row r="220" customFormat="false" ht="12.75" hidden="false" customHeight="false" outlineLevel="0" collapsed="false">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row>
    <row r="221" customFormat="false" ht="12.75" hidden="false" customHeight="false" outlineLevel="0" collapsed="false">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row>
    <row r="222" customFormat="false" ht="12.75" hidden="false" customHeight="false" outlineLevel="0" collapsed="false">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row>
    <row r="223" customFormat="false" ht="12.75" hidden="false" customHeight="false" outlineLevel="0" collapsed="false">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row>
    <row r="224" customFormat="false" ht="12.75" hidden="false" customHeight="false" outlineLevel="0" collapsed="false">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row>
    <row r="225" customFormat="false" ht="12.75" hidden="false" customHeight="false" outlineLevel="0" collapsed="false">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row>
    <row r="226" customFormat="false" ht="12.75" hidden="false" customHeight="false" outlineLevel="0" collapsed="false">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row>
    <row r="227" customFormat="false" ht="12.75" hidden="false" customHeight="false" outlineLevel="0" collapsed="false">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row>
    <row r="228" customFormat="false" ht="12.75" hidden="false" customHeight="false" outlineLevel="0" collapsed="false">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row>
    <row r="229" customFormat="false" ht="12.75" hidden="false" customHeight="false" outlineLevel="0" collapsed="false">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row>
    <row r="230" customFormat="false" ht="12.75" hidden="false" customHeight="false" outlineLevel="0" collapsed="false">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row>
    <row r="231" customFormat="false" ht="12.75" hidden="false" customHeight="false" outlineLevel="0" collapsed="false">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row>
    <row r="232" customFormat="false" ht="12.75" hidden="false" customHeight="false" outlineLevel="0" collapsed="false">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row>
    <row r="233" customFormat="false" ht="12.75" hidden="false" customHeight="false" outlineLevel="0" collapsed="false">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row>
    <row r="234" customFormat="false" ht="12.75" hidden="false" customHeight="false" outlineLevel="0" collapsed="false">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row>
    <row r="235" customFormat="false" ht="12.75" hidden="false" customHeight="false" outlineLevel="0" collapsed="false">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row>
    <row r="236" customFormat="false" ht="12.75" hidden="false" customHeight="false" outlineLevel="0" collapsed="false">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row>
    <row r="237" customFormat="false" ht="12.75" hidden="false" customHeight="false" outlineLevel="0" collapsed="false">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row>
    <row r="238" customFormat="false" ht="12.75" hidden="false" customHeight="false" outlineLevel="0" collapsed="false">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row>
    <row r="239" customFormat="false" ht="12.75" hidden="false" customHeight="false" outlineLevel="0" collapsed="false">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row>
    <row r="240" customFormat="false" ht="12.75" hidden="false" customHeight="false" outlineLevel="0" collapsed="false">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row>
    <row r="241" customFormat="false" ht="12.75" hidden="false" customHeight="false" outlineLevel="0" collapsed="false">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row>
    <row r="242" customFormat="false" ht="12.75" hidden="false" customHeight="false" outlineLevel="0" collapsed="false">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row>
    <row r="243" customFormat="false" ht="12.75" hidden="false" customHeight="false" outlineLevel="0" collapsed="false">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row>
    <row r="244" customFormat="false" ht="12.75" hidden="false" customHeight="false" outlineLevel="0" collapsed="false">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row>
    <row r="245" customFormat="false" ht="12.75" hidden="false" customHeight="false" outlineLevel="0" collapsed="false">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row>
    <row r="246" customFormat="false" ht="12.75" hidden="false" customHeight="false" outlineLevel="0" collapsed="false">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row>
    <row r="247" customFormat="false" ht="12.75" hidden="false" customHeight="false" outlineLevel="0" collapsed="false">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row>
    <row r="248" customFormat="false" ht="12.75" hidden="false" customHeight="false" outlineLevel="0" collapsed="false">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row>
    <row r="249" customFormat="false" ht="12.75" hidden="false" customHeight="false" outlineLevel="0" collapsed="false">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row>
    <row r="250" customFormat="false" ht="12.75" hidden="false" customHeight="false" outlineLevel="0" collapsed="false">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row>
    <row r="251" customFormat="false" ht="12.75" hidden="false" customHeight="false" outlineLevel="0" collapsed="false">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row>
    <row r="252" customFormat="false" ht="12.75" hidden="false" customHeight="false" outlineLevel="0" collapsed="false">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row>
    <row r="253" customFormat="false" ht="12.75" hidden="false" customHeight="false" outlineLevel="0" collapsed="false">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row>
    <row r="254" customFormat="false" ht="12.75" hidden="false" customHeight="false" outlineLevel="0" collapsed="false">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row>
    <row r="255" customFormat="false" ht="12.75" hidden="false" customHeight="false" outlineLevel="0" collapsed="false">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row>
    <row r="256" customFormat="false" ht="12.75" hidden="false" customHeight="false" outlineLevel="0" collapsed="false">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row>
    <row r="257" customFormat="false" ht="12.75" hidden="false" customHeight="false" outlineLevel="0" collapsed="false">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row>
    <row r="258" customFormat="false" ht="12.75" hidden="false" customHeight="false" outlineLevel="0" collapsed="false">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row>
    <row r="259" customFormat="false" ht="12.75" hidden="false" customHeight="false" outlineLevel="0" collapsed="false">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row>
    <row r="260" customFormat="false" ht="12.75" hidden="false" customHeight="false" outlineLevel="0" collapsed="false">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row>
    <row r="261" customFormat="false" ht="12.75" hidden="false" customHeight="false" outlineLevel="0" collapsed="false">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row>
    <row r="262" customFormat="false" ht="12.75" hidden="false" customHeight="false" outlineLevel="0" collapsed="false">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row>
    <row r="263" customFormat="false" ht="12.75" hidden="false" customHeight="false" outlineLevel="0" collapsed="false">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row>
    <row r="264" customFormat="false" ht="12.75" hidden="false" customHeight="false" outlineLevel="0" collapsed="false">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row>
    <row r="265" customFormat="false" ht="12.75" hidden="false" customHeight="false" outlineLevel="0" collapsed="false">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row>
    <row r="266" customFormat="false" ht="12.75" hidden="false" customHeight="false" outlineLevel="0" collapsed="false">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row>
    <row r="267" customFormat="false" ht="12.75" hidden="false" customHeight="false" outlineLevel="0" collapsed="false">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row>
    <row r="268" customFormat="false" ht="12.75" hidden="false" customHeight="false" outlineLevel="0" collapsed="false">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row>
    <row r="269" customFormat="false" ht="12.75" hidden="false" customHeight="false" outlineLevel="0" collapsed="false">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row>
    <row r="270" customFormat="false" ht="12.75" hidden="false" customHeight="false" outlineLevel="0" collapsed="false">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row>
    <row r="271" customFormat="false" ht="12.75" hidden="false" customHeight="false" outlineLevel="0" collapsed="false">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row>
    <row r="272" customFormat="false" ht="12.75" hidden="false" customHeight="false" outlineLevel="0" collapsed="false">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row>
    <row r="273" customFormat="false" ht="12.75" hidden="false" customHeight="false" outlineLevel="0" collapsed="false">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row>
    <row r="274" customFormat="false" ht="12.75" hidden="false" customHeight="false" outlineLevel="0" collapsed="false">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row>
    <row r="275" customFormat="false" ht="12.75" hidden="false" customHeight="false" outlineLevel="0" collapsed="false">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row>
    <row r="276" customFormat="false" ht="12.75" hidden="false" customHeight="false" outlineLevel="0" collapsed="false">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row>
    <row r="277" customFormat="false" ht="12.75" hidden="false" customHeight="false" outlineLevel="0" collapsed="false">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row>
    <row r="278" customFormat="false" ht="12.75" hidden="false" customHeight="false" outlineLevel="0" collapsed="false">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row>
    <row r="279" customFormat="false" ht="12.75" hidden="false" customHeight="false" outlineLevel="0" collapsed="false">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row>
    <row r="280" customFormat="false" ht="12.75" hidden="false" customHeight="false" outlineLevel="0" collapsed="false">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row>
    <row r="281" customFormat="false" ht="12.75" hidden="false" customHeight="false" outlineLevel="0" collapsed="false">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row>
    <row r="282" customFormat="false" ht="12.75" hidden="false" customHeight="false" outlineLevel="0" collapsed="false">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row>
    <row r="283" customFormat="false" ht="12.75" hidden="false" customHeight="false" outlineLevel="0" collapsed="false">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row>
    <row r="284" customFormat="false" ht="12.75" hidden="false" customHeight="false" outlineLevel="0" collapsed="false">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row>
    <row r="285" customFormat="false" ht="12.75" hidden="false" customHeight="false" outlineLevel="0" collapsed="false">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row>
    <row r="286" customFormat="false" ht="12.75" hidden="false" customHeight="false" outlineLevel="0" collapsed="false">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row>
    <row r="287" customFormat="false" ht="12.75" hidden="false" customHeight="false" outlineLevel="0" collapsed="false">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row>
    <row r="288" customFormat="false" ht="12.75" hidden="false" customHeight="false" outlineLevel="0" collapsed="false">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row>
    <row r="289" customFormat="false" ht="12.75" hidden="false" customHeight="false" outlineLevel="0" collapsed="false">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row>
    <row r="290" customFormat="false" ht="12.75" hidden="false" customHeight="false" outlineLevel="0" collapsed="false">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row>
    <row r="291" customFormat="false" ht="12.75" hidden="false" customHeight="false" outlineLevel="0" collapsed="false">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row>
    <row r="292" customFormat="false" ht="12.75" hidden="false" customHeight="false" outlineLevel="0" collapsed="false">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row>
    <row r="293" customFormat="false" ht="12.75" hidden="false" customHeight="false" outlineLevel="0" collapsed="false">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row>
    <row r="294" customFormat="false" ht="12.75" hidden="false" customHeight="false" outlineLevel="0" collapsed="false">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row>
    <row r="295" customFormat="false" ht="12.75" hidden="false" customHeight="false" outlineLevel="0" collapsed="false">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row>
    <row r="296" customFormat="false" ht="12.75" hidden="false" customHeight="false" outlineLevel="0" collapsed="false">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row>
    <row r="297" customFormat="false" ht="12.75" hidden="false" customHeight="false" outlineLevel="0" collapsed="false">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row>
    <row r="298" customFormat="false" ht="12.75" hidden="false" customHeight="false" outlineLevel="0" collapsed="false">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row>
    <row r="299" customFormat="false" ht="12.75" hidden="false" customHeight="false" outlineLevel="0" collapsed="false">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row>
    <row r="300" customFormat="false" ht="12.75" hidden="false" customHeight="false" outlineLevel="0" collapsed="false">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row>
    <row r="301" customFormat="false" ht="12.75" hidden="false" customHeight="false" outlineLevel="0" collapsed="false">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row>
    <row r="302" customFormat="false" ht="12.75" hidden="false" customHeight="false" outlineLevel="0" collapsed="false">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row>
    <row r="303" customFormat="false" ht="12.75" hidden="false" customHeight="false" outlineLevel="0" collapsed="false">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row>
    <row r="304" customFormat="false" ht="12.75" hidden="false" customHeight="false" outlineLevel="0" collapsed="false">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row>
    <row r="305" customFormat="false" ht="12.75" hidden="false" customHeight="false" outlineLevel="0" collapsed="false">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row>
    <row r="306" customFormat="false" ht="12.75" hidden="false" customHeight="false" outlineLevel="0" collapsed="false">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row>
    <row r="307" customFormat="false" ht="12.75" hidden="false" customHeight="false" outlineLevel="0" collapsed="false">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row>
    <row r="308" customFormat="false" ht="12.75" hidden="false" customHeight="false" outlineLevel="0" collapsed="false">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row>
    <row r="309" customFormat="false" ht="12.75" hidden="false" customHeight="false" outlineLevel="0" collapsed="false">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row>
    <row r="310" customFormat="false" ht="12.75" hidden="false" customHeight="false" outlineLevel="0" collapsed="false">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row>
    <row r="311" customFormat="false" ht="12.75" hidden="false" customHeight="false" outlineLevel="0" collapsed="false">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row>
    <row r="312" customFormat="false" ht="12.75" hidden="false" customHeight="false" outlineLevel="0" collapsed="false">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row>
    <row r="313" customFormat="false" ht="12.75" hidden="false" customHeight="false" outlineLevel="0" collapsed="false">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row>
    <row r="314" customFormat="false" ht="12.75" hidden="false" customHeight="false" outlineLevel="0" collapsed="false">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row>
    <row r="315" customFormat="false" ht="12.75" hidden="false" customHeight="false" outlineLevel="0" collapsed="false">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row>
    <row r="316" customFormat="false" ht="12.75" hidden="false" customHeight="false" outlineLevel="0" collapsed="false">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row>
    <row r="317" customFormat="false" ht="12.75" hidden="false" customHeight="false" outlineLevel="0" collapsed="false">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row>
    <row r="318" customFormat="false" ht="12.75" hidden="false" customHeight="false" outlineLevel="0" collapsed="false">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row>
    <row r="319" customFormat="false" ht="12.75" hidden="false" customHeight="false" outlineLevel="0" collapsed="false">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row>
    <row r="320" customFormat="false" ht="12.75" hidden="false" customHeight="false" outlineLevel="0" collapsed="false">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row>
    <row r="321" customFormat="false" ht="12.75" hidden="false" customHeight="false" outlineLevel="0" collapsed="false">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row>
    <row r="322" customFormat="false" ht="12.75" hidden="false" customHeight="false" outlineLevel="0" collapsed="false">
      <c r="E322" s="67"/>
      <c r="F322" s="67"/>
      <c r="G322" s="67"/>
      <c r="H322" s="67"/>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row>
    <row r="323" customFormat="false" ht="12.75" hidden="false" customHeight="false" outlineLevel="0" collapsed="false">
      <c r="E323" s="67"/>
      <c r="F323" s="67"/>
      <c r="G323" s="67"/>
      <c r="H323" s="67"/>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row>
    <row r="324" customFormat="false" ht="12.75" hidden="false" customHeight="false" outlineLevel="0" collapsed="false">
      <c r="E324" s="67"/>
      <c r="F324" s="67"/>
      <c r="G324" s="67"/>
      <c r="H324" s="67"/>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row>
    <row r="325" customFormat="false" ht="12.75" hidden="false" customHeight="false" outlineLevel="0" collapsed="false">
      <c r="E325" s="67"/>
      <c r="F325" s="67"/>
      <c r="G325" s="67"/>
      <c r="H325" s="67"/>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row>
    <row r="326" customFormat="false" ht="12.75" hidden="false" customHeight="false" outlineLevel="0" collapsed="false">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row>
    <row r="327" customFormat="false" ht="12.75" hidden="false" customHeight="false" outlineLevel="0" collapsed="false">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row>
    <row r="328" customFormat="false" ht="12.75" hidden="false" customHeight="false" outlineLevel="0" collapsed="false">
      <c r="E328" s="67"/>
      <c r="F328" s="67"/>
      <c r="G328" s="67"/>
      <c r="H328" s="67"/>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row>
    <row r="329" customFormat="false" ht="12.75" hidden="false" customHeight="false" outlineLevel="0" collapsed="false">
      <c r="E329" s="67"/>
      <c r="F329" s="67"/>
      <c r="G329" s="67"/>
      <c r="H329" s="67"/>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row>
    <row r="330" customFormat="false" ht="12.75" hidden="false" customHeight="false" outlineLevel="0" collapsed="false">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row>
    <row r="331" customFormat="false" ht="12.75" hidden="false" customHeight="false" outlineLevel="0" collapsed="false">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row>
    <row r="332" customFormat="false" ht="12.75" hidden="false" customHeight="false" outlineLevel="0" collapsed="false">
      <c r="E332" s="67"/>
      <c r="F332" s="67"/>
      <c r="G332" s="67"/>
      <c r="H332" s="67"/>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row>
    <row r="333" customFormat="false" ht="12.75" hidden="false" customHeight="false" outlineLevel="0" collapsed="false">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row>
    <row r="334" customFormat="false" ht="12.75" hidden="false" customHeight="false" outlineLevel="0" collapsed="false">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row>
    <row r="335" customFormat="false" ht="12.75" hidden="false" customHeight="false" outlineLevel="0" collapsed="false">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row>
    <row r="336" customFormat="false" ht="12.75" hidden="false" customHeight="false" outlineLevel="0" collapsed="false">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row>
    <row r="337" customFormat="false" ht="12.75" hidden="false" customHeight="false" outlineLevel="0" collapsed="false">
      <c r="E337" s="67"/>
      <c r="F337" s="67"/>
      <c r="G337" s="67"/>
      <c r="H337" s="67"/>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row>
    <row r="338" customFormat="false" ht="12.75" hidden="false" customHeight="false" outlineLevel="0" collapsed="false">
      <c r="E338" s="67"/>
      <c r="F338" s="67"/>
      <c r="G338" s="67"/>
      <c r="H338" s="67"/>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row>
    <row r="339" customFormat="false" ht="12.75" hidden="false" customHeight="false" outlineLevel="0" collapsed="false">
      <c r="E339" s="67"/>
      <c r="F339" s="67"/>
      <c r="G339" s="67"/>
      <c r="H339" s="67"/>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row>
    <row r="340" customFormat="false" ht="12.75" hidden="false" customHeight="false" outlineLevel="0" collapsed="false">
      <c r="E340" s="67"/>
      <c r="F340" s="67"/>
      <c r="G340" s="67"/>
      <c r="H340" s="67"/>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row>
    <row r="341" customFormat="false" ht="12.75" hidden="false" customHeight="false" outlineLevel="0" collapsed="false">
      <c r="E341" s="67"/>
      <c r="F341" s="67"/>
      <c r="G341" s="67"/>
      <c r="H341" s="67"/>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row>
    <row r="342" customFormat="false" ht="12.75" hidden="false" customHeight="false" outlineLevel="0" collapsed="false">
      <c r="E342" s="67"/>
      <c r="F342" s="67"/>
      <c r="G342" s="67"/>
      <c r="H342" s="67"/>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row>
    <row r="343" customFormat="false" ht="12.75" hidden="false" customHeight="false" outlineLevel="0" collapsed="false">
      <c r="E343" s="67"/>
      <c r="F343" s="67"/>
      <c r="G343" s="67"/>
      <c r="H343" s="67"/>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row>
    <row r="344" customFormat="false" ht="12.75" hidden="false" customHeight="false" outlineLevel="0" collapsed="false">
      <c r="E344" s="67"/>
      <c r="F344" s="67"/>
      <c r="G344" s="67"/>
      <c r="H344" s="67"/>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row>
    <row r="345" customFormat="false" ht="12.75" hidden="false" customHeight="false" outlineLevel="0" collapsed="false">
      <c r="E345" s="67"/>
      <c r="F345" s="67"/>
      <c r="G345" s="67"/>
      <c r="H345" s="67"/>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row>
    <row r="346" customFormat="false" ht="12.75" hidden="false" customHeight="false" outlineLevel="0" collapsed="false">
      <c r="E346" s="67"/>
      <c r="F346" s="67"/>
      <c r="G346" s="67"/>
      <c r="H346" s="67"/>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row>
    <row r="347" customFormat="false" ht="12.75" hidden="false" customHeight="false" outlineLevel="0" collapsed="false">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row>
    <row r="348" customFormat="false" ht="12.75" hidden="false" customHeight="false" outlineLevel="0" collapsed="false">
      <c r="E348" s="67"/>
      <c r="F348" s="67"/>
      <c r="G348" s="67"/>
      <c r="H348" s="67"/>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row>
    <row r="349" customFormat="false" ht="12.75" hidden="false" customHeight="false" outlineLevel="0" collapsed="false">
      <c r="E349" s="67"/>
      <c r="F349" s="67"/>
      <c r="G349" s="67"/>
      <c r="H349" s="67"/>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row>
    <row r="350" customFormat="false" ht="12.75" hidden="false" customHeight="false" outlineLevel="0" collapsed="false">
      <c r="E350" s="67"/>
      <c r="F350" s="67"/>
      <c r="G350" s="67"/>
      <c r="H350" s="67"/>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row>
    <row r="351" customFormat="false" ht="12.75" hidden="false" customHeight="false" outlineLevel="0" collapsed="false">
      <c r="E351" s="67"/>
      <c r="F351" s="67"/>
      <c r="G351" s="67"/>
      <c r="H351" s="67"/>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c r="AH351" s="67"/>
      <c r="AI351" s="67"/>
      <c r="AJ351" s="67"/>
      <c r="AK351" s="67"/>
      <c r="AL351" s="67"/>
      <c r="AM351" s="67"/>
      <c r="AN351" s="67"/>
      <c r="AO351" s="67"/>
      <c r="AP351" s="67"/>
    </row>
    <row r="352" customFormat="false" ht="12.75" hidden="false" customHeight="false" outlineLevel="0" collapsed="false">
      <c r="E352" s="67"/>
      <c r="F352" s="67"/>
      <c r="G352" s="67"/>
      <c r="H352" s="67"/>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c r="AH352" s="67"/>
      <c r="AI352" s="67"/>
      <c r="AJ352" s="67"/>
      <c r="AK352" s="67"/>
      <c r="AL352" s="67"/>
      <c r="AM352" s="67"/>
      <c r="AN352" s="67"/>
      <c r="AO352" s="67"/>
      <c r="AP352" s="67"/>
    </row>
    <row r="353" customFormat="false" ht="12.75" hidden="false" customHeight="false" outlineLevel="0" collapsed="false">
      <c r="E353" s="67"/>
      <c r="F353" s="67"/>
      <c r="G353" s="67"/>
      <c r="H353" s="67"/>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c r="AH353" s="67"/>
      <c r="AI353" s="67"/>
      <c r="AJ353" s="67"/>
      <c r="AK353" s="67"/>
      <c r="AL353" s="67"/>
      <c r="AM353" s="67"/>
      <c r="AN353" s="67"/>
      <c r="AO353" s="67"/>
      <c r="AP353" s="67"/>
    </row>
    <row r="354" customFormat="false" ht="12.75" hidden="false" customHeight="false" outlineLevel="0" collapsed="false">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row>
    <row r="355" customFormat="false" ht="12.75" hidden="false" customHeight="false" outlineLevel="0" collapsed="false">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row>
    <row r="356" customFormat="false" ht="12.75" hidden="false" customHeight="false" outlineLevel="0" collapsed="false">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row>
    <row r="357" customFormat="false" ht="12.75" hidden="false" customHeight="false" outlineLevel="0" collapsed="false">
      <c r="E357" s="67"/>
      <c r="F357" s="67"/>
      <c r="G357" s="67"/>
      <c r="H357" s="67"/>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67"/>
      <c r="AP357" s="67"/>
    </row>
    <row r="358" customFormat="false" ht="12.75" hidden="false" customHeight="false" outlineLevel="0" collapsed="false">
      <c r="E358" s="67"/>
      <c r="F358" s="67"/>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67"/>
      <c r="AP358" s="67"/>
    </row>
    <row r="359" customFormat="false" ht="12.75" hidden="false" customHeight="false" outlineLevel="0" collapsed="false">
      <c r="E359" s="67"/>
      <c r="F359" s="67"/>
      <c r="G359" s="67"/>
      <c r="H359" s="67"/>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c r="AH359" s="67"/>
      <c r="AI359" s="67"/>
      <c r="AJ359" s="67"/>
      <c r="AK359" s="67"/>
      <c r="AL359" s="67"/>
      <c r="AM359" s="67"/>
      <c r="AN359" s="67"/>
      <c r="AO359" s="67"/>
      <c r="AP359" s="67"/>
    </row>
    <row r="360" customFormat="false" ht="12.75" hidden="false" customHeight="false" outlineLevel="0" collapsed="false">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row>
    <row r="361" customFormat="false" ht="12.75" hidden="false" customHeight="false" outlineLevel="0" collapsed="false">
      <c r="E361" s="67"/>
      <c r="F361" s="67"/>
      <c r="G361" s="67"/>
      <c r="H361" s="67"/>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c r="AH361" s="67"/>
      <c r="AI361" s="67"/>
      <c r="AJ361" s="67"/>
      <c r="AK361" s="67"/>
      <c r="AL361" s="67"/>
      <c r="AM361" s="67"/>
      <c r="AN361" s="67"/>
      <c r="AO361" s="67"/>
      <c r="AP361" s="67"/>
    </row>
    <row r="362" customFormat="false" ht="12.75" hidden="false" customHeight="false" outlineLevel="0" collapsed="false">
      <c r="E362" s="67"/>
      <c r="F362" s="67"/>
      <c r="G362" s="67"/>
      <c r="H362" s="67"/>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c r="AH362" s="67"/>
      <c r="AI362" s="67"/>
      <c r="AJ362" s="67"/>
      <c r="AK362" s="67"/>
      <c r="AL362" s="67"/>
      <c r="AM362" s="67"/>
      <c r="AN362" s="67"/>
      <c r="AO362" s="67"/>
      <c r="AP362" s="67"/>
    </row>
    <row r="363" customFormat="false" ht="12.75" hidden="false" customHeight="false" outlineLevel="0" collapsed="false">
      <c r="E363" s="67"/>
      <c r="F363" s="67"/>
      <c r="G363" s="67"/>
      <c r="H363" s="67"/>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c r="AH363" s="67"/>
      <c r="AI363" s="67"/>
      <c r="AJ363" s="67"/>
      <c r="AK363" s="67"/>
      <c r="AL363" s="67"/>
      <c r="AM363" s="67"/>
      <c r="AN363" s="67"/>
      <c r="AO363" s="67"/>
      <c r="AP363" s="67"/>
    </row>
    <row r="364" customFormat="false" ht="12.75" hidden="false" customHeight="false" outlineLevel="0" collapsed="false">
      <c r="E364" s="67"/>
      <c r="F364" s="67"/>
      <c r="G364" s="67"/>
      <c r="H364" s="67"/>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row>
    <row r="365" customFormat="false" ht="12.75" hidden="false" customHeight="false" outlineLevel="0" collapsed="false">
      <c r="E365" s="67"/>
      <c r="F365" s="67"/>
      <c r="G365" s="67"/>
      <c r="H365" s="67"/>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c r="AH365" s="67"/>
      <c r="AI365" s="67"/>
      <c r="AJ365" s="67"/>
      <c r="AK365" s="67"/>
      <c r="AL365" s="67"/>
      <c r="AM365" s="67"/>
      <c r="AN365" s="67"/>
      <c r="AO365" s="67"/>
      <c r="AP365" s="67"/>
    </row>
    <row r="366" customFormat="false" ht="12.75" hidden="false" customHeight="false" outlineLevel="0" collapsed="false">
      <c r="E366" s="67"/>
      <c r="F366" s="67"/>
      <c r="G366" s="67"/>
      <c r="H366" s="67"/>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c r="AH366" s="67"/>
      <c r="AI366" s="67"/>
      <c r="AJ366" s="67"/>
      <c r="AK366" s="67"/>
      <c r="AL366" s="67"/>
      <c r="AM366" s="67"/>
      <c r="AN366" s="67"/>
      <c r="AO366" s="67"/>
      <c r="AP366" s="67"/>
    </row>
    <row r="367" customFormat="false" ht="12.75" hidden="false" customHeight="false" outlineLevel="0" collapsed="false">
      <c r="E367" s="67"/>
      <c r="F367" s="67"/>
      <c r="G367" s="67"/>
      <c r="H367" s="67"/>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c r="AH367" s="67"/>
      <c r="AI367" s="67"/>
      <c r="AJ367" s="67"/>
      <c r="AK367" s="67"/>
      <c r="AL367" s="67"/>
      <c r="AM367" s="67"/>
      <c r="AN367" s="67"/>
      <c r="AO367" s="67"/>
      <c r="AP367" s="67"/>
    </row>
    <row r="368" customFormat="false" ht="12.75" hidden="false" customHeight="false" outlineLevel="0" collapsed="false">
      <c r="E368" s="67"/>
      <c r="F368" s="67"/>
      <c r="G368" s="67"/>
      <c r="H368" s="67"/>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c r="AH368" s="67"/>
      <c r="AI368" s="67"/>
      <c r="AJ368" s="67"/>
      <c r="AK368" s="67"/>
      <c r="AL368" s="67"/>
      <c r="AM368" s="67"/>
      <c r="AN368" s="67"/>
      <c r="AO368" s="67"/>
      <c r="AP368" s="67"/>
    </row>
    <row r="369" customFormat="false" ht="12.75" hidden="false" customHeight="false" outlineLevel="0" collapsed="false">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row>
    <row r="370" customFormat="false" ht="12.75" hidden="false" customHeight="false" outlineLevel="0" collapsed="false">
      <c r="E370" s="67"/>
      <c r="F370" s="67"/>
      <c r="G370" s="67"/>
      <c r="H370" s="67"/>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c r="AH370" s="67"/>
      <c r="AI370" s="67"/>
      <c r="AJ370" s="67"/>
      <c r="AK370" s="67"/>
      <c r="AL370" s="67"/>
      <c r="AM370" s="67"/>
      <c r="AN370" s="67"/>
      <c r="AO370" s="67"/>
      <c r="AP370" s="67"/>
    </row>
    <row r="371" customFormat="false" ht="12.75" hidden="false" customHeight="false" outlineLevel="0" collapsed="false">
      <c r="E371" s="67"/>
      <c r="F371" s="67"/>
      <c r="G371" s="67"/>
      <c r="H371" s="67"/>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c r="AH371" s="67"/>
      <c r="AI371" s="67"/>
      <c r="AJ371" s="67"/>
      <c r="AK371" s="67"/>
      <c r="AL371" s="67"/>
      <c r="AM371" s="67"/>
      <c r="AN371" s="67"/>
      <c r="AO371" s="67"/>
      <c r="AP371" s="67"/>
    </row>
    <row r="372" customFormat="false" ht="12.75" hidden="false" customHeight="false" outlineLevel="0" collapsed="false">
      <c r="E372" s="67"/>
      <c r="F372" s="67"/>
      <c r="G372" s="67"/>
      <c r="H372" s="67"/>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c r="AH372" s="67"/>
      <c r="AI372" s="67"/>
      <c r="AJ372" s="67"/>
      <c r="AK372" s="67"/>
      <c r="AL372" s="67"/>
      <c r="AM372" s="67"/>
      <c r="AN372" s="67"/>
      <c r="AO372" s="67"/>
      <c r="AP372" s="67"/>
    </row>
    <row r="373" customFormat="false" ht="12.75" hidden="false" customHeight="false" outlineLevel="0" collapsed="false">
      <c r="E373" s="67"/>
      <c r="F373" s="6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c r="AH373" s="67"/>
      <c r="AI373" s="67"/>
      <c r="AJ373" s="67"/>
      <c r="AK373" s="67"/>
      <c r="AL373" s="67"/>
      <c r="AM373" s="67"/>
      <c r="AN373" s="67"/>
      <c r="AO373" s="67"/>
      <c r="AP373" s="67"/>
    </row>
    <row r="374" customFormat="false" ht="12.75" hidden="false" customHeight="false" outlineLevel="0" collapsed="false">
      <c r="E374" s="67"/>
      <c r="F374" s="67"/>
      <c r="G374" s="67"/>
      <c r="H374" s="67"/>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c r="AH374" s="67"/>
      <c r="AI374" s="67"/>
      <c r="AJ374" s="67"/>
      <c r="AK374" s="67"/>
      <c r="AL374" s="67"/>
      <c r="AM374" s="67"/>
      <c r="AN374" s="67"/>
      <c r="AO374" s="67"/>
      <c r="AP374" s="67"/>
    </row>
    <row r="375" customFormat="false" ht="12.75" hidden="false" customHeight="false" outlineLevel="0" collapsed="false">
      <c r="E375" s="67"/>
      <c r="F375" s="67"/>
      <c r="G375" s="67"/>
      <c r="H375" s="67"/>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c r="AH375" s="67"/>
      <c r="AI375" s="67"/>
      <c r="AJ375" s="67"/>
      <c r="AK375" s="67"/>
      <c r="AL375" s="67"/>
      <c r="AM375" s="67"/>
      <c r="AN375" s="67"/>
      <c r="AO375" s="67"/>
      <c r="AP375" s="67"/>
    </row>
    <row r="376" customFormat="false" ht="12.75" hidden="false" customHeight="false" outlineLevel="0" collapsed="false">
      <c r="E376" s="67"/>
      <c r="F376" s="67"/>
      <c r="G376" s="67"/>
      <c r="H376" s="67"/>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c r="AH376" s="67"/>
      <c r="AI376" s="67"/>
      <c r="AJ376" s="67"/>
      <c r="AK376" s="67"/>
      <c r="AL376" s="67"/>
      <c r="AM376" s="67"/>
      <c r="AN376" s="67"/>
      <c r="AO376" s="67"/>
      <c r="AP376" s="67"/>
    </row>
    <row r="377" customFormat="false" ht="12.75" hidden="false" customHeight="false" outlineLevel="0" collapsed="false">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row>
    <row r="378" customFormat="false" ht="12.75" hidden="false" customHeight="false" outlineLevel="0" collapsed="false">
      <c r="E378" s="67"/>
      <c r="F378" s="67"/>
      <c r="G378" s="67"/>
      <c r="H378" s="67"/>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c r="AH378" s="67"/>
      <c r="AI378" s="67"/>
      <c r="AJ378" s="67"/>
      <c r="AK378" s="67"/>
      <c r="AL378" s="67"/>
      <c r="AM378" s="67"/>
      <c r="AN378" s="67"/>
      <c r="AO378" s="67"/>
      <c r="AP378" s="67"/>
    </row>
    <row r="379" customFormat="false" ht="12.75" hidden="false" customHeight="false" outlineLevel="0" collapsed="false">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c r="AH379" s="67"/>
      <c r="AI379" s="67"/>
      <c r="AJ379" s="67"/>
      <c r="AK379" s="67"/>
      <c r="AL379" s="67"/>
      <c r="AM379" s="67"/>
      <c r="AN379" s="67"/>
      <c r="AO379" s="67"/>
      <c r="AP379" s="67"/>
    </row>
    <row r="380" customFormat="false" ht="12.75" hidden="false" customHeight="false" outlineLevel="0" collapsed="false">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row>
    <row r="381" customFormat="false" ht="12.75" hidden="false" customHeight="false" outlineLevel="0" collapsed="false">
      <c r="E381" s="67"/>
      <c r="F381" s="67"/>
      <c r="G381" s="67"/>
      <c r="H381" s="67"/>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c r="AH381" s="67"/>
      <c r="AI381" s="67"/>
      <c r="AJ381" s="67"/>
      <c r="AK381" s="67"/>
      <c r="AL381" s="67"/>
      <c r="AM381" s="67"/>
      <c r="AN381" s="67"/>
      <c r="AO381" s="67"/>
      <c r="AP381" s="67"/>
    </row>
    <row r="382" customFormat="false" ht="12.75" hidden="false" customHeight="false" outlineLevel="0" collapsed="false">
      <c r="E382" s="67"/>
      <c r="F382" s="67"/>
      <c r="G382" s="67"/>
      <c r="H382" s="67"/>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c r="AH382" s="67"/>
      <c r="AI382" s="67"/>
      <c r="AJ382" s="67"/>
      <c r="AK382" s="67"/>
      <c r="AL382" s="67"/>
      <c r="AM382" s="67"/>
      <c r="AN382" s="67"/>
      <c r="AO382" s="67"/>
      <c r="AP382" s="67"/>
    </row>
    <row r="383" customFormat="false" ht="12.75" hidden="false" customHeight="false" outlineLevel="0" collapsed="false">
      <c r="E383" s="67"/>
      <c r="F383" s="67"/>
      <c r="G383" s="67"/>
      <c r="H383" s="67"/>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c r="AH383" s="67"/>
      <c r="AI383" s="67"/>
      <c r="AJ383" s="67"/>
      <c r="AK383" s="67"/>
      <c r="AL383" s="67"/>
      <c r="AM383" s="67"/>
      <c r="AN383" s="67"/>
      <c r="AO383" s="67"/>
      <c r="AP383" s="67"/>
    </row>
    <row r="384" customFormat="false" ht="12.75" hidden="false" customHeight="false" outlineLevel="0" collapsed="false">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row>
    <row r="385" customFormat="false" ht="12.75" hidden="false" customHeight="false" outlineLevel="0" collapsed="false">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row>
    <row r="386" customFormat="false" ht="12.75" hidden="false" customHeight="false" outlineLevel="0" collapsed="false">
      <c r="E386" s="67"/>
      <c r="F386" s="67"/>
      <c r="G386" s="67"/>
      <c r="H386" s="67"/>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c r="AH386" s="67"/>
      <c r="AI386" s="67"/>
      <c r="AJ386" s="67"/>
      <c r="AK386" s="67"/>
      <c r="AL386" s="67"/>
      <c r="AM386" s="67"/>
      <c r="AN386" s="67"/>
      <c r="AO386" s="67"/>
      <c r="AP386" s="67"/>
    </row>
    <row r="387" customFormat="false" ht="12.75" hidden="false" customHeight="false" outlineLevel="0" collapsed="false">
      <c r="E387" s="67"/>
      <c r="F387" s="67"/>
      <c r="G387" s="67"/>
      <c r="H387" s="67"/>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c r="AH387" s="67"/>
      <c r="AI387" s="67"/>
      <c r="AJ387" s="67"/>
      <c r="AK387" s="67"/>
      <c r="AL387" s="67"/>
      <c r="AM387" s="67"/>
      <c r="AN387" s="67"/>
      <c r="AO387" s="67"/>
      <c r="AP387" s="67"/>
    </row>
    <row r="388" customFormat="false" ht="12.75" hidden="false" customHeight="false" outlineLevel="0" collapsed="false">
      <c r="E388" s="67"/>
      <c r="F388" s="67"/>
      <c r="G388" s="67"/>
      <c r="H388" s="67"/>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c r="AH388" s="67"/>
      <c r="AI388" s="67"/>
      <c r="AJ388" s="67"/>
      <c r="AK388" s="67"/>
      <c r="AL388" s="67"/>
      <c r="AM388" s="67"/>
      <c r="AN388" s="67"/>
      <c r="AO388" s="67"/>
      <c r="AP388" s="67"/>
    </row>
    <row r="389" customFormat="false" ht="12.75" hidden="false" customHeight="false" outlineLevel="0" collapsed="false">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row>
    <row r="390" customFormat="false" ht="12.75" hidden="false" customHeight="false" outlineLevel="0" collapsed="false">
      <c r="E390" s="67"/>
      <c r="F390" s="67"/>
      <c r="G390" s="67"/>
      <c r="H390" s="67"/>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c r="AH390" s="67"/>
      <c r="AI390" s="67"/>
      <c r="AJ390" s="67"/>
      <c r="AK390" s="67"/>
      <c r="AL390" s="67"/>
      <c r="AM390" s="67"/>
      <c r="AN390" s="67"/>
      <c r="AO390" s="67"/>
      <c r="AP390" s="67"/>
    </row>
    <row r="391" customFormat="false" ht="12.75" hidden="false" customHeight="false" outlineLevel="0" collapsed="false">
      <c r="E391" s="67"/>
      <c r="F391" s="67"/>
      <c r="G391" s="67"/>
      <c r="H391" s="67"/>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c r="AH391" s="67"/>
      <c r="AI391" s="67"/>
      <c r="AJ391" s="67"/>
      <c r="AK391" s="67"/>
      <c r="AL391" s="67"/>
      <c r="AM391" s="67"/>
      <c r="AN391" s="67"/>
      <c r="AO391" s="67"/>
      <c r="AP391" s="67"/>
    </row>
    <row r="392" customFormat="false" ht="12.75" hidden="false" customHeight="false" outlineLevel="0" collapsed="false">
      <c r="E392" s="67"/>
      <c r="F392" s="67"/>
      <c r="G392" s="67"/>
      <c r="H392" s="67"/>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c r="AH392" s="67"/>
      <c r="AI392" s="67"/>
      <c r="AJ392" s="67"/>
      <c r="AK392" s="67"/>
      <c r="AL392" s="67"/>
      <c r="AM392" s="67"/>
      <c r="AN392" s="67"/>
      <c r="AO392" s="67"/>
      <c r="AP392" s="67"/>
    </row>
    <row r="393" customFormat="false" ht="12.75" hidden="false" customHeight="false" outlineLevel="0" collapsed="false">
      <c r="E393" s="67"/>
      <c r="F393" s="67"/>
      <c r="G393" s="67"/>
      <c r="H393" s="67"/>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c r="AH393" s="67"/>
      <c r="AI393" s="67"/>
      <c r="AJ393" s="67"/>
      <c r="AK393" s="67"/>
      <c r="AL393" s="67"/>
      <c r="AM393" s="67"/>
      <c r="AN393" s="67"/>
      <c r="AO393" s="67"/>
      <c r="AP393" s="67"/>
    </row>
    <row r="394" customFormat="false" ht="12.75" hidden="false" customHeight="false" outlineLevel="0" collapsed="false">
      <c r="E394" s="67"/>
      <c r="F394" s="67"/>
      <c r="G394" s="67"/>
      <c r="H394" s="67"/>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c r="AH394" s="67"/>
      <c r="AI394" s="67"/>
      <c r="AJ394" s="67"/>
      <c r="AK394" s="67"/>
      <c r="AL394" s="67"/>
      <c r="AM394" s="67"/>
      <c r="AN394" s="67"/>
      <c r="AO394" s="67"/>
      <c r="AP394" s="67"/>
    </row>
    <row r="395" customFormat="false" ht="12.75" hidden="false" customHeight="false" outlineLevel="0" collapsed="false">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c r="AL395" s="67"/>
      <c r="AM395" s="67"/>
      <c r="AN395" s="67"/>
      <c r="AO395" s="67"/>
      <c r="AP395" s="67"/>
    </row>
    <row r="396" customFormat="false" ht="12.75" hidden="false" customHeight="false" outlineLevel="0" collapsed="false">
      <c r="E396" s="67"/>
      <c r="F396" s="67"/>
      <c r="G396" s="67"/>
      <c r="H396" s="67"/>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c r="AH396" s="67"/>
      <c r="AI396" s="67"/>
      <c r="AJ396" s="67"/>
      <c r="AK396" s="67"/>
      <c r="AL396" s="67"/>
      <c r="AM396" s="67"/>
      <c r="AN396" s="67"/>
      <c r="AO396" s="67"/>
      <c r="AP396" s="67"/>
    </row>
    <row r="397" customFormat="false" ht="12.75" hidden="false" customHeight="false" outlineLevel="0" collapsed="false">
      <c r="E397" s="67"/>
      <c r="F397" s="67"/>
      <c r="G397" s="67"/>
      <c r="H397" s="67"/>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c r="AH397" s="67"/>
      <c r="AI397" s="67"/>
      <c r="AJ397" s="67"/>
      <c r="AK397" s="67"/>
      <c r="AL397" s="67"/>
      <c r="AM397" s="67"/>
      <c r="AN397" s="67"/>
      <c r="AO397" s="67"/>
      <c r="AP397" s="67"/>
    </row>
    <row r="398" customFormat="false" ht="12.75" hidden="false" customHeight="false" outlineLevel="0" collapsed="false">
      <c r="E398" s="67"/>
      <c r="F398" s="67"/>
      <c r="G398" s="67"/>
      <c r="H398" s="67"/>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c r="AH398" s="67"/>
      <c r="AI398" s="67"/>
      <c r="AJ398" s="67"/>
      <c r="AK398" s="67"/>
      <c r="AL398" s="67"/>
      <c r="AM398" s="67"/>
      <c r="AN398" s="67"/>
      <c r="AO398" s="67"/>
      <c r="AP398" s="67"/>
    </row>
    <row r="399" customFormat="false" ht="12.75" hidden="false" customHeight="false" outlineLevel="0" collapsed="false">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row>
    <row r="400" customFormat="false" ht="12.75" hidden="false" customHeight="false" outlineLevel="0" collapsed="false">
      <c r="E400" s="67"/>
      <c r="F400" s="67"/>
      <c r="G400" s="67"/>
      <c r="H400" s="67"/>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c r="AH400" s="67"/>
      <c r="AI400" s="67"/>
      <c r="AJ400" s="67"/>
      <c r="AK400" s="67"/>
      <c r="AL400" s="67"/>
      <c r="AM400" s="67"/>
      <c r="AN400" s="67"/>
      <c r="AO400" s="67"/>
      <c r="AP400" s="67"/>
    </row>
    <row r="401" customFormat="false" ht="12.75" hidden="false" customHeight="false" outlineLevel="0" collapsed="false">
      <c r="E401" s="67"/>
      <c r="F401" s="67"/>
      <c r="G401" s="67"/>
      <c r="H401" s="67"/>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c r="AH401" s="67"/>
      <c r="AI401" s="67"/>
      <c r="AJ401" s="67"/>
      <c r="AK401" s="67"/>
      <c r="AL401" s="67"/>
      <c r="AM401" s="67"/>
      <c r="AN401" s="67"/>
      <c r="AO401" s="67"/>
      <c r="AP401" s="67"/>
    </row>
    <row r="402" customFormat="false" ht="12.75" hidden="false" customHeight="false" outlineLevel="0" collapsed="false">
      <c r="E402" s="67"/>
      <c r="F402" s="67"/>
      <c r="G402" s="67"/>
      <c r="H402" s="67"/>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c r="AH402" s="67"/>
      <c r="AI402" s="67"/>
      <c r="AJ402" s="67"/>
      <c r="AK402" s="67"/>
      <c r="AL402" s="67"/>
      <c r="AM402" s="67"/>
      <c r="AN402" s="67"/>
      <c r="AO402" s="67"/>
      <c r="AP402" s="67"/>
    </row>
    <row r="403" customFormat="false" ht="12.75" hidden="false" customHeight="false" outlineLevel="0" collapsed="false">
      <c r="E403" s="67"/>
      <c r="F403" s="67"/>
      <c r="G403" s="67"/>
      <c r="H403" s="67"/>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c r="AH403" s="67"/>
      <c r="AI403" s="67"/>
      <c r="AJ403" s="67"/>
      <c r="AK403" s="67"/>
      <c r="AL403" s="67"/>
      <c r="AM403" s="67"/>
      <c r="AN403" s="67"/>
      <c r="AO403" s="67"/>
      <c r="AP403" s="67"/>
    </row>
    <row r="404" customFormat="false" ht="12.75" hidden="false" customHeight="false" outlineLevel="0" collapsed="false">
      <c r="E404" s="67"/>
      <c r="F404" s="67"/>
      <c r="G404" s="67"/>
      <c r="H404" s="67"/>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c r="AH404" s="67"/>
      <c r="AI404" s="67"/>
      <c r="AJ404" s="67"/>
      <c r="AK404" s="67"/>
      <c r="AL404" s="67"/>
      <c r="AM404" s="67"/>
      <c r="AN404" s="67"/>
      <c r="AO404" s="67"/>
      <c r="AP404" s="67"/>
    </row>
    <row r="405" customFormat="false" ht="12.75" hidden="false" customHeight="false" outlineLevel="0" collapsed="false">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c r="AL405" s="67"/>
      <c r="AM405" s="67"/>
      <c r="AN405" s="67"/>
      <c r="AO405" s="67"/>
      <c r="AP405" s="67"/>
    </row>
    <row r="406" customFormat="false" ht="12.75" hidden="false" customHeight="false" outlineLevel="0" collapsed="false">
      <c r="E406" s="67"/>
      <c r="F406" s="67"/>
      <c r="G406" s="67"/>
      <c r="H406" s="67"/>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c r="AH406" s="67"/>
      <c r="AI406" s="67"/>
      <c r="AJ406" s="67"/>
      <c r="AK406" s="67"/>
      <c r="AL406" s="67"/>
      <c r="AM406" s="67"/>
      <c r="AN406" s="67"/>
      <c r="AO406" s="67"/>
      <c r="AP406" s="67"/>
    </row>
    <row r="407" customFormat="false" ht="12.75" hidden="false" customHeight="false" outlineLevel="0" collapsed="false">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c r="AL407" s="67"/>
      <c r="AM407" s="67"/>
      <c r="AN407" s="67"/>
      <c r="AO407" s="67"/>
      <c r="AP407" s="67"/>
    </row>
    <row r="408" customFormat="false" ht="12.75" hidden="false" customHeight="false" outlineLevel="0" collapsed="false">
      <c r="E408" s="67"/>
      <c r="F408" s="67"/>
      <c r="G408" s="67"/>
      <c r="H408" s="67"/>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c r="AH408" s="67"/>
      <c r="AI408" s="67"/>
      <c r="AJ408" s="67"/>
      <c r="AK408" s="67"/>
      <c r="AL408" s="67"/>
      <c r="AM408" s="67"/>
      <c r="AN408" s="67"/>
      <c r="AO408" s="67"/>
      <c r="AP408" s="67"/>
    </row>
    <row r="409" customFormat="false" ht="12.75" hidden="false" customHeight="false" outlineLevel="0" collapsed="false">
      <c r="E409" s="67"/>
      <c r="F409" s="67"/>
      <c r="G409" s="67"/>
      <c r="H409" s="67"/>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c r="AH409" s="67"/>
      <c r="AI409" s="67"/>
      <c r="AJ409" s="67"/>
      <c r="AK409" s="67"/>
      <c r="AL409" s="67"/>
      <c r="AM409" s="67"/>
      <c r="AN409" s="67"/>
      <c r="AO409" s="67"/>
      <c r="AP409" s="67"/>
    </row>
    <row r="410" customFormat="false" ht="12.75" hidden="false" customHeight="false" outlineLevel="0" collapsed="false">
      <c r="E410" s="67"/>
      <c r="F410" s="67"/>
      <c r="G410" s="67"/>
      <c r="H410" s="67"/>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c r="AH410" s="67"/>
      <c r="AI410" s="67"/>
      <c r="AJ410" s="67"/>
      <c r="AK410" s="67"/>
      <c r="AL410" s="67"/>
      <c r="AM410" s="67"/>
      <c r="AN410" s="67"/>
      <c r="AO410" s="67"/>
      <c r="AP410" s="67"/>
    </row>
    <row r="411" customFormat="false" ht="12.75" hidden="false" customHeight="false" outlineLevel="0" collapsed="false">
      <c r="E411" s="67"/>
      <c r="F411" s="67"/>
      <c r="G411" s="67"/>
      <c r="H411" s="67"/>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c r="AH411" s="67"/>
      <c r="AI411" s="67"/>
      <c r="AJ411" s="67"/>
      <c r="AK411" s="67"/>
      <c r="AL411" s="67"/>
      <c r="AM411" s="67"/>
      <c r="AN411" s="67"/>
      <c r="AO411" s="67"/>
      <c r="AP411" s="67"/>
    </row>
    <row r="412" customFormat="false" ht="12.75" hidden="false" customHeight="false" outlineLevel="0" collapsed="false">
      <c r="E412" s="67"/>
      <c r="F412" s="67"/>
      <c r="G412" s="67"/>
      <c r="H412" s="67"/>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c r="AH412" s="67"/>
      <c r="AI412" s="67"/>
      <c r="AJ412" s="67"/>
      <c r="AK412" s="67"/>
      <c r="AL412" s="67"/>
      <c r="AM412" s="67"/>
      <c r="AN412" s="67"/>
      <c r="AO412" s="67"/>
      <c r="AP412" s="67"/>
    </row>
    <row r="413" customFormat="false" ht="12.75" hidden="false" customHeight="false" outlineLevel="0" collapsed="false">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row>
    <row r="414" customFormat="false" ht="12.75" hidden="false" customHeight="false" outlineLevel="0" collapsed="false">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row>
    <row r="415" customFormat="false" ht="12.75" hidden="false" customHeight="false" outlineLevel="0" collapsed="false">
      <c r="E415" s="67"/>
      <c r="F415" s="67"/>
      <c r="G415" s="67"/>
      <c r="H415" s="67"/>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c r="AH415" s="67"/>
      <c r="AI415" s="67"/>
      <c r="AJ415" s="67"/>
      <c r="AK415" s="67"/>
      <c r="AL415" s="67"/>
      <c r="AM415" s="67"/>
      <c r="AN415" s="67"/>
      <c r="AO415" s="67"/>
      <c r="AP415" s="67"/>
    </row>
    <row r="416" customFormat="false" ht="12.75" hidden="false" customHeight="false" outlineLevel="0" collapsed="false">
      <c r="E416" s="67"/>
      <c r="F416" s="67"/>
      <c r="G416" s="67"/>
      <c r="H416" s="67"/>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c r="AH416" s="67"/>
      <c r="AI416" s="67"/>
      <c r="AJ416" s="67"/>
      <c r="AK416" s="67"/>
      <c r="AL416" s="67"/>
      <c r="AM416" s="67"/>
      <c r="AN416" s="67"/>
      <c r="AO416" s="67"/>
      <c r="AP416" s="67"/>
    </row>
    <row r="417" customFormat="false" ht="12.75" hidden="false" customHeight="false" outlineLevel="0" collapsed="false">
      <c r="E417" s="67"/>
      <c r="F417" s="67"/>
      <c r="G417" s="67"/>
      <c r="H417" s="67"/>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c r="AH417" s="67"/>
      <c r="AI417" s="67"/>
      <c r="AJ417" s="67"/>
      <c r="AK417" s="67"/>
      <c r="AL417" s="67"/>
      <c r="AM417" s="67"/>
      <c r="AN417" s="67"/>
      <c r="AO417" s="67"/>
      <c r="AP417" s="67"/>
    </row>
    <row r="418" customFormat="false" ht="12.75" hidden="false" customHeight="false" outlineLevel="0" collapsed="false">
      <c r="E418" s="67"/>
      <c r="F418" s="67"/>
      <c r="G418" s="67"/>
      <c r="H418" s="67"/>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c r="AH418" s="67"/>
      <c r="AI418" s="67"/>
      <c r="AJ418" s="67"/>
      <c r="AK418" s="67"/>
      <c r="AL418" s="67"/>
      <c r="AM418" s="67"/>
      <c r="AN418" s="67"/>
      <c r="AO418" s="67"/>
      <c r="AP418" s="67"/>
    </row>
    <row r="419" customFormat="false" ht="12.75" hidden="false" customHeight="false" outlineLevel="0" collapsed="false">
      <c r="E419" s="67"/>
      <c r="F419" s="67"/>
      <c r="G419" s="67"/>
      <c r="H419" s="67"/>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c r="AH419" s="67"/>
      <c r="AI419" s="67"/>
      <c r="AJ419" s="67"/>
      <c r="AK419" s="67"/>
      <c r="AL419" s="67"/>
      <c r="AM419" s="67"/>
      <c r="AN419" s="67"/>
      <c r="AO419" s="67"/>
      <c r="AP419" s="67"/>
    </row>
    <row r="420" customFormat="false" ht="12.75" hidden="false" customHeight="false" outlineLevel="0" collapsed="false">
      <c r="E420" s="67"/>
      <c r="F420" s="67"/>
      <c r="G420" s="67"/>
      <c r="H420" s="67"/>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c r="AH420" s="67"/>
      <c r="AI420" s="67"/>
      <c r="AJ420" s="67"/>
      <c r="AK420" s="67"/>
      <c r="AL420" s="67"/>
      <c r="AM420" s="67"/>
      <c r="AN420" s="67"/>
      <c r="AO420" s="67"/>
      <c r="AP420" s="67"/>
    </row>
    <row r="421" customFormat="false" ht="12.75" hidden="false" customHeight="false" outlineLevel="0" collapsed="false">
      <c r="E421" s="67"/>
      <c r="F421" s="67"/>
      <c r="G421" s="67"/>
      <c r="H421" s="67"/>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c r="AH421" s="67"/>
      <c r="AI421" s="67"/>
      <c r="AJ421" s="67"/>
      <c r="AK421" s="67"/>
      <c r="AL421" s="67"/>
      <c r="AM421" s="67"/>
      <c r="AN421" s="67"/>
      <c r="AO421" s="67"/>
      <c r="AP421" s="67"/>
    </row>
    <row r="422" customFormat="false" ht="12.75" hidden="false" customHeight="false" outlineLevel="0" collapsed="false">
      <c r="E422" s="67"/>
      <c r="F422" s="67"/>
      <c r="G422" s="67"/>
      <c r="H422" s="67"/>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c r="AH422" s="67"/>
      <c r="AI422" s="67"/>
      <c r="AJ422" s="67"/>
      <c r="AK422" s="67"/>
      <c r="AL422" s="67"/>
      <c r="AM422" s="67"/>
      <c r="AN422" s="67"/>
      <c r="AO422" s="67"/>
      <c r="AP422" s="67"/>
    </row>
    <row r="423" customFormat="false" ht="12.75" hidden="false" customHeight="false" outlineLevel="0" collapsed="false">
      <c r="E423" s="67"/>
      <c r="F423" s="67"/>
      <c r="G423" s="67"/>
      <c r="H423" s="67"/>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c r="AH423" s="67"/>
      <c r="AI423" s="67"/>
      <c r="AJ423" s="67"/>
      <c r="AK423" s="67"/>
      <c r="AL423" s="67"/>
      <c r="AM423" s="67"/>
      <c r="AN423" s="67"/>
      <c r="AO423" s="67"/>
      <c r="AP423" s="67"/>
    </row>
    <row r="424" customFormat="false" ht="12.75" hidden="false" customHeight="false" outlineLevel="0" collapsed="false">
      <c r="E424" s="67"/>
      <c r="F424" s="67"/>
      <c r="G424" s="67"/>
      <c r="H424" s="67"/>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c r="AH424" s="67"/>
      <c r="AI424" s="67"/>
      <c r="AJ424" s="67"/>
      <c r="AK424" s="67"/>
      <c r="AL424" s="67"/>
      <c r="AM424" s="67"/>
      <c r="AN424" s="67"/>
      <c r="AO424" s="67"/>
      <c r="AP424" s="67"/>
    </row>
    <row r="425" customFormat="false" ht="12.75" hidden="false" customHeight="false" outlineLevel="0" collapsed="false">
      <c r="E425" s="67"/>
      <c r="F425" s="67"/>
      <c r="G425" s="67"/>
      <c r="H425" s="67"/>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c r="AH425" s="67"/>
      <c r="AI425" s="67"/>
      <c r="AJ425" s="67"/>
      <c r="AK425" s="67"/>
      <c r="AL425" s="67"/>
      <c r="AM425" s="67"/>
      <c r="AN425" s="67"/>
      <c r="AO425" s="67"/>
      <c r="AP425" s="67"/>
    </row>
    <row r="426" customFormat="false" ht="12.75" hidden="false" customHeight="false" outlineLevel="0" collapsed="false">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row>
    <row r="427" customFormat="false" ht="12.75" hidden="false" customHeight="false" outlineLevel="0" collapsed="false">
      <c r="E427" s="67"/>
      <c r="F427" s="67"/>
      <c r="G427" s="67"/>
      <c r="H427" s="67"/>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c r="AH427" s="67"/>
      <c r="AI427" s="67"/>
      <c r="AJ427" s="67"/>
      <c r="AK427" s="67"/>
      <c r="AL427" s="67"/>
      <c r="AM427" s="67"/>
      <c r="AN427" s="67"/>
      <c r="AO427" s="67"/>
      <c r="AP427" s="67"/>
    </row>
    <row r="428" customFormat="false" ht="12.75" hidden="false" customHeight="false" outlineLevel="0" collapsed="false">
      <c r="E428" s="67"/>
      <c r="F428" s="67"/>
      <c r="G428" s="67"/>
      <c r="H428" s="67"/>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c r="AH428" s="67"/>
      <c r="AI428" s="67"/>
      <c r="AJ428" s="67"/>
      <c r="AK428" s="67"/>
      <c r="AL428" s="67"/>
      <c r="AM428" s="67"/>
      <c r="AN428" s="67"/>
      <c r="AO428" s="67"/>
      <c r="AP428" s="67"/>
    </row>
    <row r="429" customFormat="false" ht="12.75" hidden="false" customHeight="false" outlineLevel="0" collapsed="false">
      <c r="E429" s="67"/>
      <c r="F429" s="67"/>
      <c r="G429" s="67"/>
      <c r="H429" s="67"/>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c r="AH429" s="67"/>
      <c r="AI429" s="67"/>
      <c r="AJ429" s="67"/>
      <c r="AK429" s="67"/>
      <c r="AL429" s="67"/>
      <c r="AM429" s="67"/>
      <c r="AN429" s="67"/>
      <c r="AO429" s="67"/>
      <c r="AP429" s="67"/>
    </row>
    <row r="430" customFormat="false" ht="12.75" hidden="false" customHeight="false" outlineLevel="0" collapsed="false">
      <c r="E430" s="67"/>
      <c r="F430" s="67"/>
      <c r="G430" s="67"/>
      <c r="H430" s="67"/>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c r="AH430" s="67"/>
      <c r="AI430" s="67"/>
      <c r="AJ430" s="67"/>
      <c r="AK430" s="67"/>
      <c r="AL430" s="67"/>
      <c r="AM430" s="67"/>
      <c r="AN430" s="67"/>
      <c r="AO430" s="67"/>
      <c r="AP430" s="67"/>
    </row>
    <row r="431" customFormat="false" ht="12.75" hidden="false" customHeight="false" outlineLevel="0" collapsed="false">
      <c r="E431" s="67"/>
      <c r="F431" s="67"/>
      <c r="G431" s="67"/>
      <c r="H431" s="67"/>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c r="AH431" s="67"/>
      <c r="AI431" s="67"/>
      <c r="AJ431" s="67"/>
      <c r="AK431" s="67"/>
      <c r="AL431" s="67"/>
      <c r="AM431" s="67"/>
      <c r="AN431" s="67"/>
      <c r="AO431" s="67"/>
      <c r="AP431" s="67"/>
    </row>
    <row r="432" customFormat="false" ht="12.75" hidden="false" customHeight="false" outlineLevel="0" collapsed="false">
      <c r="E432" s="67"/>
      <c r="F432" s="67"/>
      <c r="G432" s="67"/>
      <c r="H432" s="67"/>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c r="AH432" s="67"/>
      <c r="AI432" s="67"/>
      <c r="AJ432" s="67"/>
      <c r="AK432" s="67"/>
      <c r="AL432" s="67"/>
      <c r="AM432" s="67"/>
      <c r="AN432" s="67"/>
      <c r="AO432" s="67"/>
      <c r="AP432" s="67"/>
    </row>
    <row r="433" customFormat="false" ht="12.75" hidden="false" customHeight="false" outlineLevel="0" collapsed="false">
      <c r="E433" s="67"/>
      <c r="F433" s="67"/>
      <c r="G433" s="67"/>
      <c r="H433" s="67"/>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c r="AH433" s="67"/>
      <c r="AI433" s="67"/>
      <c r="AJ433" s="67"/>
      <c r="AK433" s="67"/>
      <c r="AL433" s="67"/>
      <c r="AM433" s="67"/>
      <c r="AN433" s="67"/>
      <c r="AO433" s="67"/>
      <c r="AP433" s="67"/>
    </row>
    <row r="434" customFormat="false" ht="12.75" hidden="false" customHeight="false" outlineLevel="0" collapsed="false">
      <c r="E434" s="67"/>
      <c r="F434" s="67"/>
      <c r="G434" s="67"/>
      <c r="H434" s="67"/>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c r="AH434" s="67"/>
      <c r="AI434" s="67"/>
      <c r="AJ434" s="67"/>
      <c r="AK434" s="67"/>
      <c r="AL434" s="67"/>
      <c r="AM434" s="67"/>
      <c r="AN434" s="67"/>
      <c r="AO434" s="67"/>
      <c r="AP434" s="67"/>
    </row>
    <row r="435" customFormat="false" ht="12.75" hidden="false" customHeight="false" outlineLevel="0" collapsed="false">
      <c r="E435" s="67"/>
      <c r="F435" s="67"/>
      <c r="G435" s="67"/>
      <c r="H435" s="67"/>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c r="AH435" s="67"/>
      <c r="AI435" s="67"/>
      <c r="AJ435" s="67"/>
      <c r="AK435" s="67"/>
      <c r="AL435" s="67"/>
      <c r="AM435" s="67"/>
      <c r="AN435" s="67"/>
      <c r="AO435" s="67"/>
      <c r="AP435" s="67"/>
    </row>
    <row r="436" customFormat="false" ht="12.75" hidden="false" customHeight="false" outlineLevel="0" collapsed="false">
      <c r="E436" s="67"/>
      <c r="F436" s="67"/>
      <c r="G436" s="67"/>
      <c r="H436" s="67"/>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c r="AH436" s="67"/>
      <c r="AI436" s="67"/>
      <c r="AJ436" s="67"/>
      <c r="AK436" s="67"/>
      <c r="AL436" s="67"/>
      <c r="AM436" s="67"/>
      <c r="AN436" s="67"/>
      <c r="AO436" s="67"/>
      <c r="AP436" s="67"/>
    </row>
    <row r="437" customFormat="false" ht="12.75" hidden="false" customHeight="false" outlineLevel="0" collapsed="false">
      <c r="E437" s="67"/>
      <c r="F437" s="67"/>
      <c r="G437" s="67"/>
      <c r="H437" s="67"/>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c r="AH437" s="67"/>
      <c r="AI437" s="67"/>
      <c r="AJ437" s="67"/>
      <c r="AK437" s="67"/>
      <c r="AL437" s="67"/>
      <c r="AM437" s="67"/>
      <c r="AN437" s="67"/>
      <c r="AO437" s="67"/>
      <c r="AP437" s="67"/>
    </row>
    <row r="438" customFormat="false" ht="12.75" hidden="false" customHeight="false" outlineLevel="0" collapsed="false">
      <c r="E438" s="67"/>
      <c r="F438" s="67"/>
      <c r="G438" s="67"/>
      <c r="H438" s="67"/>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row>
    <row r="439" customFormat="false" ht="12.75" hidden="false" customHeight="false" outlineLevel="0" collapsed="false">
      <c r="E439" s="67"/>
      <c r="F439" s="67"/>
      <c r="G439" s="67"/>
      <c r="H439" s="67"/>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c r="AH439" s="67"/>
      <c r="AI439" s="67"/>
      <c r="AJ439" s="67"/>
      <c r="AK439" s="67"/>
      <c r="AL439" s="67"/>
      <c r="AM439" s="67"/>
      <c r="AN439" s="67"/>
      <c r="AO439" s="67"/>
      <c r="AP439" s="67"/>
    </row>
    <row r="440" customFormat="false" ht="12.75" hidden="false" customHeight="false" outlineLevel="0" collapsed="false">
      <c r="E440" s="67"/>
      <c r="F440" s="67"/>
      <c r="G440" s="67"/>
      <c r="H440" s="67"/>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c r="AH440" s="67"/>
      <c r="AI440" s="67"/>
      <c r="AJ440" s="67"/>
      <c r="AK440" s="67"/>
      <c r="AL440" s="67"/>
      <c r="AM440" s="67"/>
      <c r="AN440" s="67"/>
      <c r="AO440" s="67"/>
      <c r="AP440" s="67"/>
    </row>
    <row r="441" customFormat="false" ht="12.75" hidden="false" customHeight="false" outlineLevel="0" collapsed="false">
      <c r="E441" s="67"/>
      <c r="F441" s="67"/>
      <c r="G441" s="67"/>
      <c r="H441" s="67"/>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c r="AH441" s="67"/>
      <c r="AI441" s="67"/>
      <c r="AJ441" s="67"/>
      <c r="AK441" s="67"/>
      <c r="AL441" s="67"/>
      <c r="AM441" s="67"/>
      <c r="AN441" s="67"/>
      <c r="AO441" s="67"/>
      <c r="AP441" s="67"/>
    </row>
    <row r="442" customFormat="false" ht="12.75" hidden="false" customHeight="false" outlineLevel="0" collapsed="false">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row>
    <row r="443" customFormat="false" ht="12.75" hidden="false" customHeight="false" outlineLevel="0" collapsed="false">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row>
    <row r="444" customFormat="false" ht="12.75" hidden="false" customHeight="false" outlineLevel="0" collapsed="false">
      <c r="E444" s="67"/>
      <c r="F444" s="67"/>
      <c r="G444" s="67"/>
      <c r="H444" s="67"/>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c r="AH444" s="67"/>
      <c r="AI444" s="67"/>
      <c r="AJ444" s="67"/>
      <c r="AK444" s="67"/>
      <c r="AL444" s="67"/>
      <c r="AM444" s="67"/>
      <c r="AN444" s="67"/>
      <c r="AO444" s="67"/>
      <c r="AP444" s="67"/>
    </row>
    <row r="445" customFormat="false" ht="12.75" hidden="false" customHeight="false" outlineLevel="0" collapsed="false">
      <c r="E445" s="67"/>
      <c r="F445" s="67"/>
      <c r="G445" s="67"/>
      <c r="H445" s="67"/>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c r="AH445" s="67"/>
      <c r="AI445" s="67"/>
      <c r="AJ445" s="67"/>
      <c r="AK445" s="67"/>
      <c r="AL445" s="67"/>
      <c r="AM445" s="67"/>
      <c r="AN445" s="67"/>
      <c r="AO445" s="67"/>
      <c r="AP445" s="67"/>
    </row>
    <row r="446" customFormat="false" ht="12.75" hidden="false" customHeight="false" outlineLevel="0" collapsed="false">
      <c r="E446" s="67"/>
      <c r="F446" s="67"/>
      <c r="G446" s="67"/>
      <c r="H446" s="67"/>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c r="AH446" s="67"/>
      <c r="AI446" s="67"/>
      <c r="AJ446" s="67"/>
      <c r="AK446" s="67"/>
      <c r="AL446" s="67"/>
      <c r="AM446" s="67"/>
      <c r="AN446" s="67"/>
      <c r="AO446" s="67"/>
      <c r="AP446" s="67"/>
    </row>
    <row r="447" customFormat="false" ht="12.75" hidden="false" customHeight="false" outlineLevel="0" collapsed="false">
      <c r="E447" s="67"/>
      <c r="F447" s="67"/>
      <c r="G447" s="67"/>
      <c r="H447" s="67"/>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c r="AH447" s="67"/>
      <c r="AI447" s="67"/>
      <c r="AJ447" s="67"/>
      <c r="AK447" s="67"/>
      <c r="AL447" s="67"/>
      <c r="AM447" s="67"/>
      <c r="AN447" s="67"/>
      <c r="AO447" s="67"/>
      <c r="AP447" s="67"/>
    </row>
    <row r="448" customFormat="false" ht="12.75" hidden="false" customHeight="false" outlineLevel="0" collapsed="false">
      <c r="E448" s="67"/>
      <c r="F448" s="67"/>
      <c r="G448" s="67"/>
      <c r="H448" s="67"/>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c r="AH448" s="67"/>
      <c r="AI448" s="67"/>
      <c r="AJ448" s="67"/>
      <c r="AK448" s="67"/>
      <c r="AL448" s="67"/>
      <c r="AM448" s="67"/>
      <c r="AN448" s="67"/>
      <c r="AO448" s="67"/>
      <c r="AP448" s="67"/>
    </row>
    <row r="449" customFormat="false" ht="12.75" hidden="false" customHeight="false" outlineLevel="0" collapsed="false">
      <c r="E449" s="67"/>
      <c r="F449" s="67"/>
      <c r="G449" s="67"/>
      <c r="H449" s="67"/>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c r="AH449" s="67"/>
      <c r="AI449" s="67"/>
      <c r="AJ449" s="67"/>
      <c r="AK449" s="67"/>
      <c r="AL449" s="67"/>
      <c r="AM449" s="67"/>
      <c r="AN449" s="67"/>
      <c r="AO449" s="67"/>
      <c r="AP449" s="67"/>
    </row>
    <row r="450" customFormat="false" ht="12.75" hidden="false" customHeight="false" outlineLevel="0" collapsed="false">
      <c r="E450" s="67"/>
      <c r="F450" s="67"/>
      <c r="G450" s="67"/>
      <c r="H450" s="67"/>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c r="AH450" s="67"/>
      <c r="AI450" s="67"/>
      <c r="AJ450" s="67"/>
      <c r="AK450" s="67"/>
      <c r="AL450" s="67"/>
      <c r="AM450" s="67"/>
      <c r="AN450" s="67"/>
      <c r="AO450" s="67"/>
      <c r="AP450" s="67"/>
    </row>
    <row r="451" customFormat="false" ht="12.75" hidden="false" customHeight="false" outlineLevel="0" collapsed="false">
      <c r="E451" s="67"/>
      <c r="F451" s="67"/>
      <c r="G451" s="67"/>
      <c r="H451" s="67"/>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c r="AH451" s="67"/>
      <c r="AI451" s="67"/>
      <c r="AJ451" s="67"/>
      <c r="AK451" s="67"/>
      <c r="AL451" s="67"/>
      <c r="AM451" s="67"/>
      <c r="AN451" s="67"/>
      <c r="AO451" s="67"/>
      <c r="AP451" s="67"/>
    </row>
    <row r="452" customFormat="false" ht="12.75" hidden="false" customHeight="false" outlineLevel="0" collapsed="false">
      <c r="E452" s="67"/>
      <c r="F452" s="67"/>
      <c r="G452" s="67"/>
      <c r="H452" s="67"/>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c r="AH452" s="67"/>
      <c r="AI452" s="67"/>
      <c r="AJ452" s="67"/>
      <c r="AK452" s="67"/>
      <c r="AL452" s="67"/>
      <c r="AM452" s="67"/>
      <c r="AN452" s="67"/>
      <c r="AO452" s="67"/>
      <c r="AP452" s="67"/>
    </row>
    <row r="453" customFormat="false" ht="12.75" hidden="false" customHeight="false" outlineLevel="0" collapsed="false">
      <c r="E453" s="67"/>
      <c r="F453" s="67"/>
      <c r="G453" s="67"/>
      <c r="H453" s="67"/>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c r="AH453" s="67"/>
      <c r="AI453" s="67"/>
      <c r="AJ453" s="67"/>
      <c r="AK453" s="67"/>
      <c r="AL453" s="67"/>
      <c r="AM453" s="67"/>
      <c r="AN453" s="67"/>
      <c r="AO453" s="67"/>
      <c r="AP453" s="67"/>
    </row>
    <row r="454" customFormat="false" ht="12.75" hidden="false" customHeight="false" outlineLevel="0" collapsed="false">
      <c r="E454" s="67"/>
      <c r="F454" s="67"/>
      <c r="G454" s="67"/>
      <c r="H454" s="67"/>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c r="AH454" s="67"/>
      <c r="AI454" s="67"/>
      <c r="AJ454" s="67"/>
      <c r="AK454" s="67"/>
      <c r="AL454" s="67"/>
      <c r="AM454" s="67"/>
      <c r="AN454" s="67"/>
      <c r="AO454" s="67"/>
      <c r="AP454" s="67"/>
    </row>
    <row r="455" customFormat="false" ht="12.75" hidden="false" customHeight="false" outlineLevel="0" collapsed="false">
      <c r="E455" s="67"/>
      <c r="F455" s="67"/>
      <c r="G455" s="67"/>
      <c r="H455" s="67"/>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c r="AH455" s="67"/>
      <c r="AI455" s="67"/>
      <c r="AJ455" s="67"/>
      <c r="AK455" s="67"/>
      <c r="AL455" s="67"/>
      <c r="AM455" s="67"/>
      <c r="AN455" s="67"/>
      <c r="AO455" s="67"/>
      <c r="AP455" s="67"/>
    </row>
    <row r="456" customFormat="false" ht="12.75" hidden="false" customHeight="false" outlineLevel="0" collapsed="false">
      <c r="E456" s="67"/>
      <c r="F456" s="67"/>
      <c r="G456" s="67"/>
      <c r="H456" s="67"/>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c r="AH456" s="67"/>
      <c r="AI456" s="67"/>
      <c r="AJ456" s="67"/>
      <c r="AK456" s="67"/>
      <c r="AL456" s="67"/>
      <c r="AM456" s="67"/>
      <c r="AN456" s="67"/>
      <c r="AO456" s="67"/>
      <c r="AP456" s="67"/>
    </row>
    <row r="457" customFormat="false" ht="12.75" hidden="false" customHeight="false" outlineLevel="0" collapsed="false">
      <c r="E457" s="67"/>
      <c r="F457" s="67"/>
      <c r="G457" s="67"/>
      <c r="H457" s="67"/>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c r="AH457" s="67"/>
      <c r="AI457" s="67"/>
      <c r="AJ457" s="67"/>
      <c r="AK457" s="67"/>
      <c r="AL457" s="67"/>
      <c r="AM457" s="67"/>
      <c r="AN457" s="67"/>
      <c r="AO457" s="67"/>
      <c r="AP457" s="67"/>
    </row>
    <row r="458" customFormat="false" ht="12.75" hidden="false" customHeight="false" outlineLevel="0" collapsed="false">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c r="AH458" s="67"/>
      <c r="AI458" s="67"/>
      <c r="AJ458" s="67"/>
      <c r="AK458" s="67"/>
      <c r="AL458" s="67"/>
      <c r="AM458" s="67"/>
      <c r="AN458" s="67"/>
      <c r="AO458" s="67"/>
      <c r="AP458" s="67"/>
    </row>
    <row r="459" customFormat="false" ht="12.75" hidden="false" customHeight="false" outlineLevel="0" collapsed="false">
      <c r="E459" s="67"/>
      <c r="F459" s="67"/>
      <c r="G459" s="67"/>
      <c r="H459" s="67"/>
      <c r="I459" s="67"/>
      <c r="J459" s="67"/>
      <c r="K459" s="67"/>
      <c r="L459" s="67"/>
      <c r="M459" s="67"/>
      <c r="N459" s="67"/>
      <c r="O459" s="67"/>
      <c r="P459" s="67"/>
      <c r="Q459" s="67"/>
      <c r="R459" s="67"/>
      <c r="S459" s="67"/>
      <c r="T459" s="67"/>
      <c r="U459" s="67"/>
      <c r="V459" s="67"/>
      <c r="W459" s="67"/>
      <c r="X459" s="67"/>
      <c r="Y459" s="67"/>
      <c r="Z459" s="67"/>
      <c r="AA459" s="67"/>
      <c r="AB459" s="67"/>
      <c r="AC459" s="67"/>
      <c r="AD459" s="67"/>
      <c r="AE459" s="67"/>
      <c r="AF459" s="67"/>
      <c r="AG459" s="67"/>
      <c r="AH459" s="67"/>
      <c r="AI459" s="67"/>
      <c r="AJ459" s="67"/>
      <c r="AK459" s="67"/>
      <c r="AL459" s="67"/>
      <c r="AM459" s="67"/>
      <c r="AN459" s="67"/>
      <c r="AO459" s="67"/>
      <c r="AP459" s="67"/>
    </row>
    <row r="460" customFormat="false" ht="12.75" hidden="false" customHeight="false" outlineLevel="0" collapsed="false">
      <c r="E460" s="67"/>
      <c r="F460" s="67"/>
      <c r="G460" s="67"/>
      <c r="H460" s="67"/>
      <c r="I460" s="67"/>
      <c r="J460" s="67"/>
      <c r="K460" s="67"/>
      <c r="L460" s="67"/>
      <c r="M460" s="67"/>
      <c r="N460" s="67"/>
      <c r="O460" s="67"/>
      <c r="P460" s="67"/>
      <c r="Q460" s="67"/>
      <c r="R460" s="67"/>
      <c r="S460" s="67"/>
      <c r="T460" s="67"/>
      <c r="U460" s="67"/>
      <c r="V460" s="67"/>
      <c r="W460" s="67"/>
      <c r="X460" s="67"/>
      <c r="Y460" s="67"/>
      <c r="Z460" s="67"/>
      <c r="AA460" s="67"/>
      <c r="AB460" s="67"/>
      <c r="AC460" s="67"/>
      <c r="AD460" s="67"/>
      <c r="AE460" s="67"/>
      <c r="AF460" s="67"/>
      <c r="AG460" s="67"/>
      <c r="AH460" s="67"/>
      <c r="AI460" s="67"/>
      <c r="AJ460" s="67"/>
      <c r="AK460" s="67"/>
      <c r="AL460" s="67"/>
      <c r="AM460" s="67"/>
      <c r="AN460" s="67"/>
      <c r="AO460" s="67"/>
      <c r="AP460" s="67"/>
    </row>
    <row r="461" customFormat="false" ht="12.75" hidden="false" customHeight="false" outlineLevel="0" collapsed="false">
      <c r="E461" s="67"/>
      <c r="F461" s="67"/>
      <c r="G461" s="67"/>
      <c r="H461" s="67"/>
      <c r="I461" s="67"/>
      <c r="J461" s="67"/>
      <c r="K461" s="67"/>
      <c r="L461" s="67"/>
      <c r="M461" s="67"/>
      <c r="N461" s="67"/>
      <c r="O461" s="67"/>
      <c r="P461" s="67"/>
      <c r="Q461" s="67"/>
      <c r="R461" s="67"/>
      <c r="S461" s="67"/>
      <c r="T461" s="67"/>
      <c r="U461" s="67"/>
      <c r="V461" s="67"/>
      <c r="W461" s="67"/>
      <c r="X461" s="67"/>
      <c r="Y461" s="67"/>
      <c r="Z461" s="67"/>
      <c r="AA461" s="67"/>
      <c r="AB461" s="67"/>
      <c r="AC461" s="67"/>
      <c r="AD461" s="67"/>
      <c r="AE461" s="67"/>
      <c r="AF461" s="67"/>
      <c r="AG461" s="67"/>
      <c r="AH461" s="67"/>
      <c r="AI461" s="67"/>
      <c r="AJ461" s="67"/>
      <c r="AK461" s="67"/>
      <c r="AL461" s="67"/>
      <c r="AM461" s="67"/>
      <c r="AN461" s="67"/>
      <c r="AO461" s="67"/>
      <c r="AP461" s="67"/>
    </row>
    <row r="462" customFormat="false" ht="12.75" hidden="false" customHeight="false" outlineLevel="0" collapsed="false">
      <c r="E462" s="67"/>
      <c r="F462" s="67"/>
      <c r="G462" s="67"/>
      <c r="H462" s="67"/>
      <c r="I462" s="67"/>
      <c r="J462" s="67"/>
      <c r="K462" s="67"/>
      <c r="L462" s="67"/>
      <c r="M462" s="67"/>
      <c r="N462" s="67"/>
      <c r="O462" s="67"/>
      <c r="P462" s="67"/>
      <c r="Q462" s="67"/>
      <c r="R462" s="67"/>
      <c r="S462" s="67"/>
      <c r="T462" s="67"/>
      <c r="U462" s="67"/>
      <c r="V462" s="67"/>
      <c r="W462" s="67"/>
      <c r="X462" s="67"/>
      <c r="Y462" s="67"/>
      <c r="Z462" s="67"/>
      <c r="AA462" s="67"/>
      <c r="AB462" s="67"/>
      <c r="AC462" s="67"/>
      <c r="AD462" s="67"/>
      <c r="AE462" s="67"/>
      <c r="AF462" s="67"/>
      <c r="AG462" s="67"/>
      <c r="AH462" s="67"/>
      <c r="AI462" s="67"/>
      <c r="AJ462" s="67"/>
      <c r="AK462" s="67"/>
      <c r="AL462" s="67"/>
      <c r="AM462" s="67"/>
      <c r="AN462" s="67"/>
      <c r="AO462" s="67"/>
      <c r="AP462" s="67"/>
    </row>
    <row r="463" customFormat="false" ht="12.75" hidden="false" customHeight="false" outlineLevel="0" collapsed="false">
      <c r="E463" s="67"/>
      <c r="F463" s="67"/>
      <c r="G463" s="67"/>
      <c r="H463" s="67"/>
      <c r="I463" s="67"/>
      <c r="J463" s="67"/>
      <c r="K463" s="67"/>
      <c r="L463" s="67"/>
      <c r="M463" s="67"/>
      <c r="N463" s="67"/>
      <c r="O463" s="67"/>
      <c r="P463" s="67"/>
      <c r="Q463" s="67"/>
      <c r="R463" s="67"/>
      <c r="S463" s="67"/>
      <c r="T463" s="67"/>
      <c r="U463" s="67"/>
      <c r="V463" s="67"/>
      <c r="W463" s="67"/>
      <c r="X463" s="67"/>
      <c r="Y463" s="67"/>
      <c r="Z463" s="67"/>
      <c r="AA463" s="67"/>
      <c r="AB463" s="67"/>
      <c r="AC463" s="67"/>
      <c r="AD463" s="67"/>
      <c r="AE463" s="67"/>
      <c r="AF463" s="67"/>
      <c r="AG463" s="67"/>
      <c r="AH463" s="67"/>
      <c r="AI463" s="67"/>
      <c r="AJ463" s="67"/>
      <c r="AK463" s="67"/>
      <c r="AL463" s="67"/>
      <c r="AM463" s="67"/>
      <c r="AN463" s="67"/>
      <c r="AO463" s="67"/>
      <c r="AP463" s="67"/>
    </row>
    <row r="464" customFormat="false" ht="12.75" hidden="false" customHeight="false" outlineLevel="0" collapsed="false">
      <c r="E464" s="67"/>
      <c r="F464" s="67"/>
      <c r="G464" s="67"/>
      <c r="H464" s="67"/>
      <c r="I464" s="67"/>
      <c r="J464" s="67"/>
      <c r="K464" s="67"/>
      <c r="L464" s="67"/>
      <c r="M464" s="67"/>
      <c r="N464" s="67"/>
      <c r="O464" s="67"/>
      <c r="P464" s="67"/>
      <c r="Q464" s="67"/>
      <c r="R464" s="67"/>
      <c r="S464" s="67"/>
      <c r="T464" s="67"/>
      <c r="U464" s="67"/>
      <c r="V464" s="67"/>
      <c r="W464" s="67"/>
      <c r="X464" s="67"/>
      <c r="Y464" s="67"/>
      <c r="Z464" s="67"/>
      <c r="AA464" s="67"/>
      <c r="AB464" s="67"/>
      <c r="AC464" s="67"/>
      <c r="AD464" s="67"/>
      <c r="AE464" s="67"/>
      <c r="AF464" s="67"/>
      <c r="AG464" s="67"/>
      <c r="AH464" s="67"/>
      <c r="AI464" s="67"/>
      <c r="AJ464" s="67"/>
      <c r="AK464" s="67"/>
      <c r="AL464" s="67"/>
      <c r="AM464" s="67"/>
      <c r="AN464" s="67"/>
      <c r="AO464" s="67"/>
      <c r="AP464" s="67"/>
    </row>
    <row r="465" customFormat="false" ht="12.75" hidden="false" customHeight="false" outlineLevel="0" collapsed="false">
      <c r="E465" s="67"/>
      <c r="F465" s="67"/>
      <c r="G465" s="67"/>
      <c r="H465" s="67"/>
      <c r="I465" s="67"/>
      <c r="J465" s="67"/>
      <c r="K465" s="67"/>
      <c r="L465" s="67"/>
      <c r="M465" s="67"/>
      <c r="N465" s="67"/>
      <c r="O465" s="67"/>
      <c r="P465" s="67"/>
      <c r="Q465" s="67"/>
      <c r="R465" s="67"/>
      <c r="S465" s="67"/>
      <c r="T465" s="67"/>
      <c r="U465" s="67"/>
      <c r="V465" s="67"/>
      <c r="W465" s="67"/>
      <c r="X465" s="67"/>
      <c r="Y465" s="67"/>
      <c r="Z465" s="67"/>
      <c r="AA465" s="67"/>
      <c r="AB465" s="67"/>
      <c r="AC465" s="67"/>
      <c r="AD465" s="67"/>
      <c r="AE465" s="67"/>
      <c r="AF465" s="67"/>
      <c r="AG465" s="67"/>
      <c r="AH465" s="67"/>
      <c r="AI465" s="67"/>
      <c r="AJ465" s="67"/>
      <c r="AK465" s="67"/>
      <c r="AL465" s="67"/>
      <c r="AM465" s="67"/>
      <c r="AN465" s="67"/>
      <c r="AO465" s="67"/>
      <c r="AP465" s="67"/>
    </row>
    <row r="466" customFormat="false" ht="12.75" hidden="false" customHeight="false" outlineLevel="0" collapsed="false">
      <c r="E466" s="67"/>
      <c r="F466" s="67"/>
      <c r="G466" s="67"/>
      <c r="H466" s="67"/>
      <c r="I466" s="67"/>
      <c r="J466" s="67"/>
      <c r="K466" s="67"/>
      <c r="L466" s="67"/>
      <c r="M466" s="67"/>
      <c r="N466" s="67"/>
      <c r="O466" s="67"/>
      <c r="P466" s="67"/>
      <c r="Q466" s="67"/>
      <c r="R466" s="67"/>
      <c r="S466" s="67"/>
      <c r="T466" s="67"/>
      <c r="U466" s="67"/>
      <c r="V466" s="67"/>
      <c r="W466" s="67"/>
      <c r="X466" s="67"/>
      <c r="Y466" s="67"/>
      <c r="Z466" s="67"/>
      <c r="AA466" s="67"/>
      <c r="AB466" s="67"/>
      <c r="AC466" s="67"/>
      <c r="AD466" s="67"/>
      <c r="AE466" s="67"/>
      <c r="AF466" s="67"/>
      <c r="AG466" s="67"/>
      <c r="AH466" s="67"/>
      <c r="AI466" s="67"/>
      <c r="AJ466" s="67"/>
      <c r="AK466" s="67"/>
      <c r="AL466" s="67"/>
      <c r="AM466" s="67"/>
      <c r="AN466" s="67"/>
      <c r="AO466" s="67"/>
      <c r="AP466" s="67"/>
    </row>
    <row r="467" customFormat="false" ht="12.75" hidden="false" customHeight="false" outlineLevel="0" collapsed="false">
      <c r="E467" s="67"/>
      <c r="F467" s="67"/>
      <c r="G467" s="67"/>
      <c r="H467" s="67"/>
      <c r="I467" s="67"/>
      <c r="J467" s="67"/>
      <c r="K467" s="67"/>
      <c r="L467" s="67"/>
      <c r="M467" s="67"/>
      <c r="N467" s="67"/>
      <c r="O467" s="67"/>
      <c r="P467" s="67"/>
      <c r="Q467" s="67"/>
      <c r="R467" s="67"/>
      <c r="S467" s="67"/>
      <c r="T467" s="67"/>
      <c r="U467" s="67"/>
      <c r="V467" s="67"/>
      <c r="W467" s="67"/>
      <c r="X467" s="67"/>
      <c r="Y467" s="67"/>
      <c r="Z467" s="67"/>
      <c r="AA467" s="67"/>
      <c r="AB467" s="67"/>
      <c r="AC467" s="67"/>
      <c r="AD467" s="67"/>
      <c r="AE467" s="67"/>
      <c r="AF467" s="67"/>
      <c r="AG467" s="67"/>
      <c r="AH467" s="67"/>
      <c r="AI467" s="67"/>
      <c r="AJ467" s="67"/>
      <c r="AK467" s="67"/>
      <c r="AL467" s="67"/>
      <c r="AM467" s="67"/>
      <c r="AN467" s="67"/>
      <c r="AO467" s="67"/>
      <c r="AP467" s="67"/>
    </row>
    <row r="468" customFormat="false" ht="12.75" hidden="false" customHeight="false" outlineLevel="0" collapsed="false">
      <c r="E468" s="67"/>
      <c r="F468" s="67"/>
      <c r="G468" s="67"/>
      <c r="H468" s="67"/>
      <c r="I468" s="67"/>
      <c r="J468" s="67"/>
      <c r="K468" s="67"/>
      <c r="L468" s="67"/>
      <c r="M468" s="67"/>
      <c r="N468" s="67"/>
      <c r="O468" s="67"/>
      <c r="P468" s="67"/>
      <c r="Q468" s="67"/>
      <c r="R468" s="67"/>
      <c r="S468" s="67"/>
      <c r="T468" s="67"/>
      <c r="U468" s="67"/>
      <c r="V468" s="67"/>
      <c r="W468" s="67"/>
      <c r="X468" s="67"/>
      <c r="Y468" s="67"/>
      <c r="Z468" s="67"/>
      <c r="AA468" s="67"/>
      <c r="AB468" s="67"/>
      <c r="AC468" s="67"/>
      <c r="AD468" s="67"/>
      <c r="AE468" s="67"/>
      <c r="AF468" s="67"/>
      <c r="AG468" s="67"/>
      <c r="AH468" s="67"/>
      <c r="AI468" s="67"/>
      <c r="AJ468" s="67"/>
      <c r="AK468" s="67"/>
      <c r="AL468" s="67"/>
      <c r="AM468" s="67"/>
      <c r="AN468" s="67"/>
      <c r="AO468" s="67"/>
      <c r="AP468" s="67"/>
    </row>
    <row r="469" customFormat="false" ht="12.75" hidden="false" customHeight="false" outlineLevel="0" collapsed="false">
      <c r="E469" s="67"/>
      <c r="F469" s="67"/>
      <c r="G469" s="67"/>
      <c r="H469" s="67"/>
      <c r="I469" s="67"/>
      <c r="J469" s="67"/>
      <c r="K469" s="67"/>
      <c r="L469" s="67"/>
      <c r="M469" s="67"/>
      <c r="N469" s="67"/>
      <c r="O469" s="67"/>
      <c r="P469" s="67"/>
      <c r="Q469" s="67"/>
      <c r="R469" s="67"/>
      <c r="S469" s="67"/>
      <c r="T469" s="67"/>
      <c r="U469" s="67"/>
      <c r="V469" s="67"/>
      <c r="W469" s="67"/>
      <c r="X469" s="67"/>
      <c r="Y469" s="67"/>
      <c r="Z469" s="67"/>
      <c r="AA469" s="67"/>
      <c r="AB469" s="67"/>
      <c r="AC469" s="67"/>
      <c r="AD469" s="67"/>
      <c r="AE469" s="67"/>
      <c r="AF469" s="67"/>
      <c r="AG469" s="67"/>
      <c r="AH469" s="67"/>
      <c r="AI469" s="67"/>
      <c r="AJ469" s="67"/>
      <c r="AK469" s="67"/>
      <c r="AL469" s="67"/>
      <c r="AM469" s="67"/>
      <c r="AN469" s="67"/>
      <c r="AO469" s="67"/>
      <c r="AP469" s="67"/>
    </row>
    <row r="470" customFormat="false" ht="12.75" hidden="false" customHeight="false" outlineLevel="0" collapsed="false">
      <c r="E470" s="67"/>
      <c r="F470" s="67"/>
      <c r="G470" s="67"/>
      <c r="H470" s="67"/>
      <c r="I470" s="67"/>
      <c r="J470" s="67"/>
      <c r="K470" s="67"/>
      <c r="L470" s="67"/>
      <c r="M470" s="67"/>
      <c r="N470" s="67"/>
      <c r="O470" s="67"/>
      <c r="P470" s="67"/>
      <c r="Q470" s="67"/>
      <c r="R470" s="67"/>
      <c r="S470" s="67"/>
      <c r="T470" s="67"/>
      <c r="U470" s="67"/>
      <c r="V470" s="67"/>
      <c r="W470" s="67"/>
      <c r="X470" s="67"/>
      <c r="Y470" s="67"/>
      <c r="Z470" s="67"/>
      <c r="AA470" s="67"/>
      <c r="AB470" s="67"/>
      <c r="AC470" s="67"/>
      <c r="AD470" s="67"/>
      <c r="AE470" s="67"/>
      <c r="AF470" s="67"/>
      <c r="AG470" s="67"/>
      <c r="AH470" s="67"/>
      <c r="AI470" s="67"/>
      <c r="AJ470" s="67"/>
      <c r="AK470" s="67"/>
      <c r="AL470" s="67"/>
      <c r="AM470" s="67"/>
      <c r="AN470" s="67"/>
      <c r="AO470" s="67"/>
      <c r="AP470" s="67"/>
    </row>
    <row r="471" customFormat="false" ht="12.75" hidden="false" customHeight="false" outlineLevel="0" collapsed="false">
      <c r="E471" s="67"/>
      <c r="F471" s="67"/>
      <c r="G471" s="67"/>
      <c r="H471" s="67"/>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c r="AH471" s="67"/>
      <c r="AI471" s="67"/>
      <c r="AJ471" s="67"/>
      <c r="AK471" s="67"/>
      <c r="AL471" s="67"/>
      <c r="AM471" s="67"/>
      <c r="AN471" s="67"/>
      <c r="AO471" s="67"/>
      <c r="AP471" s="67"/>
    </row>
    <row r="472" customFormat="false" ht="12.75" hidden="false" customHeight="false" outlineLevel="0" collapsed="false">
      <c r="E472" s="67"/>
      <c r="F472" s="67"/>
      <c r="G472" s="67"/>
      <c r="H472" s="67"/>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c r="AH472" s="67"/>
      <c r="AI472" s="67"/>
      <c r="AJ472" s="67"/>
      <c r="AK472" s="67"/>
      <c r="AL472" s="67"/>
      <c r="AM472" s="67"/>
      <c r="AN472" s="67"/>
      <c r="AO472" s="67"/>
      <c r="AP472" s="67"/>
    </row>
    <row r="473" customFormat="false" ht="12.75" hidden="false" customHeight="false" outlineLevel="0" collapsed="false">
      <c r="E473" s="67"/>
      <c r="F473" s="67"/>
      <c r="G473" s="67"/>
      <c r="H473" s="67"/>
      <c r="I473" s="67"/>
      <c r="J473" s="67"/>
      <c r="K473" s="67"/>
      <c r="L473" s="67"/>
      <c r="M473" s="67"/>
      <c r="N473" s="67"/>
      <c r="O473" s="67"/>
      <c r="P473" s="67"/>
      <c r="Q473" s="67"/>
      <c r="R473" s="67"/>
      <c r="S473" s="67"/>
      <c r="T473" s="67"/>
      <c r="U473" s="67"/>
      <c r="V473" s="67"/>
      <c r="W473" s="67"/>
      <c r="X473" s="67"/>
      <c r="Y473" s="67"/>
      <c r="Z473" s="67"/>
      <c r="AA473" s="67"/>
      <c r="AB473" s="67"/>
      <c r="AC473" s="67"/>
      <c r="AD473" s="67"/>
      <c r="AE473" s="67"/>
      <c r="AF473" s="67"/>
      <c r="AG473" s="67"/>
      <c r="AH473" s="67"/>
      <c r="AI473" s="67"/>
      <c r="AJ473" s="67"/>
      <c r="AK473" s="67"/>
      <c r="AL473" s="67"/>
      <c r="AM473" s="67"/>
      <c r="AN473" s="67"/>
      <c r="AO473" s="67"/>
      <c r="AP473" s="67"/>
    </row>
    <row r="474" customFormat="false" ht="12.75" hidden="false" customHeight="false" outlineLevel="0" collapsed="false">
      <c r="E474" s="67"/>
      <c r="F474" s="67"/>
      <c r="G474" s="67"/>
      <c r="H474" s="67"/>
      <c r="I474" s="67"/>
      <c r="J474" s="67"/>
      <c r="K474" s="67"/>
      <c r="L474" s="67"/>
      <c r="M474" s="67"/>
      <c r="N474" s="67"/>
      <c r="O474" s="67"/>
      <c r="P474" s="67"/>
      <c r="Q474" s="67"/>
      <c r="R474" s="67"/>
      <c r="S474" s="67"/>
      <c r="T474" s="67"/>
      <c r="U474" s="67"/>
      <c r="V474" s="67"/>
      <c r="W474" s="67"/>
      <c r="X474" s="67"/>
      <c r="Y474" s="67"/>
      <c r="Z474" s="67"/>
      <c r="AA474" s="67"/>
      <c r="AB474" s="67"/>
      <c r="AC474" s="67"/>
      <c r="AD474" s="67"/>
      <c r="AE474" s="67"/>
      <c r="AF474" s="67"/>
      <c r="AG474" s="67"/>
      <c r="AH474" s="67"/>
      <c r="AI474" s="67"/>
      <c r="AJ474" s="67"/>
      <c r="AK474" s="67"/>
      <c r="AL474" s="67"/>
      <c r="AM474" s="67"/>
      <c r="AN474" s="67"/>
      <c r="AO474" s="67"/>
      <c r="AP474" s="67"/>
    </row>
    <row r="475" customFormat="false" ht="12.75" hidden="false" customHeight="false" outlineLevel="0" collapsed="false">
      <c r="E475" s="67"/>
      <c r="F475" s="67"/>
      <c r="G475" s="67"/>
      <c r="H475" s="67"/>
      <c r="I475" s="67"/>
      <c r="J475" s="67"/>
      <c r="K475" s="67"/>
      <c r="L475" s="67"/>
      <c r="M475" s="67"/>
      <c r="N475" s="67"/>
      <c r="O475" s="67"/>
      <c r="P475" s="67"/>
      <c r="Q475" s="67"/>
      <c r="R475" s="67"/>
      <c r="S475" s="67"/>
      <c r="T475" s="67"/>
      <c r="U475" s="67"/>
      <c r="V475" s="67"/>
      <c r="W475" s="67"/>
      <c r="X475" s="67"/>
      <c r="Y475" s="67"/>
      <c r="Z475" s="67"/>
      <c r="AA475" s="67"/>
      <c r="AB475" s="67"/>
      <c r="AC475" s="67"/>
      <c r="AD475" s="67"/>
      <c r="AE475" s="67"/>
      <c r="AF475" s="67"/>
      <c r="AG475" s="67"/>
      <c r="AH475" s="67"/>
      <c r="AI475" s="67"/>
      <c r="AJ475" s="67"/>
      <c r="AK475" s="67"/>
      <c r="AL475" s="67"/>
      <c r="AM475" s="67"/>
      <c r="AN475" s="67"/>
      <c r="AO475" s="67"/>
      <c r="AP475" s="67"/>
    </row>
    <row r="476" customFormat="false" ht="12.75" hidden="false" customHeight="false" outlineLevel="0" collapsed="false">
      <c r="E476" s="67"/>
      <c r="F476" s="67"/>
      <c r="G476" s="67"/>
      <c r="H476" s="67"/>
      <c r="I476" s="67"/>
      <c r="J476" s="67"/>
      <c r="K476" s="67"/>
      <c r="L476" s="67"/>
      <c r="M476" s="67"/>
      <c r="N476" s="67"/>
      <c r="O476" s="67"/>
      <c r="P476" s="67"/>
      <c r="Q476" s="67"/>
      <c r="R476" s="67"/>
      <c r="S476" s="67"/>
      <c r="T476" s="67"/>
      <c r="U476" s="67"/>
      <c r="V476" s="67"/>
      <c r="W476" s="67"/>
      <c r="X476" s="67"/>
      <c r="Y476" s="67"/>
      <c r="Z476" s="67"/>
      <c r="AA476" s="67"/>
      <c r="AB476" s="67"/>
      <c r="AC476" s="67"/>
      <c r="AD476" s="67"/>
      <c r="AE476" s="67"/>
      <c r="AF476" s="67"/>
      <c r="AG476" s="67"/>
      <c r="AH476" s="67"/>
      <c r="AI476" s="67"/>
      <c r="AJ476" s="67"/>
      <c r="AK476" s="67"/>
      <c r="AL476" s="67"/>
      <c r="AM476" s="67"/>
      <c r="AN476" s="67"/>
      <c r="AO476" s="67"/>
      <c r="AP476" s="67"/>
    </row>
    <row r="477" customFormat="false" ht="12.75" hidden="false" customHeight="false" outlineLevel="0" collapsed="false">
      <c r="E477" s="67"/>
      <c r="F477" s="67"/>
      <c r="G477" s="67"/>
      <c r="H477" s="67"/>
      <c r="I477" s="67"/>
      <c r="J477" s="67"/>
      <c r="K477" s="67"/>
      <c r="L477" s="67"/>
      <c r="M477" s="67"/>
      <c r="N477" s="67"/>
      <c r="O477" s="67"/>
      <c r="P477" s="67"/>
      <c r="Q477" s="67"/>
      <c r="R477" s="67"/>
      <c r="S477" s="67"/>
      <c r="T477" s="67"/>
      <c r="U477" s="67"/>
      <c r="V477" s="67"/>
      <c r="W477" s="67"/>
      <c r="X477" s="67"/>
      <c r="Y477" s="67"/>
      <c r="Z477" s="67"/>
      <c r="AA477" s="67"/>
      <c r="AB477" s="67"/>
      <c r="AC477" s="67"/>
      <c r="AD477" s="67"/>
      <c r="AE477" s="67"/>
      <c r="AF477" s="67"/>
      <c r="AG477" s="67"/>
      <c r="AH477" s="67"/>
      <c r="AI477" s="67"/>
      <c r="AJ477" s="67"/>
      <c r="AK477" s="67"/>
      <c r="AL477" s="67"/>
      <c r="AM477" s="67"/>
      <c r="AN477" s="67"/>
      <c r="AO477" s="67"/>
      <c r="AP477" s="67"/>
    </row>
    <row r="478" customFormat="false" ht="12.75" hidden="false" customHeight="false" outlineLevel="0" collapsed="false">
      <c r="E478" s="67"/>
      <c r="F478" s="67"/>
      <c r="G478" s="67"/>
      <c r="H478" s="67"/>
      <c r="I478" s="67"/>
      <c r="J478" s="67"/>
      <c r="K478" s="67"/>
      <c r="L478" s="67"/>
      <c r="M478" s="67"/>
      <c r="N478" s="67"/>
      <c r="O478" s="67"/>
      <c r="P478" s="67"/>
      <c r="Q478" s="67"/>
      <c r="R478" s="67"/>
      <c r="S478" s="67"/>
      <c r="T478" s="67"/>
      <c r="U478" s="67"/>
      <c r="V478" s="67"/>
      <c r="W478" s="67"/>
      <c r="X478" s="67"/>
      <c r="Y478" s="67"/>
      <c r="Z478" s="67"/>
      <c r="AA478" s="67"/>
      <c r="AB478" s="67"/>
      <c r="AC478" s="67"/>
      <c r="AD478" s="67"/>
      <c r="AE478" s="67"/>
      <c r="AF478" s="67"/>
      <c r="AG478" s="67"/>
      <c r="AH478" s="67"/>
      <c r="AI478" s="67"/>
      <c r="AJ478" s="67"/>
      <c r="AK478" s="67"/>
      <c r="AL478" s="67"/>
      <c r="AM478" s="67"/>
      <c r="AN478" s="67"/>
      <c r="AO478" s="67"/>
      <c r="AP478" s="67"/>
    </row>
    <row r="479" customFormat="false" ht="12.75" hidden="false" customHeight="false" outlineLevel="0" collapsed="false">
      <c r="E479" s="67"/>
      <c r="F479" s="67"/>
      <c r="G479" s="67"/>
      <c r="H479" s="67"/>
      <c r="I479" s="67"/>
      <c r="J479" s="67"/>
      <c r="K479" s="67"/>
      <c r="L479" s="67"/>
      <c r="M479" s="67"/>
      <c r="N479" s="67"/>
      <c r="O479" s="67"/>
      <c r="P479" s="67"/>
      <c r="Q479" s="67"/>
      <c r="R479" s="67"/>
      <c r="S479" s="67"/>
      <c r="T479" s="67"/>
      <c r="U479" s="67"/>
      <c r="V479" s="67"/>
      <c r="W479" s="67"/>
      <c r="X479" s="67"/>
      <c r="Y479" s="67"/>
      <c r="Z479" s="67"/>
      <c r="AA479" s="67"/>
      <c r="AB479" s="67"/>
      <c r="AC479" s="67"/>
      <c r="AD479" s="67"/>
      <c r="AE479" s="67"/>
      <c r="AF479" s="67"/>
      <c r="AG479" s="67"/>
      <c r="AH479" s="67"/>
      <c r="AI479" s="67"/>
      <c r="AJ479" s="67"/>
      <c r="AK479" s="67"/>
      <c r="AL479" s="67"/>
      <c r="AM479" s="67"/>
      <c r="AN479" s="67"/>
      <c r="AO479" s="67"/>
      <c r="AP479" s="67"/>
    </row>
    <row r="480" customFormat="false" ht="12.75" hidden="false" customHeight="false" outlineLevel="0" collapsed="false">
      <c r="E480" s="67"/>
      <c r="F480" s="67"/>
      <c r="G480" s="67"/>
      <c r="H480" s="67"/>
      <c r="I480" s="67"/>
      <c r="J480" s="67"/>
      <c r="K480" s="67"/>
      <c r="L480" s="67"/>
      <c r="M480" s="67"/>
      <c r="N480" s="67"/>
      <c r="O480" s="67"/>
      <c r="P480" s="67"/>
      <c r="Q480" s="67"/>
      <c r="R480" s="67"/>
      <c r="S480" s="67"/>
      <c r="T480" s="67"/>
      <c r="U480" s="67"/>
      <c r="V480" s="67"/>
      <c r="W480" s="67"/>
      <c r="X480" s="67"/>
      <c r="Y480" s="67"/>
      <c r="Z480" s="67"/>
      <c r="AA480" s="67"/>
      <c r="AB480" s="67"/>
      <c r="AC480" s="67"/>
      <c r="AD480" s="67"/>
      <c r="AE480" s="67"/>
      <c r="AF480" s="67"/>
      <c r="AG480" s="67"/>
      <c r="AH480" s="67"/>
      <c r="AI480" s="67"/>
      <c r="AJ480" s="67"/>
      <c r="AK480" s="67"/>
      <c r="AL480" s="67"/>
      <c r="AM480" s="67"/>
      <c r="AN480" s="67"/>
      <c r="AO480" s="67"/>
      <c r="AP480" s="67"/>
    </row>
    <row r="481" customFormat="false" ht="12.75" hidden="false" customHeight="false" outlineLevel="0" collapsed="false">
      <c r="E481" s="67"/>
      <c r="F481" s="67"/>
      <c r="G481" s="67"/>
      <c r="H481" s="67"/>
      <c r="I481" s="67"/>
      <c r="J481" s="67"/>
      <c r="K481" s="67"/>
      <c r="L481" s="67"/>
      <c r="M481" s="67"/>
      <c r="N481" s="67"/>
      <c r="O481" s="67"/>
      <c r="P481" s="67"/>
      <c r="Q481" s="67"/>
      <c r="R481" s="67"/>
      <c r="S481" s="67"/>
      <c r="T481" s="67"/>
      <c r="U481" s="67"/>
      <c r="V481" s="67"/>
      <c r="W481" s="67"/>
      <c r="X481" s="67"/>
      <c r="Y481" s="67"/>
      <c r="Z481" s="67"/>
      <c r="AA481" s="67"/>
      <c r="AB481" s="67"/>
      <c r="AC481" s="67"/>
      <c r="AD481" s="67"/>
      <c r="AE481" s="67"/>
      <c r="AF481" s="67"/>
      <c r="AG481" s="67"/>
      <c r="AH481" s="67"/>
      <c r="AI481" s="67"/>
      <c r="AJ481" s="67"/>
      <c r="AK481" s="67"/>
      <c r="AL481" s="67"/>
      <c r="AM481" s="67"/>
      <c r="AN481" s="67"/>
      <c r="AO481" s="67"/>
      <c r="AP481" s="67"/>
    </row>
    <row r="482" customFormat="false" ht="12.75" hidden="false" customHeight="false" outlineLevel="0" collapsed="false">
      <c r="E482" s="67"/>
      <c r="F482" s="67"/>
      <c r="G482" s="67"/>
      <c r="H482" s="67"/>
      <c r="I482" s="67"/>
      <c r="J482" s="67"/>
      <c r="K482" s="67"/>
      <c r="L482" s="67"/>
      <c r="M482" s="67"/>
      <c r="N482" s="67"/>
      <c r="O482" s="67"/>
      <c r="P482" s="67"/>
      <c r="Q482" s="67"/>
      <c r="R482" s="67"/>
      <c r="S482" s="67"/>
      <c r="T482" s="67"/>
      <c r="U482" s="67"/>
      <c r="V482" s="67"/>
      <c r="W482" s="67"/>
      <c r="X482" s="67"/>
      <c r="Y482" s="67"/>
      <c r="Z482" s="67"/>
      <c r="AA482" s="67"/>
      <c r="AB482" s="67"/>
      <c r="AC482" s="67"/>
      <c r="AD482" s="67"/>
      <c r="AE482" s="67"/>
      <c r="AF482" s="67"/>
      <c r="AG482" s="67"/>
      <c r="AH482" s="67"/>
      <c r="AI482" s="67"/>
      <c r="AJ482" s="67"/>
      <c r="AK482" s="67"/>
      <c r="AL482" s="67"/>
      <c r="AM482" s="67"/>
      <c r="AN482" s="67"/>
      <c r="AO482" s="67"/>
      <c r="AP482" s="67"/>
    </row>
    <row r="483" customFormat="false" ht="12.75" hidden="false" customHeight="false" outlineLevel="0" collapsed="false">
      <c r="E483" s="67"/>
      <c r="F483" s="67"/>
      <c r="G483" s="67"/>
      <c r="H483" s="67"/>
      <c r="I483" s="67"/>
      <c r="J483" s="67"/>
      <c r="K483" s="67"/>
      <c r="L483" s="67"/>
      <c r="M483" s="67"/>
      <c r="N483" s="67"/>
      <c r="O483" s="67"/>
      <c r="P483" s="67"/>
      <c r="Q483" s="67"/>
      <c r="R483" s="67"/>
      <c r="S483" s="67"/>
      <c r="T483" s="67"/>
      <c r="U483" s="67"/>
      <c r="V483" s="67"/>
      <c r="W483" s="67"/>
      <c r="X483" s="67"/>
      <c r="Y483" s="67"/>
      <c r="Z483" s="67"/>
      <c r="AA483" s="67"/>
      <c r="AB483" s="67"/>
      <c r="AC483" s="67"/>
      <c r="AD483" s="67"/>
      <c r="AE483" s="67"/>
      <c r="AF483" s="67"/>
      <c r="AG483" s="67"/>
      <c r="AH483" s="67"/>
      <c r="AI483" s="67"/>
      <c r="AJ483" s="67"/>
      <c r="AK483" s="67"/>
      <c r="AL483" s="67"/>
      <c r="AM483" s="67"/>
      <c r="AN483" s="67"/>
      <c r="AO483" s="67"/>
      <c r="AP483" s="67"/>
    </row>
    <row r="484" customFormat="false" ht="12.75" hidden="false" customHeight="false" outlineLevel="0" collapsed="false">
      <c r="E484" s="67"/>
      <c r="F484" s="67"/>
      <c r="G484" s="67"/>
      <c r="H484" s="67"/>
      <c r="I484" s="67"/>
      <c r="J484" s="67"/>
      <c r="K484" s="67"/>
      <c r="L484" s="67"/>
      <c r="M484" s="67"/>
      <c r="N484" s="67"/>
      <c r="O484" s="67"/>
      <c r="P484" s="67"/>
      <c r="Q484" s="67"/>
      <c r="R484" s="67"/>
      <c r="S484" s="67"/>
      <c r="T484" s="67"/>
      <c r="U484" s="67"/>
      <c r="V484" s="67"/>
      <c r="W484" s="67"/>
      <c r="X484" s="67"/>
      <c r="Y484" s="67"/>
      <c r="Z484" s="67"/>
      <c r="AA484" s="67"/>
      <c r="AB484" s="67"/>
      <c r="AC484" s="67"/>
      <c r="AD484" s="67"/>
      <c r="AE484" s="67"/>
      <c r="AF484" s="67"/>
      <c r="AG484" s="67"/>
      <c r="AH484" s="67"/>
      <c r="AI484" s="67"/>
      <c r="AJ484" s="67"/>
      <c r="AK484" s="67"/>
      <c r="AL484" s="67"/>
      <c r="AM484" s="67"/>
      <c r="AN484" s="67"/>
      <c r="AO484" s="67"/>
      <c r="AP484" s="67"/>
    </row>
  </sheetData>
  <printOptions headings="false" gridLines="false" gridLinesSet="true" horizontalCentered="true" verticalCentered="false"/>
  <pageMargins left="0.25" right="0.25" top="0.490277777777778" bottom="0.5" header="0.511811023622047" footer="0.5"/>
  <pageSetup paperSize="1" scale="75" fitToWidth="1" fitToHeight="1" pageOrder="downThenOver" orientation="landscape" blackAndWhite="false" draft="false" cellComments="none" horizontalDpi="300" verticalDpi="300" copies="1"/>
  <headerFooter differentFirst="false" differentOddEven="false">
    <oddHeader/>
    <oddFooter>&amp;L&amp;D&amp;T&amp;C&amp;P&amp;Ro:/Corpdev/North America/Raul/Ammonia/&amp;F</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50"/>
  <sheetViews>
    <sheetView showFormulas="false" showGridLines="true" showRowColHeaders="true" showZeros="true" rightToLeft="false" tabSelected="false" showOutlineSymbols="true" defaultGridColor="true" view="normal" topLeftCell="A2" colorId="64" zoomScale="85" zoomScaleNormal="85"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1" min="1" style="0" width="6.13"/>
    <col collapsed="false" customWidth="true" hidden="false" outlineLevel="0" max="2" min="2" style="0" width="10.13"/>
    <col collapsed="false" customWidth="true" hidden="false" outlineLevel="0" max="3" min="3" style="0" width="10.56"/>
    <col collapsed="false" customWidth="true" hidden="false" outlineLevel="0" max="4" min="4" style="0" width="11.85"/>
    <col collapsed="false" customWidth="true" hidden="false" outlineLevel="0" max="5" min="5" style="58" width="1.99"/>
    <col collapsed="false" customWidth="true" hidden="false" outlineLevel="0" max="7" min="7" style="0" width="9.7"/>
    <col collapsed="false" customWidth="true" hidden="false" outlineLevel="0" max="8" min="8" style="0" width="9.85"/>
    <col collapsed="false" customWidth="true" hidden="false" outlineLevel="0" max="16" min="11" style="0" width="9.7"/>
    <col collapsed="false" customWidth="true" hidden="false" outlineLevel="0" max="17" min="17" style="0" width="10.13"/>
    <col collapsed="false" customWidth="true" hidden="false" outlineLevel="0" max="18" min="18" style="0" width="10.41"/>
    <col collapsed="false" customWidth="true" hidden="false" outlineLevel="0" max="20" min="19" style="0" width="9.7"/>
    <col collapsed="false" customWidth="true" hidden="false" outlineLevel="0" max="21" min="21" style="0" width="8.85"/>
  </cols>
  <sheetData>
    <row r="1" customFormat="false" ht="21" hidden="false" customHeight="false" outlineLevel="0" collapsed="false">
      <c r="A1" s="1" t="s">
        <v>0</v>
      </c>
      <c r="B1" s="112"/>
      <c r="C1" s="112"/>
      <c r="D1" s="113"/>
      <c r="E1" s="113"/>
      <c r="F1" s="113"/>
      <c r="G1" s="4"/>
      <c r="H1" s="4"/>
      <c r="I1" s="4"/>
      <c r="J1" s="4"/>
      <c r="K1" s="4"/>
      <c r="L1" s="4"/>
      <c r="M1" s="4"/>
      <c r="N1" s="4"/>
      <c r="O1" s="4"/>
      <c r="P1" s="4"/>
      <c r="Q1" s="4"/>
      <c r="R1" s="4"/>
      <c r="S1" s="4"/>
      <c r="T1" s="4"/>
      <c r="U1" s="16" t="s">
        <v>334</v>
      </c>
    </row>
    <row r="2" customFormat="false" ht="26.25" hidden="false" customHeight="false" outlineLevel="0" collapsed="false">
      <c r="A2" s="269"/>
      <c r="B2" s="270"/>
      <c r="C2" s="270"/>
      <c r="D2" s="271"/>
      <c r="E2" s="271"/>
      <c r="F2" s="271"/>
      <c r="G2" s="272"/>
      <c r="U2" s="114" t="s">
        <v>110</v>
      </c>
    </row>
    <row r="3" customFormat="false" ht="26.25" hidden="false" customHeight="false" outlineLevel="0" collapsed="false">
      <c r="A3" s="269"/>
      <c r="B3" s="270"/>
      <c r="C3" s="270"/>
      <c r="D3" s="271"/>
      <c r="E3" s="271"/>
      <c r="F3" s="271"/>
      <c r="G3" s="272"/>
    </row>
    <row r="4" customFormat="false" ht="26.25" hidden="false" customHeight="false" outlineLevel="0" collapsed="false">
      <c r="A4" s="269"/>
      <c r="B4" s="270"/>
      <c r="C4" s="270"/>
      <c r="D4" s="271"/>
      <c r="E4" s="271"/>
      <c r="F4" s="271"/>
      <c r="G4" s="272"/>
    </row>
    <row r="5" customFormat="false" ht="12.75" hidden="false" customHeight="false" outlineLevel="0" collapsed="false">
      <c r="B5" s="53" t="s">
        <v>335</v>
      </c>
    </row>
    <row r="7" customFormat="false" ht="12.75" hidden="false" customHeight="false" outlineLevel="0" collapsed="false">
      <c r="F7" s="275" t="n">
        <v>36160</v>
      </c>
      <c r="G7" s="275" t="n">
        <v>36525</v>
      </c>
      <c r="H7" s="275" t="n">
        <v>36891</v>
      </c>
      <c r="I7" s="275" t="n">
        <v>37073</v>
      </c>
      <c r="J7" s="275" t="n">
        <v>37256</v>
      </c>
      <c r="K7" s="275" t="n">
        <v>37621</v>
      </c>
      <c r="L7" s="275" t="n">
        <v>37986</v>
      </c>
      <c r="M7" s="275" t="n">
        <v>38352</v>
      </c>
      <c r="N7" s="275" t="n">
        <v>38717</v>
      </c>
      <c r="O7" s="275" t="n">
        <v>39082</v>
      </c>
      <c r="P7" s="275" t="n">
        <v>39447</v>
      </c>
      <c r="Q7" s="275" t="n">
        <v>39813</v>
      </c>
      <c r="R7" s="275" t="n">
        <v>40178</v>
      </c>
      <c r="S7" s="275" t="n">
        <v>40543</v>
      </c>
      <c r="T7" s="275" t="n">
        <v>40908</v>
      </c>
      <c r="U7" s="275" t="n">
        <v>40909</v>
      </c>
    </row>
    <row r="8" customFormat="false" ht="12.75" hidden="false" customHeight="false" outlineLevel="0" collapsed="false">
      <c r="A8" s="0" t="s">
        <v>336</v>
      </c>
      <c r="F8" s="67" t="n">
        <v>472</v>
      </c>
      <c r="G8" s="67" t="n">
        <v>528</v>
      </c>
      <c r="H8" s="67" t="n">
        <f aca="false">707</f>
        <v>707</v>
      </c>
      <c r="I8" s="67" t="n">
        <f aca="false">AVERAGE(G8:H8)/2</f>
        <v>308.75</v>
      </c>
      <c r="J8" s="67" t="n">
        <f aca="false">+I8</f>
        <v>308.75</v>
      </c>
      <c r="K8" s="67" t="n">
        <f aca="false">AVERAGE(G8:H8)</f>
        <v>617.5</v>
      </c>
      <c r="L8" s="67" t="n">
        <f aca="false">+K8</f>
        <v>617.5</v>
      </c>
      <c r="M8" s="67" t="n">
        <f aca="false">+L8</f>
        <v>617.5</v>
      </c>
      <c r="N8" s="67" t="n">
        <f aca="false">+M8</f>
        <v>617.5</v>
      </c>
      <c r="O8" s="67" t="n">
        <f aca="false">+N8</f>
        <v>617.5</v>
      </c>
      <c r="P8" s="67" t="n">
        <f aca="false">+O8</f>
        <v>617.5</v>
      </c>
      <c r="Q8" s="67" t="n">
        <f aca="false">+P8</f>
        <v>617.5</v>
      </c>
      <c r="R8" s="67" t="n">
        <f aca="false">+Q8</f>
        <v>617.5</v>
      </c>
      <c r="S8" s="67" t="n">
        <f aca="false">+R8</f>
        <v>617.5</v>
      </c>
      <c r="T8" s="67" t="n">
        <f aca="false">+S8</f>
        <v>617.5</v>
      </c>
    </row>
    <row r="9" customFormat="false" ht="12.75" hidden="false" customHeight="false" outlineLevel="0" collapsed="false">
      <c r="F9" s="67"/>
      <c r="G9" s="67"/>
      <c r="H9" s="67"/>
      <c r="I9" s="306"/>
      <c r="J9" s="67"/>
      <c r="K9" s="67"/>
      <c r="L9" s="67"/>
      <c r="M9" s="67"/>
      <c r="N9" s="67"/>
      <c r="O9" s="67"/>
      <c r="P9" s="67"/>
      <c r="Q9" s="67"/>
      <c r="R9" s="67"/>
      <c r="S9" s="67"/>
      <c r="T9" s="67"/>
    </row>
    <row r="10" customFormat="false" ht="12.75" hidden="false" customHeight="false" outlineLevel="0" collapsed="false">
      <c r="A10" s="0" t="s">
        <v>337</v>
      </c>
      <c r="F10" s="280" t="n">
        <f aca="false">2904+704</f>
        <v>3608</v>
      </c>
      <c r="G10" s="280" t="n">
        <f aca="false">3291+110</f>
        <v>3401</v>
      </c>
      <c r="H10" s="280" t="n">
        <f aca="false">3613+597</f>
        <v>4210</v>
      </c>
      <c r="I10" s="280" t="n">
        <f aca="false">AVERAGE(G10:H10)/2</f>
        <v>1902.75</v>
      </c>
      <c r="J10" s="280" t="n">
        <f aca="false">+I10</f>
        <v>1902.75</v>
      </c>
      <c r="K10" s="280" t="n">
        <f aca="false">AVERAGE(G10:H10)</f>
        <v>3805.5</v>
      </c>
      <c r="L10" s="280" t="n">
        <f aca="false">K10</f>
        <v>3805.5</v>
      </c>
      <c r="M10" s="280" t="n">
        <f aca="false">L10</f>
        <v>3805.5</v>
      </c>
      <c r="N10" s="280" t="n">
        <f aca="false">M10</f>
        <v>3805.5</v>
      </c>
      <c r="O10" s="280" t="n">
        <f aca="false">N10</f>
        <v>3805.5</v>
      </c>
      <c r="P10" s="280" t="n">
        <f aca="false">O10</f>
        <v>3805.5</v>
      </c>
      <c r="Q10" s="280" t="n">
        <f aca="false">P10</f>
        <v>3805.5</v>
      </c>
      <c r="R10" s="280" t="n">
        <f aca="false">Q10</f>
        <v>3805.5</v>
      </c>
      <c r="S10" s="280" t="n">
        <f aca="false">R10</f>
        <v>3805.5</v>
      </c>
      <c r="T10" s="280" t="n">
        <f aca="false">S10</f>
        <v>3805.5</v>
      </c>
    </row>
    <row r="11" customFormat="false" ht="12.75" hidden="false" customHeight="false" outlineLevel="0" collapsed="false">
      <c r="A11" s="0" t="s">
        <v>338</v>
      </c>
      <c r="F11" s="297" t="n">
        <v>-149</v>
      </c>
      <c r="G11" s="297" t="n">
        <v>367</v>
      </c>
      <c r="H11" s="297" t="n">
        <f aca="false">165</f>
        <v>165</v>
      </c>
      <c r="I11" s="297" t="n">
        <f aca="false">165/2</f>
        <v>82.5</v>
      </c>
      <c r="J11" s="297" t="n">
        <f aca="false">165/2</f>
        <v>82.5</v>
      </c>
      <c r="K11" s="297" t="n">
        <f aca="false">J11*2</f>
        <v>165</v>
      </c>
      <c r="L11" s="297" t="n">
        <f aca="false">K11</f>
        <v>165</v>
      </c>
      <c r="M11" s="297" t="n">
        <f aca="false">L11</f>
        <v>165</v>
      </c>
      <c r="N11" s="297" t="n">
        <f aca="false">M11</f>
        <v>165</v>
      </c>
      <c r="O11" s="297" t="n">
        <f aca="false">N11</f>
        <v>165</v>
      </c>
      <c r="P11" s="297" t="n">
        <f aca="false">O11</f>
        <v>165</v>
      </c>
      <c r="Q11" s="297" t="n">
        <f aca="false">P11</f>
        <v>165</v>
      </c>
      <c r="R11" s="297" t="n">
        <f aca="false">Q11</f>
        <v>165</v>
      </c>
      <c r="S11" s="297" t="n">
        <f aca="false">R11</f>
        <v>165</v>
      </c>
      <c r="T11" s="297" t="n">
        <f aca="false">S11</f>
        <v>165</v>
      </c>
    </row>
    <row r="12" customFormat="false" ht="12.75" hidden="false" customHeight="false" outlineLevel="0" collapsed="false">
      <c r="A12" s="0" t="s">
        <v>321</v>
      </c>
      <c r="F12" s="280" t="n">
        <f aca="false">F10+F11</f>
        <v>3459</v>
      </c>
      <c r="G12" s="280" t="n">
        <f aca="false">G10+G11</f>
        <v>3768</v>
      </c>
      <c r="H12" s="280" t="n">
        <f aca="false">H10+H11</f>
        <v>4375</v>
      </c>
      <c r="I12" s="280" t="n">
        <f aca="false">I10+I11</f>
        <v>1985.25</v>
      </c>
      <c r="J12" s="280" t="n">
        <f aca="false">J10+J11</f>
        <v>1985.25</v>
      </c>
      <c r="K12" s="280" t="n">
        <f aca="false">K10+K11</f>
        <v>3970.5</v>
      </c>
      <c r="L12" s="280" t="n">
        <f aca="false">L10+L11</f>
        <v>3970.5</v>
      </c>
      <c r="M12" s="280" t="n">
        <f aca="false">M10+M11</f>
        <v>3970.5</v>
      </c>
      <c r="N12" s="280" t="n">
        <f aca="false">N10+N11</f>
        <v>3970.5</v>
      </c>
      <c r="O12" s="280" t="n">
        <f aca="false">O10+O11</f>
        <v>3970.5</v>
      </c>
      <c r="P12" s="280" t="n">
        <f aca="false">P10+P11</f>
        <v>3970.5</v>
      </c>
      <c r="Q12" s="280" t="n">
        <f aca="false">Q10+Q11</f>
        <v>3970.5</v>
      </c>
      <c r="R12" s="280" t="n">
        <f aca="false">R10+R11</f>
        <v>3970.5</v>
      </c>
      <c r="S12" s="280" t="n">
        <f aca="false">S10+S11</f>
        <v>3970.5</v>
      </c>
      <c r="T12" s="280" t="n">
        <f aca="false">T10+T11</f>
        <v>3970.5</v>
      </c>
    </row>
    <row r="13" customFormat="false" ht="12.75" hidden="false" customHeight="false" outlineLevel="0" collapsed="false">
      <c r="F13" s="280"/>
      <c r="G13" s="280"/>
      <c r="H13" s="280"/>
      <c r="I13" s="280"/>
      <c r="J13" s="280"/>
      <c r="K13" s="280"/>
      <c r="L13" s="280"/>
      <c r="M13" s="280"/>
      <c r="N13" s="280"/>
      <c r="O13" s="280"/>
      <c r="P13" s="280"/>
      <c r="Q13" s="280"/>
      <c r="R13" s="280"/>
      <c r="S13" s="280"/>
      <c r="T13" s="280"/>
    </row>
    <row r="14" customFormat="false" ht="15" hidden="false" customHeight="false" outlineLevel="0" collapsed="false">
      <c r="A14" s="0" t="s">
        <v>322</v>
      </c>
      <c r="D14" s="281" t="n">
        <f aca="false">'Sea-3 NH '!D20</f>
        <v>0.04</v>
      </c>
      <c r="F14" s="297" t="n">
        <v>-486</v>
      </c>
      <c r="G14" s="297" t="n">
        <v>-601</v>
      </c>
      <c r="H14" s="297" t="n">
        <f aca="false">-694</f>
        <v>-694</v>
      </c>
      <c r="I14" s="297" t="n">
        <f aca="false">-694/2</f>
        <v>-347</v>
      </c>
      <c r="J14" s="297" t="n">
        <f aca="false">-694/2</f>
        <v>-347</v>
      </c>
      <c r="K14" s="297" t="n">
        <f aca="false">J14*2</f>
        <v>-694</v>
      </c>
      <c r="L14" s="297" t="n">
        <f aca="false">K14*(1+$D$14)</f>
        <v>-721.76</v>
      </c>
      <c r="M14" s="297" t="n">
        <f aca="false">L14*(1+$D$14)</f>
        <v>-750.6304</v>
      </c>
      <c r="N14" s="297" t="n">
        <f aca="false">M14*(1+$D$14)</f>
        <v>-780.655616</v>
      </c>
      <c r="O14" s="297" t="n">
        <f aca="false">N14*(1+$D$14)</f>
        <v>-811.88184064</v>
      </c>
      <c r="P14" s="297" t="n">
        <f aca="false">O14*(1+$D$14)</f>
        <v>-844.3571142656</v>
      </c>
      <c r="Q14" s="297" t="n">
        <f aca="false">P14*(1+$D$14)</f>
        <v>-878.131398836224</v>
      </c>
      <c r="R14" s="297" t="n">
        <f aca="false">Q14*(1+$D$14)</f>
        <v>-913.256654789673</v>
      </c>
      <c r="S14" s="297" t="n">
        <f aca="false">R14*(1+$D$14)</f>
        <v>-949.78692098126</v>
      </c>
      <c r="T14" s="297" t="n">
        <f aca="false">S14*(1+$D$14)</f>
        <v>-987.778397820511</v>
      </c>
      <c r="U14" s="280"/>
    </row>
    <row r="15" customFormat="false" ht="12.75" hidden="false" customHeight="false" outlineLevel="0" collapsed="false">
      <c r="A15" s="0" t="s">
        <v>292</v>
      </c>
      <c r="F15" s="68" t="n">
        <f aca="false">+F12+F14</f>
        <v>2973</v>
      </c>
      <c r="G15" s="68" t="n">
        <f aca="false">+G12+G14</f>
        <v>3167</v>
      </c>
      <c r="H15" s="68" t="n">
        <f aca="false">+H12+H14</f>
        <v>3681</v>
      </c>
      <c r="I15" s="68" t="n">
        <f aca="false">+I12+I14</f>
        <v>1638.25</v>
      </c>
      <c r="J15" s="68" t="n">
        <f aca="false">+J12+J14</f>
        <v>1638.25</v>
      </c>
      <c r="K15" s="68" t="n">
        <f aca="false">+K12+K14</f>
        <v>3276.5</v>
      </c>
      <c r="L15" s="68" t="n">
        <f aca="false">+L12+L14</f>
        <v>3248.74</v>
      </c>
      <c r="M15" s="68" t="n">
        <f aca="false">+M12+M14</f>
        <v>3219.8696</v>
      </c>
      <c r="N15" s="68" t="n">
        <f aca="false">+N12+N14</f>
        <v>3189.844384</v>
      </c>
      <c r="O15" s="68" t="n">
        <f aca="false">+O12+O14</f>
        <v>3158.61815936</v>
      </c>
      <c r="P15" s="68" t="n">
        <f aca="false">+P12+P14</f>
        <v>3126.1428857344</v>
      </c>
      <c r="Q15" s="68" t="n">
        <f aca="false">+Q12+Q14</f>
        <v>3092.36860116378</v>
      </c>
      <c r="R15" s="68" t="n">
        <f aca="false">+R12+R14</f>
        <v>3057.24334521033</v>
      </c>
      <c r="S15" s="68" t="n">
        <f aca="false">+S12+S14</f>
        <v>3020.71307901874</v>
      </c>
      <c r="T15" s="68" t="n">
        <f aca="false">+T12+T14</f>
        <v>2982.72160217949</v>
      </c>
      <c r="U15" s="280"/>
    </row>
    <row r="16" customFormat="false" ht="12.75" hidden="false" customHeight="false" outlineLevel="0" collapsed="false">
      <c r="F16" s="68"/>
      <c r="G16" s="68"/>
      <c r="H16" s="68"/>
      <c r="I16" s="68"/>
      <c r="J16" s="68"/>
      <c r="K16" s="68"/>
      <c r="L16" s="68"/>
      <c r="M16" s="68"/>
      <c r="N16" s="68"/>
      <c r="O16" s="68"/>
      <c r="P16" s="68"/>
      <c r="Q16" s="68"/>
      <c r="R16" s="68"/>
      <c r="S16" s="68"/>
      <c r="T16" s="68"/>
      <c r="U16" s="280"/>
    </row>
    <row r="17" customFormat="false" ht="15" hidden="false" customHeight="false" outlineLevel="0" collapsed="false">
      <c r="A17" s="0" t="s">
        <v>339</v>
      </c>
      <c r="F17" s="297" t="n">
        <v>207</v>
      </c>
      <c r="G17" s="297" t="n">
        <v>197</v>
      </c>
      <c r="H17" s="297" t="n">
        <f aca="false">177</f>
        <v>177</v>
      </c>
      <c r="I17" s="297" t="n">
        <f aca="false">177/2</f>
        <v>88.5</v>
      </c>
      <c r="J17" s="297" t="n">
        <f aca="false">177/2</f>
        <v>88.5</v>
      </c>
      <c r="K17" s="297" t="n">
        <f aca="false">J17*2</f>
        <v>177</v>
      </c>
      <c r="L17" s="297" t="n">
        <f aca="false">K17</f>
        <v>177</v>
      </c>
      <c r="M17" s="297" t="n">
        <f aca="false">L17</f>
        <v>177</v>
      </c>
      <c r="N17" s="297" t="n">
        <f aca="false">M17</f>
        <v>177</v>
      </c>
      <c r="O17" s="297" t="n">
        <f aca="false">N17</f>
        <v>177</v>
      </c>
      <c r="P17" s="297" t="n">
        <f aca="false">O17</f>
        <v>177</v>
      </c>
      <c r="Q17" s="297" t="n">
        <f aca="false">P17</f>
        <v>177</v>
      </c>
      <c r="R17" s="297" t="n">
        <f aca="false">Q17</f>
        <v>177</v>
      </c>
      <c r="S17" s="297" t="n">
        <f aca="false">R17</f>
        <v>177</v>
      </c>
      <c r="T17" s="297" t="n">
        <f aca="false">S17</f>
        <v>177</v>
      </c>
      <c r="U17" s="280"/>
    </row>
    <row r="18" customFormat="false" ht="12.75" hidden="false" customHeight="false" outlineLevel="0" collapsed="false">
      <c r="A18" s="0" t="s">
        <v>68</v>
      </c>
      <c r="F18" s="67" t="n">
        <f aca="false">SUM(F15:F17)</f>
        <v>3180</v>
      </c>
      <c r="G18" s="67" t="n">
        <f aca="false">SUM(G15:G17)</f>
        <v>3364</v>
      </c>
      <c r="H18" s="67" t="n">
        <f aca="false">SUM(H15:H17)</f>
        <v>3858</v>
      </c>
      <c r="I18" s="67" t="n">
        <f aca="false">SUM(I15:I17)</f>
        <v>1726.75</v>
      </c>
      <c r="J18" s="67" t="n">
        <f aca="false">SUM(J15:J17)</f>
        <v>1726.75</v>
      </c>
      <c r="K18" s="67" t="n">
        <f aca="false">SUM(K15:K17)</f>
        <v>3453.5</v>
      </c>
      <c r="L18" s="67" t="n">
        <f aca="false">SUM(L15:L17)</f>
        <v>3425.74</v>
      </c>
      <c r="M18" s="67" t="n">
        <f aca="false">SUM(M15:M17)</f>
        <v>3396.8696</v>
      </c>
      <c r="N18" s="67" t="n">
        <f aca="false">SUM(N15:N17)</f>
        <v>3366.844384</v>
      </c>
      <c r="O18" s="67" t="n">
        <f aca="false">SUM(O15:O17)</f>
        <v>3335.61815936</v>
      </c>
      <c r="P18" s="67" t="n">
        <f aca="false">SUM(P15:P17)</f>
        <v>3303.1428857344</v>
      </c>
      <c r="Q18" s="67" t="n">
        <f aca="false">SUM(Q15:Q17)</f>
        <v>3269.36860116378</v>
      </c>
      <c r="R18" s="67" t="n">
        <f aca="false">SUM(R15:R17)</f>
        <v>3234.24334521033</v>
      </c>
      <c r="S18" s="67" t="n">
        <f aca="false">SUM(S15:S17)</f>
        <v>3197.71307901874</v>
      </c>
      <c r="T18" s="67" t="n">
        <f aca="false">SUM(T15:T17)</f>
        <v>3159.72160217949</v>
      </c>
      <c r="U18" s="280"/>
    </row>
    <row r="19" customFormat="false" ht="12.75" hidden="false" customHeight="false" outlineLevel="0" collapsed="false">
      <c r="F19" s="280"/>
      <c r="G19" s="280"/>
      <c r="H19" s="280"/>
      <c r="I19" s="280"/>
      <c r="J19" s="280"/>
      <c r="K19" s="280"/>
      <c r="L19" s="280"/>
      <c r="M19" s="280"/>
      <c r="N19" s="280"/>
      <c r="O19" s="280"/>
      <c r="P19" s="280"/>
      <c r="Q19" s="280"/>
      <c r="R19" s="280"/>
      <c r="S19" s="280"/>
      <c r="T19" s="280"/>
      <c r="U19" s="280"/>
    </row>
    <row r="20" customFormat="false" ht="12.75" hidden="false" customHeight="false" outlineLevel="0" collapsed="false">
      <c r="A20" s="0" t="s">
        <v>325</v>
      </c>
      <c r="F20" s="285" t="n">
        <v>-704</v>
      </c>
      <c r="G20" s="285" t="n">
        <v>-110</v>
      </c>
      <c r="H20" s="285" t="n">
        <f aca="false">-597</f>
        <v>-597</v>
      </c>
      <c r="I20" s="285" t="n">
        <f aca="false">-(Dep!$F$64+Dep!$F$37)/2</f>
        <v>-396.332752192352</v>
      </c>
      <c r="J20" s="285" t="n">
        <f aca="false">-(Dep!$F$64+Dep!$F$37)/2</f>
        <v>-396.332752192352</v>
      </c>
      <c r="K20" s="285" t="n">
        <f aca="false">-(Dep!G64+Dep!G37)</f>
        <v>-792.665504384704</v>
      </c>
      <c r="L20" s="285" t="n">
        <f aca="false">-(Dep!H64+Dep!H37)</f>
        <v>-792.665504384704</v>
      </c>
      <c r="M20" s="285" t="n">
        <f aca="false">-(Dep!I64+Dep!I37)</f>
        <v>-792.665504384704</v>
      </c>
      <c r="N20" s="285" t="n">
        <f aca="false">-(Dep!J64+Dep!J37)</f>
        <v>-792.665504384704</v>
      </c>
      <c r="O20" s="285" t="n">
        <f aca="false">-(Dep!K64+Dep!K37)</f>
        <v>-792.665504384704</v>
      </c>
      <c r="P20" s="285" t="n">
        <f aca="false">-(Dep!L64+Dep!L37)</f>
        <v>-792.665504384704</v>
      </c>
      <c r="Q20" s="285" t="n">
        <f aca="false">-(Dep!M64+Dep!M37)</f>
        <v>-792.665504384704</v>
      </c>
      <c r="R20" s="285" t="n">
        <f aca="false">-(Dep!N64+Dep!N37)</f>
        <v>-792.665504384704</v>
      </c>
      <c r="S20" s="285" t="n">
        <f aca="false">-(Dep!O64+Dep!O37)</f>
        <v>-792.665504384704</v>
      </c>
      <c r="T20" s="285" t="n">
        <f aca="false">-(Dep!P64+Dep!P37)</f>
        <v>-792.665504384704</v>
      </c>
      <c r="U20" s="280"/>
    </row>
    <row r="21" customFormat="false" ht="12.75" hidden="false" customHeight="false" outlineLevel="0" collapsed="false">
      <c r="A21" s="0" t="s">
        <v>176</v>
      </c>
      <c r="F21" s="280" t="n">
        <f aca="false">+F18+F20</f>
        <v>2476</v>
      </c>
      <c r="G21" s="280" t="n">
        <f aca="false">+G18+G20</f>
        <v>3254</v>
      </c>
      <c r="H21" s="280" t="n">
        <f aca="false">+H18+H20</f>
        <v>3261</v>
      </c>
      <c r="I21" s="280" t="n">
        <f aca="false">+I18+I20</f>
        <v>1330.41724780765</v>
      </c>
      <c r="J21" s="280" t="n">
        <f aca="false">+J18+J20</f>
        <v>1330.41724780765</v>
      </c>
      <c r="K21" s="280" t="n">
        <f aca="false">+K18+K20</f>
        <v>2660.8344956153</v>
      </c>
      <c r="L21" s="280" t="n">
        <f aca="false">+L18+L20</f>
        <v>2633.0744956153</v>
      </c>
      <c r="M21" s="280" t="n">
        <f aca="false">+M18+M20</f>
        <v>2604.2040956153</v>
      </c>
      <c r="N21" s="280" t="n">
        <f aca="false">+N18+N20</f>
        <v>2574.1788796153</v>
      </c>
      <c r="O21" s="280" t="n">
        <f aca="false">+O18+O20</f>
        <v>2542.9526549753</v>
      </c>
      <c r="P21" s="280" t="n">
        <f aca="false">+P18+P20</f>
        <v>2510.4773813497</v>
      </c>
      <c r="Q21" s="280" t="n">
        <f aca="false">+Q18+Q20</f>
        <v>2476.70309677907</v>
      </c>
      <c r="R21" s="280" t="n">
        <f aca="false">+R18+R20</f>
        <v>2441.57784082562</v>
      </c>
      <c r="S21" s="280" t="n">
        <f aca="false">+S18+S20</f>
        <v>2405.04757463404</v>
      </c>
      <c r="T21" s="280" t="n">
        <f aca="false">+T18+T20</f>
        <v>2367.05609779479</v>
      </c>
      <c r="U21" s="280"/>
    </row>
    <row r="22" customFormat="false" ht="12.75" hidden="false" customHeight="false" outlineLevel="0" collapsed="false">
      <c r="F22" s="280"/>
      <c r="G22" s="280"/>
      <c r="H22" s="280"/>
      <c r="I22" s="280"/>
      <c r="J22" s="280"/>
      <c r="K22" s="280"/>
      <c r="L22" s="280"/>
      <c r="M22" s="280"/>
      <c r="N22" s="280"/>
      <c r="O22" s="280"/>
      <c r="P22" s="280"/>
      <c r="Q22" s="280"/>
      <c r="R22" s="280"/>
      <c r="S22" s="280"/>
      <c r="T22" s="280"/>
      <c r="U22" s="280"/>
    </row>
    <row r="23" customFormat="false" ht="12.75" hidden="false" customHeight="false" outlineLevel="0" collapsed="false">
      <c r="A23" s="0" t="s">
        <v>326</v>
      </c>
      <c r="F23" s="280"/>
      <c r="G23" s="280"/>
      <c r="H23" s="280"/>
      <c r="I23" s="280"/>
      <c r="J23" s="301" t="n">
        <f aca="false">-J21*Assumptions!$B$8</f>
        <v>-465.646036732677</v>
      </c>
      <c r="K23" s="301" t="n">
        <f aca="false">-K21*Assumptions!$B$8</f>
        <v>-931.292073465354</v>
      </c>
      <c r="L23" s="301" t="n">
        <f aca="false">-L21*Assumptions!$B$8</f>
        <v>-921.576073465354</v>
      </c>
      <c r="M23" s="301" t="n">
        <f aca="false">-M21*Assumptions!$B$8</f>
        <v>-911.471433465354</v>
      </c>
      <c r="N23" s="301" t="n">
        <f aca="false">-N21*Assumptions!$B$8</f>
        <v>-900.962607865354</v>
      </c>
      <c r="O23" s="301" t="n">
        <f aca="false">-O21*Assumptions!$B$8</f>
        <v>-890.033429241354</v>
      </c>
      <c r="P23" s="301" t="n">
        <f aca="false">-P21*Assumptions!$B$8</f>
        <v>-878.667083472394</v>
      </c>
      <c r="Q23" s="301" t="n">
        <f aca="false">-Q21*Assumptions!$B$8</f>
        <v>-866.846083872675</v>
      </c>
      <c r="R23" s="301" t="n">
        <f aca="false">-R21*Assumptions!$B$8</f>
        <v>-854.552244288968</v>
      </c>
      <c r="S23" s="301" t="n">
        <f aca="false">-S21*Assumptions!$B$8</f>
        <v>-841.766651121912</v>
      </c>
      <c r="T23" s="301" t="n">
        <f aca="false">-T21*Assumptions!$B$8</f>
        <v>-828.469634228175</v>
      </c>
      <c r="U23" s="280"/>
    </row>
    <row r="24" customFormat="false" ht="12.75" hidden="false" customHeight="false" outlineLevel="0" collapsed="false">
      <c r="A24" s="0" t="s">
        <v>327</v>
      </c>
      <c r="F24" s="280"/>
      <c r="G24" s="280"/>
      <c r="H24" s="280"/>
      <c r="I24" s="280"/>
      <c r="J24" s="301" t="n">
        <f aca="false">Dep!F123*0.5</f>
        <v>455.961014759691</v>
      </c>
      <c r="K24" s="301" t="n">
        <f aca="false">Dep!G123</f>
        <v>1760.8667847154</v>
      </c>
      <c r="L24" s="301" t="n">
        <f aca="false">Dep!H123</f>
        <v>1178.25763899264</v>
      </c>
      <c r="M24" s="301" t="n">
        <f aca="false">Dep!I123</f>
        <v>762.108249190673</v>
      </c>
      <c r="N24" s="301" t="n">
        <f aca="false">Dep!J123</f>
        <v>465.809883651671</v>
      </c>
      <c r="O24" s="301" t="n">
        <f aca="false">Dep!K123</f>
        <v>464.977584872067</v>
      </c>
      <c r="P24" s="301" t="n">
        <f aca="false">Dep!L123</f>
        <v>465.809883651671</v>
      </c>
      <c r="Q24" s="301" t="n">
        <f aca="false">Dep!M123</f>
        <v>93.7723291687105</v>
      </c>
      <c r="R24" s="301" t="n">
        <f aca="false">Dep!N123</f>
        <v>-277.432926534646</v>
      </c>
      <c r="S24" s="301" t="n">
        <f aca="false">Dep!O123</f>
        <v>-277.432926534646</v>
      </c>
      <c r="T24" s="301" t="n">
        <f aca="false">Dep!P123</f>
        <v>-277.432926534646</v>
      </c>
      <c r="U24" s="280"/>
    </row>
    <row r="25" customFormat="false" ht="12.75" hidden="false" customHeight="false" outlineLevel="0" collapsed="false">
      <c r="A25" s="0" t="s">
        <v>328</v>
      </c>
      <c r="F25" s="280"/>
      <c r="G25" s="280"/>
      <c r="H25" s="280"/>
      <c r="I25" s="280"/>
      <c r="J25" s="301" t="n">
        <f aca="false">+J20*-1</f>
        <v>396.332752192352</v>
      </c>
      <c r="K25" s="301" t="n">
        <f aca="false">+K20*-1</f>
        <v>792.665504384704</v>
      </c>
      <c r="L25" s="301" t="n">
        <f aca="false">+L20*-1</f>
        <v>792.665504384704</v>
      </c>
      <c r="M25" s="301" t="n">
        <f aca="false">+M20*-1</f>
        <v>792.665504384704</v>
      </c>
      <c r="N25" s="301" t="n">
        <f aca="false">+N20*-1</f>
        <v>792.665504384704</v>
      </c>
      <c r="O25" s="301" t="n">
        <f aca="false">+O20*-1</f>
        <v>792.665504384704</v>
      </c>
      <c r="P25" s="301" t="n">
        <f aca="false">+P20*-1</f>
        <v>792.665504384704</v>
      </c>
      <c r="Q25" s="301" t="n">
        <f aca="false">+Q20*-1</f>
        <v>792.665504384704</v>
      </c>
      <c r="R25" s="301" t="n">
        <f aca="false">+R20*-1</f>
        <v>792.665504384704</v>
      </c>
      <c r="S25" s="301" t="n">
        <f aca="false">+S20*-1</f>
        <v>792.665504384704</v>
      </c>
      <c r="T25" s="301" t="n">
        <f aca="false">+T20*-1</f>
        <v>792.665504384704</v>
      </c>
      <c r="U25" s="280"/>
    </row>
    <row r="26" customFormat="false" ht="12.75" hidden="false" customHeight="false" outlineLevel="0" collapsed="false">
      <c r="A26" s="0" t="s">
        <v>329</v>
      </c>
      <c r="F26" s="280"/>
      <c r="G26" s="280"/>
      <c r="H26" s="280"/>
      <c r="I26" s="280"/>
      <c r="J26" s="301" t="n">
        <v>0</v>
      </c>
      <c r="K26" s="301" t="n">
        <v>0</v>
      </c>
      <c r="L26" s="301" t="n">
        <v>0</v>
      </c>
      <c r="M26" s="301" t="n">
        <v>0</v>
      </c>
      <c r="N26" s="301" t="n">
        <v>0</v>
      </c>
      <c r="O26" s="301" t="n">
        <v>0</v>
      </c>
      <c r="P26" s="301" t="n">
        <v>0</v>
      </c>
      <c r="Q26" s="301" t="n">
        <v>0</v>
      </c>
      <c r="R26" s="301" t="n">
        <v>0</v>
      </c>
      <c r="S26" s="301" t="n">
        <v>0</v>
      </c>
      <c r="T26" s="301" t="n">
        <v>0</v>
      </c>
      <c r="U26" s="280"/>
    </row>
    <row r="27" customFormat="false" ht="12.75" hidden="false" customHeight="false" outlineLevel="0" collapsed="false">
      <c r="A27" s="0" t="s">
        <v>330</v>
      </c>
      <c r="F27" s="280"/>
      <c r="G27" s="280"/>
      <c r="H27" s="280"/>
      <c r="I27" s="280"/>
      <c r="J27" s="285" t="n">
        <f aca="false">+J50</f>
        <v>0</v>
      </c>
      <c r="K27" s="285" t="n">
        <f aca="false">+K50</f>
        <v>300.658105022831</v>
      </c>
      <c r="L27" s="285" t="n">
        <f aca="false">+L50</f>
        <v>0</v>
      </c>
      <c r="M27" s="285" t="n">
        <f aca="false">+M50</f>
        <v>0</v>
      </c>
      <c r="N27" s="285" t="n">
        <f aca="false">+N50</f>
        <v>0</v>
      </c>
      <c r="O27" s="285" t="n">
        <f aca="false">+O50</f>
        <v>0</v>
      </c>
      <c r="P27" s="285" t="n">
        <f aca="false">+P50</f>
        <v>0</v>
      </c>
      <c r="Q27" s="285" t="n">
        <f aca="false">+Q50</f>
        <v>0</v>
      </c>
      <c r="R27" s="285" t="n">
        <f aca="false">+R50</f>
        <v>0</v>
      </c>
      <c r="S27" s="285" t="n">
        <f aca="false">+S50</f>
        <v>0</v>
      </c>
      <c r="T27" s="285" t="n">
        <f aca="false">+T50</f>
        <v>0</v>
      </c>
      <c r="U27" s="280"/>
    </row>
    <row r="28" customFormat="false" ht="12.75" hidden="false" customHeight="false" outlineLevel="0" collapsed="false">
      <c r="A28" s="0" t="s">
        <v>162</v>
      </c>
      <c r="I28" s="66" t="n">
        <v>0</v>
      </c>
      <c r="J28" s="302" t="n">
        <f aca="false">SUM(J21:J27)</f>
        <v>1717.06497802701</v>
      </c>
      <c r="K28" s="302" t="n">
        <f aca="false">SUM(K21:K27)</f>
        <v>4583.73281627288</v>
      </c>
      <c r="L28" s="302" t="n">
        <f aca="false">SUM(L21:L27)</f>
        <v>3682.42156552729</v>
      </c>
      <c r="M28" s="302" t="n">
        <f aca="false">SUM(M21:M27)</f>
        <v>3247.50641572532</v>
      </c>
      <c r="N28" s="302" t="n">
        <f aca="false">SUM(N21:N27)</f>
        <v>2931.69165978632</v>
      </c>
      <c r="O28" s="302" t="n">
        <f aca="false">SUM(O21:O27)</f>
        <v>2910.56231499071</v>
      </c>
      <c r="P28" s="302" t="n">
        <f aca="false">SUM(P21:P27)</f>
        <v>2890.28568591368</v>
      </c>
      <c r="Q28" s="302" t="n">
        <f aca="false">SUM(Q21:Q27)</f>
        <v>2496.29484645981</v>
      </c>
      <c r="R28" s="302" t="n">
        <f aca="false">SUM(R21:R27)</f>
        <v>2102.25817438671</v>
      </c>
      <c r="S28" s="302" t="n">
        <f aca="false">SUM(S21:S27)</f>
        <v>2078.51350136218</v>
      </c>
      <c r="T28" s="302" t="n">
        <f aca="false">SUM(T21:T27)</f>
        <v>2053.81904141667</v>
      </c>
      <c r="U28" s="302" t="n">
        <f aca="false">+T21*D32</f>
        <v>14202.3365867687</v>
      </c>
    </row>
    <row r="30" customFormat="false" ht="12.75" hidden="false" customHeight="false" outlineLevel="0" collapsed="false">
      <c r="B30" s="303"/>
      <c r="C30" s="288"/>
      <c r="D30" s="303"/>
      <c r="E30" s="290"/>
      <c r="F30" s="291"/>
      <c r="G30" s="291"/>
      <c r="H30" s="291"/>
      <c r="I30" s="291"/>
      <c r="J30" s="291"/>
      <c r="K30" s="291"/>
      <c r="L30" s="291"/>
      <c r="M30" s="291"/>
      <c r="N30" s="291"/>
      <c r="O30" s="291"/>
      <c r="P30" s="291"/>
      <c r="Q30" s="291"/>
      <c r="R30" s="291"/>
      <c r="S30" s="291"/>
      <c r="T30" s="291"/>
    </row>
    <row r="31" customFormat="false" ht="12.75" hidden="false" customHeight="false" outlineLevel="0" collapsed="false">
      <c r="C31" s="288" t="str">
        <f aca="false">"NPV@"&amp;(Assumptions!$B$6*100)&amp;"%"</f>
        <v>NPV@11%</v>
      </c>
      <c r="D31" s="289" t="n">
        <f aca="false">XNPV(Assumptions!$B$6,I28:U28,I7:U7)</f>
        <v>23779.9651315411</v>
      </c>
      <c r="E31" s="290"/>
      <c r="F31" s="291"/>
      <c r="G31" s="291"/>
      <c r="H31" s="291"/>
      <c r="I31" s="291"/>
      <c r="J31" s="291"/>
      <c r="K31" s="291"/>
      <c r="L31" s="291"/>
      <c r="M31" s="291"/>
      <c r="N31" s="291"/>
      <c r="O31" s="291"/>
      <c r="P31" s="291"/>
      <c r="Q31" s="291"/>
      <c r="R31" s="291"/>
      <c r="S31" s="291"/>
      <c r="T31" s="291"/>
    </row>
    <row r="32" customFormat="false" ht="12.75" hidden="false" customHeight="false" outlineLevel="0" collapsed="false">
      <c r="C32" s="288" t="s">
        <v>300</v>
      </c>
      <c r="D32" s="292" t="n">
        <f aca="false">Assumptions!$B$7</f>
        <v>6</v>
      </c>
      <c r="F32" s="291"/>
      <c r="G32" s="291"/>
      <c r="H32" s="291"/>
      <c r="I32" s="291"/>
      <c r="J32" s="304"/>
      <c r="K32" s="291"/>
      <c r="L32" s="291"/>
      <c r="M32" s="291"/>
      <c r="N32" s="291"/>
      <c r="O32" s="291"/>
      <c r="P32" s="291"/>
      <c r="Q32" s="291"/>
      <c r="R32" s="291"/>
      <c r="S32" s="291"/>
      <c r="T32" s="291"/>
    </row>
    <row r="34" customFormat="false" ht="12.75" hidden="false" customHeight="false" outlineLevel="0" collapsed="false">
      <c r="B34" s="87" t="s">
        <v>340</v>
      </c>
    </row>
    <row r="36" customFormat="false" ht="12.75" hidden="false" customHeight="false" outlineLevel="0" collapsed="false">
      <c r="F36" s="275" t="n">
        <v>36160</v>
      </c>
      <c r="G36" s="275" t="n">
        <v>36525</v>
      </c>
      <c r="H36" s="275" t="n">
        <v>36891</v>
      </c>
      <c r="I36" s="275" t="n">
        <v>37073</v>
      </c>
      <c r="J36" s="275" t="n">
        <v>37256</v>
      </c>
      <c r="K36" s="275" t="n">
        <v>37621</v>
      </c>
      <c r="L36" s="275" t="n">
        <v>37986</v>
      </c>
      <c r="M36" s="275" t="n">
        <v>38352</v>
      </c>
      <c r="N36" s="275" t="n">
        <v>38717</v>
      </c>
      <c r="O36" s="275" t="n">
        <v>39082</v>
      </c>
      <c r="P36" s="275" t="n">
        <v>39447</v>
      </c>
      <c r="Q36" s="275" t="n">
        <v>39813</v>
      </c>
      <c r="R36" s="275" t="n">
        <v>40178</v>
      </c>
      <c r="S36" s="275" t="n">
        <v>40543</v>
      </c>
      <c r="T36" s="275" t="n">
        <v>40908</v>
      </c>
      <c r="U36" s="276"/>
    </row>
    <row r="38" customFormat="false" ht="12.75" hidden="false" customHeight="false" outlineLevel="0" collapsed="false">
      <c r="A38" s="0" t="s">
        <v>304</v>
      </c>
      <c r="F38" s="127" t="n">
        <f aca="false">+F12</f>
        <v>3459</v>
      </c>
      <c r="G38" s="127" t="n">
        <f aca="false">+G12</f>
        <v>3768</v>
      </c>
      <c r="H38" s="127" t="n">
        <f aca="false">+H12</f>
        <v>4375</v>
      </c>
      <c r="I38" s="127" t="n">
        <f aca="false">+I12</f>
        <v>1985.25</v>
      </c>
      <c r="J38" s="127" t="n">
        <f aca="false">+J12</f>
        <v>1985.25</v>
      </c>
      <c r="K38" s="127" t="n">
        <f aca="false">+K12</f>
        <v>3970.5</v>
      </c>
      <c r="L38" s="127" t="n">
        <f aca="false">+L12</f>
        <v>3970.5</v>
      </c>
      <c r="M38" s="127" t="n">
        <f aca="false">+M12</f>
        <v>3970.5</v>
      </c>
      <c r="N38" s="127" t="n">
        <f aca="false">+N12</f>
        <v>3970.5</v>
      </c>
      <c r="O38" s="127" t="n">
        <f aca="false">+O12</f>
        <v>3970.5</v>
      </c>
      <c r="P38" s="127" t="n">
        <f aca="false">+P12</f>
        <v>3970.5</v>
      </c>
      <c r="Q38" s="127" t="n">
        <f aca="false">+Q12</f>
        <v>3970.5</v>
      </c>
      <c r="R38" s="127" t="n">
        <f aca="false">+R12</f>
        <v>3970.5</v>
      </c>
      <c r="S38" s="127" t="n">
        <f aca="false">+S12</f>
        <v>3970.5</v>
      </c>
      <c r="T38" s="127" t="n">
        <f aca="false">+T12</f>
        <v>3970.5</v>
      </c>
      <c r="U38" s="127"/>
    </row>
    <row r="40" customFormat="false" ht="12.75" hidden="false" customHeight="false" outlineLevel="0" collapsed="false">
      <c r="A40" s="294" t="n">
        <v>0.04</v>
      </c>
      <c r="B40" s="0" t="s">
        <v>305</v>
      </c>
      <c r="F40" s="307" t="n">
        <f aca="false">+F38/$A$40</f>
        <v>86475</v>
      </c>
      <c r="G40" s="127" t="n">
        <f aca="false">+G38/$A$40</f>
        <v>94200</v>
      </c>
      <c r="H40" s="127" t="n">
        <f aca="false">+H38/$A$40</f>
        <v>109375</v>
      </c>
      <c r="I40" s="127" t="n">
        <f aca="false">+I38/$A$40</f>
        <v>49631.25</v>
      </c>
      <c r="J40" s="127" t="n">
        <f aca="false">+J38/$A$40</f>
        <v>49631.25</v>
      </c>
      <c r="K40" s="127" t="n">
        <f aca="false">+K38/$A$40</f>
        <v>99262.5</v>
      </c>
      <c r="L40" s="127" t="n">
        <f aca="false">+L38/$A$40</f>
        <v>99262.5</v>
      </c>
      <c r="M40" s="127" t="n">
        <f aca="false">+M38/$A$40</f>
        <v>99262.5</v>
      </c>
      <c r="N40" s="127" t="n">
        <f aca="false">+N38/$A$40</f>
        <v>99262.5</v>
      </c>
      <c r="O40" s="127" t="n">
        <f aca="false">+O38/$A$40</f>
        <v>99262.5</v>
      </c>
      <c r="P40" s="127" t="n">
        <f aca="false">+P38/$A$40</f>
        <v>99262.5</v>
      </c>
      <c r="Q40" s="127" t="n">
        <f aca="false">+Q38/$A$40</f>
        <v>99262.5</v>
      </c>
      <c r="R40" s="127" t="n">
        <f aca="false">+R38/$A$40</f>
        <v>99262.5</v>
      </c>
      <c r="S40" s="127" t="n">
        <f aca="false">+S38/$A$40</f>
        <v>99262.5</v>
      </c>
      <c r="T40" s="127" t="n">
        <f aca="false">+T38/$A$40</f>
        <v>99262.5</v>
      </c>
    </row>
    <row r="41" customFormat="false" ht="12.75" hidden="false" customHeight="false" outlineLevel="0" collapsed="false">
      <c r="B41" s="0" t="s">
        <v>306</v>
      </c>
      <c r="F41" s="285" t="n">
        <f aca="false">-F40*(1-$A$40)</f>
        <v>-83016</v>
      </c>
      <c r="G41" s="285" t="n">
        <f aca="false">-G40*(1-$A$40)</f>
        <v>-90432</v>
      </c>
      <c r="H41" s="285" t="n">
        <f aca="false">-H40*(1-$A$40)</f>
        <v>-105000</v>
      </c>
      <c r="I41" s="285" t="n">
        <f aca="false">-I40*(1-$A$40)</f>
        <v>-47646</v>
      </c>
      <c r="J41" s="285" t="n">
        <f aca="false">-J40*(1-$A$40)</f>
        <v>-47646</v>
      </c>
      <c r="K41" s="285" t="n">
        <f aca="false">-K40*(1-$A$40)</f>
        <v>-95292</v>
      </c>
      <c r="L41" s="285" t="n">
        <f aca="false">-L40*(1-$A$40)</f>
        <v>-95292</v>
      </c>
      <c r="M41" s="285" t="n">
        <f aca="false">-M40*(1-$A$40)</f>
        <v>-95292</v>
      </c>
      <c r="N41" s="285" t="n">
        <f aca="false">-N40*(1-$A$40)</f>
        <v>-95292</v>
      </c>
      <c r="O41" s="285" t="n">
        <f aca="false">-O40*(1-$A$40)</f>
        <v>-95292</v>
      </c>
      <c r="P41" s="285" t="n">
        <f aca="false">-P40*(1-$A$40)</f>
        <v>-95292</v>
      </c>
      <c r="Q41" s="285" t="n">
        <f aca="false">-Q40*(1-$A$40)</f>
        <v>-95292</v>
      </c>
      <c r="R41" s="285" t="n">
        <f aca="false">-R40*(1-$A$40)</f>
        <v>-95292</v>
      </c>
      <c r="S41" s="285" t="n">
        <f aca="false">-S40*(1-$A$40)</f>
        <v>-95292</v>
      </c>
      <c r="T41" s="285" t="n">
        <f aca="false">-T40*(1-$A$40)</f>
        <v>-95292</v>
      </c>
    </row>
    <row r="42" customFormat="false" ht="12.75" hidden="false" customHeight="false" outlineLevel="0" collapsed="false">
      <c r="B42" s="0" t="s">
        <v>307</v>
      </c>
      <c r="F42" s="127" t="n">
        <f aca="false">SUM(F40:F41)</f>
        <v>3459</v>
      </c>
      <c r="G42" s="127" t="n">
        <f aca="false">SUM(G40:G41)</f>
        <v>3768</v>
      </c>
      <c r="H42" s="127" t="n">
        <f aca="false">SUM(H40:H41)</f>
        <v>4375</v>
      </c>
      <c r="I42" s="127" t="n">
        <f aca="false">SUM(I40:I41)</f>
        <v>1985.25</v>
      </c>
      <c r="J42" s="127" t="n">
        <f aca="false">SUM(J40:J41)</f>
        <v>1985.25</v>
      </c>
      <c r="K42" s="127" t="n">
        <f aca="false">SUM(K40:K41)</f>
        <v>3970.5</v>
      </c>
      <c r="L42" s="127" t="n">
        <f aca="false">SUM(L40:L41)</f>
        <v>3970.5</v>
      </c>
      <c r="M42" s="127" t="n">
        <f aca="false">SUM(M40:M41)</f>
        <v>3970.5</v>
      </c>
      <c r="N42" s="127" t="n">
        <f aca="false">SUM(N40:N41)</f>
        <v>3970.5</v>
      </c>
      <c r="O42" s="127" t="n">
        <f aca="false">SUM(O40:O41)</f>
        <v>3970.5</v>
      </c>
      <c r="P42" s="127" t="n">
        <f aca="false">SUM(P40:P41)</f>
        <v>3970.5</v>
      </c>
      <c r="Q42" s="127" t="n">
        <f aca="false">SUM(Q40:Q41)</f>
        <v>3970.5</v>
      </c>
      <c r="R42" s="127" t="n">
        <f aca="false">SUM(R40:R41)</f>
        <v>3970.5</v>
      </c>
      <c r="S42" s="127" t="n">
        <f aca="false">SUM(S40:S41)</f>
        <v>3970.5</v>
      </c>
      <c r="T42" s="127" t="n">
        <f aca="false">SUM(T40:T41)</f>
        <v>3970.5</v>
      </c>
    </row>
    <row r="44" customFormat="false" ht="12.75" hidden="false" customHeight="false" outlineLevel="0" collapsed="false">
      <c r="A44" s="0" t="s">
        <v>308</v>
      </c>
    </row>
    <row r="45" customFormat="false" ht="12.75" hidden="false" customHeight="false" outlineLevel="0" collapsed="false">
      <c r="B45" s="0" t="s">
        <v>309</v>
      </c>
      <c r="D45" s="77" t="n">
        <v>66</v>
      </c>
      <c r="F45" s="307" t="n">
        <f aca="false">+F40*($D$45/365)</f>
        <v>15636.5753424658</v>
      </c>
      <c r="G45" s="307" t="n">
        <f aca="false">+G40*($D$45/365)</f>
        <v>17033.4246575342</v>
      </c>
      <c r="H45" s="307" t="n">
        <f aca="false">+H40*($D$45/365)</f>
        <v>19777.397260274</v>
      </c>
      <c r="I45" s="307" t="n">
        <f aca="false">+I40*($D$45/180)</f>
        <v>18198.125</v>
      </c>
      <c r="J45" s="307" t="n">
        <f aca="false">+J40*($D$45/180)</f>
        <v>18198.125</v>
      </c>
      <c r="K45" s="307" t="n">
        <f aca="false">+K40*($D$45/365)</f>
        <v>17948.8356164384</v>
      </c>
      <c r="L45" s="307" t="n">
        <f aca="false">+L40*($D$45/365)</f>
        <v>17948.8356164384</v>
      </c>
      <c r="M45" s="307" t="n">
        <f aca="false">+M40*($D$45/365)</f>
        <v>17948.8356164384</v>
      </c>
      <c r="N45" s="307" t="n">
        <f aca="false">+N40*($D$45/365)</f>
        <v>17948.8356164384</v>
      </c>
      <c r="O45" s="307" t="n">
        <f aca="false">+O40*($D$45/365)</f>
        <v>17948.8356164384</v>
      </c>
      <c r="P45" s="307" t="n">
        <f aca="false">+P40*($D$45/365)</f>
        <v>17948.8356164384</v>
      </c>
      <c r="Q45" s="307" t="n">
        <f aca="false">+Q40*($D$45/365)</f>
        <v>17948.8356164384</v>
      </c>
      <c r="R45" s="307" t="n">
        <f aca="false">+R40*($D$45/365)</f>
        <v>17948.8356164384</v>
      </c>
      <c r="S45" s="307" t="n">
        <f aca="false">+S40*($D$45/365)</f>
        <v>17948.8356164384</v>
      </c>
      <c r="T45" s="307" t="n">
        <f aca="false">+T40*($D$45/365)</f>
        <v>17948.8356164384</v>
      </c>
    </row>
    <row r="46" customFormat="false" ht="12.75" hidden="false" customHeight="false" outlineLevel="0" collapsed="false">
      <c r="B46" s="0" t="s">
        <v>310</v>
      </c>
      <c r="D46" s="77" t="n">
        <v>15</v>
      </c>
      <c r="F46" s="307" t="n">
        <f aca="false">-F41*($D$46/365)</f>
        <v>3411.61643835616</v>
      </c>
      <c r="G46" s="307" t="n">
        <f aca="false">-G41*($D$46/365)</f>
        <v>3716.38356164384</v>
      </c>
      <c r="H46" s="307" t="n">
        <f aca="false">-H41*($D$46/365)</f>
        <v>4315.06849315069</v>
      </c>
      <c r="I46" s="307" t="n">
        <f aca="false">-I41*($D$46/180)</f>
        <v>3970.5</v>
      </c>
      <c r="J46" s="307" t="n">
        <f aca="false">-J41*($D$46/180)</f>
        <v>3970.5</v>
      </c>
      <c r="K46" s="307" t="n">
        <f aca="false">-K41*($D$46/365)</f>
        <v>3916.1095890411</v>
      </c>
      <c r="L46" s="307" t="n">
        <f aca="false">-L41*($D$46/365)</f>
        <v>3916.1095890411</v>
      </c>
      <c r="M46" s="307" t="n">
        <f aca="false">-M41*($D$46/365)</f>
        <v>3916.1095890411</v>
      </c>
      <c r="N46" s="307" t="n">
        <f aca="false">-N41*($D$46/365)</f>
        <v>3916.1095890411</v>
      </c>
      <c r="O46" s="307" t="n">
        <f aca="false">-O41*($D$46/365)</f>
        <v>3916.1095890411</v>
      </c>
      <c r="P46" s="307" t="n">
        <f aca="false">-P41*($D$46/365)</f>
        <v>3916.1095890411</v>
      </c>
      <c r="Q46" s="307" t="n">
        <f aca="false">-Q41*($D$46/365)</f>
        <v>3916.1095890411</v>
      </c>
      <c r="R46" s="307" t="n">
        <f aca="false">-R41*($D$46/365)</f>
        <v>3916.1095890411</v>
      </c>
      <c r="S46" s="307" t="n">
        <f aca="false">-S41*($D$46/365)</f>
        <v>3916.1095890411</v>
      </c>
      <c r="T46" s="307" t="n">
        <f aca="false">-T41*($D$46/365)</f>
        <v>3916.1095890411</v>
      </c>
    </row>
    <row r="47" customFormat="false" ht="12.75" hidden="false" customHeight="false" outlineLevel="0" collapsed="false">
      <c r="B47" s="0" t="s">
        <v>213</v>
      </c>
      <c r="D47" s="77" t="n">
        <v>20</v>
      </c>
      <c r="F47" s="307" t="n">
        <f aca="false">+F42*($D$47/365)</f>
        <v>189.534246575342</v>
      </c>
      <c r="G47" s="307" t="n">
        <f aca="false">+G42*($D$47/365)</f>
        <v>206.465753424658</v>
      </c>
      <c r="H47" s="307" t="n">
        <f aca="false">+H42*($D$47/365)</f>
        <v>239.72602739726</v>
      </c>
      <c r="I47" s="307" t="n">
        <f aca="false">+I42*($D$47/180)</f>
        <v>220.583333333333</v>
      </c>
      <c r="J47" s="307" t="n">
        <f aca="false">+J42*($D$47/180)</f>
        <v>220.583333333333</v>
      </c>
      <c r="K47" s="307" t="n">
        <f aca="false">+K42*($D$47/365)</f>
        <v>217.561643835616</v>
      </c>
      <c r="L47" s="307" t="n">
        <f aca="false">+L42*($D$47/365)</f>
        <v>217.561643835616</v>
      </c>
      <c r="M47" s="307" t="n">
        <f aca="false">+M42*($D$47/365)</f>
        <v>217.561643835616</v>
      </c>
      <c r="N47" s="307" t="n">
        <f aca="false">+N42*($D$47/365)</f>
        <v>217.561643835616</v>
      </c>
      <c r="O47" s="307" t="n">
        <f aca="false">+O42*($D$47/365)</f>
        <v>217.561643835616</v>
      </c>
      <c r="P47" s="307" t="n">
        <f aca="false">+P42*($D$47/365)</f>
        <v>217.561643835616</v>
      </c>
      <c r="Q47" s="307" t="n">
        <f aca="false">+Q42*($D$47/365)</f>
        <v>217.561643835616</v>
      </c>
      <c r="R47" s="307" t="n">
        <f aca="false">+R42*($D$47/365)</f>
        <v>217.561643835616</v>
      </c>
      <c r="S47" s="307" t="n">
        <f aca="false">+S42*($D$47/365)</f>
        <v>217.561643835616</v>
      </c>
      <c r="T47" s="307" t="n">
        <f aca="false">+T42*($D$47/365)</f>
        <v>217.561643835616</v>
      </c>
    </row>
    <row r="49" customFormat="false" ht="12.75" hidden="false" customHeight="false" outlineLevel="0" collapsed="false">
      <c r="B49" s="0" t="s">
        <v>226</v>
      </c>
      <c r="F49" s="127" t="n">
        <f aca="false">+F45+F46-F47</f>
        <v>18858.6575342466</v>
      </c>
      <c r="G49" s="127" t="n">
        <f aca="false">+G45+G46-G47</f>
        <v>20543.3424657534</v>
      </c>
      <c r="H49" s="127" t="n">
        <f aca="false">+H45+H46-H47</f>
        <v>23852.7397260274</v>
      </c>
      <c r="I49" s="127" t="n">
        <f aca="false">+I45+I46-I47</f>
        <v>21948.0416666667</v>
      </c>
      <c r="J49" s="127" t="n">
        <f aca="false">+J45+J46-J47</f>
        <v>21948.0416666667</v>
      </c>
      <c r="K49" s="127" t="n">
        <f aca="false">+K45+K46-K47</f>
        <v>21647.3835616438</v>
      </c>
      <c r="L49" s="127" t="n">
        <f aca="false">+L45+L46-L47</f>
        <v>21647.3835616438</v>
      </c>
      <c r="M49" s="127" t="n">
        <f aca="false">+M45+M46-M47</f>
        <v>21647.3835616438</v>
      </c>
      <c r="N49" s="127" t="n">
        <f aca="false">+N45+N46-N47</f>
        <v>21647.3835616438</v>
      </c>
      <c r="O49" s="127" t="n">
        <f aca="false">+O45+O46-O47</f>
        <v>21647.3835616438</v>
      </c>
      <c r="P49" s="127" t="n">
        <f aca="false">+P45+P46-P47</f>
        <v>21647.3835616438</v>
      </c>
      <c r="Q49" s="127" t="n">
        <f aca="false">+Q45+Q46-Q47</f>
        <v>21647.3835616438</v>
      </c>
      <c r="R49" s="127" t="n">
        <f aca="false">+R45+R46-R47</f>
        <v>21647.3835616438</v>
      </c>
      <c r="S49" s="127" t="n">
        <f aca="false">+S45+S46-S47</f>
        <v>21647.3835616438</v>
      </c>
      <c r="T49" s="127" t="n">
        <f aca="false">+T45+T46-T47</f>
        <v>21647.3835616438</v>
      </c>
    </row>
    <row r="50" customFormat="false" ht="12.75" hidden="false" customHeight="false" outlineLevel="0" collapsed="false">
      <c r="B50" s="0" t="s">
        <v>227</v>
      </c>
      <c r="G50" s="127" t="n">
        <f aca="false">+F49-G49</f>
        <v>-1684.68493150685</v>
      </c>
      <c r="H50" s="127" t="n">
        <f aca="false">+G49-H49</f>
        <v>-3309.39726027397</v>
      </c>
      <c r="I50" s="127" t="n">
        <f aca="false">+H49-I49</f>
        <v>1904.69805936073</v>
      </c>
      <c r="J50" s="127" t="n">
        <f aca="false">+I49-J49</f>
        <v>0</v>
      </c>
      <c r="K50" s="127" t="n">
        <f aca="false">+J49-K49</f>
        <v>300.658105022831</v>
      </c>
      <c r="L50" s="127" t="n">
        <f aca="false">+K49-L49</f>
        <v>0</v>
      </c>
      <c r="M50" s="127" t="n">
        <f aca="false">+L49-M49</f>
        <v>0</v>
      </c>
      <c r="N50" s="127" t="n">
        <f aca="false">+M49-N49</f>
        <v>0</v>
      </c>
      <c r="O50" s="127" t="n">
        <f aca="false">+N49-O49</f>
        <v>0</v>
      </c>
      <c r="P50" s="127" t="n">
        <f aca="false">+O49-P49</f>
        <v>0</v>
      </c>
      <c r="Q50" s="127" t="n">
        <f aca="false">+P49-Q49</f>
        <v>0</v>
      </c>
      <c r="R50" s="127" t="n">
        <f aca="false">+Q49-R49</f>
        <v>0</v>
      </c>
      <c r="S50" s="127" t="n">
        <f aca="false">+R49-S49</f>
        <v>0</v>
      </c>
      <c r="T50" s="127" t="n">
        <f aca="false">+S49-T49</f>
        <v>0</v>
      </c>
    </row>
  </sheetData>
  <printOptions headings="false" gridLines="false" gridLinesSet="true" horizontalCentered="true" verticalCentered="false"/>
  <pageMargins left="0.25" right="0.25"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P458"/>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4" min="4" style="0" width="11.28"/>
    <col collapsed="false" customWidth="true" hidden="false" outlineLevel="0" max="5" min="5" style="0" width="10.85"/>
    <col collapsed="false" customWidth="true" hidden="false" outlineLevel="0" max="6" min="6" style="0" width="10.56"/>
    <col collapsed="false" customWidth="true" hidden="false" outlineLevel="0" max="7" min="7" style="0" width="11.13"/>
    <col collapsed="false" customWidth="true" hidden="false" outlineLevel="0" max="8" min="8" style="0" width="10.85"/>
    <col collapsed="false" customWidth="true" hidden="false" outlineLevel="0" max="9" min="9" style="0" width="10.13"/>
    <col collapsed="false" customWidth="true" hidden="false" outlineLevel="0" max="10" min="10" style="0" width="10.85"/>
    <col collapsed="false" customWidth="true" hidden="false" outlineLevel="0" max="11" min="11" style="0" width="11.13"/>
    <col collapsed="false" customWidth="true" hidden="false" outlineLevel="0" max="14" min="12" style="0" width="9.7"/>
  </cols>
  <sheetData>
    <row r="1" customFormat="false" ht="21" hidden="false" customHeight="false" outlineLevel="0" collapsed="false">
      <c r="A1" s="1" t="s">
        <v>0</v>
      </c>
      <c r="B1" s="112"/>
      <c r="C1" s="112"/>
      <c r="D1" s="113"/>
      <c r="E1" s="113"/>
      <c r="F1" s="4"/>
      <c r="G1" s="4"/>
      <c r="H1" s="4"/>
      <c r="I1" s="4"/>
      <c r="J1" s="4"/>
      <c r="K1" s="4"/>
      <c r="L1" s="4"/>
      <c r="M1" s="4"/>
      <c r="N1" s="4"/>
      <c r="O1" s="16" t="s">
        <v>341</v>
      </c>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row>
    <row r="2" customFormat="false" ht="26.25" hidden="false" customHeight="false" outlineLevel="0" collapsed="false">
      <c r="A2" s="269"/>
      <c r="B2" s="270"/>
      <c r="C2" s="270"/>
      <c r="D2" s="271"/>
      <c r="E2" s="271"/>
      <c r="F2" s="272"/>
      <c r="O2" s="114" t="s">
        <v>110</v>
      </c>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row>
    <row r="3" customFormat="false" ht="26.25" hidden="false" customHeight="false" outlineLevel="0" collapsed="false">
      <c r="A3" s="269"/>
      <c r="B3" s="270"/>
      <c r="C3" s="270"/>
      <c r="D3" s="271"/>
      <c r="E3" s="271"/>
      <c r="F3" s="272"/>
      <c r="O3" s="114"/>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row>
    <row r="4" customFormat="false" ht="26.25" hidden="false" customHeight="false" outlineLevel="0" collapsed="false">
      <c r="A4" s="269"/>
      <c r="B4" s="270"/>
      <c r="C4" s="270"/>
      <c r="D4" s="271"/>
      <c r="E4" s="271"/>
      <c r="F4" s="272"/>
      <c r="O4" s="114"/>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row>
    <row r="5" customFormat="false" ht="12.75" hidden="false" customHeight="false" outlineLevel="0" collapsed="false">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row>
    <row r="6" customFormat="false" ht="15.75" hidden="false" customHeight="false" outlineLevel="0" collapsed="false">
      <c r="A6" s="139" t="s">
        <v>342</v>
      </c>
      <c r="D6" s="228" t="n">
        <v>37072</v>
      </c>
      <c r="E6" s="228" t="n">
        <v>37257</v>
      </c>
      <c r="F6" s="228" t="n">
        <v>37622</v>
      </c>
      <c r="G6" s="228" t="n">
        <v>37987</v>
      </c>
      <c r="H6" s="228" t="n">
        <v>38353</v>
      </c>
      <c r="I6" s="228" t="n">
        <v>38718</v>
      </c>
      <c r="J6" s="228" t="n">
        <v>39083</v>
      </c>
      <c r="K6" s="228" t="n">
        <v>39448</v>
      </c>
      <c r="L6" s="228" t="n">
        <v>39814</v>
      </c>
      <c r="M6" s="228" t="n">
        <v>40179</v>
      </c>
      <c r="N6" s="228" t="n">
        <v>40544</v>
      </c>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row>
    <row r="7" customFormat="false" ht="12.75" hidden="false" customHeight="false" outlineLevel="0" collapsed="false">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row>
    <row r="8" customFormat="false" ht="12.75" hidden="false" customHeight="false" outlineLevel="0" collapsed="false">
      <c r="A8" s="53" t="s">
        <v>313</v>
      </c>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row>
    <row r="9" customFormat="false" ht="12.75" hidden="false" customHeight="false" outlineLevel="0" collapsed="false">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row>
    <row r="10" customFormat="false" ht="12.75" hidden="false" customHeight="false" outlineLevel="0" collapsed="false">
      <c r="A10" s="0" t="s">
        <v>314</v>
      </c>
      <c r="D10" s="296" t="n">
        <f aca="false">Dep!A64</f>
        <v>23779.9651315411</v>
      </c>
      <c r="E10" s="296" t="n">
        <f aca="false">D13</f>
        <v>23383.6323793488</v>
      </c>
      <c r="F10" s="296" t="n">
        <f aca="false">E13</f>
        <v>22590.9668749641</v>
      </c>
      <c r="G10" s="296" t="n">
        <f aca="false">F13</f>
        <v>21798.3013705794</v>
      </c>
      <c r="H10" s="296" t="n">
        <f aca="false">G13</f>
        <v>21005.6358661947</v>
      </c>
      <c r="I10" s="296" t="n">
        <f aca="false">H13</f>
        <v>20212.97036181</v>
      </c>
      <c r="J10" s="296" t="n">
        <f aca="false">I13</f>
        <v>19420.3048574253</v>
      </c>
      <c r="K10" s="296" t="n">
        <f aca="false">J13</f>
        <v>18627.6393530406</v>
      </c>
      <c r="L10" s="296" t="n">
        <f aca="false">K13</f>
        <v>17834.9738486559</v>
      </c>
      <c r="M10" s="296" t="n">
        <f aca="false">L13</f>
        <v>17042.3083442711</v>
      </c>
      <c r="N10" s="296" t="n">
        <f aca="false">M13</f>
        <v>16249.6428398864</v>
      </c>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row>
    <row r="11" customFormat="false" ht="12.75" hidden="false" customHeight="false" outlineLevel="0" collapsed="false">
      <c r="A11" s="0" t="s">
        <v>315</v>
      </c>
      <c r="D11" s="67" t="n">
        <v>0</v>
      </c>
      <c r="E11" s="67" t="n">
        <v>0</v>
      </c>
      <c r="F11" s="67" t="n">
        <v>0</v>
      </c>
      <c r="G11" s="67" t="n">
        <v>0</v>
      </c>
      <c r="H11" s="67" t="n">
        <v>0</v>
      </c>
      <c r="I11" s="67" t="n">
        <v>0</v>
      </c>
      <c r="J11" s="67" t="n">
        <v>0</v>
      </c>
      <c r="K11" s="67" t="n">
        <v>0</v>
      </c>
      <c r="L11" s="67" t="n">
        <v>0</v>
      </c>
      <c r="M11" s="67" t="n">
        <v>0</v>
      </c>
      <c r="N11" s="67" t="n">
        <v>0</v>
      </c>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row>
    <row r="12" customFormat="false" ht="12.75" hidden="false" customHeight="false" outlineLevel="0" collapsed="false">
      <c r="A12" s="0" t="s">
        <v>295</v>
      </c>
      <c r="D12" s="297" t="n">
        <f aca="false">-'Rail Ops'!J25</f>
        <v>-396.332752192352</v>
      </c>
      <c r="E12" s="297" t="n">
        <f aca="false">-'Rail Ops'!K25</f>
        <v>-792.665504384704</v>
      </c>
      <c r="F12" s="297" t="n">
        <f aca="false">-'Rail Ops'!L25</f>
        <v>-792.665504384704</v>
      </c>
      <c r="G12" s="297" t="n">
        <f aca="false">-'Rail Ops'!M25</f>
        <v>-792.665504384704</v>
      </c>
      <c r="H12" s="297" t="n">
        <f aca="false">-'Rail Ops'!N25</f>
        <v>-792.665504384704</v>
      </c>
      <c r="I12" s="297" t="n">
        <f aca="false">-'Rail Ops'!O25</f>
        <v>-792.665504384704</v>
      </c>
      <c r="J12" s="297" t="n">
        <f aca="false">-'Rail Ops'!P25</f>
        <v>-792.665504384704</v>
      </c>
      <c r="K12" s="297" t="n">
        <f aca="false">-'Rail Ops'!Q25</f>
        <v>-792.665504384704</v>
      </c>
      <c r="L12" s="297" t="n">
        <f aca="false">-'Rail Ops'!R25</f>
        <v>-792.665504384704</v>
      </c>
      <c r="M12" s="297" t="n">
        <f aca="false">-'Rail Ops'!S25</f>
        <v>-792.665504384704</v>
      </c>
      <c r="N12" s="297" t="n">
        <f aca="false">-'Rail Ops'!T25</f>
        <v>-792.665504384704</v>
      </c>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row>
    <row r="13" customFormat="false" ht="12.75" hidden="false" customHeight="false" outlineLevel="0" collapsed="false">
      <c r="A13" s="0" t="s">
        <v>316</v>
      </c>
      <c r="D13" s="296" t="n">
        <f aca="false">SUM(D10:D12)</f>
        <v>23383.6323793488</v>
      </c>
      <c r="E13" s="296" t="n">
        <f aca="false">SUM(E10:E12)</f>
        <v>22590.9668749641</v>
      </c>
      <c r="F13" s="296" t="n">
        <f aca="false">SUM(F10:F12)</f>
        <v>21798.3013705794</v>
      </c>
      <c r="G13" s="296" t="n">
        <f aca="false">SUM(G10:G12)</f>
        <v>21005.6358661947</v>
      </c>
      <c r="H13" s="296" t="n">
        <f aca="false">SUM(H10:H12)</f>
        <v>20212.97036181</v>
      </c>
      <c r="I13" s="296" t="n">
        <f aca="false">SUM(I10:I12)</f>
        <v>19420.3048574253</v>
      </c>
      <c r="J13" s="296" t="n">
        <f aca="false">SUM(J10:J12)</f>
        <v>18627.6393530406</v>
      </c>
      <c r="K13" s="296" t="n">
        <f aca="false">SUM(K10:K12)</f>
        <v>17834.9738486559</v>
      </c>
      <c r="L13" s="296" t="n">
        <f aca="false">SUM(L10:L12)</f>
        <v>17042.3083442711</v>
      </c>
      <c r="M13" s="296" t="n">
        <f aca="false">SUM(M10:M12)</f>
        <v>16249.6428398864</v>
      </c>
      <c r="N13" s="296" t="n">
        <f aca="false">SUM(N10:N12)</f>
        <v>15456.9773355017</v>
      </c>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row>
    <row r="14" customFormat="false" ht="12.75" hidden="false" customHeight="false" outlineLevel="0" collapsed="false">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row>
    <row r="15" customFormat="false" ht="12.75" hidden="false" customHeight="false" outlineLevel="0" collapsed="false">
      <c r="A15" s="53" t="s">
        <v>317</v>
      </c>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row>
    <row r="16" customFormat="false" ht="12.75" hidden="false" customHeight="false" outlineLevel="0" collapsed="false">
      <c r="D16" s="67"/>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row>
    <row r="17" customFormat="false" ht="12.75" hidden="false" customHeight="false" outlineLevel="0" collapsed="false">
      <c r="A17" s="0" t="s">
        <v>314</v>
      </c>
      <c r="D17" s="296" t="n">
        <f aca="false">D10</f>
        <v>23779.9651315411</v>
      </c>
      <c r="E17" s="296" t="n">
        <f aca="false">D20</f>
        <v>22080.8866228925</v>
      </c>
      <c r="F17" s="296" t="n">
        <f aca="false">E20</f>
        <v>16257.1731621781</v>
      </c>
      <c r="G17" s="296" t="n">
        <f aca="false">F20</f>
        <v>12098.0572606715</v>
      </c>
      <c r="H17" s="296" t="n">
        <f aca="false">G20</f>
        <v>9127.93961574206</v>
      </c>
      <c r="I17" s="296" t="n">
        <f aca="false">H20</f>
        <v>7004.38872949544</v>
      </c>
      <c r="J17" s="296" t="n">
        <f aca="false">I20</f>
        <v>4883.21583976197</v>
      </c>
      <c r="K17" s="296" t="n">
        <f aca="false">J20</f>
        <v>2759.66495351535</v>
      </c>
      <c r="L17" s="296" t="n">
        <f aca="false">K20</f>
        <v>1699.07850864861</v>
      </c>
      <c r="M17" s="296" t="n">
        <f aca="false">L20</f>
        <v>0</v>
      </c>
      <c r="N17" s="296" t="n">
        <f aca="false">M20</f>
        <v>0</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row>
    <row r="18" customFormat="false" ht="12.75" hidden="false" customHeight="false" outlineLevel="0" collapsed="false">
      <c r="A18" s="0" t="s">
        <v>315</v>
      </c>
      <c r="D18" s="67" t="n">
        <f aca="false">D11</f>
        <v>0</v>
      </c>
      <c r="E18" s="67" t="n">
        <f aca="false">E11</f>
        <v>0</v>
      </c>
      <c r="F18" s="67" t="n">
        <f aca="false">F11</f>
        <v>0</v>
      </c>
      <c r="G18" s="67" t="n">
        <f aca="false">G11</f>
        <v>0</v>
      </c>
      <c r="H18" s="67" t="n">
        <f aca="false">H11</f>
        <v>0</v>
      </c>
      <c r="I18" s="67" t="n">
        <f aca="false">I11</f>
        <v>0</v>
      </c>
      <c r="J18" s="67" t="n">
        <f aca="false">J11</f>
        <v>0</v>
      </c>
      <c r="K18" s="67" t="n">
        <f aca="false">K11</f>
        <v>0</v>
      </c>
      <c r="L18" s="67" t="n">
        <f aca="false">L11</f>
        <v>0</v>
      </c>
      <c r="M18" s="67" t="n">
        <f aca="false">M11</f>
        <v>0</v>
      </c>
      <c r="N18" s="67" t="n">
        <f aca="false">N11</f>
        <v>0</v>
      </c>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row>
    <row r="19" customFormat="false" ht="12.75" hidden="false" customHeight="false" outlineLevel="0" collapsed="false">
      <c r="A19" s="0" t="s">
        <v>295</v>
      </c>
      <c r="D19" s="297" t="n">
        <f aca="false">-Dep!F85/2</f>
        <v>-1699.07850864861</v>
      </c>
      <c r="E19" s="297" t="n">
        <f aca="false">-Dep!G85</f>
        <v>-5823.71346071442</v>
      </c>
      <c r="F19" s="297" t="n">
        <f aca="false">-Dep!H85</f>
        <v>-4159.11590150654</v>
      </c>
      <c r="G19" s="297" t="n">
        <f aca="false">-Dep!I85</f>
        <v>-2970.11764492949</v>
      </c>
      <c r="H19" s="297" t="n">
        <f aca="false">-Dep!J85</f>
        <v>-2123.55088624662</v>
      </c>
      <c r="I19" s="297" t="n">
        <f aca="false">-Dep!K85</f>
        <v>-2121.17288973347</v>
      </c>
      <c r="J19" s="297" t="n">
        <f aca="false">-Dep!L85</f>
        <v>-2123.55088624662</v>
      </c>
      <c r="K19" s="297" t="n">
        <f aca="false">-Dep!M85</f>
        <v>-1060.58644486673</v>
      </c>
      <c r="L19" s="297" t="n">
        <f aca="false">-Dep!N85+D19</f>
        <v>-1699.07850864861</v>
      </c>
      <c r="M19" s="297" t="n">
        <f aca="false">-Dep!O85</f>
        <v>-0</v>
      </c>
      <c r="N19" s="297" t="n">
        <f aca="false">-Dep!P85</f>
        <v>-0</v>
      </c>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row>
    <row r="20" customFormat="false" ht="12.75" hidden="false" customHeight="false" outlineLevel="0" collapsed="false">
      <c r="A20" s="0" t="s">
        <v>316</v>
      </c>
      <c r="D20" s="296" t="n">
        <f aca="false">SUM(D17:D19)</f>
        <v>22080.8866228925</v>
      </c>
      <c r="E20" s="296" t="n">
        <f aca="false">SUM(E17:E19)</f>
        <v>16257.1731621781</v>
      </c>
      <c r="F20" s="296" t="n">
        <f aca="false">SUM(F17:F19)</f>
        <v>12098.0572606715</v>
      </c>
      <c r="G20" s="296" t="n">
        <f aca="false">SUM(G17:G19)</f>
        <v>9127.93961574206</v>
      </c>
      <c r="H20" s="296" t="n">
        <f aca="false">SUM(H17:H19)</f>
        <v>7004.38872949544</v>
      </c>
      <c r="I20" s="296" t="n">
        <f aca="false">SUM(I17:I19)</f>
        <v>4883.21583976197</v>
      </c>
      <c r="J20" s="296" t="n">
        <f aca="false">SUM(J17:J19)</f>
        <v>2759.66495351535</v>
      </c>
      <c r="K20" s="296" t="n">
        <f aca="false">SUM(K17:K19)</f>
        <v>1699.07850864861</v>
      </c>
      <c r="L20" s="296" t="n">
        <f aca="false">SUM(L17:L19)</f>
        <v>0</v>
      </c>
      <c r="M20" s="296" t="n">
        <f aca="false">SUM(M17:M19)</f>
        <v>0</v>
      </c>
      <c r="N20" s="296" t="n">
        <f aca="false">SUM(N17:N19)</f>
        <v>0</v>
      </c>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row>
    <row r="21" customFormat="false" ht="12.75" hidden="false" customHeight="false" outlineLevel="0" collapsed="false">
      <c r="D21" s="296"/>
      <c r="E21" s="296"/>
      <c r="F21" s="296"/>
      <c r="G21" s="296"/>
      <c r="H21" s="296"/>
      <c r="I21" s="296"/>
      <c r="J21" s="296"/>
      <c r="K21" s="296"/>
      <c r="L21" s="296"/>
      <c r="M21" s="296"/>
      <c r="N21" s="296"/>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row>
    <row r="22" customFormat="false" ht="12.75" hidden="false" customHeight="false" outlineLevel="0" collapsed="false">
      <c r="A22" s="0" t="s">
        <v>317</v>
      </c>
      <c r="D22" s="67" t="n">
        <f aca="false">D19</f>
        <v>-1699.07850864861</v>
      </c>
      <c r="E22" s="67" t="n">
        <f aca="false">E19</f>
        <v>-5823.71346071442</v>
      </c>
      <c r="F22" s="67" t="n">
        <f aca="false">F19</f>
        <v>-4159.11590150654</v>
      </c>
      <c r="G22" s="67" t="n">
        <f aca="false">G19</f>
        <v>-2970.11764492949</v>
      </c>
      <c r="H22" s="67" t="n">
        <f aca="false">H19</f>
        <v>-2123.55088624662</v>
      </c>
      <c r="I22" s="67" t="n">
        <f aca="false">I19</f>
        <v>-2121.17288973347</v>
      </c>
      <c r="J22" s="67" t="n">
        <f aca="false">J19</f>
        <v>-2123.55088624662</v>
      </c>
      <c r="K22" s="67" t="n">
        <f aca="false">K19</f>
        <v>-1060.58644486673</v>
      </c>
      <c r="L22" s="67" t="n">
        <f aca="false">L19</f>
        <v>-1699.07850864861</v>
      </c>
      <c r="M22" s="67" t="n">
        <f aca="false">M19</f>
        <v>-0</v>
      </c>
      <c r="N22" s="67" t="n">
        <f aca="false">N19</f>
        <v>-0</v>
      </c>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row>
    <row r="23" customFormat="false" ht="12.75" hidden="false" customHeight="false" outlineLevel="0" collapsed="false">
      <c r="A23" s="0" t="s">
        <v>313</v>
      </c>
      <c r="D23" s="67" t="n">
        <f aca="false">D12</f>
        <v>-396.332752192352</v>
      </c>
      <c r="E23" s="67" t="n">
        <f aca="false">E12</f>
        <v>-792.665504384704</v>
      </c>
      <c r="F23" s="67" t="n">
        <f aca="false">F12</f>
        <v>-792.665504384704</v>
      </c>
      <c r="G23" s="67" t="n">
        <f aca="false">G12</f>
        <v>-792.665504384704</v>
      </c>
      <c r="H23" s="67" t="n">
        <f aca="false">H12</f>
        <v>-792.665504384704</v>
      </c>
      <c r="I23" s="67" t="n">
        <f aca="false">I12</f>
        <v>-792.665504384704</v>
      </c>
      <c r="J23" s="67" t="n">
        <f aca="false">J12</f>
        <v>-792.665504384704</v>
      </c>
      <c r="K23" s="67" t="n">
        <f aca="false">K12</f>
        <v>-792.665504384704</v>
      </c>
      <c r="L23" s="67" t="n">
        <f aca="false">L12</f>
        <v>-792.665504384704</v>
      </c>
      <c r="M23" s="67" t="n">
        <f aca="false">M12</f>
        <v>-792.665504384704</v>
      </c>
      <c r="N23" s="67" t="n">
        <f aca="false">N12</f>
        <v>-792.665504384704</v>
      </c>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row>
    <row r="24" customFormat="false" ht="12.75" hidden="false" customHeight="false" outlineLevel="0" collapsed="false">
      <c r="A24" s="0" t="s">
        <v>318</v>
      </c>
      <c r="D24" s="298" t="n">
        <f aca="false">D23-D22</f>
        <v>1302.74575645626</v>
      </c>
      <c r="E24" s="298" t="n">
        <f aca="false">E23-E22</f>
        <v>5031.04795632972</v>
      </c>
      <c r="F24" s="298" t="n">
        <f aca="false">F23-F22</f>
        <v>3366.45039712184</v>
      </c>
      <c r="G24" s="298" t="n">
        <f aca="false">G23-G22</f>
        <v>2177.45214054478</v>
      </c>
      <c r="H24" s="298" t="n">
        <f aca="false">H23-H22</f>
        <v>1330.88538186192</v>
      </c>
      <c r="I24" s="298" t="n">
        <f aca="false">I23-I22</f>
        <v>1328.50738534876</v>
      </c>
      <c r="J24" s="298" t="n">
        <f aca="false">J23-J22</f>
        <v>1330.88538186192</v>
      </c>
      <c r="K24" s="298" t="n">
        <f aca="false">K23-K22</f>
        <v>267.92094048203</v>
      </c>
      <c r="L24" s="298" t="n">
        <f aca="false">L23-L22</f>
        <v>906.413004263909</v>
      </c>
      <c r="M24" s="298" t="n">
        <f aca="false">M23-M22</f>
        <v>-792.665504384704</v>
      </c>
      <c r="N24" s="298" t="n">
        <f aca="false">N23-N22</f>
        <v>-792.665504384704</v>
      </c>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row>
    <row r="25" customFormat="false" ht="12.75" hidden="false" customHeight="false" outlineLevel="0" collapsed="false">
      <c r="A25" s="0" t="s">
        <v>297</v>
      </c>
      <c r="D25" s="296" t="n">
        <f aca="false">D24*Assumptions!$B$8</f>
        <v>455.961014759691</v>
      </c>
      <c r="E25" s="296" t="n">
        <f aca="false">E24*Assumptions!$B$8</f>
        <v>1760.8667847154</v>
      </c>
      <c r="F25" s="296" t="n">
        <f aca="false">F24*Assumptions!$B$8</f>
        <v>1178.25763899264</v>
      </c>
      <c r="G25" s="296" t="n">
        <f aca="false">G24*Assumptions!$B$8</f>
        <v>762.108249190673</v>
      </c>
      <c r="H25" s="296" t="n">
        <f aca="false">H24*Assumptions!$B$8</f>
        <v>465.809883651671</v>
      </c>
      <c r="I25" s="296" t="n">
        <f aca="false">I24*Assumptions!$B$8</f>
        <v>464.977584872067</v>
      </c>
      <c r="J25" s="296" t="n">
        <f aca="false">J24*Assumptions!$B$8</f>
        <v>465.809883651671</v>
      </c>
      <c r="K25" s="296" t="n">
        <f aca="false">K24*Assumptions!$B$8</f>
        <v>93.7723291687105</v>
      </c>
      <c r="L25" s="296" t="n">
        <f aca="false">L24*Assumptions!$B$8</f>
        <v>317.244551492368</v>
      </c>
      <c r="M25" s="296" t="n">
        <f aca="false">M24*Assumptions!$B$8</f>
        <v>-277.432926534646</v>
      </c>
      <c r="N25" s="296" t="n">
        <f aca="false">N24*Assumptions!$B$8</f>
        <v>-277.432926534646</v>
      </c>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row>
    <row r="26" customFormat="false" ht="12.75" hidden="false" customHeight="false" outlineLevel="0" collapsed="false">
      <c r="E26" s="67"/>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row>
    <row r="27" customFormat="false" ht="12.75" hidden="false" customHeight="false" outlineLevel="0" collapsed="false">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row>
    <row r="28" customFormat="false" ht="12.75" hidden="false" customHeight="false" outlineLevel="0" collapsed="false">
      <c r="E28" s="67"/>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row>
    <row r="29" customFormat="false" ht="12.75" hidden="false" customHeight="false" outlineLevel="0" collapsed="false">
      <c r="E29" s="67"/>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row>
    <row r="30" customFormat="false" ht="12.75" hidden="false" customHeight="false" outlineLevel="0" collapsed="false">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row>
    <row r="31" customFormat="false" ht="12.75" hidden="false" customHeight="false" outlineLevel="0" collapsed="false">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row>
    <row r="32" customFormat="false" ht="12.75" hidden="false" customHeight="false" outlineLevel="0" collapsed="false">
      <c r="E32" s="67"/>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row>
    <row r="33" customFormat="false" ht="12.75" hidden="false" customHeight="false" outlineLevel="0" collapsed="false">
      <c r="E33" s="67"/>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row>
    <row r="34" customFormat="false" ht="12.75" hidden="false" customHeight="false" outlineLevel="0" collapsed="false">
      <c r="E34" s="67"/>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row>
    <row r="35" customFormat="false" ht="12.75" hidden="false" customHeight="false" outlineLevel="0" collapsed="false">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row>
    <row r="36" customFormat="false" ht="12.75" hidden="false" customHeight="false" outlineLevel="0" collapsed="false">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row>
    <row r="37" customFormat="false" ht="12.75" hidden="false" customHeight="false" outlineLevel="0" collapsed="false">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row>
    <row r="38" customFormat="false" ht="12.75" hidden="false" customHeight="false" outlineLevel="0" collapsed="false">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row>
    <row r="39" customFormat="false" ht="12.75" hidden="false" customHeight="false" outlineLevel="0" collapsed="false">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row>
    <row r="40" customFormat="false" ht="12.75" hidden="false" customHeight="false" outlineLevel="0" collapsed="false">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row>
    <row r="41" customFormat="false" ht="12.75" hidden="false" customHeight="false" outlineLevel="0" collapsed="false">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row>
    <row r="42" customFormat="false" ht="12.75" hidden="false" customHeight="false" outlineLevel="0" collapsed="false">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row>
    <row r="43" customFormat="false" ht="12.75" hidden="false" customHeight="false" outlineLevel="0" collapsed="false">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row>
    <row r="44" customFormat="false" ht="12.75" hidden="false" customHeight="false" outlineLevel="0" collapsed="false">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row>
    <row r="45" customFormat="false" ht="12.75" hidden="false" customHeight="false" outlineLevel="0" collapsed="false">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row>
    <row r="46" customFormat="false" ht="12.75" hidden="false" customHeight="false" outlineLevel="0" collapsed="false">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row>
    <row r="47" customFormat="false" ht="12.75" hidden="false" customHeight="false" outlineLevel="0" collapsed="false">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row>
    <row r="48" customFormat="false" ht="12.75" hidden="false" customHeight="false" outlineLevel="0" collapsed="false">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row>
    <row r="49" customFormat="false" ht="12.75" hidden="false" customHeight="false" outlineLevel="0" collapsed="false">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row>
    <row r="50" customFormat="false" ht="12.75" hidden="false" customHeight="false" outlineLevel="0" collapsed="false">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row>
    <row r="51" customFormat="false" ht="12.75" hidden="false" customHeight="false" outlineLevel="0" collapsed="false">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row>
    <row r="52" customFormat="false" ht="12.75" hidden="false" customHeight="false" outlineLevel="0" collapsed="false">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row>
    <row r="53" customFormat="false" ht="12.75" hidden="false" customHeight="false" outlineLevel="0" collapsed="false">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row>
    <row r="54" customFormat="false" ht="12.75" hidden="false" customHeight="false" outlineLevel="0" collapsed="false">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row>
    <row r="55" customFormat="false" ht="12.75" hidden="false" customHeight="false" outlineLevel="0" collapsed="false">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row>
    <row r="56" customFormat="false" ht="12.75" hidden="false" customHeight="false" outlineLevel="0" collapsed="false">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row>
    <row r="57" customFormat="false" ht="12.75" hidden="false" customHeight="false" outlineLevel="0" collapsed="false">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row>
    <row r="58" customFormat="false" ht="12.75" hidden="false" customHeight="false" outlineLevel="0" collapsed="false">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row>
    <row r="59" customFormat="false" ht="12.75" hidden="false" customHeight="false" outlineLevel="0" collapsed="false">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row>
    <row r="60" customFormat="false" ht="12.75" hidden="false" customHeight="false" outlineLevel="0" collapsed="false">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row>
    <row r="61" customFormat="false" ht="12.75" hidden="false" customHeight="false" outlineLevel="0" collapsed="false">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row>
    <row r="62" customFormat="false" ht="12.75" hidden="false" customHeight="false" outlineLevel="0" collapsed="false">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row>
    <row r="63" customFormat="false" ht="12.75" hidden="false" customHeight="false" outlineLevel="0" collapsed="false">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row>
    <row r="64" customFormat="false" ht="12.75" hidden="false" customHeight="false" outlineLevel="0" collapsed="false">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row>
    <row r="65" customFormat="false" ht="12.75" hidden="false" customHeight="false" outlineLevel="0" collapsed="false">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row>
    <row r="66" customFormat="false" ht="12.75" hidden="false" customHeight="false" outlineLevel="0" collapsed="false">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row>
    <row r="67" customFormat="false" ht="12.75" hidden="false" customHeight="false" outlineLevel="0" collapsed="false">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row>
    <row r="68" customFormat="false" ht="12.75" hidden="false" customHeight="false" outlineLevel="0" collapsed="false">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row>
    <row r="69" customFormat="false" ht="12.75" hidden="false" customHeight="false" outlineLevel="0" collapsed="false">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row>
    <row r="70" customFormat="false" ht="12.75" hidden="false" customHeight="false" outlineLevel="0" collapsed="false">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row>
    <row r="71" customFormat="false" ht="12.75" hidden="false" customHeight="false" outlineLevel="0" collapsed="false">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row>
    <row r="72" customFormat="false" ht="12.75" hidden="false" customHeight="false" outlineLevel="0" collapsed="false">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row>
    <row r="73" customFormat="false" ht="12.75" hidden="false" customHeight="false" outlineLevel="0" collapsed="false">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row>
    <row r="74" customFormat="false" ht="12.75" hidden="false" customHeight="false" outlineLevel="0" collapsed="false">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row>
    <row r="75" customFormat="false" ht="12.75" hidden="false" customHeight="false" outlineLevel="0" collapsed="false">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row>
    <row r="76" customFormat="false" ht="12.75" hidden="false" customHeight="false" outlineLevel="0" collapsed="false">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row>
    <row r="77" customFormat="false" ht="12.75" hidden="false" customHeight="false" outlineLevel="0" collapsed="false">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row>
    <row r="78" customFormat="false" ht="12.75" hidden="false" customHeight="false" outlineLevel="0" collapsed="false">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row>
    <row r="79" customFormat="false" ht="12.75" hidden="false" customHeight="false" outlineLevel="0" collapsed="false">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row>
    <row r="80" customFormat="false" ht="12.75" hidden="false" customHeight="false" outlineLevel="0" collapsed="false">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row>
    <row r="81" customFormat="false" ht="12.75" hidden="false" customHeight="false" outlineLevel="0" collapsed="false">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row>
    <row r="82" customFormat="false" ht="12.75" hidden="false" customHeight="false" outlineLevel="0" collapsed="false">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row>
    <row r="83" customFormat="false" ht="12.75" hidden="false" customHeight="false" outlineLevel="0" collapsed="false">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row>
    <row r="84" customFormat="false" ht="12.75" hidden="false" customHeight="false" outlineLevel="0" collapsed="false">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row>
    <row r="85" customFormat="false" ht="12.75" hidden="false" customHeight="false" outlineLevel="0" collapsed="false">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row>
    <row r="86" customFormat="false" ht="12.75" hidden="false" customHeight="false" outlineLevel="0" collapsed="false">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row>
    <row r="87" customFormat="false" ht="12.75" hidden="false" customHeight="false" outlineLevel="0" collapsed="false">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row>
    <row r="88" customFormat="false" ht="12.75" hidden="false" customHeight="false" outlineLevel="0" collapsed="false">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row>
    <row r="89" customFormat="false" ht="12.75" hidden="false" customHeight="false" outlineLevel="0" collapsed="false">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row>
    <row r="90" customFormat="false" ht="12.75" hidden="false" customHeight="false" outlineLevel="0" collapsed="false">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row>
    <row r="91" customFormat="false" ht="12.75" hidden="false" customHeight="false" outlineLevel="0" collapsed="false">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row>
    <row r="92" customFormat="false" ht="12.75" hidden="false" customHeight="false" outlineLevel="0" collapsed="false">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row>
    <row r="93" customFormat="false" ht="12.75" hidden="false" customHeight="false" outlineLevel="0" collapsed="false">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row>
    <row r="94" customFormat="false" ht="12.75" hidden="false" customHeight="false" outlineLevel="0" collapsed="false">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row>
    <row r="95" customFormat="false" ht="12.75" hidden="false" customHeight="false" outlineLevel="0" collapsed="false">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row>
    <row r="96" customFormat="false" ht="12.75" hidden="false" customHeight="false" outlineLevel="0" collapsed="false">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row>
    <row r="97" customFormat="false" ht="12.75" hidden="false" customHeight="false" outlineLevel="0" collapsed="false">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row>
    <row r="98" customFormat="false" ht="12.75" hidden="false" customHeight="false" outlineLevel="0" collapsed="false">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row>
    <row r="99" customFormat="false" ht="12.75" hidden="false" customHeight="false" outlineLevel="0" collapsed="false">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row>
    <row r="100" customFormat="false" ht="12.75" hidden="false" customHeight="false" outlineLevel="0" collapsed="false">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row>
    <row r="101" customFormat="false" ht="12.75" hidden="false" customHeight="false" outlineLevel="0" collapsed="false">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row>
    <row r="102" customFormat="false" ht="12.75" hidden="false" customHeight="false" outlineLevel="0" collapsed="false">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row>
    <row r="103" customFormat="false" ht="12.75" hidden="false" customHeight="false" outlineLevel="0" collapsed="false">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row>
    <row r="104" customFormat="false" ht="12.75" hidden="false" customHeight="false" outlineLevel="0" collapsed="false">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row>
    <row r="105" customFormat="false" ht="12.75" hidden="false" customHeight="false" outlineLevel="0" collapsed="false">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row>
    <row r="106" customFormat="false" ht="12.75" hidden="false" customHeight="false" outlineLevel="0" collapsed="false">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row>
    <row r="107" customFormat="false" ht="12.75" hidden="false" customHeight="false" outlineLevel="0" collapsed="false">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row>
    <row r="108" customFormat="false" ht="12.75" hidden="false" customHeight="false" outlineLevel="0" collapsed="false">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row>
    <row r="109" customFormat="false" ht="12.75" hidden="false" customHeight="false" outlineLevel="0" collapsed="false">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row>
    <row r="110" customFormat="false" ht="12.75" hidden="false" customHeight="false" outlineLevel="0" collapsed="false">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row>
    <row r="111" customFormat="false" ht="12.75" hidden="false" customHeight="false" outlineLevel="0" collapsed="false">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row>
    <row r="112" customFormat="false" ht="12.75" hidden="false" customHeight="false" outlineLevel="0" collapsed="false">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row>
    <row r="113" customFormat="false" ht="12.75" hidden="false" customHeight="false" outlineLevel="0" collapsed="false">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row>
    <row r="114" customFormat="false" ht="12.75" hidden="false" customHeight="false" outlineLevel="0" collapsed="false">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row>
    <row r="115" customFormat="false" ht="12.75" hidden="false" customHeight="false" outlineLevel="0" collapsed="false">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row>
    <row r="116" customFormat="false" ht="12.75" hidden="false" customHeight="false" outlineLevel="0" collapsed="false">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row>
    <row r="117" customFormat="false" ht="12.75" hidden="false" customHeight="false" outlineLevel="0" collapsed="false">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row>
    <row r="118" customFormat="false" ht="12.75" hidden="false" customHeight="false" outlineLevel="0" collapsed="false">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row>
    <row r="119" customFormat="false" ht="12.75" hidden="false" customHeight="false" outlineLevel="0" collapsed="false">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row>
    <row r="120" customFormat="false" ht="12.75" hidden="false" customHeight="false" outlineLevel="0" collapsed="false">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row>
    <row r="121" customFormat="false" ht="12.75" hidden="false" customHeight="false" outlineLevel="0" collapsed="false">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row>
    <row r="122" customFormat="false" ht="12.75" hidden="false" customHeight="false" outlineLevel="0" collapsed="false">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row>
    <row r="123" customFormat="false" ht="12.75" hidden="false" customHeight="false" outlineLevel="0" collapsed="false">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row>
    <row r="124" customFormat="false" ht="12.75" hidden="false" customHeight="false" outlineLevel="0" collapsed="false">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row>
    <row r="125" customFormat="false" ht="12.75" hidden="false" customHeight="false" outlineLevel="0" collapsed="false">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row>
    <row r="126" customFormat="false" ht="12.75" hidden="false" customHeight="false" outlineLevel="0" collapsed="false">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row>
    <row r="127" customFormat="false" ht="12.75" hidden="false" customHeight="false" outlineLevel="0" collapsed="false">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row>
    <row r="128" customFormat="false" ht="12.75" hidden="false" customHeight="false" outlineLevel="0" collapsed="false">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row>
    <row r="129" customFormat="false" ht="12.75" hidden="false" customHeight="false" outlineLevel="0" collapsed="false">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row>
    <row r="130" customFormat="false" ht="12.75" hidden="false" customHeight="false" outlineLevel="0" collapsed="false">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row>
    <row r="131" customFormat="false" ht="12.75" hidden="false" customHeight="false" outlineLevel="0" collapsed="false">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row>
    <row r="132" customFormat="false" ht="12.75" hidden="false" customHeight="false" outlineLevel="0" collapsed="false">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row>
    <row r="133" customFormat="false" ht="12.75" hidden="false" customHeight="false" outlineLevel="0" collapsed="false">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row>
    <row r="134" customFormat="false" ht="12.75" hidden="false" customHeight="false" outlineLevel="0" collapsed="false">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row>
    <row r="135" customFormat="false" ht="12.75" hidden="false" customHeight="false" outlineLevel="0" collapsed="false">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row>
    <row r="136" customFormat="false" ht="12.75" hidden="false" customHeight="false" outlineLevel="0" collapsed="false">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row>
    <row r="137" customFormat="false" ht="12.75" hidden="false" customHeight="false" outlineLevel="0" collapsed="false">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row>
    <row r="138" customFormat="false" ht="12.75" hidden="false" customHeight="false" outlineLevel="0" collapsed="false">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row>
    <row r="139" customFormat="false" ht="12.75" hidden="false" customHeight="false" outlineLevel="0" collapsed="false">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row>
    <row r="140" customFormat="false" ht="12.75" hidden="false" customHeight="false" outlineLevel="0" collapsed="false">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row>
    <row r="141" customFormat="false" ht="12.75" hidden="false" customHeight="false" outlineLevel="0" collapsed="false">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row>
    <row r="142" customFormat="false" ht="12.75" hidden="false" customHeight="false" outlineLevel="0" collapsed="false">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row>
    <row r="143" customFormat="false" ht="12.75" hidden="false" customHeight="false" outlineLevel="0" collapsed="false">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row>
    <row r="144" customFormat="false" ht="12.75" hidden="false" customHeight="false" outlineLevel="0" collapsed="false">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row>
    <row r="145" customFormat="false" ht="12.75" hidden="false" customHeight="false" outlineLevel="0" collapsed="false">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row>
    <row r="146" customFormat="false" ht="12.75" hidden="false" customHeight="false" outlineLevel="0" collapsed="false">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row>
    <row r="147" customFormat="false" ht="12.75" hidden="false" customHeight="false" outlineLevel="0" collapsed="false">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row>
    <row r="148" customFormat="false" ht="12.75" hidden="false" customHeight="false" outlineLevel="0" collapsed="false">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row>
    <row r="149" customFormat="false" ht="12.75" hidden="false" customHeight="false" outlineLevel="0" collapsed="false">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row>
    <row r="150" customFormat="false" ht="12.75" hidden="false" customHeight="false" outlineLevel="0" collapsed="false">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row>
    <row r="151" customFormat="false" ht="12.75" hidden="false" customHeight="false" outlineLevel="0" collapsed="false">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row>
    <row r="152" customFormat="false" ht="12.75" hidden="false" customHeight="false" outlineLevel="0" collapsed="false">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row>
    <row r="153" customFormat="false" ht="12.75" hidden="false" customHeight="false" outlineLevel="0" collapsed="false">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row>
    <row r="154" customFormat="false" ht="12.75" hidden="false" customHeight="false" outlineLevel="0" collapsed="false">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row>
    <row r="155" customFormat="false" ht="12.75" hidden="false" customHeight="false" outlineLevel="0" collapsed="false">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row>
    <row r="156" customFormat="false" ht="12.75" hidden="false" customHeight="false" outlineLevel="0" collapsed="false">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row>
    <row r="157" customFormat="false" ht="12.75" hidden="false" customHeight="false" outlineLevel="0" collapsed="false">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row>
    <row r="158" customFormat="false" ht="12.75" hidden="false" customHeight="false" outlineLevel="0" collapsed="false">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row>
    <row r="159" customFormat="false" ht="12.75" hidden="false" customHeight="false" outlineLevel="0" collapsed="false">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row>
    <row r="160" customFormat="false" ht="12.75" hidden="false" customHeight="false" outlineLevel="0" collapsed="false">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row>
    <row r="161" customFormat="false" ht="12.75" hidden="false" customHeight="false" outlineLevel="0" collapsed="false">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row>
    <row r="162" customFormat="false" ht="12.75" hidden="false" customHeight="false" outlineLevel="0" collapsed="false">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row>
    <row r="163" customFormat="false" ht="12.75" hidden="false" customHeight="false" outlineLevel="0" collapsed="false">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row>
    <row r="164" customFormat="false" ht="12.75" hidden="false" customHeight="false" outlineLevel="0" collapsed="false">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row>
    <row r="165" customFormat="false" ht="12.75" hidden="false" customHeight="false" outlineLevel="0" collapsed="false">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row>
    <row r="166" customFormat="false" ht="12.75" hidden="false" customHeight="false" outlineLevel="0" collapsed="false">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row>
    <row r="167" customFormat="false" ht="12.75" hidden="false" customHeight="false" outlineLevel="0" collapsed="false">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row>
    <row r="168" customFormat="false" ht="12.75" hidden="false" customHeight="false" outlineLevel="0" collapsed="false">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row>
    <row r="169" customFormat="false" ht="12.75" hidden="false" customHeight="false" outlineLevel="0" collapsed="false">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row>
    <row r="170" customFormat="false" ht="12.75" hidden="false" customHeight="false" outlineLevel="0" collapsed="false">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row>
    <row r="171" customFormat="false" ht="12.75" hidden="false" customHeight="false" outlineLevel="0" collapsed="false">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row>
    <row r="172" customFormat="false" ht="12.75" hidden="false" customHeight="false" outlineLevel="0" collapsed="false">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row>
    <row r="173" customFormat="false" ht="12.75" hidden="false" customHeight="false" outlineLevel="0" collapsed="false">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row>
    <row r="174" customFormat="false" ht="12.75" hidden="false" customHeight="false" outlineLevel="0" collapsed="false">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row>
    <row r="175" customFormat="false" ht="12.75" hidden="false" customHeight="false" outlineLevel="0" collapsed="false">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row>
    <row r="176" customFormat="false" ht="12.75" hidden="false" customHeight="false" outlineLevel="0" collapsed="false">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row>
    <row r="177" customFormat="false" ht="12.75" hidden="false" customHeight="false" outlineLevel="0" collapsed="false">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row>
    <row r="178" customFormat="false" ht="12.75" hidden="false" customHeight="false" outlineLevel="0" collapsed="false">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row>
    <row r="179" customFormat="false" ht="12.75" hidden="false" customHeight="false" outlineLevel="0" collapsed="false">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row>
    <row r="180" customFormat="false" ht="12.75" hidden="false" customHeight="false" outlineLevel="0" collapsed="false">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row>
    <row r="181" customFormat="false" ht="12.75" hidden="false" customHeight="false" outlineLevel="0" collapsed="false">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row>
    <row r="182" customFormat="false" ht="12.75" hidden="false" customHeight="false" outlineLevel="0" collapsed="false">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row>
    <row r="183" customFormat="false" ht="12.75" hidden="false" customHeight="false" outlineLevel="0" collapsed="false">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row>
    <row r="184" customFormat="false" ht="12.75" hidden="false" customHeight="false" outlineLevel="0" collapsed="false">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row>
    <row r="185" customFormat="false" ht="12.75" hidden="false" customHeight="false" outlineLevel="0" collapsed="false">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row>
    <row r="186" customFormat="false" ht="12.75" hidden="false" customHeight="false" outlineLevel="0" collapsed="false">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row>
    <row r="187" customFormat="false" ht="12.75" hidden="false" customHeight="false" outlineLevel="0" collapsed="false">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row>
    <row r="188" customFormat="false" ht="12.75" hidden="false" customHeight="false" outlineLevel="0" collapsed="false">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row>
    <row r="189" customFormat="false" ht="12.75" hidden="false" customHeight="false" outlineLevel="0" collapsed="false">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row>
    <row r="190" customFormat="false" ht="12.75" hidden="false" customHeight="false" outlineLevel="0" collapsed="false">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row>
    <row r="191" customFormat="false" ht="12.75" hidden="false" customHeight="false" outlineLevel="0" collapsed="false">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row>
    <row r="192" customFormat="false" ht="12.75" hidden="false" customHeight="false" outlineLevel="0" collapsed="false">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row>
    <row r="193" customFormat="false" ht="12.75" hidden="false" customHeight="false" outlineLevel="0" collapsed="false">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row>
    <row r="194" customFormat="false" ht="12.75" hidden="false" customHeight="false" outlineLevel="0" collapsed="false">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row>
    <row r="195" customFormat="false" ht="12.75" hidden="false" customHeight="false" outlineLevel="0" collapsed="false">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row>
    <row r="196" customFormat="false" ht="12.75" hidden="false" customHeight="false" outlineLevel="0" collapsed="false">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row>
    <row r="197" customFormat="false" ht="12.75" hidden="false" customHeight="false" outlineLevel="0" collapsed="false">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row>
    <row r="198" customFormat="false" ht="12.75" hidden="false" customHeight="false" outlineLevel="0" collapsed="false">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row>
    <row r="199" customFormat="false" ht="12.75" hidden="false" customHeight="false" outlineLevel="0" collapsed="false">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row>
    <row r="200" customFormat="false" ht="12.75" hidden="false" customHeight="false" outlineLevel="0" collapsed="false">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row>
    <row r="201" customFormat="false" ht="12.75" hidden="false" customHeight="false" outlineLevel="0" collapsed="false">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row>
    <row r="202" customFormat="false" ht="12.75" hidden="false" customHeight="false" outlineLevel="0" collapsed="false">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row>
    <row r="203" customFormat="false" ht="12.75" hidden="false" customHeight="false" outlineLevel="0" collapsed="false">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row>
    <row r="204" customFormat="false" ht="12.75" hidden="false" customHeight="false" outlineLevel="0" collapsed="false">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row>
    <row r="205" customFormat="false" ht="12.75" hidden="false" customHeight="false" outlineLevel="0" collapsed="false">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row>
    <row r="206" customFormat="false" ht="12.75" hidden="false" customHeight="false" outlineLevel="0" collapsed="false">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row>
    <row r="207" customFormat="false" ht="12.75" hidden="false" customHeight="false" outlineLevel="0" collapsed="false">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row>
    <row r="208" customFormat="false" ht="12.75" hidden="false" customHeight="false" outlineLevel="0" collapsed="false">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row>
    <row r="209" customFormat="false" ht="12.75" hidden="false" customHeight="false" outlineLevel="0" collapsed="false">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row>
    <row r="210" customFormat="false" ht="12.75" hidden="false" customHeight="false" outlineLevel="0" collapsed="false">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row>
    <row r="211" customFormat="false" ht="12.75" hidden="false" customHeight="false" outlineLevel="0" collapsed="false">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row>
    <row r="212" customFormat="false" ht="12.75" hidden="false" customHeight="false" outlineLevel="0" collapsed="false">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row>
    <row r="213" customFormat="false" ht="12.75" hidden="false" customHeight="false" outlineLevel="0" collapsed="false">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row>
    <row r="214" customFormat="false" ht="12.75" hidden="false" customHeight="false" outlineLevel="0" collapsed="false">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row>
    <row r="215" customFormat="false" ht="12.75" hidden="false" customHeight="false" outlineLevel="0" collapsed="false">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row>
    <row r="216" customFormat="false" ht="12.75" hidden="false" customHeight="false" outlineLevel="0" collapsed="false">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row>
    <row r="217" customFormat="false" ht="12.75" hidden="false" customHeight="false" outlineLevel="0" collapsed="false">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row>
    <row r="218" customFormat="false" ht="12.75" hidden="false" customHeight="false" outlineLevel="0" collapsed="false">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row>
    <row r="219" customFormat="false" ht="12.75" hidden="false" customHeight="false" outlineLevel="0" collapsed="false">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row>
    <row r="220" customFormat="false" ht="12.75" hidden="false" customHeight="false" outlineLevel="0" collapsed="false">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row>
    <row r="221" customFormat="false" ht="12.75" hidden="false" customHeight="false" outlineLevel="0" collapsed="false">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row>
    <row r="222" customFormat="false" ht="12.75" hidden="false" customHeight="false" outlineLevel="0" collapsed="false">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row>
    <row r="223" customFormat="false" ht="12.75" hidden="false" customHeight="false" outlineLevel="0" collapsed="false">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row>
    <row r="224" customFormat="false" ht="12.75" hidden="false" customHeight="false" outlineLevel="0" collapsed="false">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row>
    <row r="225" customFormat="false" ht="12.75" hidden="false" customHeight="false" outlineLevel="0" collapsed="false">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row>
    <row r="226" customFormat="false" ht="12.75" hidden="false" customHeight="false" outlineLevel="0" collapsed="false">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row>
    <row r="227" customFormat="false" ht="12.75" hidden="false" customHeight="false" outlineLevel="0" collapsed="false">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row>
    <row r="228" customFormat="false" ht="12.75" hidden="false" customHeight="false" outlineLevel="0" collapsed="false">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row>
    <row r="229" customFormat="false" ht="12.75" hidden="false" customHeight="false" outlineLevel="0" collapsed="false">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row>
    <row r="230" customFormat="false" ht="12.75" hidden="false" customHeight="false" outlineLevel="0" collapsed="false">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row>
    <row r="231" customFormat="false" ht="12.75" hidden="false" customHeight="false" outlineLevel="0" collapsed="false">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row>
    <row r="232" customFormat="false" ht="12.75" hidden="false" customHeight="false" outlineLevel="0" collapsed="false">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row>
    <row r="233" customFormat="false" ht="12.75" hidden="false" customHeight="false" outlineLevel="0" collapsed="false">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row>
    <row r="234" customFormat="false" ht="12.75" hidden="false" customHeight="false" outlineLevel="0" collapsed="false">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row>
    <row r="235" customFormat="false" ht="12.75" hidden="false" customHeight="false" outlineLevel="0" collapsed="false">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row>
    <row r="236" customFormat="false" ht="12.75" hidden="false" customHeight="false" outlineLevel="0" collapsed="false">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row>
    <row r="237" customFormat="false" ht="12.75" hidden="false" customHeight="false" outlineLevel="0" collapsed="false">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row>
    <row r="238" customFormat="false" ht="12.75" hidden="false" customHeight="false" outlineLevel="0" collapsed="false">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row>
    <row r="239" customFormat="false" ht="12.75" hidden="false" customHeight="false" outlineLevel="0" collapsed="false">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row>
    <row r="240" customFormat="false" ht="12.75" hidden="false" customHeight="false" outlineLevel="0" collapsed="false">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row>
    <row r="241" customFormat="false" ht="12.75" hidden="false" customHeight="false" outlineLevel="0" collapsed="false">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row>
    <row r="242" customFormat="false" ht="12.75" hidden="false" customHeight="false" outlineLevel="0" collapsed="false">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row>
    <row r="243" customFormat="false" ht="12.75" hidden="false" customHeight="false" outlineLevel="0" collapsed="false">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row>
    <row r="244" customFormat="false" ht="12.75" hidden="false" customHeight="false" outlineLevel="0" collapsed="false">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row>
    <row r="245" customFormat="false" ht="12.75" hidden="false" customHeight="false" outlineLevel="0" collapsed="false">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row>
    <row r="246" customFormat="false" ht="12.75" hidden="false" customHeight="false" outlineLevel="0" collapsed="false">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row>
    <row r="247" customFormat="false" ht="12.75" hidden="false" customHeight="false" outlineLevel="0" collapsed="false">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row>
    <row r="248" customFormat="false" ht="12.75" hidden="false" customHeight="false" outlineLevel="0" collapsed="false">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row>
    <row r="249" customFormat="false" ht="12.75" hidden="false" customHeight="false" outlineLevel="0" collapsed="false">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row>
    <row r="250" customFormat="false" ht="12.75" hidden="false" customHeight="false" outlineLevel="0" collapsed="false">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row>
    <row r="251" customFormat="false" ht="12.75" hidden="false" customHeight="false" outlineLevel="0" collapsed="false">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row>
    <row r="252" customFormat="false" ht="12.75" hidden="false" customHeight="false" outlineLevel="0" collapsed="false">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row>
    <row r="253" customFormat="false" ht="12.75" hidden="false" customHeight="false" outlineLevel="0" collapsed="false">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row>
    <row r="254" customFormat="false" ht="12.75" hidden="false" customHeight="false" outlineLevel="0" collapsed="false">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row>
    <row r="255" customFormat="false" ht="12.75" hidden="false" customHeight="false" outlineLevel="0" collapsed="false">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row>
    <row r="256" customFormat="false" ht="12.75" hidden="false" customHeight="false" outlineLevel="0" collapsed="false">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row>
    <row r="257" customFormat="false" ht="12.75" hidden="false" customHeight="false" outlineLevel="0" collapsed="false">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row>
    <row r="258" customFormat="false" ht="12.75" hidden="false" customHeight="false" outlineLevel="0" collapsed="false">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row>
    <row r="259" customFormat="false" ht="12.75" hidden="false" customHeight="false" outlineLevel="0" collapsed="false">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row>
    <row r="260" customFormat="false" ht="12.75" hidden="false" customHeight="false" outlineLevel="0" collapsed="false">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row>
    <row r="261" customFormat="false" ht="12.75" hidden="false" customHeight="false" outlineLevel="0" collapsed="false">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row>
    <row r="262" customFormat="false" ht="12.75" hidden="false" customHeight="false" outlineLevel="0" collapsed="false">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row>
    <row r="263" customFormat="false" ht="12.75" hidden="false" customHeight="false" outlineLevel="0" collapsed="false">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row>
    <row r="264" customFormat="false" ht="12.75" hidden="false" customHeight="false" outlineLevel="0" collapsed="false">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row>
    <row r="265" customFormat="false" ht="12.75" hidden="false" customHeight="false" outlineLevel="0" collapsed="false">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row>
    <row r="266" customFormat="false" ht="12.75" hidden="false" customHeight="false" outlineLevel="0" collapsed="false">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row>
    <row r="267" customFormat="false" ht="12.75" hidden="false" customHeight="false" outlineLevel="0" collapsed="false">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row>
    <row r="268" customFormat="false" ht="12.75" hidden="false" customHeight="false" outlineLevel="0" collapsed="false">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row>
    <row r="269" customFormat="false" ht="12.75" hidden="false" customHeight="false" outlineLevel="0" collapsed="false">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row>
    <row r="270" customFormat="false" ht="12.75" hidden="false" customHeight="false" outlineLevel="0" collapsed="false">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row>
    <row r="271" customFormat="false" ht="12.75" hidden="false" customHeight="false" outlineLevel="0" collapsed="false">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row>
    <row r="272" customFormat="false" ht="12.75" hidden="false" customHeight="false" outlineLevel="0" collapsed="false">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row>
    <row r="273" customFormat="false" ht="12.75" hidden="false" customHeight="false" outlineLevel="0" collapsed="false">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row>
    <row r="274" customFormat="false" ht="12.75" hidden="false" customHeight="false" outlineLevel="0" collapsed="false">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row>
    <row r="275" customFormat="false" ht="12.75" hidden="false" customHeight="false" outlineLevel="0" collapsed="false">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row>
    <row r="276" customFormat="false" ht="12.75" hidden="false" customHeight="false" outlineLevel="0" collapsed="false">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row>
    <row r="277" customFormat="false" ht="12.75" hidden="false" customHeight="false" outlineLevel="0" collapsed="false">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row>
    <row r="278" customFormat="false" ht="12.75" hidden="false" customHeight="false" outlineLevel="0" collapsed="false">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row>
    <row r="279" customFormat="false" ht="12.75" hidden="false" customHeight="false" outlineLevel="0" collapsed="false">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row>
    <row r="280" customFormat="false" ht="12.75" hidden="false" customHeight="false" outlineLevel="0" collapsed="false">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row>
    <row r="281" customFormat="false" ht="12.75" hidden="false" customHeight="false" outlineLevel="0" collapsed="false">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row>
    <row r="282" customFormat="false" ht="12.75" hidden="false" customHeight="false" outlineLevel="0" collapsed="false">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row>
    <row r="283" customFormat="false" ht="12.75" hidden="false" customHeight="false" outlineLevel="0" collapsed="false">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row>
    <row r="284" customFormat="false" ht="12.75" hidden="false" customHeight="false" outlineLevel="0" collapsed="false">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row>
    <row r="285" customFormat="false" ht="12.75" hidden="false" customHeight="false" outlineLevel="0" collapsed="false">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row>
    <row r="286" customFormat="false" ht="12.75" hidden="false" customHeight="false" outlineLevel="0" collapsed="false">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row>
    <row r="287" customFormat="false" ht="12.75" hidden="false" customHeight="false" outlineLevel="0" collapsed="false">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row>
    <row r="288" customFormat="false" ht="12.75" hidden="false" customHeight="false" outlineLevel="0" collapsed="false">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row>
    <row r="289" customFormat="false" ht="12.75" hidden="false" customHeight="false" outlineLevel="0" collapsed="false">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row>
    <row r="290" customFormat="false" ht="12.75" hidden="false" customHeight="false" outlineLevel="0" collapsed="false">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row>
    <row r="291" customFormat="false" ht="12.75" hidden="false" customHeight="false" outlineLevel="0" collapsed="false">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row>
    <row r="292" customFormat="false" ht="12.75" hidden="false" customHeight="false" outlineLevel="0" collapsed="false">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row>
    <row r="293" customFormat="false" ht="12.75" hidden="false" customHeight="false" outlineLevel="0" collapsed="false">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row>
    <row r="294" customFormat="false" ht="12.75" hidden="false" customHeight="false" outlineLevel="0" collapsed="false">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row>
    <row r="295" customFormat="false" ht="12.75" hidden="false" customHeight="false" outlineLevel="0" collapsed="false">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row>
    <row r="296" customFormat="false" ht="12.75" hidden="false" customHeight="false" outlineLevel="0" collapsed="false">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row>
    <row r="297" customFormat="false" ht="12.75" hidden="false" customHeight="false" outlineLevel="0" collapsed="false">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row>
    <row r="298" customFormat="false" ht="12.75" hidden="false" customHeight="false" outlineLevel="0" collapsed="false">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row>
    <row r="299" customFormat="false" ht="12.75" hidden="false" customHeight="false" outlineLevel="0" collapsed="false">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row>
    <row r="300" customFormat="false" ht="12.75" hidden="false" customHeight="false" outlineLevel="0" collapsed="false">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row>
    <row r="301" customFormat="false" ht="12.75" hidden="false" customHeight="false" outlineLevel="0" collapsed="false">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row>
    <row r="302" customFormat="false" ht="12.75" hidden="false" customHeight="false" outlineLevel="0" collapsed="false">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row>
    <row r="303" customFormat="false" ht="12.75" hidden="false" customHeight="false" outlineLevel="0" collapsed="false">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row>
    <row r="304" customFormat="false" ht="12.75" hidden="false" customHeight="false" outlineLevel="0" collapsed="false">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row>
    <row r="305" customFormat="false" ht="12.75" hidden="false" customHeight="false" outlineLevel="0" collapsed="false">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row>
    <row r="306" customFormat="false" ht="12.75" hidden="false" customHeight="false" outlineLevel="0" collapsed="false">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row>
    <row r="307" customFormat="false" ht="12.75" hidden="false" customHeight="false" outlineLevel="0" collapsed="false">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row>
    <row r="308" customFormat="false" ht="12.75" hidden="false" customHeight="false" outlineLevel="0" collapsed="false">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row>
    <row r="309" customFormat="false" ht="12.75" hidden="false" customHeight="false" outlineLevel="0" collapsed="false">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row>
    <row r="310" customFormat="false" ht="12.75" hidden="false" customHeight="false" outlineLevel="0" collapsed="false">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row>
    <row r="311" customFormat="false" ht="12.75" hidden="false" customHeight="false" outlineLevel="0" collapsed="false">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row>
    <row r="312" customFormat="false" ht="12.75" hidden="false" customHeight="false" outlineLevel="0" collapsed="false">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row>
    <row r="313" customFormat="false" ht="12.75" hidden="false" customHeight="false" outlineLevel="0" collapsed="false">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row>
    <row r="314" customFormat="false" ht="12.75" hidden="false" customHeight="false" outlineLevel="0" collapsed="false">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row>
    <row r="315" customFormat="false" ht="12.75" hidden="false" customHeight="false" outlineLevel="0" collapsed="false">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row>
    <row r="316" customFormat="false" ht="12.75" hidden="false" customHeight="false" outlineLevel="0" collapsed="false">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row>
    <row r="317" customFormat="false" ht="12.75" hidden="false" customHeight="false" outlineLevel="0" collapsed="false">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row>
    <row r="318" customFormat="false" ht="12.75" hidden="false" customHeight="false" outlineLevel="0" collapsed="false">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row>
    <row r="319" customFormat="false" ht="12.75" hidden="false" customHeight="false" outlineLevel="0" collapsed="false">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row>
    <row r="320" customFormat="false" ht="12.75" hidden="false" customHeight="false" outlineLevel="0" collapsed="false">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row>
    <row r="321" customFormat="false" ht="12.75" hidden="false" customHeight="false" outlineLevel="0" collapsed="false">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row>
    <row r="322" customFormat="false" ht="12.75" hidden="false" customHeight="false" outlineLevel="0" collapsed="false">
      <c r="E322" s="67"/>
      <c r="F322" s="67"/>
      <c r="G322" s="67"/>
      <c r="H322" s="67"/>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row>
    <row r="323" customFormat="false" ht="12.75" hidden="false" customHeight="false" outlineLevel="0" collapsed="false">
      <c r="E323" s="67"/>
      <c r="F323" s="67"/>
      <c r="G323" s="67"/>
      <c r="H323" s="67"/>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row>
    <row r="324" customFormat="false" ht="12.75" hidden="false" customHeight="false" outlineLevel="0" collapsed="false">
      <c r="E324" s="67"/>
      <c r="F324" s="67"/>
      <c r="G324" s="67"/>
      <c r="H324" s="67"/>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row>
    <row r="325" customFormat="false" ht="12.75" hidden="false" customHeight="false" outlineLevel="0" collapsed="false">
      <c r="E325" s="67"/>
      <c r="F325" s="67"/>
      <c r="G325" s="67"/>
      <c r="H325" s="67"/>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row>
    <row r="326" customFormat="false" ht="12.75" hidden="false" customHeight="false" outlineLevel="0" collapsed="false">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row>
    <row r="327" customFormat="false" ht="12.75" hidden="false" customHeight="false" outlineLevel="0" collapsed="false">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row>
    <row r="328" customFormat="false" ht="12.75" hidden="false" customHeight="false" outlineLevel="0" collapsed="false">
      <c r="E328" s="67"/>
      <c r="F328" s="67"/>
      <c r="G328" s="67"/>
      <c r="H328" s="67"/>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row>
    <row r="329" customFormat="false" ht="12.75" hidden="false" customHeight="false" outlineLevel="0" collapsed="false">
      <c r="E329" s="67"/>
      <c r="F329" s="67"/>
      <c r="G329" s="67"/>
      <c r="H329" s="67"/>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row>
    <row r="330" customFormat="false" ht="12.75" hidden="false" customHeight="false" outlineLevel="0" collapsed="false">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row>
    <row r="331" customFormat="false" ht="12.75" hidden="false" customHeight="false" outlineLevel="0" collapsed="false">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row>
    <row r="332" customFormat="false" ht="12.75" hidden="false" customHeight="false" outlineLevel="0" collapsed="false">
      <c r="E332" s="67"/>
      <c r="F332" s="67"/>
      <c r="G332" s="67"/>
      <c r="H332" s="67"/>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row>
    <row r="333" customFormat="false" ht="12.75" hidden="false" customHeight="false" outlineLevel="0" collapsed="false">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row>
    <row r="334" customFormat="false" ht="12.75" hidden="false" customHeight="false" outlineLevel="0" collapsed="false">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row>
    <row r="335" customFormat="false" ht="12.75" hidden="false" customHeight="false" outlineLevel="0" collapsed="false">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row>
    <row r="336" customFormat="false" ht="12.75" hidden="false" customHeight="false" outlineLevel="0" collapsed="false">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row>
    <row r="337" customFormat="false" ht="12.75" hidden="false" customHeight="false" outlineLevel="0" collapsed="false">
      <c r="E337" s="67"/>
      <c r="F337" s="67"/>
      <c r="G337" s="67"/>
      <c r="H337" s="67"/>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row>
    <row r="338" customFormat="false" ht="12.75" hidden="false" customHeight="false" outlineLevel="0" collapsed="false">
      <c r="E338" s="67"/>
      <c r="F338" s="67"/>
      <c r="G338" s="67"/>
      <c r="H338" s="67"/>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row>
    <row r="339" customFormat="false" ht="12.75" hidden="false" customHeight="false" outlineLevel="0" collapsed="false">
      <c r="E339" s="67"/>
      <c r="F339" s="67"/>
      <c r="G339" s="67"/>
      <c r="H339" s="67"/>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row>
    <row r="340" customFormat="false" ht="12.75" hidden="false" customHeight="false" outlineLevel="0" collapsed="false">
      <c r="E340" s="67"/>
      <c r="F340" s="67"/>
      <c r="G340" s="67"/>
      <c r="H340" s="67"/>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row>
    <row r="341" customFormat="false" ht="12.75" hidden="false" customHeight="false" outlineLevel="0" collapsed="false">
      <c r="E341" s="67"/>
      <c r="F341" s="67"/>
      <c r="G341" s="67"/>
      <c r="H341" s="67"/>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row>
    <row r="342" customFormat="false" ht="12.75" hidden="false" customHeight="false" outlineLevel="0" collapsed="false">
      <c r="E342" s="67"/>
      <c r="F342" s="67"/>
      <c r="G342" s="67"/>
      <c r="H342" s="67"/>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row>
    <row r="343" customFormat="false" ht="12.75" hidden="false" customHeight="false" outlineLevel="0" collapsed="false">
      <c r="E343" s="67"/>
      <c r="F343" s="67"/>
      <c r="G343" s="67"/>
      <c r="H343" s="67"/>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row>
    <row r="344" customFormat="false" ht="12.75" hidden="false" customHeight="false" outlineLevel="0" collapsed="false">
      <c r="E344" s="67"/>
      <c r="F344" s="67"/>
      <c r="G344" s="67"/>
      <c r="H344" s="67"/>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row>
    <row r="345" customFormat="false" ht="12.75" hidden="false" customHeight="false" outlineLevel="0" collapsed="false">
      <c r="E345" s="67"/>
      <c r="F345" s="67"/>
      <c r="G345" s="67"/>
      <c r="H345" s="67"/>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row>
    <row r="346" customFormat="false" ht="12.75" hidden="false" customHeight="false" outlineLevel="0" collapsed="false">
      <c r="E346" s="67"/>
      <c r="F346" s="67"/>
      <c r="G346" s="67"/>
      <c r="H346" s="67"/>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row>
    <row r="347" customFormat="false" ht="12.75" hidden="false" customHeight="false" outlineLevel="0" collapsed="false">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row>
    <row r="348" customFormat="false" ht="12.75" hidden="false" customHeight="false" outlineLevel="0" collapsed="false">
      <c r="E348" s="67"/>
      <c r="F348" s="67"/>
      <c r="G348" s="67"/>
      <c r="H348" s="67"/>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row>
    <row r="349" customFormat="false" ht="12.75" hidden="false" customHeight="false" outlineLevel="0" collapsed="false">
      <c r="E349" s="67"/>
      <c r="F349" s="67"/>
      <c r="G349" s="67"/>
      <c r="H349" s="67"/>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row>
    <row r="350" customFormat="false" ht="12.75" hidden="false" customHeight="false" outlineLevel="0" collapsed="false">
      <c r="E350" s="67"/>
      <c r="F350" s="67"/>
      <c r="G350" s="67"/>
      <c r="H350" s="67"/>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row>
    <row r="351" customFormat="false" ht="12.75" hidden="false" customHeight="false" outlineLevel="0" collapsed="false">
      <c r="E351" s="67"/>
      <c r="F351" s="67"/>
      <c r="G351" s="67"/>
      <c r="H351" s="67"/>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c r="AH351" s="67"/>
      <c r="AI351" s="67"/>
      <c r="AJ351" s="67"/>
      <c r="AK351" s="67"/>
      <c r="AL351" s="67"/>
      <c r="AM351" s="67"/>
      <c r="AN351" s="67"/>
      <c r="AO351" s="67"/>
      <c r="AP351" s="67"/>
    </row>
    <row r="352" customFormat="false" ht="12.75" hidden="false" customHeight="false" outlineLevel="0" collapsed="false">
      <c r="E352" s="67"/>
      <c r="F352" s="67"/>
      <c r="G352" s="67"/>
      <c r="H352" s="67"/>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c r="AH352" s="67"/>
      <c r="AI352" s="67"/>
      <c r="AJ352" s="67"/>
      <c r="AK352" s="67"/>
      <c r="AL352" s="67"/>
      <c r="AM352" s="67"/>
      <c r="AN352" s="67"/>
      <c r="AO352" s="67"/>
      <c r="AP352" s="67"/>
    </row>
    <row r="353" customFormat="false" ht="12.75" hidden="false" customHeight="false" outlineLevel="0" collapsed="false">
      <c r="E353" s="67"/>
      <c r="F353" s="67"/>
      <c r="G353" s="67"/>
      <c r="H353" s="67"/>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c r="AH353" s="67"/>
      <c r="AI353" s="67"/>
      <c r="AJ353" s="67"/>
      <c r="AK353" s="67"/>
      <c r="AL353" s="67"/>
      <c r="AM353" s="67"/>
      <c r="AN353" s="67"/>
      <c r="AO353" s="67"/>
      <c r="AP353" s="67"/>
    </row>
    <row r="354" customFormat="false" ht="12.75" hidden="false" customHeight="false" outlineLevel="0" collapsed="false">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row>
    <row r="355" customFormat="false" ht="12.75" hidden="false" customHeight="false" outlineLevel="0" collapsed="false">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row>
    <row r="356" customFormat="false" ht="12.75" hidden="false" customHeight="false" outlineLevel="0" collapsed="false">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row>
    <row r="357" customFormat="false" ht="12.75" hidden="false" customHeight="false" outlineLevel="0" collapsed="false">
      <c r="E357" s="67"/>
      <c r="F357" s="67"/>
      <c r="G357" s="67"/>
      <c r="H357" s="67"/>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67"/>
      <c r="AP357" s="67"/>
    </row>
    <row r="358" customFormat="false" ht="12.75" hidden="false" customHeight="false" outlineLevel="0" collapsed="false">
      <c r="E358" s="67"/>
      <c r="F358" s="67"/>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67"/>
      <c r="AP358" s="67"/>
    </row>
    <row r="359" customFormat="false" ht="12.75" hidden="false" customHeight="false" outlineLevel="0" collapsed="false">
      <c r="E359" s="67"/>
      <c r="F359" s="67"/>
      <c r="G359" s="67"/>
      <c r="H359" s="67"/>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c r="AH359" s="67"/>
      <c r="AI359" s="67"/>
      <c r="AJ359" s="67"/>
      <c r="AK359" s="67"/>
      <c r="AL359" s="67"/>
      <c r="AM359" s="67"/>
      <c r="AN359" s="67"/>
      <c r="AO359" s="67"/>
      <c r="AP359" s="67"/>
    </row>
    <row r="360" customFormat="false" ht="12.75" hidden="false" customHeight="false" outlineLevel="0" collapsed="false">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row>
    <row r="361" customFormat="false" ht="12.75" hidden="false" customHeight="false" outlineLevel="0" collapsed="false">
      <c r="E361" s="67"/>
      <c r="F361" s="67"/>
      <c r="G361" s="67"/>
      <c r="H361" s="67"/>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c r="AH361" s="67"/>
      <c r="AI361" s="67"/>
      <c r="AJ361" s="67"/>
      <c r="AK361" s="67"/>
      <c r="AL361" s="67"/>
      <c r="AM361" s="67"/>
      <c r="AN361" s="67"/>
      <c r="AO361" s="67"/>
      <c r="AP361" s="67"/>
    </row>
    <row r="362" customFormat="false" ht="12.75" hidden="false" customHeight="false" outlineLevel="0" collapsed="false">
      <c r="E362" s="67"/>
      <c r="F362" s="67"/>
      <c r="G362" s="67"/>
      <c r="H362" s="67"/>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c r="AH362" s="67"/>
      <c r="AI362" s="67"/>
      <c r="AJ362" s="67"/>
      <c r="AK362" s="67"/>
      <c r="AL362" s="67"/>
      <c r="AM362" s="67"/>
      <c r="AN362" s="67"/>
      <c r="AO362" s="67"/>
      <c r="AP362" s="67"/>
    </row>
    <row r="363" customFormat="false" ht="12.75" hidden="false" customHeight="false" outlineLevel="0" collapsed="false">
      <c r="E363" s="67"/>
      <c r="F363" s="67"/>
      <c r="G363" s="67"/>
      <c r="H363" s="67"/>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c r="AH363" s="67"/>
      <c r="AI363" s="67"/>
      <c r="AJ363" s="67"/>
      <c r="AK363" s="67"/>
      <c r="AL363" s="67"/>
      <c r="AM363" s="67"/>
      <c r="AN363" s="67"/>
      <c r="AO363" s="67"/>
      <c r="AP363" s="67"/>
    </row>
    <row r="364" customFormat="false" ht="12.75" hidden="false" customHeight="false" outlineLevel="0" collapsed="false">
      <c r="E364" s="67"/>
      <c r="F364" s="67"/>
      <c r="G364" s="67"/>
      <c r="H364" s="67"/>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row>
    <row r="365" customFormat="false" ht="12.75" hidden="false" customHeight="false" outlineLevel="0" collapsed="false">
      <c r="E365" s="67"/>
      <c r="F365" s="67"/>
      <c r="G365" s="67"/>
      <c r="H365" s="67"/>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c r="AH365" s="67"/>
      <c r="AI365" s="67"/>
      <c r="AJ365" s="67"/>
      <c r="AK365" s="67"/>
      <c r="AL365" s="67"/>
      <c r="AM365" s="67"/>
      <c r="AN365" s="67"/>
      <c r="AO365" s="67"/>
      <c r="AP365" s="67"/>
    </row>
    <row r="366" customFormat="false" ht="12.75" hidden="false" customHeight="false" outlineLevel="0" collapsed="false">
      <c r="E366" s="67"/>
      <c r="F366" s="67"/>
      <c r="G366" s="67"/>
      <c r="H366" s="67"/>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c r="AH366" s="67"/>
      <c r="AI366" s="67"/>
      <c r="AJ366" s="67"/>
      <c r="AK366" s="67"/>
      <c r="AL366" s="67"/>
      <c r="AM366" s="67"/>
      <c r="AN366" s="67"/>
      <c r="AO366" s="67"/>
      <c r="AP366" s="67"/>
    </row>
    <row r="367" customFormat="false" ht="12.75" hidden="false" customHeight="false" outlineLevel="0" collapsed="false">
      <c r="E367" s="67"/>
      <c r="F367" s="67"/>
      <c r="G367" s="67"/>
      <c r="H367" s="67"/>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c r="AH367" s="67"/>
      <c r="AI367" s="67"/>
      <c r="AJ367" s="67"/>
      <c r="AK367" s="67"/>
      <c r="AL367" s="67"/>
      <c r="AM367" s="67"/>
      <c r="AN367" s="67"/>
      <c r="AO367" s="67"/>
      <c r="AP367" s="67"/>
    </row>
    <row r="368" customFormat="false" ht="12.75" hidden="false" customHeight="false" outlineLevel="0" collapsed="false">
      <c r="E368" s="67"/>
      <c r="F368" s="67"/>
      <c r="G368" s="67"/>
      <c r="H368" s="67"/>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c r="AH368" s="67"/>
      <c r="AI368" s="67"/>
      <c r="AJ368" s="67"/>
      <c r="AK368" s="67"/>
      <c r="AL368" s="67"/>
      <c r="AM368" s="67"/>
      <c r="AN368" s="67"/>
      <c r="AO368" s="67"/>
      <c r="AP368" s="67"/>
    </row>
    <row r="369" customFormat="false" ht="12.75" hidden="false" customHeight="false" outlineLevel="0" collapsed="false">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row>
    <row r="370" customFormat="false" ht="12.75" hidden="false" customHeight="false" outlineLevel="0" collapsed="false">
      <c r="E370" s="67"/>
      <c r="F370" s="67"/>
      <c r="G370" s="67"/>
      <c r="H370" s="67"/>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c r="AH370" s="67"/>
      <c r="AI370" s="67"/>
      <c r="AJ370" s="67"/>
      <c r="AK370" s="67"/>
      <c r="AL370" s="67"/>
      <c r="AM370" s="67"/>
      <c r="AN370" s="67"/>
      <c r="AO370" s="67"/>
      <c r="AP370" s="67"/>
    </row>
    <row r="371" customFormat="false" ht="12.75" hidden="false" customHeight="false" outlineLevel="0" collapsed="false">
      <c r="E371" s="67"/>
      <c r="F371" s="67"/>
      <c r="G371" s="67"/>
      <c r="H371" s="67"/>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c r="AH371" s="67"/>
      <c r="AI371" s="67"/>
      <c r="AJ371" s="67"/>
      <c r="AK371" s="67"/>
      <c r="AL371" s="67"/>
      <c r="AM371" s="67"/>
      <c r="AN371" s="67"/>
      <c r="AO371" s="67"/>
      <c r="AP371" s="67"/>
    </row>
    <row r="372" customFormat="false" ht="12.75" hidden="false" customHeight="false" outlineLevel="0" collapsed="false">
      <c r="E372" s="67"/>
      <c r="F372" s="67"/>
      <c r="G372" s="67"/>
      <c r="H372" s="67"/>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c r="AH372" s="67"/>
      <c r="AI372" s="67"/>
      <c r="AJ372" s="67"/>
      <c r="AK372" s="67"/>
      <c r="AL372" s="67"/>
      <c r="AM372" s="67"/>
      <c r="AN372" s="67"/>
      <c r="AO372" s="67"/>
      <c r="AP372" s="67"/>
    </row>
    <row r="373" customFormat="false" ht="12.75" hidden="false" customHeight="false" outlineLevel="0" collapsed="false">
      <c r="E373" s="67"/>
      <c r="F373" s="6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c r="AH373" s="67"/>
      <c r="AI373" s="67"/>
      <c r="AJ373" s="67"/>
      <c r="AK373" s="67"/>
      <c r="AL373" s="67"/>
      <c r="AM373" s="67"/>
      <c r="AN373" s="67"/>
      <c r="AO373" s="67"/>
      <c r="AP373" s="67"/>
    </row>
    <row r="374" customFormat="false" ht="12.75" hidden="false" customHeight="false" outlineLevel="0" collapsed="false">
      <c r="E374" s="67"/>
      <c r="F374" s="67"/>
      <c r="G374" s="67"/>
      <c r="H374" s="67"/>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c r="AH374" s="67"/>
      <c r="AI374" s="67"/>
      <c r="AJ374" s="67"/>
      <c r="AK374" s="67"/>
      <c r="AL374" s="67"/>
      <c r="AM374" s="67"/>
      <c r="AN374" s="67"/>
      <c r="AO374" s="67"/>
      <c r="AP374" s="67"/>
    </row>
    <row r="375" customFormat="false" ht="12.75" hidden="false" customHeight="false" outlineLevel="0" collapsed="false">
      <c r="E375" s="67"/>
      <c r="F375" s="67"/>
      <c r="G375" s="67"/>
      <c r="H375" s="67"/>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c r="AH375" s="67"/>
      <c r="AI375" s="67"/>
      <c r="AJ375" s="67"/>
      <c r="AK375" s="67"/>
      <c r="AL375" s="67"/>
      <c r="AM375" s="67"/>
      <c r="AN375" s="67"/>
      <c r="AO375" s="67"/>
      <c r="AP375" s="67"/>
    </row>
    <row r="376" customFormat="false" ht="12.75" hidden="false" customHeight="false" outlineLevel="0" collapsed="false">
      <c r="E376" s="67"/>
      <c r="F376" s="67"/>
      <c r="G376" s="67"/>
      <c r="H376" s="67"/>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c r="AH376" s="67"/>
      <c r="AI376" s="67"/>
      <c r="AJ376" s="67"/>
      <c r="AK376" s="67"/>
      <c r="AL376" s="67"/>
      <c r="AM376" s="67"/>
      <c r="AN376" s="67"/>
      <c r="AO376" s="67"/>
      <c r="AP376" s="67"/>
    </row>
    <row r="377" customFormat="false" ht="12.75" hidden="false" customHeight="false" outlineLevel="0" collapsed="false">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row>
    <row r="378" customFormat="false" ht="12.75" hidden="false" customHeight="false" outlineLevel="0" collapsed="false">
      <c r="E378" s="67"/>
      <c r="F378" s="67"/>
      <c r="G378" s="67"/>
      <c r="H378" s="67"/>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c r="AH378" s="67"/>
      <c r="AI378" s="67"/>
      <c r="AJ378" s="67"/>
      <c r="AK378" s="67"/>
      <c r="AL378" s="67"/>
      <c r="AM378" s="67"/>
      <c r="AN378" s="67"/>
      <c r="AO378" s="67"/>
      <c r="AP378" s="67"/>
    </row>
    <row r="379" customFormat="false" ht="12.75" hidden="false" customHeight="false" outlineLevel="0" collapsed="false">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c r="AH379" s="67"/>
      <c r="AI379" s="67"/>
      <c r="AJ379" s="67"/>
      <c r="AK379" s="67"/>
      <c r="AL379" s="67"/>
      <c r="AM379" s="67"/>
      <c r="AN379" s="67"/>
      <c r="AO379" s="67"/>
      <c r="AP379" s="67"/>
    </row>
    <row r="380" customFormat="false" ht="12.75" hidden="false" customHeight="false" outlineLevel="0" collapsed="false">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row>
    <row r="381" customFormat="false" ht="12.75" hidden="false" customHeight="false" outlineLevel="0" collapsed="false">
      <c r="E381" s="67"/>
      <c r="F381" s="67"/>
      <c r="G381" s="67"/>
      <c r="H381" s="67"/>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c r="AH381" s="67"/>
      <c r="AI381" s="67"/>
      <c r="AJ381" s="67"/>
      <c r="AK381" s="67"/>
      <c r="AL381" s="67"/>
      <c r="AM381" s="67"/>
      <c r="AN381" s="67"/>
      <c r="AO381" s="67"/>
      <c r="AP381" s="67"/>
    </row>
    <row r="382" customFormat="false" ht="12.75" hidden="false" customHeight="false" outlineLevel="0" collapsed="false">
      <c r="E382" s="67"/>
      <c r="F382" s="67"/>
      <c r="G382" s="67"/>
      <c r="H382" s="67"/>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c r="AH382" s="67"/>
      <c r="AI382" s="67"/>
      <c r="AJ382" s="67"/>
      <c r="AK382" s="67"/>
      <c r="AL382" s="67"/>
      <c r="AM382" s="67"/>
      <c r="AN382" s="67"/>
      <c r="AO382" s="67"/>
      <c r="AP382" s="67"/>
    </row>
    <row r="383" customFormat="false" ht="12.75" hidden="false" customHeight="false" outlineLevel="0" collapsed="false">
      <c r="E383" s="67"/>
      <c r="F383" s="67"/>
      <c r="G383" s="67"/>
      <c r="H383" s="67"/>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c r="AH383" s="67"/>
      <c r="AI383" s="67"/>
      <c r="AJ383" s="67"/>
      <c r="AK383" s="67"/>
      <c r="AL383" s="67"/>
      <c r="AM383" s="67"/>
      <c r="AN383" s="67"/>
      <c r="AO383" s="67"/>
      <c r="AP383" s="67"/>
    </row>
    <row r="384" customFormat="false" ht="12.75" hidden="false" customHeight="false" outlineLevel="0" collapsed="false">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row>
    <row r="385" customFormat="false" ht="12.75" hidden="false" customHeight="false" outlineLevel="0" collapsed="false">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row>
    <row r="386" customFormat="false" ht="12.75" hidden="false" customHeight="false" outlineLevel="0" collapsed="false">
      <c r="E386" s="67"/>
      <c r="F386" s="67"/>
      <c r="G386" s="67"/>
      <c r="H386" s="67"/>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c r="AH386" s="67"/>
      <c r="AI386" s="67"/>
      <c r="AJ386" s="67"/>
      <c r="AK386" s="67"/>
      <c r="AL386" s="67"/>
      <c r="AM386" s="67"/>
      <c r="AN386" s="67"/>
      <c r="AO386" s="67"/>
      <c r="AP386" s="67"/>
    </row>
    <row r="387" customFormat="false" ht="12.75" hidden="false" customHeight="false" outlineLevel="0" collapsed="false">
      <c r="E387" s="67"/>
      <c r="F387" s="67"/>
      <c r="G387" s="67"/>
      <c r="H387" s="67"/>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c r="AH387" s="67"/>
      <c r="AI387" s="67"/>
      <c r="AJ387" s="67"/>
      <c r="AK387" s="67"/>
      <c r="AL387" s="67"/>
      <c r="AM387" s="67"/>
      <c r="AN387" s="67"/>
      <c r="AO387" s="67"/>
      <c r="AP387" s="67"/>
    </row>
    <row r="388" customFormat="false" ht="12.75" hidden="false" customHeight="false" outlineLevel="0" collapsed="false">
      <c r="E388" s="67"/>
      <c r="F388" s="67"/>
      <c r="G388" s="67"/>
      <c r="H388" s="67"/>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c r="AH388" s="67"/>
      <c r="AI388" s="67"/>
      <c r="AJ388" s="67"/>
      <c r="AK388" s="67"/>
      <c r="AL388" s="67"/>
      <c r="AM388" s="67"/>
      <c r="AN388" s="67"/>
      <c r="AO388" s="67"/>
      <c r="AP388" s="67"/>
    </row>
    <row r="389" customFormat="false" ht="12.75" hidden="false" customHeight="false" outlineLevel="0" collapsed="false">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row>
    <row r="390" customFormat="false" ht="12.75" hidden="false" customHeight="false" outlineLevel="0" collapsed="false">
      <c r="E390" s="67"/>
      <c r="F390" s="67"/>
      <c r="G390" s="67"/>
      <c r="H390" s="67"/>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c r="AH390" s="67"/>
      <c r="AI390" s="67"/>
      <c r="AJ390" s="67"/>
      <c r="AK390" s="67"/>
      <c r="AL390" s="67"/>
      <c r="AM390" s="67"/>
      <c r="AN390" s="67"/>
      <c r="AO390" s="67"/>
      <c r="AP390" s="67"/>
    </row>
    <row r="391" customFormat="false" ht="12.75" hidden="false" customHeight="false" outlineLevel="0" collapsed="false">
      <c r="E391" s="67"/>
      <c r="F391" s="67"/>
      <c r="G391" s="67"/>
      <c r="H391" s="67"/>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c r="AH391" s="67"/>
      <c r="AI391" s="67"/>
      <c r="AJ391" s="67"/>
      <c r="AK391" s="67"/>
      <c r="AL391" s="67"/>
      <c r="AM391" s="67"/>
      <c r="AN391" s="67"/>
      <c r="AO391" s="67"/>
      <c r="AP391" s="67"/>
    </row>
    <row r="392" customFormat="false" ht="12.75" hidden="false" customHeight="false" outlineLevel="0" collapsed="false">
      <c r="E392" s="67"/>
      <c r="F392" s="67"/>
      <c r="G392" s="67"/>
      <c r="H392" s="67"/>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c r="AH392" s="67"/>
      <c r="AI392" s="67"/>
      <c r="AJ392" s="67"/>
      <c r="AK392" s="67"/>
      <c r="AL392" s="67"/>
      <c r="AM392" s="67"/>
      <c r="AN392" s="67"/>
      <c r="AO392" s="67"/>
      <c r="AP392" s="67"/>
    </row>
    <row r="393" customFormat="false" ht="12.75" hidden="false" customHeight="false" outlineLevel="0" collapsed="false">
      <c r="E393" s="67"/>
      <c r="F393" s="67"/>
      <c r="G393" s="67"/>
      <c r="H393" s="67"/>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c r="AH393" s="67"/>
      <c r="AI393" s="67"/>
      <c r="AJ393" s="67"/>
      <c r="AK393" s="67"/>
      <c r="AL393" s="67"/>
      <c r="AM393" s="67"/>
      <c r="AN393" s="67"/>
      <c r="AO393" s="67"/>
      <c r="AP393" s="67"/>
    </row>
    <row r="394" customFormat="false" ht="12.75" hidden="false" customHeight="false" outlineLevel="0" collapsed="false">
      <c r="E394" s="67"/>
      <c r="F394" s="67"/>
      <c r="G394" s="67"/>
      <c r="H394" s="67"/>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c r="AH394" s="67"/>
      <c r="AI394" s="67"/>
      <c r="AJ394" s="67"/>
      <c r="AK394" s="67"/>
      <c r="AL394" s="67"/>
      <c r="AM394" s="67"/>
      <c r="AN394" s="67"/>
      <c r="AO394" s="67"/>
      <c r="AP394" s="67"/>
    </row>
    <row r="395" customFormat="false" ht="12.75" hidden="false" customHeight="false" outlineLevel="0" collapsed="false">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c r="AL395" s="67"/>
      <c r="AM395" s="67"/>
      <c r="AN395" s="67"/>
      <c r="AO395" s="67"/>
      <c r="AP395" s="67"/>
    </row>
    <row r="396" customFormat="false" ht="12.75" hidden="false" customHeight="false" outlineLevel="0" collapsed="false">
      <c r="E396" s="67"/>
      <c r="F396" s="67"/>
      <c r="G396" s="67"/>
      <c r="H396" s="67"/>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c r="AH396" s="67"/>
      <c r="AI396" s="67"/>
      <c r="AJ396" s="67"/>
      <c r="AK396" s="67"/>
      <c r="AL396" s="67"/>
      <c r="AM396" s="67"/>
      <c r="AN396" s="67"/>
      <c r="AO396" s="67"/>
      <c r="AP396" s="67"/>
    </row>
    <row r="397" customFormat="false" ht="12.75" hidden="false" customHeight="false" outlineLevel="0" collapsed="false">
      <c r="E397" s="67"/>
      <c r="F397" s="67"/>
      <c r="G397" s="67"/>
      <c r="H397" s="67"/>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c r="AH397" s="67"/>
      <c r="AI397" s="67"/>
      <c r="AJ397" s="67"/>
      <c r="AK397" s="67"/>
      <c r="AL397" s="67"/>
      <c r="AM397" s="67"/>
      <c r="AN397" s="67"/>
      <c r="AO397" s="67"/>
      <c r="AP397" s="67"/>
    </row>
    <row r="398" customFormat="false" ht="12.75" hidden="false" customHeight="false" outlineLevel="0" collapsed="false">
      <c r="E398" s="67"/>
      <c r="F398" s="67"/>
      <c r="G398" s="67"/>
      <c r="H398" s="67"/>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c r="AH398" s="67"/>
      <c r="AI398" s="67"/>
      <c r="AJ398" s="67"/>
      <c r="AK398" s="67"/>
      <c r="AL398" s="67"/>
      <c r="AM398" s="67"/>
      <c r="AN398" s="67"/>
      <c r="AO398" s="67"/>
      <c r="AP398" s="67"/>
    </row>
    <row r="399" customFormat="false" ht="12.75" hidden="false" customHeight="false" outlineLevel="0" collapsed="false">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row>
    <row r="400" customFormat="false" ht="12.75" hidden="false" customHeight="false" outlineLevel="0" collapsed="false">
      <c r="E400" s="67"/>
      <c r="F400" s="67"/>
      <c r="G400" s="67"/>
      <c r="H400" s="67"/>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c r="AH400" s="67"/>
      <c r="AI400" s="67"/>
      <c r="AJ400" s="67"/>
      <c r="AK400" s="67"/>
      <c r="AL400" s="67"/>
      <c r="AM400" s="67"/>
      <c r="AN400" s="67"/>
      <c r="AO400" s="67"/>
      <c r="AP400" s="67"/>
    </row>
    <row r="401" customFormat="false" ht="12.75" hidden="false" customHeight="false" outlineLevel="0" collapsed="false">
      <c r="E401" s="67"/>
      <c r="F401" s="67"/>
      <c r="G401" s="67"/>
      <c r="H401" s="67"/>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c r="AH401" s="67"/>
      <c r="AI401" s="67"/>
      <c r="AJ401" s="67"/>
      <c r="AK401" s="67"/>
      <c r="AL401" s="67"/>
      <c r="AM401" s="67"/>
      <c r="AN401" s="67"/>
      <c r="AO401" s="67"/>
      <c r="AP401" s="67"/>
    </row>
    <row r="402" customFormat="false" ht="12.75" hidden="false" customHeight="false" outlineLevel="0" collapsed="false">
      <c r="E402" s="67"/>
      <c r="F402" s="67"/>
      <c r="G402" s="67"/>
      <c r="H402" s="67"/>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c r="AH402" s="67"/>
      <c r="AI402" s="67"/>
      <c r="AJ402" s="67"/>
      <c r="AK402" s="67"/>
      <c r="AL402" s="67"/>
      <c r="AM402" s="67"/>
      <c r="AN402" s="67"/>
      <c r="AO402" s="67"/>
      <c r="AP402" s="67"/>
    </row>
    <row r="403" customFormat="false" ht="12.75" hidden="false" customHeight="false" outlineLevel="0" collapsed="false">
      <c r="E403" s="67"/>
      <c r="F403" s="67"/>
      <c r="G403" s="67"/>
      <c r="H403" s="67"/>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c r="AH403" s="67"/>
      <c r="AI403" s="67"/>
      <c r="AJ403" s="67"/>
      <c r="AK403" s="67"/>
      <c r="AL403" s="67"/>
      <c r="AM403" s="67"/>
      <c r="AN403" s="67"/>
      <c r="AO403" s="67"/>
      <c r="AP403" s="67"/>
    </row>
    <row r="404" customFormat="false" ht="12.75" hidden="false" customHeight="false" outlineLevel="0" collapsed="false">
      <c r="E404" s="67"/>
      <c r="F404" s="67"/>
      <c r="G404" s="67"/>
      <c r="H404" s="67"/>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c r="AH404" s="67"/>
      <c r="AI404" s="67"/>
      <c r="AJ404" s="67"/>
      <c r="AK404" s="67"/>
      <c r="AL404" s="67"/>
      <c r="AM404" s="67"/>
      <c r="AN404" s="67"/>
      <c r="AO404" s="67"/>
      <c r="AP404" s="67"/>
    </row>
    <row r="405" customFormat="false" ht="12.75" hidden="false" customHeight="false" outlineLevel="0" collapsed="false">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c r="AL405" s="67"/>
      <c r="AM405" s="67"/>
      <c r="AN405" s="67"/>
      <c r="AO405" s="67"/>
      <c r="AP405" s="67"/>
    </row>
    <row r="406" customFormat="false" ht="12.75" hidden="false" customHeight="false" outlineLevel="0" collapsed="false">
      <c r="E406" s="67"/>
      <c r="F406" s="67"/>
      <c r="G406" s="67"/>
      <c r="H406" s="67"/>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c r="AH406" s="67"/>
      <c r="AI406" s="67"/>
      <c r="AJ406" s="67"/>
      <c r="AK406" s="67"/>
      <c r="AL406" s="67"/>
      <c r="AM406" s="67"/>
      <c r="AN406" s="67"/>
      <c r="AO406" s="67"/>
      <c r="AP406" s="67"/>
    </row>
    <row r="407" customFormat="false" ht="12.75" hidden="false" customHeight="false" outlineLevel="0" collapsed="false">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c r="AL407" s="67"/>
      <c r="AM407" s="67"/>
      <c r="AN407" s="67"/>
      <c r="AO407" s="67"/>
      <c r="AP407" s="67"/>
    </row>
    <row r="408" customFormat="false" ht="12.75" hidden="false" customHeight="false" outlineLevel="0" collapsed="false">
      <c r="E408" s="67"/>
      <c r="F408" s="67"/>
      <c r="G408" s="67"/>
      <c r="H408" s="67"/>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c r="AH408" s="67"/>
      <c r="AI408" s="67"/>
      <c r="AJ408" s="67"/>
      <c r="AK408" s="67"/>
      <c r="AL408" s="67"/>
      <c r="AM408" s="67"/>
      <c r="AN408" s="67"/>
      <c r="AO408" s="67"/>
      <c r="AP408" s="67"/>
    </row>
    <row r="409" customFormat="false" ht="12.75" hidden="false" customHeight="false" outlineLevel="0" collapsed="false">
      <c r="E409" s="67"/>
      <c r="F409" s="67"/>
      <c r="G409" s="67"/>
      <c r="H409" s="67"/>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c r="AH409" s="67"/>
      <c r="AI409" s="67"/>
      <c r="AJ409" s="67"/>
      <c r="AK409" s="67"/>
      <c r="AL409" s="67"/>
      <c r="AM409" s="67"/>
      <c r="AN409" s="67"/>
      <c r="AO409" s="67"/>
      <c r="AP409" s="67"/>
    </row>
    <row r="410" customFormat="false" ht="12.75" hidden="false" customHeight="false" outlineLevel="0" collapsed="false">
      <c r="E410" s="67"/>
      <c r="F410" s="67"/>
      <c r="G410" s="67"/>
      <c r="H410" s="67"/>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c r="AH410" s="67"/>
      <c r="AI410" s="67"/>
      <c r="AJ410" s="67"/>
      <c r="AK410" s="67"/>
      <c r="AL410" s="67"/>
      <c r="AM410" s="67"/>
      <c r="AN410" s="67"/>
      <c r="AO410" s="67"/>
      <c r="AP410" s="67"/>
    </row>
    <row r="411" customFormat="false" ht="12.75" hidden="false" customHeight="false" outlineLevel="0" collapsed="false">
      <c r="E411" s="67"/>
      <c r="F411" s="67"/>
      <c r="G411" s="67"/>
      <c r="H411" s="67"/>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c r="AH411" s="67"/>
      <c r="AI411" s="67"/>
      <c r="AJ411" s="67"/>
      <c r="AK411" s="67"/>
      <c r="AL411" s="67"/>
      <c r="AM411" s="67"/>
      <c r="AN411" s="67"/>
      <c r="AO411" s="67"/>
      <c r="AP411" s="67"/>
    </row>
    <row r="412" customFormat="false" ht="12.75" hidden="false" customHeight="false" outlineLevel="0" collapsed="false">
      <c r="E412" s="67"/>
      <c r="F412" s="67"/>
      <c r="G412" s="67"/>
      <c r="H412" s="67"/>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c r="AH412" s="67"/>
      <c r="AI412" s="67"/>
      <c r="AJ412" s="67"/>
      <c r="AK412" s="67"/>
      <c r="AL412" s="67"/>
      <c r="AM412" s="67"/>
      <c r="AN412" s="67"/>
      <c r="AO412" s="67"/>
      <c r="AP412" s="67"/>
    </row>
    <row r="413" customFormat="false" ht="12.75" hidden="false" customHeight="false" outlineLevel="0" collapsed="false">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row>
    <row r="414" customFormat="false" ht="12.75" hidden="false" customHeight="false" outlineLevel="0" collapsed="false">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row>
    <row r="415" customFormat="false" ht="12.75" hidden="false" customHeight="false" outlineLevel="0" collapsed="false">
      <c r="E415" s="67"/>
      <c r="F415" s="67"/>
      <c r="G415" s="67"/>
      <c r="H415" s="67"/>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c r="AH415" s="67"/>
      <c r="AI415" s="67"/>
      <c r="AJ415" s="67"/>
      <c r="AK415" s="67"/>
      <c r="AL415" s="67"/>
      <c r="AM415" s="67"/>
      <c r="AN415" s="67"/>
      <c r="AO415" s="67"/>
      <c r="AP415" s="67"/>
    </row>
    <row r="416" customFormat="false" ht="12.75" hidden="false" customHeight="false" outlineLevel="0" collapsed="false">
      <c r="E416" s="67"/>
      <c r="F416" s="67"/>
      <c r="G416" s="67"/>
      <c r="H416" s="67"/>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c r="AH416" s="67"/>
      <c r="AI416" s="67"/>
      <c r="AJ416" s="67"/>
      <c r="AK416" s="67"/>
      <c r="AL416" s="67"/>
      <c r="AM416" s="67"/>
      <c r="AN416" s="67"/>
      <c r="AO416" s="67"/>
      <c r="AP416" s="67"/>
    </row>
    <row r="417" customFormat="false" ht="12.75" hidden="false" customHeight="false" outlineLevel="0" collapsed="false">
      <c r="E417" s="67"/>
      <c r="F417" s="67"/>
      <c r="G417" s="67"/>
      <c r="H417" s="67"/>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c r="AH417" s="67"/>
      <c r="AI417" s="67"/>
      <c r="AJ417" s="67"/>
      <c r="AK417" s="67"/>
      <c r="AL417" s="67"/>
      <c r="AM417" s="67"/>
      <c r="AN417" s="67"/>
      <c r="AO417" s="67"/>
      <c r="AP417" s="67"/>
    </row>
    <row r="418" customFormat="false" ht="12.75" hidden="false" customHeight="false" outlineLevel="0" collapsed="false">
      <c r="E418" s="67"/>
      <c r="F418" s="67"/>
      <c r="G418" s="67"/>
      <c r="H418" s="67"/>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c r="AH418" s="67"/>
      <c r="AI418" s="67"/>
      <c r="AJ418" s="67"/>
      <c r="AK418" s="67"/>
      <c r="AL418" s="67"/>
      <c r="AM418" s="67"/>
      <c r="AN418" s="67"/>
      <c r="AO418" s="67"/>
      <c r="AP418" s="67"/>
    </row>
    <row r="419" customFormat="false" ht="12.75" hidden="false" customHeight="false" outlineLevel="0" collapsed="false">
      <c r="E419" s="67"/>
      <c r="F419" s="67"/>
      <c r="G419" s="67"/>
      <c r="H419" s="67"/>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c r="AH419" s="67"/>
      <c r="AI419" s="67"/>
      <c r="AJ419" s="67"/>
      <c r="AK419" s="67"/>
      <c r="AL419" s="67"/>
      <c r="AM419" s="67"/>
      <c r="AN419" s="67"/>
      <c r="AO419" s="67"/>
      <c r="AP419" s="67"/>
    </row>
    <row r="420" customFormat="false" ht="12.75" hidden="false" customHeight="false" outlineLevel="0" collapsed="false">
      <c r="E420" s="67"/>
      <c r="F420" s="67"/>
      <c r="G420" s="67"/>
      <c r="H420" s="67"/>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c r="AH420" s="67"/>
      <c r="AI420" s="67"/>
      <c r="AJ420" s="67"/>
      <c r="AK420" s="67"/>
      <c r="AL420" s="67"/>
      <c r="AM420" s="67"/>
      <c r="AN420" s="67"/>
      <c r="AO420" s="67"/>
      <c r="AP420" s="67"/>
    </row>
    <row r="421" customFormat="false" ht="12.75" hidden="false" customHeight="false" outlineLevel="0" collapsed="false">
      <c r="E421" s="67"/>
      <c r="F421" s="67"/>
      <c r="G421" s="67"/>
      <c r="H421" s="67"/>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c r="AH421" s="67"/>
      <c r="AI421" s="67"/>
      <c r="AJ421" s="67"/>
      <c r="AK421" s="67"/>
      <c r="AL421" s="67"/>
      <c r="AM421" s="67"/>
      <c r="AN421" s="67"/>
      <c r="AO421" s="67"/>
      <c r="AP421" s="67"/>
    </row>
    <row r="422" customFormat="false" ht="12.75" hidden="false" customHeight="false" outlineLevel="0" collapsed="false">
      <c r="E422" s="67"/>
      <c r="F422" s="67"/>
      <c r="G422" s="67"/>
      <c r="H422" s="67"/>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c r="AH422" s="67"/>
      <c r="AI422" s="67"/>
      <c r="AJ422" s="67"/>
      <c r="AK422" s="67"/>
      <c r="AL422" s="67"/>
      <c r="AM422" s="67"/>
      <c r="AN422" s="67"/>
      <c r="AO422" s="67"/>
      <c r="AP422" s="67"/>
    </row>
    <row r="423" customFormat="false" ht="12.75" hidden="false" customHeight="false" outlineLevel="0" collapsed="false">
      <c r="E423" s="67"/>
      <c r="F423" s="67"/>
      <c r="G423" s="67"/>
      <c r="H423" s="67"/>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c r="AH423" s="67"/>
      <c r="AI423" s="67"/>
      <c r="AJ423" s="67"/>
      <c r="AK423" s="67"/>
      <c r="AL423" s="67"/>
      <c r="AM423" s="67"/>
      <c r="AN423" s="67"/>
      <c r="AO423" s="67"/>
      <c r="AP423" s="67"/>
    </row>
    <row r="424" customFormat="false" ht="12.75" hidden="false" customHeight="false" outlineLevel="0" collapsed="false">
      <c r="E424" s="67"/>
      <c r="F424" s="67"/>
      <c r="G424" s="67"/>
      <c r="H424" s="67"/>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c r="AH424" s="67"/>
      <c r="AI424" s="67"/>
      <c r="AJ424" s="67"/>
      <c r="AK424" s="67"/>
      <c r="AL424" s="67"/>
      <c r="AM424" s="67"/>
      <c r="AN424" s="67"/>
      <c r="AO424" s="67"/>
      <c r="AP424" s="67"/>
    </row>
    <row r="425" customFormat="false" ht="12.75" hidden="false" customHeight="false" outlineLevel="0" collapsed="false">
      <c r="E425" s="67"/>
      <c r="F425" s="67"/>
      <c r="G425" s="67"/>
      <c r="H425" s="67"/>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c r="AH425" s="67"/>
      <c r="AI425" s="67"/>
      <c r="AJ425" s="67"/>
      <c r="AK425" s="67"/>
      <c r="AL425" s="67"/>
      <c r="AM425" s="67"/>
      <c r="AN425" s="67"/>
      <c r="AO425" s="67"/>
      <c r="AP425" s="67"/>
    </row>
    <row r="426" customFormat="false" ht="12.75" hidden="false" customHeight="false" outlineLevel="0" collapsed="false">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row>
    <row r="427" customFormat="false" ht="12.75" hidden="false" customHeight="false" outlineLevel="0" collapsed="false">
      <c r="E427" s="67"/>
      <c r="F427" s="67"/>
      <c r="G427" s="67"/>
      <c r="H427" s="67"/>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c r="AH427" s="67"/>
      <c r="AI427" s="67"/>
      <c r="AJ427" s="67"/>
      <c r="AK427" s="67"/>
      <c r="AL427" s="67"/>
      <c r="AM427" s="67"/>
      <c r="AN427" s="67"/>
      <c r="AO427" s="67"/>
      <c r="AP427" s="67"/>
    </row>
    <row r="428" customFormat="false" ht="12.75" hidden="false" customHeight="false" outlineLevel="0" collapsed="false">
      <c r="E428" s="67"/>
      <c r="F428" s="67"/>
      <c r="G428" s="67"/>
      <c r="H428" s="67"/>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c r="AH428" s="67"/>
      <c r="AI428" s="67"/>
      <c r="AJ428" s="67"/>
      <c r="AK428" s="67"/>
      <c r="AL428" s="67"/>
      <c r="AM428" s="67"/>
      <c r="AN428" s="67"/>
      <c r="AO428" s="67"/>
      <c r="AP428" s="67"/>
    </row>
    <row r="429" customFormat="false" ht="12.75" hidden="false" customHeight="false" outlineLevel="0" collapsed="false">
      <c r="E429" s="67"/>
      <c r="F429" s="67"/>
      <c r="G429" s="67"/>
      <c r="H429" s="67"/>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c r="AH429" s="67"/>
      <c r="AI429" s="67"/>
      <c r="AJ429" s="67"/>
      <c r="AK429" s="67"/>
      <c r="AL429" s="67"/>
      <c r="AM429" s="67"/>
      <c r="AN429" s="67"/>
      <c r="AO429" s="67"/>
      <c r="AP429" s="67"/>
    </row>
    <row r="430" customFormat="false" ht="12.75" hidden="false" customHeight="false" outlineLevel="0" collapsed="false">
      <c r="E430" s="67"/>
      <c r="F430" s="67"/>
      <c r="G430" s="67"/>
      <c r="H430" s="67"/>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c r="AH430" s="67"/>
      <c r="AI430" s="67"/>
      <c r="AJ430" s="67"/>
      <c r="AK430" s="67"/>
      <c r="AL430" s="67"/>
      <c r="AM430" s="67"/>
      <c r="AN430" s="67"/>
      <c r="AO430" s="67"/>
      <c r="AP430" s="67"/>
    </row>
    <row r="431" customFormat="false" ht="12.75" hidden="false" customHeight="false" outlineLevel="0" collapsed="false">
      <c r="E431" s="67"/>
      <c r="F431" s="67"/>
      <c r="G431" s="67"/>
      <c r="H431" s="67"/>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c r="AH431" s="67"/>
      <c r="AI431" s="67"/>
      <c r="AJ431" s="67"/>
      <c r="AK431" s="67"/>
      <c r="AL431" s="67"/>
      <c r="AM431" s="67"/>
      <c r="AN431" s="67"/>
      <c r="AO431" s="67"/>
      <c r="AP431" s="67"/>
    </row>
    <row r="432" customFormat="false" ht="12.75" hidden="false" customHeight="false" outlineLevel="0" collapsed="false">
      <c r="E432" s="67"/>
      <c r="F432" s="67"/>
      <c r="G432" s="67"/>
      <c r="H432" s="67"/>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c r="AH432" s="67"/>
      <c r="AI432" s="67"/>
      <c r="AJ432" s="67"/>
      <c r="AK432" s="67"/>
      <c r="AL432" s="67"/>
      <c r="AM432" s="67"/>
      <c r="AN432" s="67"/>
      <c r="AO432" s="67"/>
      <c r="AP432" s="67"/>
    </row>
    <row r="433" customFormat="false" ht="12.75" hidden="false" customHeight="false" outlineLevel="0" collapsed="false">
      <c r="E433" s="67"/>
      <c r="F433" s="67"/>
      <c r="G433" s="67"/>
      <c r="H433" s="67"/>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c r="AH433" s="67"/>
      <c r="AI433" s="67"/>
      <c r="AJ433" s="67"/>
      <c r="AK433" s="67"/>
      <c r="AL433" s="67"/>
      <c r="AM433" s="67"/>
      <c r="AN433" s="67"/>
      <c r="AO433" s="67"/>
      <c r="AP433" s="67"/>
    </row>
    <row r="434" customFormat="false" ht="12.75" hidden="false" customHeight="false" outlineLevel="0" collapsed="false">
      <c r="E434" s="67"/>
      <c r="F434" s="67"/>
      <c r="G434" s="67"/>
      <c r="H434" s="67"/>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c r="AH434" s="67"/>
      <c r="AI434" s="67"/>
      <c r="AJ434" s="67"/>
      <c r="AK434" s="67"/>
      <c r="AL434" s="67"/>
      <c r="AM434" s="67"/>
      <c r="AN434" s="67"/>
      <c r="AO434" s="67"/>
      <c r="AP434" s="67"/>
    </row>
    <row r="435" customFormat="false" ht="12.75" hidden="false" customHeight="false" outlineLevel="0" collapsed="false">
      <c r="E435" s="67"/>
      <c r="F435" s="67"/>
      <c r="G435" s="67"/>
      <c r="H435" s="67"/>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c r="AH435" s="67"/>
      <c r="AI435" s="67"/>
      <c r="AJ435" s="67"/>
      <c r="AK435" s="67"/>
      <c r="AL435" s="67"/>
      <c r="AM435" s="67"/>
      <c r="AN435" s="67"/>
      <c r="AO435" s="67"/>
      <c r="AP435" s="67"/>
    </row>
    <row r="436" customFormat="false" ht="12.75" hidden="false" customHeight="false" outlineLevel="0" collapsed="false">
      <c r="E436" s="67"/>
      <c r="F436" s="67"/>
      <c r="G436" s="67"/>
      <c r="H436" s="67"/>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c r="AH436" s="67"/>
      <c r="AI436" s="67"/>
      <c r="AJ436" s="67"/>
      <c r="AK436" s="67"/>
      <c r="AL436" s="67"/>
      <c r="AM436" s="67"/>
      <c r="AN436" s="67"/>
      <c r="AO436" s="67"/>
      <c r="AP436" s="67"/>
    </row>
    <row r="437" customFormat="false" ht="12.75" hidden="false" customHeight="false" outlineLevel="0" collapsed="false">
      <c r="E437" s="67"/>
      <c r="F437" s="67"/>
      <c r="G437" s="67"/>
      <c r="H437" s="67"/>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c r="AH437" s="67"/>
      <c r="AI437" s="67"/>
      <c r="AJ437" s="67"/>
      <c r="AK437" s="67"/>
      <c r="AL437" s="67"/>
      <c r="AM437" s="67"/>
      <c r="AN437" s="67"/>
      <c r="AO437" s="67"/>
      <c r="AP437" s="67"/>
    </row>
    <row r="438" customFormat="false" ht="12.75" hidden="false" customHeight="false" outlineLevel="0" collapsed="false">
      <c r="E438" s="67"/>
      <c r="F438" s="67"/>
      <c r="G438" s="67"/>
      <c r="H438" s="67"/>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row>
    <row r="439" customFormat="false" ht="12.75" hidden="false" customHeight="false" outlineLevel="0" collapsed="false">
      <c r="E439" s="67"/>
      <c r="F439" s="67"/>
      <c r="G439" s="67"/>
      <c r="H439" s="67"/>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c r="AH439" s="67"/>
      <c r="AI439" s="67"/>
      <c r="AJ439" s="67"/>
      <c r="AK439" s="67"/>
      <c r="AL439" s="67"/>
      <c r="AM439" s="67"/>
      <c r="AN439" s="67"/>
      <c r="AO439" s="67"/>
      <c r="AP439" s="67"/>
    </row>
    <row r="440" customFormat="false" ht="12.75" hidden="false" customHeight="false" outlineLevel="0" collapsed="false">
      <c r="E440" s="67"/>
      <c r="F440" s="67"/>
      <c r="G440" s="67"/>
      <c r="H440" s="67"/>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c r="AH440" s="67"/>
      <c r="AI440" s="67"/>
      <c r="AJ440" s="67"/>
      <c r="AK440" s="67"/>
      <c r="AL440" s="67"/>
      <c r="AM440" s="67"/>
      <c r="AN440" s="67"/>
      <c r="AO440" s="67"/>
      <c r="AP440" s="67"/>
    </row>
    <row r="441" customFormat="false" ht="12.75" hidden="false" customHeight="false" outlineLevel="0" collapsed="false">
      <c r="E441" s="67"/>
      <c r="F441" s="67"/>
      <c r="G441" s="67"/>
      <c r="H441" s="67"/>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c r="AH441" s="67"/>
      <c r="AI441" s="67"/>
      <c r="AJ441" s="67"/>
      <c r="AK441" s="67"/>
      <c r="AL441" s="67"/>
      <c r="AM441" s="67"/>
      <c r="AN441" s="67"/>
      <c r="AO441" s="67"/>
      <c r="AP441" s="67"/>
    </row>
    <row r="442" customFormat="false" ht="12.75" hidden="false" customHeight="false" outlineLevel="0" collapsed="false">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row>
    <row r="443" customFormat="false" ht="12.75" hidden="false" customHeight="false" outlineLevel="0" collapsed="false">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row>
    <row r="444" customFormat="false" ht="12.75" hidden="false" customHeight="false" outlineLevel="0" collapsed="false">
      <c r="E444" s="67"/>
      <c r="F444" s="67"/>
      <c r="G444" s="67"/>
      <c r="H444" s="67"/>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c r="AH444" s="67"/>
      <c r="AI444" s="67"/>
      <c r="AJ444" s="67"/>
      <c r="AK444" s="67"/>
      <c r="AL444" s="67"/>
      <c r="AM444" s="67"/>
      <c r="AN444" s="67"/>
      <c r="AO444" s="67"/>
      <c r="AP444" s="67"/>
    </row>
    <row r="445" customFormat="false" ht="12.75" hidden="false" customHeight="false" outlineLevel="0" collapsed="false">
      <c r="E445" s="67"/>
      <c r="F445" s="67"/>
      <c r="G445" s="67"/>
      <c r="H445" s="67"/>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c r="AH445" s="67"/>
      <c r="AI445" s="67"/>
      <c r="AJ445" s="67"/>
      <c r="AK445" s="67"/>
      <c r="AL445" s="67"/>
      <c r="AM445" s="67"/>
      <c r="AN445" s="67"/>
      <c r="AO445" s="67"/>
      <c r="AP445" s="67"/>
    </row>
    <row r="446" customFormat="false" ht="12.75" hidden="false" customHeight="false" outlineLevel="0" collapsed="false">
      <c r="E446" s="67"/>
      <c r="F446" s="67"/>
      <c r="G446" s="67"/>
      <c r="H446" s="67"/>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c r="AH446" s="67"/>
      <c r="AI446" s="67"/>
      <c r="AJ446" s="67"/>
      <c r="AK446" s="67"/>
      <c r="AL446" s="67"/>
      <c r="AM446" s="67"/>
      <c r="AN446" s="67"/>
      <c r="AO446" s="67"/>
      <c r="AP446" s="67"/>
    </row>
    <row r="447" customFormat="false" ht="12.75" hidden="false" customHeight="false" outlineLevel="0" collapsed="false">
      <c r="E447" s="67"/>
      <c r="F447" s="67"/>
      <c r="G447" s="67"/>
      <c r="H447" s="67"/>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c r="AH447" s="67"/>
      <c r="AI447" s="67"/>
      <c r="AJ447" s="67"/>
      <c r="AK447" s="67"/>
      <c r="AL447" s="67"/>
      <c r="AM447" s="67"/>
      <c r="AN447" s="67"/>
      <c r="AO447" s="67"/>
      <c r="AP447" s="67"/>
    </row>
    <row r="448" customFormat="false" ht="12.75" hidden="false" customHeight="false" outlineLevel="0" collapsed="false">
      <c r="E448" s="67"/>
      <c r="F448" s="67"/>
      <c r="G448" s="67"/>
      <c r="H448" s="67"/>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c r="AH448" s="67"/>
      <c r="AI448" s="67"/>
      <c r="AJ448" s="67"/>
      <c r="AK448" s="67"/>
      <c r="AL448" s="67"/>
      <c r="AM448" s="67"/>
      <c r="AN448" s="67"/>
      <c r="AO448" s="67"/>
      <c r="AP448" s="67"/>
    </row>
    <row r="449" customFormat="false" ht="12.75" hidden="false" customHeight="false" outlineLevel="0" collapsed="false">
      <c r="E449" s="67"/>
      <c r="F449" s="67"/>
      <c r="G449" s="67"/>
      <c r="H449" s="67"/>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c r="AH449" s="67"/>
      <c r="AI449" s="67"/>
      <c r="AJ449" s="67"/>
      <c r="AK449" s="67"/>
      <c r="AL449" s="67"/>
      <c r="AM449" s="67"/>
      <c r="AN449" s="67"/>
      <c r="AO449" s="67"/>
      <c r="AP449" s="67"/>
    </row>
    <row r="450" customFormat="false" ht="12.75" hidden="false" customHeight="false" outlineLevel="0" collapsed="false">
      <c r="E450" s="67"/>
      <c r="F450" s="67"/>
      <c r="G450" s="67"/>
      <c r="H450" s="67"/>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c r="AH450" s="67"/>
      <c r="AI450" s="67"/>
      <c r="AJ450" s="67"/>
      <c r="AK450" s="67"/>
      <c r="AL450" s="67"/>
      <c r="AM450" s="67"/>
      <c r="AN450" s="67"/>
      <c r="AO450" s="67"/>
      <c r="AP450" s="67"/>
    </row>
    <row r="451" customFormat="false" ht="12.75" hidden="false" customHeight="false" outlineLevel="0" collapsed="false">
      <c r="E451" s="67"/>
      <c r="F451" s="67"/>
      <c r="G451" s="67"/>
      <c r="H451" s="67"/>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c r="AH451" s="67"/>
      <c r="AI451" s="67"/>
      <c r="AJ451" s="67"/>
      <c r="AK451" s="67"/>
      <c r="AL451" s="67"/>
      <c r="AM451" s="67"/>
      <c r="AN451" s="67"/>
      <c r="AO451" s="67"/>
      <c r="AP451" s="67"/>
    </row>
    <row r="452" customFormat="false" ht="12.75" hidden="false" customHeight="false" outlineLevel="0" collapsed="false">
      <c r="E452" s="67"/>
      <c r="F452" s="67"/>
      <c r="G452" s="67"/>
      <c r="H452" s="67"/>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c r="AH452" s="67"/>
      <c r="AI452" s="67"/>
      <c r="AJ452" s="67"/>
      <c r="AK452" s="67"/>
      <c r="AL452" s="67"/>
      <c r="AM452" s="67"/>
      <c r="AN452" s="67"/>
      <c r="AO452" s="67"/>
      <c r="AP452" s="67"/>
    </row>
    <row r="453" customFormat="false" ht="12.75" hidden="false" customHeight="false" outlineLevel="0" collapsed="false">
      <c r="E453" s="67"/>
      <c r="F453" s="67"/>
      <c r="G453" s="67"/>
      <c r="H453" s="67"/>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c r="AH453" s="67"/>
      <c r="AI453" s="67"/>
      <c r="AJ453" s="67"/>
      <c r="AK453" s="67"/>
      <c r="AL453" s="67"/>
      <c r="AM453" s="67"/>
      <c r="AN453" s="67"/>
      <c r="AO453" s="67"/>
      <c r="AP453" s="67"/>
    </row>
    <row r="454" customFormat="false" ht="12.75" hidden="false" customHeight="false" outlineLevel="0" collapsed="false">
      <c r="E454" s="67"/>
      <c r="F454" s="67"/>
      <c r="G454" s="67"/>
      <c r="H454" s="67"/>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c r="AH454" s="67"/>
      <c r="AI454" s="67"/>
      <c r="AJ454" s="67"/>
      <c r="AK454" s="67"/>
      <c r="AL454" s="67"/>
      <c r="AM454" s="67"/>
      <c r="AN454" s="67"/>
      <c r="AO454" s="67"/>
      <c r="AP454" s="67"/>
    </row>
    <row r="455" customFormat="false" ht="12.75" hidden="false" customHeight="false" outlineLevel="0" collapsed="false">
      <c r="E455" s="67"/>
      <c r="F455" s="67"/>
      <c r="G455" s="67"/>
      <c r="H455" s="67"/>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c r="AH455" s="67"/>
      <c r="AI455" s="67"/>
      <c r="AJ455" s="67"/>
      <c r="AK455" s="67"/>
      <c r="AL455" s="67"/>
      <c r="AM455" s="67"/>
      <c r="AN455" s="67"/>
      <c r="AO455" s="67"/>
      <c r="AP455" s="67"/>
    </row>
    <row r="456" customFormat="false" ht="12.75" hidden="false" customHeight="false" outlineLevel="0" collapsed="false">
      <c r="E456" s="67"/>
      <c r="F456" s="67"/>
      <c r="G456" s="67"/>
      <c r="H456" s="67"/>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c r="AH456" s="67"/>
      <c r="AI456" s="67"/>
      <c r="AJ456" s="67"/>
      <c r="AK456" s="67"/>
      <c r="AL456" s="67"/>
      <c r="AM456" s="67"/>
      <c r="AN456" s="67"/>
      <c r="AO456" s="67"/>
      <c r="AP456" s="67"/>
    </row>
    <row r="457" customFormat="false" ht="12.75" hidden="false" customHeight="false" outlineLevel="0" collapsed="false">
      <c r="E457" s="67"/>
      <c r="F457" s="67"/>
      <c r="G457" s="67"/>
      <c r="H457" s="67"/>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c r="AH457" s="67"/>
      <c r="AI457" s="67"/>
      <c r="AJ457" s="67"/>
      <c r="AK457" s="67"/>
      <c r="AL457" s="67"/>
      <c r="AM457" s="67"/>
      <c r="AN457" s="67"/>
      <c r="AO457" s="67"/>
      <c r="AP457" s="67"/>
    </row>
    <row r="458" customFormat="false" ht="12.75" hidden="false" customHeight="false" outlineLevel="0" collapsed="false">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c r="AH458" s="67"/>
      <c r="AI458" s="67"/>
      <c r="AJ458" s="67"/>
      <c r="AK458" s="67"/>
      <c r="AL458" s="67"/>
      <c r="AM458" s="67"/>
      <c r="AN458" s="67"/>
      <c r="AO458" s="67"/>
      <c r="AP458" s="67"/>
    </row>
  </sheetData>
  <printOptions headings="false" gridLines="false" gridLinesSet="true" horizontalCentered="true" verticalCentered="false"/>
  <pageMargins left="0.25" right="0.25" top="0.490277777777778" bottom="0.5" header="0.511811023622047" footer="0.5"/>
  <pageSetup paperSize="1" scale="75" fitToWidth="1" fitToHeight="1" pageOrder="downThenOver" orientation="landscape" blackAndWhite="false" draft="false" cellComments="none" horizontalDpi="300" verticalDpi="300" copies="1"/>
  <headerFooter differentFirst="false" differentOddEven="false">
    <oddHeader/>
    <oddFooter>&amp;L&amp;D&amp;T&amp;C&amp;P&amp;Ro:/Corpdev/North America/Raul/Ammonia/&amp;F</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77"/>
  <sheetViews>
    <sheetView showFormulas="false" showGridLines="true" showRowColHeaders="true" showZeros="true" rightToLeft="false" tabSelected="true" showOutlineSymbols="true" defaultGridColor="true" view="normal" topLeftCell="A38" colorId="64" zoomScale="75" zoomScaleNormal="75" zoomScalePageLayoutView="75" workbookViewId="0">
      <pane xSplit="5" ySplit="0" topLeftCell="H1" activePane="topRight" state="frozen"/>
      <selection pane="topLeft" activeCell="A38" activeCellId="0" sqref="A38"/>
      <selection pane="topRight" activeCell="J61" activeCellId="0" sqref="J61"/>
    </sheetView>
  </sheetViews>
  <sheetFormatPr defaultColWidth="9.0546875" defaultRowHeight="12.75" customHeight="true" zeroHeight="false" outlineLevelRow="1" outlineLevelCol="0"/>
  <cols>
    <col collapsed="false" customWidth="true" hidden="false" outlineLevel="0" max="5" min="5" style="0" width="15.99"/>
    <col collapsed="false" customWidth="true" hidden="false" outlineLevel="0" max="7" min="7" style="0" width="11.85"/>
    <col collapsed="false" customWidth="true" hidden="false" outlineLevel="0" max="8" min="8" style="0" width="15.56"/>
    <col collapsed="false" customWidth="true" hidden="false" outlineLevel="0" max="11" min="9" style="0" width="14.7"/>
    <col collapsed="false" customWidth="true" hidden="false" outlineLevel="0" max="12" min="12" style="0" width="12.85"/>
    <col collapsed="false" customWidth="true" hidden="false" outlineLevel="0" max="13" min="13" style="0" width="15.28"/>
    <col collapsed="false" customWidth="true" hidden="false" outlineLevel="0" max="15" min="14" style="0" width="13.28"/>
    <col collapsed="false" customWidth="true" hidden="false" outlineLevel="0" max="16" min="16" style="0" width="12.42"/>
  </cols>
  <sheetData>
    <row r="1" customFormat="false" ht="30.75" hidden="false" customHeight="false" outlineLevel="0" collapsed="false">
      <c r="A1" s="308" t="s">
        <v>0</v>
      </c>
      <c r="B1" s="4"/>
      <c r="C1" s="112"/>
      <c r="D1" s="112"/>
      <c r="E1" s="113"/>
      <c r="F1" s="113"/>
      <c r="G1" s="4"/>
      <c r="H1" s="4"/>
      <c r="I1" s="4"/>
      <c r="J1" s="4"/>
      <c r="K1" s="4"/>
      <c r="L1" s="309" t="s">
        <v>343</v>
      </c>
      <c r="M1" s="309"/>
      <c r="N1" s="309"/>
      <c r="O1" s="309"/>
      <c r="P1" s="309"/>
      <c r="Q1" s="309"/>
    </row>
    <row r="3" customFormat="false" ht="15.75" hidden="false" customHeight="false" outlineLevel="0" collapsed="false">
      <c r="Q3" s="248" t="s">
        <v>110</v>
      </c>
    </row>
    <row r="7" customFormat="false" ht="12.75" hidden="false" customHeight="false" outlineLevel="0" collapsed="false">
      <c r="I7" s="123"/>
      <c r="J7" s="123"/>
      <c r="K7" s="123"/>
      <c r="L7" s="126"/>
      <c r="M7" s="126"/>
      <c r="N7" s="126"/>
      <c r="O7" s="126"/>
    </row>
    <row r="8" customFormat="false" ht="12.75" hidden="false" customHeight="false" outlineLevel="0" collapsed="false">
      <c r="I8" s="123"/>
      <c r="J8" s="123"/>
      <c r="K8" s="123"/>
      <c r="L8" s="126"/>
      <c r="M8" s="126"/>
      <c r="N8" s="126"/>
      <c r="O8" s="126"/>
    </row>
    <row r="9" customFormat="false" ht="12.75" hidden="false" customHeight="false" outlineLevel="0" collapsed="false">
      <c r="J9" s="58"/>
      <c r="K9" s="58"/>
    </row>
    <row r="10" customFormat="false" ht="12.75" hidden="false" customHeight="false" outlineLevel="0" collapsed="false">
      <c r="I10" s="310" t="s">
        <v>344</v>
      </c>
      <c r="J10" s="311" t="s">
        <v>344</v>
      </c>
      <c r="K10" s="312" t="s">
        <v>111</v>
      </c>
      <c r="L10" s="7" t="s">
        <v>112</v>
      </c>
    </row>
    <row r="11" customFormat="false" ht="12.75" hidden="false" customHeight="false" outlineLevel="0" collapsed="false">
      <c r="B11" s="53" t="s">
        <v>345</v>
      </c>
      <c r="C11" s="23"/>
      <c r="D11" s="23"/>
      <c r="E11" s="23"/>
      <c r="F11" s="23"/>
      <c r="G11" s="313"/>
      <c r="I11" s="314" t="n">
        <v>1999</v>
      </c>
      <c r="J11" s="315" t="n">
        <v>2000</v>
      </c>
      <c r="K11" s="316" t="n">
        <v>2001</v>
      </c>
      <c r="L11" s="315" t="n">
        <v>2001</v>
      </c>
      <c r="M11" s="317" t="n">
        <v>2002</v>
      </c>
      <c r="N11" s="317" t="n">
        <v>2003</v>
      </c>
      <c r="O11" s="317" t="n">
        <v>2004</v>
      </c>
      <c r="P11" s="318" t="n">
        <v>2005</v>
      </c>
      <c r="Q11" s="23"/>
    </row>
    <row r="12" customFormat="false" ht="12.75" hidden="false" customHeight="false" outlineLevel="0" collapsed="false">
      <c r="B12" s="23"/>
      <c r="C12" s="23"/>
      <c r="D12" s="23"/>
      <c r="E12" s="23"/>
      <c r="F12" s="23"/>
      <c r="G12" s="23"/>
      <c r="K12" s="319"/>
      <c r="L12" s="319"/>
      <c r="M12" s="310"/>
      <c r="N12" s="310"/>
      <c r="O12" s="310"/>
      <c r="P12" s="310"/>
      <c r="Q12" s="23"/>
    </row>
    <row r="13" customFormat="false" ht="12.75" hidden="false" customHeight="false" outlineLevel="0" collapsed="false">
      <c r="B13" s="0" t="s">
        <v>346</v>
      </c>
      <c r="K13" s="320"/>
      <c r="L13" s="320"/>
      <c r="Q13" s="23"/>
    </row>
    <row r="14" customFormat="false" ht="12.75" hidden="false" customHeight="false" outlineLevel="0" collapsed="false">
      <c r="B14" s="34" t="s">
        <v>266</v>
      </c>
      <c r="C14" s="23"/>
      <c r="D14" s="23"/>
      <c r="E14" s="23"/>
      <c r="F14" s="23"/>
      <c r="G14" s="23"/>
      <c r="I14" s="321" t="n">
        <f aca="false">+'Profit &amp; Loss'!J12</f>
        <v>5444</v>
      </c>
      <c r="J14" s="321" t="n">
        <f aca="false">+'Profit &amp; Loss'!K12</f>
        <v>8922</v>
      </c>
      <c r="K14" s="320" t="n">
        <f aca="false">AVERAGE($I$14:$J$14)/2</f>
        <v>3591.5</v>
      </c>
      <c r="L14" s="320" t="n">
        <f aca="false">+K14</f>
        <v>3591.5</v>
      </c>
      <c r="M14" s="321" t="n">
        <f aca="false">+SUM(K14:L14)*(1+Assumptions!$B$17)</f>
        <v>7470.32</v>
      </c>
      <c r="N14" s="321" t="n">
        <f aca="false">+M14*(1+Assumptions!$B$17)</f>
        <v>7769.1328</v>
      </c>
      <c r="O14" s="321" t="n">
        <f aca="false">+N14*(1+Assumptions!$B$17)</f>
        <v>8079.898112</v>
      </c>
      <c r="P14" s="321" t="n">
        <f aca="false">+O14*(1+Assumptions!$B$17)</f>
        <v>8403.09403648</v>
      </c>
      <c r="Q14" s="23"/>
    </row>
    <row r="15" customFormat="false" ht="12.75" hidden="false" customHeight="false" outlineLevel="0" collapsed="false">
      <c r="B15" s="34" t="s">
        <v>267</v>
      </c>
      <c r="C15" s="23"/>
      <c r="D15" s="23"/>
      <c r="E15" s="23"/>
      <c r="F15" s="23"/>
      <c r="G15" s="23"/>
      <c r="I15" s="322" t="n">
        <f aca="false">+'Profit &amp; Loss'!J14+('Profit &amp; Loss'!J22/3)</f>
        <v>3957.33333333333</v>
      </c>
      <c r="J15" s="322" t="n">
        <f aca="false">+'Profit &amp; Loss'!K14+('Profit &amp; Loss'!K22/3)</f>
        <v>11400</v>
      </c>
      <c r="K15" s="323" t="n">
        <f aca="false">AVERAGE($I$15:$J$15)/2</f>
        <v>3839.33333333333</v>
      </c>
      <c r="L15" s="323" t="n">
        <f aca="false">+K15</f>
        <v>3839.33333333333</v>
      </c>
      <c r="M15" s="322" t="n">
        <f aca="false">+SUM(K15:L15)*(1+Assumptions!$B$17)</f>
        <v>7985.81333333333</v>
      </c>
      <c r="N15" s="322" t="n">
        <f aca="false">+M15*(1+Assumptions!$B$17)</f>
        <v>8305.24586666667</v>
      </c>
      <c r="O15" s="322" t="n">
        <f aca="false">+N15*(1+Assumptions!$B$17)</f>
        <v>8637.45570133333</v>
      </c>
      <c r="P15" s="322" t="n">
        <f aca="false">+O15*(1+Assumptions!$B$17)</f>
        <v>8982.95392938667</v>
      </c>
      <c r="Q15" s="23"/>
    </row>
    <row r="16" customFormat="false" ht="12.75" hidden="false" customHeight="false" outlineLevel="0" collapsed="false">
      <c r="B16" s="34" t="s">
        <v>268</v>
      </c>
      <c r="C16" s="23"/>
      <c r="D16" s="23"/>
      <c r="E16" s="23"/>
      <c r="F16" s="23"/>
      <c r="G16" s="23"/>
      <c r="I16" s="322" t="n">
        <f aca="false">+'Profit &amp; Loss'!J15</f>
        <v>25469</v>
      </c>
      <c r="J16" s="322" t="n">
        <f aca="false">+'Profit &amp; Loss'!K15</f>
        <v>41461</v>
      </c>
      <c r="K16" s="323" t="n">
        <f aca="false">(AVERAGE($I$16:$J$16)/2)</f>
        <v>16732.5</v>
      </c>
      <c r="L16" s="323" t="n">
        <f aca="false">+K16</f>
        <v>16732.5</v>
      </c>
      <c r="M16" s="322" t="n">
        <f aca="false">+(SUM(K16:L16)*(1+Assumptions!$B$17))</f>
        <v>34803.6</v>
      </c>
      <c r="N16" s="322" t="n">
        <f aca="false">+(M16*(1+Assumptions!$B$17))</f>
        <v>36195.744</v>
      </c>
      <c r="O16" s="322" t="n">
        <f aca="false">+(N16*(1+Assumptions!$B$17))</f>
        <v>37643.57376</v>
      </c>
      <c r="P16" s="322" t="n">
        <f aca="false">+(O16*(1+Assumptions!$B$17))</f>
        <v>39149.3167104</v>
      </c>
      <c r="Q16" s="23"/>
    </row>
    <row r="17" customFormat="false" ht="12.75" hidden="false" customHeight="false" outlineLevel="0" collapsed="false">
      <c r="B17" s="34" t="s">
        <v>269</v>
      </c>
      <c r="C17" s="23"/>
      <c r="D17" s="23"/>
      <c r="E17" s="23"/>
      <c r="F17" s="23"/>
      <c r="G17" s="23"/>
      <c r="I17" s="322" t="n">
        <f aca="false">+'Profit &amp; Loss'!J16</f>
        <v>13391</v>
      </c>
      <c r="J17" s="322" t="n">
        <f aca="false">+'Profit &amp; Loss'!K16</f>
        <v>11615</v>
      </c>
      <c r="K17" s="323" t="n">
        <f aca="false">AVERAGE($I$17:$J$17)/2</f>
        <v>6251.5</v>
      </c>
      <c r="L17" s="323" t="n">
        <f aca="false">+K17</f>
        <v>6251.5</v>
      </c>
      <c r="M17" s="322" t="n">
        <f aca="false">+SUM(K17:L17)*(1+Assumptions!$B$17)</f>
        <v>13003.12</v>
      </c>
      <c r="N17" s="322" t="n">
        <f aca="false">+M17*(1+Assumptions!$B$17)</f>
        <v>13523.2448</v>
      </c>
      <c r="O17" s="322" t="n">
        <f aca="false">+N17*(1+Assumptions!$B$17)</f>
        <v>14064.174592</v>
      </c>
      <c r="P17" s="322" t="n">
        <f aca="false">+O17*(1+Assumptions!$B$17)</f>
        <v>14626.74157568</v>
      </c>
      <c r="Q17" s="23"/>
    </row>
    <row r="18" customFormat="false" ht="3.75" hidden="false" customHeight="true" outlineLevel="0" collapsed="false">
      <c r="B18" s="23"/>
      <c r="C18" s="23"/>
      <c r="D18" s="23"/>
      <c r="E18" s="23"/>
      <c r="F18" s="23"/>
      <c r="G18" s="23"/>
      <c r="I18" s="322"/>
      <c r="J18" s="322"/>
      <c r="K18" s="323"/>
      <c r="L18" s="323"/>
      <c r="M18" s="322"/>
      <c r="N18" s="322"/>
      <c r="O18" s="322"/>
      <c r="P18" s="322"/>
      <c r="Q18" s="23"/>
    </row>
    <row r="19" customFormat="false" ht="12.75" hidden="false" customHeight="false" outlineLevel="0" collapsed="false">
      <c r="B19" s="23" t="s">
        <v>260</v>
      </c>
      <c r="C19" s="23"/>
      <c r="D19" s="23"/>
      <c r="E19" s="324"/>
      <c r="F19" s="23"/>
      <c r="G19" s="23"/>
      <c r="I19" s="322" t="n">
        <f aca="false">+'Profit &amp; Loss'!J13+('Profit &amp; Loss'!J22*2/3)</f>
        <v>7621.66666666667</v>
      </c>
      <c r="J19" s="322" t="n">
        <f aca="false">+'Profit &amp; Loss'!K13+(2/3*'Profit &amp; Loss'!K22)</f>
        <v>9708</v>
      </c>
      <c r="K19" s="323" t="n">
        <f aca="false">+('Sea-3 NH '!$J$18+'Sea-3 Tampa'!$J$17)</f>
        <v>5025.06</v>
      </c>
      <c r="L19" s="323" t="n">
        <f aca="false">+('Sea-3 NH '!$J$18+'Sea-3 Tampa'!$J$17)</f>
        <v>5025.06</v>
      </c>
      <c r="M19" s="322" t="n">
        <f aca="false">+('Sea-3 NH '!K18+'Sea-3 Tampa'!K17)</f>
        <v>10244.12</v>
      </c>
      <c r="N19" s="322" t="n">
        <f aca="false">+('Sea-3 NH '!L18+'Sea-3 Tampa'!L17)</f>
        <v>8877.36</v>
      </c>
      <c r="O19" s="322" t="n">
        <f aca="false">+('Sea-3 NH '!M18+'Sea-3 Tampa'!M17)</f>
        <v>9019.152</v>
      </c>
      <c r="P19" s="322" t="n">
        <f aca="false">+('Sea-3 NH '!N18+'Sea-3 Tampa'!N17)</f>
        <v>8942.61568</v>
      </c>
      <c r="Q19" s="23"/>
    </row>
    <row r="20" customFormat="false" ht="12.75" hidden="false" customHeight="false" outlineLevel="0" collapsed="false">
      <c r="B20" s="23" t="s">
        <v>347</v>
      </c>
      <c r="C20" s="23"/>
      <c r="D20" s="23"/>
      <c r="E20" s="23"/>
      <c r="F20" s="23"/>
      <c r="G20" s="23"/>
      <c r="I20" s="325" t="n">
        <f aca="false">+'Profit &amp; Loss'!J17</f>
        <v>7547</v>
      </c>
      <c r="J20" s="325" t="n">
        <f aca="false">+'Profit &amp; Loss'!K17</f>
        <v>14102</v>
      </c>
      <c r="K20" s="326" t="n">
        <f aca="false">AVERAGE($I$20:$J$20)/2</f>
        <v>5412.25</v>
      </c>
      <c r="L20" s="326" t="n">
        <f aca="false">+K20</f>
        <v>5412.25</v>
      </c>
      <c r="M20" s="325" t="n">
        <f aca="false">+SUM(K20:L20)*(1+Assumptions!$B$17)</f>
        <v>11257.48</v>
      </c>
      <c r="N20" s="325" t="n">
        <f aca="false">+M20*(1+Assumptions!$B$17)</f>
        <v>11707.7792</v>
      </c>
      <c r="O20" s="325" t="n">
        <f aca="false">+N20*(1+Assumptions!$B$17)</f>
        <v>12176.090368</v>
      </c>
      <c r="P20" s="325" t="n">
        <f aca="false">+O20*(1+Assumptions!$B$17)</f>
        <v>12663.13398272</v>
      </c>
      <c r="Q20" s="23"/>
    </row>
    <row r="21" customFormat="false" ht="12.75" hidden="false" customHeight="false" outlineLevel="0" collapsed="false">
      <c r="B21" s="23" t="s">
        <v>348</v>
      </c>
      <c r="C21" s="23"/>
      <c r="D21" s="23"/>
      <c r="E21" s="23"/>
      <c r="F21" s="23"/>
      <c r="G21" s="23"/>
      <c r="I21" s="321" t="n">
        <f aca="false">SUM(I14:I20)</f>
        <v>63430</v>
      </c>
      <c r="J21" s="321" t="n">
        <f aca="false">SUM(J14:J20)</f>
        <v>97208</v>
      </c>
      <c r="K21" s="320" t="n">
        <f aca="false">SUM(K14:K20)</f>
        <v>40852.1433333333</v>
      </c>
      <c r="L21" s="320" t="n">
        <f aca="false">SUM(L14:L20)</f>
        <v>40852.1433333333</v>
      </c>
      <c r="M21" s="321" t="n">
        <f aca="false">SUM(M14:M20)</f>
        <v>84764.4533333333</v>
      </c>
      <c r="N21" s="321" t="n">
        <f aca="false">SUM(N14:N20)</f>
        <v>86378.5066666667</v>
      </c>
      <c r="O21" s="321" t="n">
        <f aca="false">SUM(O14:O20)</f>
        <v>89620.3445333333</v>
      </c>
      <c r="P21" s="321" t="n">
        <f aca="false">SUM(P14:P20)</f>
        <v>92767.8559146667</v>
      </c>
      <c r="Q21" s="23"/>
    </row>
    <row r="22" customFormat="false" ht="12.75" hidden="false" customHeight="false" outlineLevel="0" collapsed="false">
      <c r="B22" s="23"/>
      <c r="C22" s="23"/>
      <c r="D22" s="23"/>
      <c r="E22" s="23"/>
      <c r="F22" s="23"/>
      <c r="G22" s="23"/>
      <c r="I22" s="31"/>
      <c r="J22" s="327"/>
      <c r="K22" s="328"/>
      <c r="L22" s="328"/>
      <c r="M22" s="329"/>
      <c r="N22" s="327"/>
      <c r="O22" s="327"/>
      <c r="P22" s="31"/>
      <c r="Q22" s="23"/>
    </row>
    <row r="23" customFormat="false" ht="12.75" hidden="false" customHeight="false" outlineLevel="0" collapsed="false">
      <c r="B23" s="23" t="s">
        <v>349</v>
      </c>
      <c r="C23" s="23"/>
      <c r="D23" s="23"/>
      <c r="E23" s="23"/>
      <c r="F23" s="23"/>
      <c r="G23" s="23"/>
      <c r="I23" s="322" t="n">
        <f aca="false">+'Profit &amp; Loss'!J20+'Misc Calcs'!F9+'Misc Calcs'!J121</f>
        <v>-27622</v>
      </c>
      <c r="J23" s="322" t="n">
        <f aca="false">+'Profit &amp; Loss'!K20+'Misc Calcs'!G9+'Misc Calcs'!K121</f>
        <v>-29440</v>
      </c>
      <c r="K23" s="323" t="n">
        <f aca="false">+AVERAGE(I23:J23)/2</f>
        <v>-14265.5</v>
      </c>
      <c r="L23" s="323" t="n">
        <f aca="false">-(-'Profit &amp; Loss'!J20-'Misc Calcs'!F9-'Misc Calcs'!J121-'Profit &amp; Loss'!K20-'Misc Calcs'!G9-'Misc Calcs'!K121)/4</f>
        <v>-14265.5</v>
      </c>
      <c r="M23" s="322" t="n">
        <f aca="false">AVERAGE(I23:J23)</f>
        <v>-28531</v>
      </c>
      <c r="N23" s="322" t="n">
        <f aca="false">+M23</f>
        <v>-28531</v>
      </c>
      <c r="O23" s="322" t="n">
        <f aca="false">+N23</f>
        <v>-28531</v>
      </c>
      <c r="P23" s="322" t="n">
        <f aca="false">+O23</f>
        <v>-28531</v>
      </c>
      <c r="Q23" s="23"/>
    </row>
    <row r="24" customFormat="false" ht="12.75" hidden="false" customHeight="false" outlineLevel="0" collapsed="false">
      <c r="B24" s="23" t="s">
        <v>350</v>
      </c>
      <c r="C24" s="23"/>
      <c r="D24" s="23"/>
      <c r="E24" s="23"/>
      <c r="F24" s="23"/>
      <c r="G24" s="330"/>
      <c r="I24" s="322" t="n">
        <f aca="false">+'Profit &amp; Loss'!J21+'Misc Calcs'!F10+'Misc Calcs'!J123</f>
        <v>-9965</v>
      </c>
      <c r="J24" s="322" t="n">
        <f aca="false">+'Profit &amp; Loss'!K21+'Misc Calcs'!G10+'Misc Calcs'!K123</f>
        <v>-19369</v>
      </c>
      <c r="K24" s="323" t="n">
        <f aca="false">AVERAGE(I24:J24)/2</f>
        <v>-7333.5</v>
      </c>
      <c r="L24" s="323" t="n">
        <f aca="false">(-(SUM(L14:L17)+L19)*Assumptions!$B$19)</f>
        <v>-7087.97866666667</v>
      </c>
      <c r="M24" s="322" t="n">
        <f aca="false">(-(SUM(M14:M17)+M19)*Assumptions!$B$19)</f>
        <v>-14701.3946666667</v>
      </c>
      <c r="N24" s="322" t="n">
        <f aca="false">(-(SUM(N14:N17)+N19)*Assumptions!$B$19)</f>
        <v>-14934.1454933333</v>
      </c>
      <c r="O24" s="322" t="n">
        <f aca="false">(-(SUM(O14:O17)+O19)*Assumptions!$B$19)</f>
        <v>-15488.8508330667</v>
      </c>
      <c r="P24" s="322" t="n">
        <f aca="false">(-(SUM(P14:P17)+P19)*Assumptions!$B$19)</f>
        <v>-16020.9443863893</v>
      </c>
      <c r="Q24" s="23"/>
    </row>
    <row r="25" customFormat="false" ht="12.75" hidden="true" customHeight="false" outlineLevel="1" collapsed="false">
      <c r="B25" s="23" t="s">
        <v>351</v>
      </c>
      <c r="C25" s="23"/>
      <c r="D25" s="23"/>
      <c r="E25" s="23"/>
      <c r="F25" s="23"/>
      <c r="G25" s="330"/>
      <c r="I25" s="322"/>
      <c r="J25" s="322"/>
      <c r="K25" s="323"/>
      <c r="L25" s="323"/>
      <c r="M25" s="322"/>
      <c r="N25" s="322"/>
      <c r="O25" s="322"/>
      <c r="P25" s="322"/>
      <c r="Q25" s="23"/>
    </row>
    <row r="26" customFormat="false" ht="12.75" hidden="true" customHeight="false" outlineLevel="1" collapsed="false">
      <c r="B26" s="23" t="s">
        <v>352</v>
      </c>
      <c r="C26" s="23"/>
      <c r="D26" s="23"/>
      <c r="E26" s="23"/>
      <c r="F26" s="23"/>
      <c r="G26" s="330"/>
      <c r="I26" s="322"/>
      <c r="J26" s="322"/>
      <c r="K26" s="323"/>
      <c r="L26" s="323"/>
      <c r="M26" s="322"/>
      <c r="N26" s="322"/>
      <c r="O26" s="322"/>
      <c r="P26" s="322"/>
      <c r="Q26" s="23"/>
    </row>
    <row r="27" customFormat="false" ht="12.75" hidden="false" customHeight="false" outlineLevel="0" collapsed="false">
      <c r="B27" s="23" t="s">
        <v>353</v>
      </c>
      <c r="C27" s="23"/>
      <c r="D27" s="23"/>
      <c r="E27" s="23"/>
      <c r="F27" s="23"/>
      <c r="G27" s="330"/>
      <c r="I27" s="322" t="n">
        <v>0</v>
      </c>
      <c r="J27" s="322" t="n">
        <v>0</v>
      </c>
      <c r="K27" s="323" t="n">
        <v>0</v>
      </c>
      <c r="L27" s="323" t="n">
        <f aca="false">-(Assumptions!$B$12*200*0.5)-Assumptions!B23*1000/2</f>
        <v>-1500</v>
      </c>
      <c r="M27" s="322" t="n">
        <f aca="false">-(Assumptions!$B$12*1000/5)-Assumptions!$B$23*1000</f>
        <v>-3000</v>
      </c>
      <c r="N27" s="322" t="n">
        <f aca="false">-(Assumptions!$B$12*1000/5)-Assumptions!$B$23*1000</f>
        <v>-3000</v>
      </c>
      <c r="O27" s="322" t="n">
        <f aca="false">-(Assumptions!$B$12*1000/5)-Assumptions!$B$23*1000</f>
        <v>-3000</v>
      </c>
      <c r="P27" s="322" t="n">
        <f aca="false">-(Assumptions!$B$12*1000/5)-Assumptions!$B$23*1000</f>
        <v>-3000</v>
      </c>
      <c r="Q27" s="23"/>
    </row>
    <row r="28" customFormat="false" ht="12.75" hidden="true" customHeight="false" outlineLevel="1" collapsed="false">
      <c r="B28" s="23" t="s">
        <v>354</v>
      </c>
      <c r="C28" s="23"/>
      <c r="D28" s="23"/>
      <c r="E28" s="23"/>
      <c r="F28" s="23"/>
      <c r="G28" s="330"/>
      <c r="I28" s="322" t="n">
        <v>0</v>
      </c>
      <c r="J28" s="322" t="n">
        <v>0</v>
      </c>
      <c r="K28" s="323" t="n">
        <v>0</v>
      </c>
      <c r="L28" s="323" t="n">
        <v>0</v>
      </c>
      <c r="M28" s="322" t="n">
        <v>0</v>
      </c>
      <c r="N28" s="322" t="n">
        <v>0</v>
      </c>
      <c r="O28" s="322" t="n">
        <v>0</v>
      </c>
      <c r="P28" s="322" t="n">
        <v>0</v>
      </c>
      <c r="Q28" s="23"/>
    </row>
    <row r="29" customFormat="false" ht="12.75" hidden="false" customHeight="false" outlineLevel="0" collapsed="false">
      <c r="B29" s="23" t="s">
        <v>355</v>
      </c>
      <c r="C29" s="23"/>
      <c r="D29" s="23"/>
      <c r="E29" s="23"/>
      <c r="F29" s="23"/>
      <c r="G29" s="23"/>
      <c r="I29" s="322" t="n">
        <v>0</v>
      </c>
      <c r="J29" s="322" t="n">
        <v>0</v>
      </c>
      <c r="K29" s="323" t="n">
        <v>0</v>
      </c>
      <c r="L29" s="323" t="n">
        <v>0</v>
      </c>
      <c r="M29" s="322" t="n">
        <f aca="false">Assumptions!E15*(SUM('Valuation - DCF'!M15:M16))</f>
        <v>2139.47066666667</v>
      </c>
      <c r="N29" s="322" t="n">
        <f aca="false">Assumptions!F15*(SUM('Valuation - DCF'!N15:N16))</f>
        <v>4450.09898666667</v>
      </c>
      <c r="O29" s="322" t="n">
        <f aca="false">Assumptions!G15*(SUM('Valuation - DCF'!O15:O16))</f>
        <v>6942.1544192</v>
      </c>
      <c r="P29" s="322" t="n">
        <f aca="false">Assumptions!H15*(SUM('Valuation - DCF'!P15:P16))</f>
        <v>9626.45412795734</v>
      </c>
      <c r="Q29" s="23"/>
    </row>
    <row r="30" customFormat="false" ht="12.75" hidden="false" customHeight="false" outlineLevel="0" collapsed="false">
      <c r="B30" s="23" t="s">
        <v>356</v>
      </c>
      <c r="C30" s="23"/>
      <c r="D30" s="23"/>
      <c r="E30" s="23"/>
      <c r="F30" s="23"/>
      <c r="G30" s="23"/>
      <c r="I30" s="322" t="n">
        <v>0</v>
      </c>
      <c r="J30" s="322" t="n">
        <v>0</v>
      </c>
      <c r="K30" s="323" t="n">
        <v>0</v>
      </c>
      <c r="L30" s="323" t="n">
        <v>0</v>
      </c>
      <c r="M30" s="322" t="n">
        <v>5000</v>
      </c>
      <c r="N30" s="322" t="n">
        <v>10000</v>
      </c>
      <c r="O30" s="322" t="n">
        <v>15000</v>
      </c>
      <c r="P30" s="322" t="n">
        <v>20000</v>
      </c>
      <c r="Q30" s="23"/>
    </row>
    <row r="31" customFormat="false" ht="12.75" hidden="false" customHeight="false" outlineLevel="0" collapsed="false">
      <c r="B31" s="23" t="s">
        <v>357</v>
      </c>
      <c r="C31" s="23"/>
      <c r="D31" s="23"/>
      <c r="E31" s="23"/>
      <c r="F31" s="23"/>
      <c r="G31" s="23"/>
      <c r="I31" s="325" t="n">
        <v>0</v>
      </c>
      <c r="J31" s="325" t="n">
        <v>0</v>
      </c>
      <c r="K31" s="326" t="n">
        <v>0</v>
      </c>
      <c r="L31" s="326" t="n">
        <f aca="false">-Assumptions!$B$18*(L15+L16)</f>
        <v>-1234.31</v>
      </c>
      <c r="M31" s="325" t="n">
        <f aca="false">-Assumptions!$B$18*(M15+M16)</f>
        <v>-2567.3648</v>
      </c>
      <c r="N31" s="325" t="n">
        <f aca="false">-Assumptions!$B$18*(N15+N16)</f>
        <v>-2670.059392</v>
      </c>
      <c r="O31" s="325" t="n">
        <f aca="false">-Assumptions!$B$18*(O15+O16)</f>
        <v>-2776.86176768</v>
      </c>
      <c r="P31" s="325" t="n">
        <f aca="false">-Assumptions!$B$18*(P15+P16)</f>
        <v>-2887.9362383872</v>
      </c>
      <c r="Q31" s="23"/>
    </row>
    <row r="32" customFormat="false" ht="12.75" hidden="false" customHeight="false" outlineLevel="0" collapsed="false">
      <c r="B32" s="23" t="s">
        <v>68</v>
      </c>
      <c r="C32" s="23"/>
      <c r="D32" s="23"/>
      <c r="E32" s="23"/>
      <c r="F32" s="23"/>
      <c r="G32" s="23"/>
      <c r="I32" s="321" t="n">
        <f aca="false">SUM(I21:I31)</f>
        <v>25843</v>
      </c>
      <c r="J32" s="321" t="n">
        <f aca="false">SUM(J21:J31)</f>
        <v>48399</v>
      </c>
      <c r="K32" s="320" t="n">
        <f aca="false">SUM(K21:K31)</f>
        <v>19253.1433333333</v>
      </c>
      <c r="L32" s="320" t="n">
        <f aca="false">SUM(L21:L31)</f>
        <v>16764.3546666667</v>
      </c>
      <c r="M32" s="321" t="n">
        <f aca="false">SUM(M21:M31)</f>
        <v>43104.1645333333</v>
      </c>
      <c r="N32" s="321" t="n">
        <f aca="false">SUM(N21:N31)</f>
        <v>51693.400768</v>
      </c>
      <c r="O32" s="321" t="n">
        <f aca="false">SUM(O21:O31)</f>
        <v>61765.7863517867</v>
      </c>
      <c r="P32" s="321" t="n">
        <f aca="false">SUM(P21:P31)</f>
        <v>71954.4294178475</v>
      </c>
      <c r="Q32" s="23"/>
    </row>
    <row r="33" customFormat="false" ht="12.75" hidden="false" customHeight="false" outlineLevel="0" collapsed="false">
      <c r="B33" s="23"/>
      <c r="C33" s="23"/>
      <c r="D33" s="23"/>
      <c r="E33" s="23"/>
      <c r="F33" s="23"/>
      <c r="G33" s="23"/>
      <c r="I33" s="31"/>
      <c r="J33" s="327"/>
      <c r="K33" s="328"/>
      <c r="L33" s="328"/>
      <c r="M33" s="327"/>
      <c r="N33" s="327"/>
      <c r="O33" s="327"/>
      <c r="P33" s="31"/>
      <c r="Q33" s="23"/>
    </row>
    <row r="34" customFormat="false" ht="12.75" hidden="false" customHeight="false" outlineLevel="0" collapsed="false">
      <c r="B34" s="23" t="s">
        <v>122</v>
      </c>
      <c r="C34" s="23"/>
      <c r="D34" s="23"/>
      <c r="E34" s="23"/>
      <c r="F34" s="23"/>
      <c r="G34" s="23"/>
      <c r="I34" s="325" t="n">
        <f aca="false">-'Income Statement'!E16</f>
        <v>-2146</v>
      </c>
      <c r="J34" s="325" t="n">
        <f aca="false">-'Income Statement'!F16</f>
        <v>-3300</v>
      </c>
      <c r="K34" s="326" t="n">
        <f aca="false">-'Income Statement'!G16</f>
        <v>-1332.93172758222</v>
      </c>
      <c r="L34" s="326" t="n">
        <f aca="false">-'Income Statement'!H16</f>
        <v>-1845.0399427051</v>
      </c>
      <c r="M34" s="325" t="n">
        <f aca="false">-'Income Statement'!J16</f>
        <v>-3706.74655207688</v>
      </c>
      <c r="N34" s="325" t="n">
        <f aca="false">-'Income Statement'!K16</f>
        <v>-3723.41321874354</v>
      </c>
      <c r="O34" s="325" t="n">
        <f aca="false">-'Income Statement'!L16</f>
        <v>-3740.07988541021</v>
      </c>
      <c r="P34" s="325" t="n">
        <f aca="false">-'Income Statement'!M16</f>
        <v>-3756.74655207688</v>
      </c>
      <c r="Q34" s="23"/>
    </row>
    <row r="35" customFormat="false" ht="12.75" hidden="false" customHeight="false" outlineLevel="0" collapsed="false">
      <c r="B35" s="23" t="s">
        <v>176</v>
      </c>
      <c r="C35" s="23"/>
      <c r="D35" s="23"/>
      <c r="E35" s="23"/>
      <c r="F35" s="23"/>
      <c r="G35" s="23"/>
      <c r="I35" s="321" t="n">
        <f aca="false">+I32+I34</f>
        <v>23697</v>
      </c>
      <c r="J35" s="321" t="n">
        <f aca="false">+J32+J34</f>
        <v>45099</v>
      </c>
      <c r="K35" s="320" t="n">
        <f aca="false">+K32+K34</f>
        <v>17920.2116057511</v>
      </c>
      <c r="L35" s="320" t="n">
        <f aca="false">+L32+L34</f>
        <v>14919.3147239616</v>
      </c>
      <c r="M35" s="321" t="n">
        <f aca="false">+M32+M34</f>
        <v>39397.4179812565</v>
      </c>
      <c r="N35" s="321" t="n">
        <f aca="false">+N32+N34</f>
        <v>47969.9875492565</v>
      </c>
      <c r="O35" s="321" t="n">
        <f aca="false">+O32+O34</f>
        <v>58025.7064663765</v>
      </c>
      <c r="P35" s="321" t="n">
        <f aca="false">+P32+P34</f>
        <v>68197.6828657706</v>
      </c>
      <c r="Q35" s="23"/>
    </row>
    <row r="36" customFormat="false" ht="12.75" hidden="false" customHeight="false" outlineLevel="0" collapsed="false">
      <c r="B36" s="23" t="s">
        <v>358</v>
      </c>
      <c r="C36" s="23"/>
      <c r="D36" s="23"/>
      <c r="E36" s="23"/>
      <c r="F36" s="23"/>
      <c r="G36" s="23"/>
      <c r="I36" s="322" t="n">
        <f aca="false">+'Profit &amp; Loss'!J33</f>
        <v>-3148</v>
      </c>
      <c r="J36" s="322" t="n">
        <f aca="false">+'Profit &amp; Loss'!K33</f>
        <v>-7978</v>
      </c>
      <c r="K36" s="323" t="n">
        <f aca="false">-'Income Statement'!G19</f>
        <v>-6097.575</v>
      </c>
      <c r="L36" s="323" t="n">
        <f aca="false">-'Income Statement'!H19</f>
        <v>-6765</v>
      </c>
      <c r="M36" s="322" t="n">
        <f aca="false">-'Income Statement'!J19</f>
        <v>-13530</v>
      </c>
      <c r="N36" s="322" t="n">
        <f aca="false">-'Income Statement'!K19</f>
        <v>-13530</v>
      </c>
      <c r="O36" s="322" t="n">
        <f aca="false">-'Income Statement'!L19</f>
        <v>-13530</v>
      </c>
      <c r="P36" s="322" t="n">
        <f aca="false">-'Income Statement'!M19</f>
        <v>-13530</v>
      </c>
      <c r="Q36" s="23"/>
    </row>
    <row r="37" customFormat="false" ht="12.75" hidden="false" customHeight="false" outlineLevel="0" collapsed="false">
      <c r="B37" s="23" t="s">
        <v>359</v>
      </c>
      <c r="C37" s="23"/>
      <c r="D37" s="23"/>
      <c r="E37" s="23"/>
      <c r="F37" s="23"/>
      <c r="G37" s="23"/>
      <c r="I37" s="325" t="n">
        <f aca="false">-(I35+I36)*Assumptions!$B$8</f>
        <v>-7192.15</v>
      </c>
      <c r="J37" s="325" t="n">
        <f aca="false">-(J35+J36)*Assumptions!$B$8</f>
        <v>-12992.35</v>
      </c>
      <c r="K37" s="326" t="n">
        <f aca="false">-(K35+K36)*Assumptions!$B$8</f>
        <v>-4137.92281201289</v>
      </c>
      <c r="L37" s="326" t="n">
        <f aca="false">-(L35+L36)*Assumptions!$B$8</f>
        <v>-2854.01015338655</v>
      </c>
      <c r="M37" s="325" t="n">
        <f aca="false">-(M35+M36)*Assumptions!$B$8</f>
        <v>-9053.59629343976</v>
      </c>
      <c r="N37" s="325" t="n">
        <f aca="false">-(N35+N36)*Assumptions!$B$8</f>
        <v>-12053.9956422398</v>
      </c>
      <c r="O37" s="325" t="n">
        <f aca="false">-(O35+O36)*Assumptions!$B$8</f>
        <v>-15573.4972632318</v>
      </c>
      <c r="P37" s="325" t="n">
        <f aca="false">-(P35+P36)*Assumptions!$B$8</f>
        <v>-19133.6890030197</v>
      </c>
      <c r="Q37" s="23"/>
    </row>
    <row r="38" customFormat="false" ht="12.75" hidden="false" customHeight="false" outlineLevel="0" collapsed="false">
      <c r="B38" s="23" t="s">
        <v>65</v>
      </c>
      <c r="C38" s="23"/>
      <c r="D38" s="23"/>
      <c r="E38" s="23"/>
      <c r="F38" s="23"/>
      <c r="G38" s="23"/>
      <c r="I38" s="331" t="n">
        <f aca="false">SUM(I35:I37)</f>
        <v>13356.85</v>
      </c>
      <c r="J38" s="331" t="n">
        <f aca="false">SUM(J35:J37)</f>
        <v>24128.65</v>
      </c>
      <c r="K38" s="332" t="n">
        <f aca="false">SUM(K35:K37)</f>
        <v>7684.71379373823</v>
      </c>
      <c r="L38" s="332" t="n">
        <f aca="false">SUM(L35:L37)</f>
        <v>5300.30457057502</v>
      </c>
      <c r="M38" s="331" t="n">
        <f aca="false">SUM(M35:M37)</f>
        <v>16813.8216878167</v>
      </c>
      <c r="N38" s="331" t="n">
        <f aca="false">SUM(N35:N37)</f>
        <v>22385.9919070167</v>
      </c>
      <c r="O38" s="331" t="n">
        <f aca="false">SUM(O35:O37)</f>
        <v>28922.2092031447</v>
      </c>
      <c r="P38" s="331" t="n">
        <f aca="false">SUM(P35:P37)</f>
        <v>35533.9938627509</v>
      </c>
      <c r="Q38" s="23"/>
    </row>
    <row r="39" customFormat="false" ht="12.75" hidden="false" customHeight="false" outlineLevel="0" collapsed="false">
      <c r="B39" s="23"/>
      <c r="C39" s="23"/>
      <c r="D39" s="23"/>
      <c r="E39" s="23"/>
      <c r="F39" s="23"/>
      <c r="G39" s="23"/>
      <c r="H39" s="23"/>
      <c r="I39" s="23"/>
      <c r="J39" s="23"/>
      <c r="K39" s="23"/>
      <c r="L39" s="23"/>
      <c r="M39" s="31"/>
      <c r="N39" s="31"/>
      <c r="O39" s="23"/>
      <c r="P39" s="23"/>
      <c r="Q39" s="23"/>
      <c r="R39" s="23"/>
    </row>
    <row r="40" customFormat="false" ht="12.75" hidden="false" customHeight="false" outlineLevel="0" collapsed="false">
      <c r="B40" s="53" t="s">
        <v>360</v>
      </c>
      <c r="C40" s="23"/>
      <c r="D40" s="23"/>
      <c r="E40" s="23"/>
      <c r="F40" s="23"/>
      <c r="G40" s="23"/>
      <c r="H40" s="23"/>
      <c r="I40" s="333"/>
      <c r="J40" s="276"/>
      <c r="K40" s="334" t="n">
        <v>37073</v>
      </c>
      <c r="L40" s="275" t="n">
        <v>37256</v>
      </c>
      <c r="M40" s="275" t="n">
        <v>37621</v>
      </c>
      <c r="N40" s="275" t="n">
        <v>37986</v>
      </c>
      <c r="O40" s="275" t="n">
        <v>38352</v>
      </c>
      <c r="P40" s="275" t="n">
        <v>38717</v>
      </c>
      <c r="Q40" s="335" t="n">
        <v>38718</v>
      </c>
      <c r="R40" s="23"/>
    </row>
    <row r="41" customFormat="false" ht="12.75" hidden="false" customHeight="false" outlineLevel="0" collapsed="false">
      <c r="B41" s="23"/>
      <c r="C41" s="23"/>
      <c r="D41" s="23"/>
      <c r="E41" s="23"/>
      <c r="F41" s="23"/>
      <c r="G41" s="23"/>
      <c r="H41" s="23"/>
      <c r="I41" s="23"/>
      <c r="J41" s="23"/>
      <c r="K41" s="23"/>
      <c r="L41" s="23"/>
      <c r="M41" s="31"/>
      <c r="N41" s="31"/>
      <c r="O41" s="31"/>
      <c r="P41" s="31"/>
      <c r="Q41" s="23"/>
      <c r="R41" s="23"/>
    </row>
    <row r="42" customFormat="false" ht="12.75" hidden="false" customHeight="false" outlineLevel="0" collapsed="false">
      <c r="B42" s="23" t="s">
        <v>68</v>
      </c>
      <c r="C42" s="23"/>
      <c r="D42" s="23"/>
      <c r="E42" s="23"/>
      <c r="F42" s="23"/>
      <c r="G42" s="23"/>
      <c r="H42" s="23"/>
      <c r="I42" s="23"/>
      <c r="J42" s="23"/>
      <c r="K42" s="23"/>
      <c r="L42" s="321" t="n">
        <f aca="false">+L32</f>
        <v>16764.3546666667</v>
      </c>
      <c r="M42" s="321" t="n">
        <f aca="false">+M32</f>
        <v>43104.1645333333</v>
      </c>
      <c r="N42" s="321" t="n">
        <f aca="false">+N32</f>
        <v>51693.400768</v>
      </c>
      <c r="O42" s="321" t="n">
        <f aca="false">+O32</f>
        <v>61765.7863517867</v>
      </c>
      <c r="P42" s="321" t="n">
        <f aca="false">+P32</f>
        <v>71954.4294178475</v>
      </c>
      <c r="Q42" s="23"/>
      <c r="R42" s="23"/>
    </row>
    <row r="43" customFormat="false" ht="12.75" hidden="false" customHeight="false" outlineLevel="0" collapsed="false">
      <c r="B43" s="23" t="s">
        <v>361</v>
      </c>
      <c r="C43" s="23"/>
      <c r="D43" s="23"/>
      <c r="E43" s="23"/>
      <c r="F43" s="23"/>
      <c r="G43" s="23"/>
      <c r="H43" s="23"/>
      <c r="I43" s="23"/>
      <c r="J43" s="23"/>
      <c r="K43" s="23"/>
      <c r="L43" s="325" t="n">
        <f aca="false">L34</f>
        <v>-1845.0399427051</v>
      </c>
      <c r="M43" s="325" t="n">
        <f aca="false">M34</f>
        <v>-3706.74655207688</v>
      </c>
      <c r="N43" s="325" t="n">
        <f aca="false">N34</f>
        <v>-3723.41321874354</v>
      </c>
      <c r="O43" s="325" t="n">
        <f aca="false">O34</f>
        <v>-3740.07988541021</v>
      </c>
      <c r="P43" s="325" t="n">
        <f aca="false">P34</f>
        <v>-3756.74655207688</v>
      </c>
      <c r="Q43" s="23"/>
      <c r="R43" s="23"/>
    </row>
    <row r="44" customFormat="false" ht="12.75" hidden="false" customHeight="false" outlineLevel="0" collapsed="false">
      <c r="B44" s="23" t="s">
        <v>176</v>
      </c>
      <c r="C44" s="23"/>
      <c r="D44" s="23"/>
      <c r="E44" s="23"/>
      <c r="F44" s="23"/>
      <c r="G44" s="23"/>
      <c r="H44" s="23"/>
      <c r="I44" s="23"/>
      <c r="J44" s="23"/>
      <c r="K44" s="23"/>
      <c r="L44" s="321" t="n">
        <f aca="false">+L42+L43</f>
        <v>14919.3147239616</v>
      </c>
      <c r="M44" s="321" t="n">
        <f aca="false">+M42+M43</f>
        <v>39397.4179812565</v>
      </c>
      <c r="N44" s="321" t="n">
        <f aca="false">+N42+N43</f>
        <v>47969.9875492565</v>
      </c>
      <c r="O44" s="321" t="n">
        <f aca="false">+O42+O43</f>
        <v>58025.7064663765</v>
      </c>
      <c r="P44" s="321" t="n">
        <f aca="false">+P42+P43</f>
        <v>68197.6828657706</v>
      </c>
      <c r="Q44" s="23"/>
      <c r="R44" s="23"/>
    </row>
    <row r="45" customFormat="false" ht="12.75" hidden="false" customHeight="false" outlineLevel="0" collapsed="false">
      <c r="B45" s="23" t="s">
        <v>362</v>
      </c>
      <c r="C45" s="23"/>
      <c r="D45" s="23"/>
      <c r="E45" s="23"/>
      <c r="F45" s="23"/>
      <c r="G45" s="23"/>
      <c r="H45" s="23"/>
      <c r="I45" s="23"/>
      <c r="J45" s="23"/>
      <c r="K45" s="23"/>
      <c r="L45" s="322" t="n">
        <f aca="false">-L44*Assumptions!$B$8</f>
        <v>-5221.76015338655</v>
      </c>
      <c r="M45" s="322" t="n">
        <f aca="false">-M44*Assumptions!$B$8</f>
        <v>-13789.0962934398</v>
      </c>
      <c r="N45" s="322" t="n">
        <f aca="false">-N44*Assumptions!$B$8</f>
        <v>-16789.4956422398</v>
      </c>
      <c r="O45" s="322" t="n">
        <f aca="false">-O44*Assumptions!$B$8</f>
        <v>-20308.9972632318</v>
      </c>
      <c r="P45" s="322" t="n">
        <f aca="false">-P44*Assumptions!$B$8</f>
        <v>-23869.1890030197</v>
      </c>
      <c r="Q45" s="23"/>
      <c r="R45" s="23"/>
    </row>
    <row r="46" customFormat="false" ht="12.75" hidden="false" customHeight="false" outlineLevel="0" collapsed="false">
      <c r="B46" s="23" t="s">
        <v>363</v>
      </c>
      <c r="C46" s="23"/>
      <c r="D46" s="23"/>
      <c r="E46" s="23"/>
      <c r="F46" s="23"/>
      <c r="G46" s="23"/>
      <c r="H46" s="23"/>
      <c r="I46" s="23"/>
      <c r="J46" s="23"/>
      <c r="K46" s="23"/>
      <c r="L46" s="325" t="n">
        <f aca="false">(DAYS360($K$40,$L$40)/365)*Dep!F106</f>
        <v>1807.10245297181</v>
      </c>
      <c r="M46" s="325" t="n">
        <f aca="false">Dep!G106</f>
        <v>6538.71612345173</v>
      </c>
      <c r="N46" s="325" t="n">
        <f aca="false">Dep!H106</f>
        <v>4616.33065057254</v>
      </c>
      <c r="O46" s="325" t="n">
        <f aca="false">Dep!I106</f>
        <v>3241.52650327788</v>
      </c>
      <c r="P46" s="325" t="n">
        <f aca="false">Dep!J106</f>
        <v>2261.05091040408</v>
      </c>
      <c r="Q46" s="23"/>
      <c r="R46" s="23"/>
    </row>
    <row r="47" customFormat="false" ht="12.75" hidden="false" customHeight="false" outlineLevel="0" collapsed="false">
      <c r="B47" s="23" t="s">
        <v>364</v>
      </c>
      <c r="C47" s="23"/>
      <c r="D47" s="23"/>
      <c r="E47" s="23"/>
      <c r="F47" s="23"/>
      <c r="G47" s="23"/>
      <c r="H47" s="23"/>
      <c r="I47" s="23"/>
      <c r="J47" s="23"/>
      <c r="K47" s="23"/>
      <c r="L47" s="321" t="n">
        <f aca="false">+L44+L45+L46</f>
        <v>11504.6570235468</v>
      </c>
      <c r="M47" s="321" t="n">
        <f aca="false">+M44+M45+M46</f>
        <v>32147.0378112684</v>
      </c>
      <c r="N47" s="321" t="n">
        <f aca="false">+N44+N45+N46</f>
        <v>35796.8225575892</v>
      </c>
      <c r="O47" s="321" t="n">
        <f aca="false">+O44+O45+O46</f>
        <v>40958.2357064226</v>
      </c>
      <c r="P47" s="321" t="n">
        <f aca="false">+P44+P45+P46</f>
        <v>46589.544773155</v>
      </c>
      <c r="Q47" s="23"/>
      <c r="R47" s="23"/>
    </row>
    <row r="48" customFormat="false" ht="12.75" hidden="false" customHeight="false" outlineLevel="0" collapsed="false">
      <c r="B48" s="23" t="s">
        <v>365</v>
      </c>
      <c r="C48" s="23"/>
      <c r="D48" s="23"/>
      <c r="E48" s="23"/>
      <c r="F48" s="23"/>
      <c r="G48" s="23"/>
      <c r="H48" s="23"/>
      <c r="I48" s="23"/>
      <c r="J48" s="23"/>
      <c r="K48" s="23"/>
      <c r="L48" s="325" t="n">
        <f aca="false">-L34</f>
        <v>1845.0399427051</v>
      </c>
      <c r="M48" s="325" t="n">
        <f aca="false">-M34</f>
        <v>3706.74655207688</v>
      </c>
      <c r="N48" s="325" t="n">
        <f aca="false">-N34</f>
        <v>3723.41321874354</v>
      </c>
      <c r="O48" s="325" t="n">
        <f aca="false">-O34</f>
        <v>3740.07988541021</v>
      </c>
      <c r="P48" s="325" t="n">
        <f aca="false">-P34</f>
        <v>3756.74655207688</v>
      </c>
      <c r="Q48" s="23"/>
      <c r="R48" s="23"/>
    </row>
    <row r="49" customFormat="false" ht="12.75" hidden="false" customHeight="false" outlineLevel="0" collapsed="false">
      <c r="B49" s="23" t="s">
        <v>366</v>
      </c>
      <c r="C49" s="23"/>
      <c r="D49" s="23"/>
      <c r="E49" s="23"/>
      <c r="F49" s="23"/>
      <c r="G49" s="23"/>
      <c r="H49" s="23"/>
      <c r="I49" s="23"/>
      <c r="J49" s="23"/>
      <c r="K49" s="23"/>
      <c r="L49" s="321" t="n">
        <f aca="false">SUM(L47:L48)</f>
        <v>13349.6969662519</v>
      </c>
      <c r="M49" s="321" t="n">
        <f aca="false">SUM(M47:M48)</f>
        <v>35853.7843633453</v>
      </c>
      <c r="N49" s="321" t="n">
        <f aca="false">SUM(N47:N48)</f>
        <v>39520.2357763328</v>
      </c>
      <c r="O49" s="321" t="n">
        <f aca="false">SUM(O47:O48)</f>
        <v>44698.3155918328</v>
      </c>
      <c r="P49" s="321" t="n">
        <f aca="false">SUM(P47:P48)</f>
        <v>50346.2913252318</v>
      </c>
      <c r="Q49" s="23"/>
      <c r="R49" s="23"/>
    </row>
    <row r="50" customFormat="false" ht="12.75" hidden="false" customHeight="false" outlineLevel="0" collapsed="false">
      <c r="B50" s="23" t="s">
        <v>367</v>
      </c>
      <c r="C50" s="23"/>
      <c r="D50" s="23"/>
      <c r="E50" s="23"/>
      <c r="F50" s="23"/>
      <c r="G50" s="23"/>
      <c r="H50" s="336"/>
      <c r="I50" s="336"/>
      <c r="J50" s="336"/>
      <c r="K50" s="336"/>
      <c r="L50" s="322" t="n">
        <f aca="false">+L62</f>
        <v>48758.984906966</v>
      </c>
      <c r="M50" s="322" t="n">
        <f aca="false">+M62</f>
        <v>24554.7470954722</v>
      </c>
      <c r="N50" s="322" t="n">
        <f aca="false">+N62</f>
        <v>302.237662015774</v>
      </c>
      <c r="O50" s="322" t="n">
        <f aca="false">+O62</f>
        <v>-5843.91698265181</v>
      </c>
      <c r="P50" s="322" t="n">
        <f aca="false">+P62</f>
        <v>-5238.13913699676</v>
      </c>
      <c r="Q50" s="23"/>
      <c r="R50" s="23"/>
    </row>
    <row r="51" customFormat="false" ht="12.75" hidden="false" customHeight="false" outlineLevel="0" collapsed="false">
      <c r="B51" s="23" t="s">
        <v>368</v>
      </c>
      <c r="C51" s="23"/>
      <c r="D51" s="23"/>
      <c r="E51" s="23"/>
      <c r="F51" s="23"/>
      <c r="G51" s="23"/>
      <c r="H51" s="23"/>
      <c r="I51" s="23"/>
      <c r="J51" s="337"/>
      <c r="K51" s="23"/>
      <c r="L51" s="322" t="n">
        <f aca="false">-Assumptions!$B$21/2</f>
        <v>-250</v>
      </c>
      <c r="M51" s="322" t="n">
        <f aca="false">-Assumptions!$B$21</f>
        <v>-500</v>
      </c>
      <c r="N51" s="322" t="n">
        <f aca="false">-Assumptions!$B$21</f>
        <v>-500</v>
      </c>
      <c r="O51" s="322" t="n">
        <f aca="false">-Assumptions!$B$21</f>
        <v>-500</v>
      </c>
      <c r="P51" s="322" t="n">
        <f aca="false">-Assumptions!$B$21</f>
        <v>-500</v>
      </c>
      <c r="Q51" s="23"/>
      <c r="R51" s="23"/>
    </row>
    <row r="52" customFormat="false" ht="12.75" hidden="false" customHeight="false" outlineLevel="0" collapsed="false">
      <c r="B52" s="23" t="s">
        <v>354</v>
      </c>
      <c r="C52" s="23"/>
      <c r="D52" s="23"/>
      <c r="E52" s="23"/>
      <c r="F52" s="23"/>
      <c r="G52" s="23"/>
      <c r="H52" s="23"/>
      <c r="I52" s="23"/>
      <c r="J52" s="337"/>
      <c r="K52" s="23"/>
      <c r="L52" s="325" t="n">
        <f aca="false">-Assumptions!B47*1000</f>
        <v>-10000</v>
      </c>
      <c r="M52" s="325" t="n">
        <v>0</v>
      </c>
      <c r="N52" s="325" t="n">
        <v>0</v>
      </c>
      <c r="O52" s="325" t="n">
        <v>0</v>
      </c>
      <c r="P52" s="325" t="n">
        <v>0</v>
      </c>
      <c r="Q52" s="23"/>
      <c r="R52" s="23"/>
    </row>
    <row r="53" customFormat="false" ht="12.75" hidden="false" customHeight="false" outlineLevel="0" collapsed="false">
      <c r="B53" s="23" t="s">
        <v>162</v>
      </c>
      <c r="C53" s="23"/>
      <c r="D53" s="23"/>
      <c r="E53" s="23"/>
      <c r="F53" s="23"/>
      <c r="G53" s="23"/>
      <c r="H53" s="23"/>
      <c r="I53" s="118" t="n">
        <v>0</v>
      </c>
      <c r="J53" s="118"/>
      <c r="K53" s="338" t="n">
        <v>0</v>
      </c>
      <c r="L53" s="331" t="n">
        <f aca="false">+SUM(L49:L52)</f>
        <v>51858.681873218</v>
      </c>
      <c r="M53" s="331" t="n">
        <f aca="false">+SUM(M49:M51)</f>
        <v>59908.5314588175</v>
      </c>
      <c r="N53" s="331" t="n">
        <f aca="false">+SUM(N49:N51)</f>
        <v>39322.4734383486</v>
      </c>
      <c r="O53" s="331" t="n">
        <f aca="false">+SUM(O49:O51)</f>
        <v>38354.398609181</v>
      </c>
      <c r="P53" s="331" t="n">
        <f aca="false">+SUM(P49:P51)</f>
        <v>44608.1521882351</v>
      </c>
      <c r="Q53" s="331" t="n">
        <f aca="false">($P$42-$P$27)*$E$58</f>
        <v>449726.576507085</v>
      </c>
      <c r="R53" s="23"/>
    </row>
    <row r="54" customFormat="false" ht="12.75" hidden="false" customHeight="false" outlineLevel="0" collapsed="false">
      <c r="B54" s="23"/>
      <c r="C54" s="23"/>
      <c r="D54" s="23"/>
      <c r="E54" s="23"/>
      <c r="F54" s="23"/>
      <c r="G54" s="23"/>
      <c r="H54" s="23"/>
      <c r="I54" s="339"/>
      <c r="J54" s="118"/>
      <c r="K54" s="340"/>
      <c r="L54" s="331"/>
      <c r="M54" s="331"/>
      <c r="N54" s="331"/>
      <c r="O54" s="331"/>
      <c r="P54" s="331"/>
      <c r="Q54" s="331"/>
      <c r="R54" s="23"/>
    </row>
    <row r="55" customFormat="false" ht="12.75" hidden="false" customHeight="false" outlineLevel="0" collapsed="false">
      <c r="B55" s="23"/>
      <c r="C55" s="23"/>
      <c r="D55" s="23"/>
      <c r="E55" s="23"/>
      <c r="F55" s="23"/>
      <c r="G55" s="23"/>
      <c r="H55" s="23"/>
      <c r="I55" s="23"/>
      <c r="J55" s="23"/>
      <c r="K55" s="341"/>
      <c r="L55" s="128"/>
      <c r="M55" s="128"/>
      <c r="N55" s="128"/>
      <c r="O55" s="128"/>
      <c r="P55" s="128"/>
      <c r="Q55" s="128"/>
      <c r="R55" s="23"/>
    </row>
    <row r="56" customFormat="false" ht="12.75" hidden="false" customHeight="false" outlineLevel="0" collapsed="false">
      <c r="B56" s="342" t="s">
        <v>369</v>
      </c>
      <c r="C56" s="23"/>
      <c r="D56" s="23"/>
      <c r="E56" s="343" t="n">
        <f aca="false">XNPV(E57,K53:Q53,K40:Q40)</f>
        <v>466195.407835604</v>
      </c>
      <c r="F56" s="23"/>
      <c r="G56" s="23"/>
      <c r="H56" s="23"/>
      <c r="I56" s="23"/>
      <c r="J56" s="23"/>
      <c r="K56" s="310" t="s">
        <v>370</v>
      </c>
      <c r="L56" s="310" t="s">
        <v>230</v>
      </c>
      <c r="M56" s="310"/>
      <c r="N56" s="23"/>
      <c r="O56" s="23"/>
      <c r="P56" s="23"/>
      <c r="Q56" s="23"/>
      <c r="R56" s="23"/>
    </row>
    <row r="57" customFormat="false" ht="12.75" hidden="false" customHeight="false" outlineLevel="0" collapsed="false">
      <c r="B57" s="342" t="s">
        <v>371</v>
      </c>
      <c r="C57" s="23"/>
      <c r="D57" s="23"/>
      <c r="E57" s="344" t="n">
        <f aca="false">Assumptions!B6</f>
        <v>0.11</v>
      </c>
      <c r="F57" s="23"/>
      <c r="G57" s="23"/>
      <c r="H57" s="23"/>
      <c r="I57" s="313"/>
      <c r="J57" s="313"/>
      <c r="K57" s="314" t="n">
        <v>2001</v>
      </c>
      <c r="L57" s="315" t="n">
        <v>2001</v>
      </c>
      <c r="M57" s="317" t="n">
        <v>2002</v>
      </c>
      <c r="N57" s="317" t="n">
        <v>2003</v>
      </c>
      <c r="O57" s="317" t="n">
        <v>2004</v>
      </c>
      <c r="P57" s="318" t="n">
        <v>2005</v>
      </c>
      <c r="Q57" s="23"/>
    </row>
    <row r="58" customFormat="false" ht="15" hidden="false" customHeight="false" outlineLevel="0" collapsed="false">
      <c r="B58" s="342" t="s">
        <v>372</v>
      </c>
      <c r="C58" s="23"/>
      <c r="D58" s="23"/>
      <c r="E58" s="345" t="n">
        <f aca="false">Assumptions!B7</f>
        <v>6</v>
      </c>
      <c r="F58" s="23"/>
      <c r="G58" s="23"/>
      <c r="H58" s="23"/>
      <c r="I58" s="23"/>
      <c r="J58" s="23"/>
      <c r="K58" s="23"/>
      <c r="L58" s="297"/>
      <c r="M58" s="23"/>
      <c r="N58" s="23"/>
      <c r="O58" s="23"/>
      <c r="P58" s="23"/>
      <c r="Q58" s="23"/>
    </row>
    <row r="59" customFormat="false" ht="12.75" hidden="false" customHeight="false" outlineLevel="0" collapsed="false">
      <c r="B59" s="342" t="s">
        <v>373</v>
      </c>
      <c r="C59" s="23"/>
      <c r="D59" s="23"/>
      <c r="E59" s="343" t="n">
        <f aca="false">E56-'S &amp; U'!J14*1000</f>
        <v>285795.407835604</v>
      </c>
      <c r="F59" s="23"/>
      <c r="G59" s="23" t="s">
        <v>374</v>
      </c>
      <c r="H59" s="23"/>
      <c r="I59" s="116"/>
      <c r="J59" s="116"/>
      <c r="K59" s="116" t="n">
        <f aca="false">+'Balance Sheet'!I45</f>
        <v>570927.479233977</v>
      </c>
      <c r="L59" s="116" t="n">
        <f aca="false">+'Balance Sheet'!J45</f>
        <v>513694.470451174</v>
      </c>
      <c r="M59" s="116" t="n">
        <f aca="false">+'Balance Sheet'!K45</f>
        <v>503848.583137864</v>
      </c>
      <c r="N59" s="116" t="n">
        <f aca="false">+'Balance Sheet'!L45</f>
        <v>510698.660440064</v>
      </c>
      <c r="O59" s="116" t="n">
        <f aca="false">+'Balance Sheet'!M45</f>
        <v>529061.933905033</v>
      </c>
      <c r="P59" s="116" t="n">
        <f aca="false">+'Balance Sheet'!N45</f>
        <v>546549.232184947</v>
      </c>
      <c r="Q59" s="23"/>
    </row>
    <row r="60" customFormat="false" ht="12.75" hidden="false" customHeight="false" outlineLevel="0" collapsed="false">
      <c r="B60" s="342" t="s">
        <v>375</v>
      </c>
      <c r="C60" s="23"/>
      <c r="D60" s="23"/>
      <c r="E60" s="344" t="n">
        <f aca="false">E59/'Balance Sheet'!$F$37</f>
        <v>2.32495755815013</v>
      </c>
      <c r="F60" s="23"/>
      <c r="G60" s="23" t="s">
        <v>376</v>
      </c>
      <c r="H60" s="23"/>
      <c r="I60" s="295"/>
      <c r="J60" s="295"/>
      <c r="K60" s="295" t="n">
        <f aca="false">+'Balance Sheet'!I46</f>
        <v>-383633.272847893</v>
      </c>
      <c r="L60" s="295" t="n">
        <f aca="false">+'Balance Sheet'!J46</f>
        <v>-375159.248972055</v>
      </c>
      <c r="M60" s="295" t="n">
        <f aca="false">+'Balance Sheet'!K46</f>
        <v>-389868.108754217</v>
      </c>
      <c r="N60" s="295" t="n">
        <f aca="false">+'Balance Sheet'!L46</f>
        <v>-397020.423718433</v>
      </c>
      <c r="O60" s="295" t="n">
        <f aca="false">+'Balance Sheet'!M46</f>
        <v>-409539.78020075</v>
      </c>
      <c r="P60" s="295" t="n">
        <f aca="false">+'Balance Sheet'!N46</f>
        <v>-421788.939343667</v>
      </c>
      <c r="Q60" s="23"/>
    </row>
    <row r="61" customFormat="false" ht="12.75" hidden="false" customHeight="false" outlineLevel="0" collapsed="false">
      <c r="B61" s="23"/>
      <c r="C61" s="23"/>
      <c r="D61" s="23"/>
      <c r="E61" s="23"/>
      <c r="F61" s="23"/>
      <c r="G61" s="23" t="s">
        <v>377</v>
      </c>
      <c r="H61" s="23"/>
      <c r="I61" s="116"/>
      <c r="J61" s="116"/>
      <c r="K61" s="116" t="n">
        <f aca="false">+K59+K60</f>
        <v>187294.206386085</v>
      </c>
      <c r="L61" s="116" t="n">
        <f aca="false">+L59+L60</f>
        <v>138535.221479119</v>
      </c>
      <c r="M61" s="116" t="n">
        <f aca="false">+M59+M60</f>
        <v>113980.474383646</v>
      </c>
      <c r="N61" s="116" t="n">
        <f aca="false">+N59+N60</f>
        <v>113678.236721631</v>
      </c>
      <c r="O61" s="116" t="n">
        <f aca="false">+O59+O60</f>
        <v>119522.153704282</v>
      </c>
      <c r="P61" s="116" t="n">
        <f aca="false">+P59+P60</f>
        <v>124760.292841279</v>
      </c>
      <c r="Q61" s="23"/>
    </row>
    <row r="62" customFormat="false" ht="12.75" hidden="false" customHeight="false" outlineLevel="0" collapsed="false">
      <c r="B62" s="342"/>
      <c r="C62" s="23"/>
      <c r="D62" s="23"/>
      <c r="E62" s="23"/>
      <c r="F62" s="23"/>
      <c r="G62" s="53" t="s">
        <v>378</v>
      </c>
      <c r="H62" s="53"/>
      <c r="I62" s="53"/>
      <c r="J62" s="129"/>
      <c r="K62" s="129"/>
      <c r="L62" s="129" t="n">
        <f aca="false">-(L61-K61)</f>
        <v>48758.984906966</v>
      </c>
      <c r="M62" s="129" t="n">
        <f aca="false">-(M61-L61)</f>
        <v>24554.7470954722</v>
      </c>
      <c r="N62" s="129" t="n">
        <f aca="false">-(N61-M61)</f>
        <v>302.237662015774</v>
      </c>
      <c r="O62" s="129" t="n">
        <f aca="false">-(O61-N61)</f>
        <v>-5843.91698265181</v>
      </c>
      <c r="P62" s="129" t="n">
        <f aca="false">-(P61-O61)</f>
        <v>-5238.13913699676</v>
      </c>
      <c r="Q62" s="23"/>
    </row>
    <row r="64" customFormat="false" ht="12.75" hidden="false" customHeight="false" outlineLevel="0" collapsed="false">
      <c r="B64" s="342" t="s">
        <v>379</v>
      </c>
    </row>
    <row r="67" customFormat="false" ht="12.75" hidden="false" customHeight="false" outlineLevel="0" collapsed="false">
      <c r="G67" s="0" t="s">
        <v>65</v>
      </c>
      <c r="I67" s="67" t="n">
        <f aca="false">I38</f>
        <v>13356.85</v>
      </c>
      <c r="J67" s="67" t="n">
        <f aca="false">J38</f>
        <v>24128.65</v>
      </c>
      <c r="K67" s="67" t="n">
        <f aca="false">K38</f>
        <v>7684.71379373823</v>
      </c>
      <c r="L67" s="67" t="n">
        <f aca="false">L38</f>
        <v>5300.30457057502</v>
      </c>
      <c r="M67" s="67" t="n">
        <f aca="false">M38</f>
        <v>16813.8216878167</v>
      </c>
      <c r="N67" s="67" t="n">
        <f aca="false">N38</f>
        <v>22385.9919070167</v>
      </c>
      <c r="O67" s="67" t="n">
        <f aca="false">O38</f>
        <v>28922.2092031447</v>
      </c>
    </row>
    <row r="68" customFormat="false" ht="12.75" hidden="false" customHeight="false" outlineLevel="0" collapsed="false">
      <c r="G68" s="0" t="s">
        <v>380</v>
      </c>
      <c r="I68" s="67" t="n">
        <f aca="false">-I34</f>
        <v>2146</v>
      </c>
      <c r="J68" s="67" t="n">
        <f aca="false">-J34</f>
        <v>3300</v>
      </c>
      <c r="K68" s="67" t="n">
        <f aca="false">-K34</f>
        <v>1332.93172758222</v>
      </c>
      <c r="L68" s="67" t="n">
        <f aca="false">L48</f>
        <v>1845.0399427051</v>
      </c>
      <c r="M68" s="67" t="n">
        <f aca="false">-M34</f>
        <v>3706.74655207688</v>
      </c>
      <c r="N68" s="67" t="n">
        <f aca="false">-N34</f>
        <v>3723.41321874354</v>
      </c>
      <c r="O68" s="67" t="n">
        <f aca="false">-O34</f>
        <v>3740.07988541021</v>
      </c>
    </row>
    <row r="69" customFormat="false" ht="12.75" hidden="false" customHeight="false" outlineLevel="0" collapsed="false">
      <c r="G69" s="0" t="s">
        <v>327</v>
      </c>
      <c r="I69" s="67" t="n">
        <f aca="false">'Cash Flow '!E11</f>
        <v>-955</v>
      </c>
      <c r="J69" s="67" t="n">
        <f aca="false">'Cash Flow '!F11</f>
        <v>0</v>
      </c>
      <c r="K69" s="67" t="n">
        <f aca="false">L69</f>
        <v>1807.10245297181</v>
      </c>
      <c r="L69" s="67" t="n">
        <f aca="false">L46</f>
        <v>1807.10245297181</v>
      </c>
      <c r="M69" s="67" t="n">
        <f aca="false">M46</f>
        <v>6538.71612345173</v>
      </c>
      <c r="N69" s="67" t="n">
        <f aca="false">N46</f>
        <v>4616.33065057254</v>
      </c>
      <c r="O69" s="67" t="n">
        <f aca="false">O46</f>
        <v>3241.52650327788</v>
      </c>
    </row>
    <row r="70" customFormat="false" ht="12.75" hidden="false" customHeight="false" outlineLevel="0" collapsed="false">
      <c r="G70" s="0" t="s">
        <v>381</v>
      </c>
      <c r="I70" s="67" t="n">
        <f aca="false">'Cash Flow '!E25</f>
        <v>-12361</v>
      </c>
      <c r="J70" s="67" t="n">
        <f aca="false">'Cash Flow '!F25</f>
        <v>-8000</v>
      </c>
      <c r="K70" s="67" t="n">
        <f aca="false">L70</f>
        <v>-250</v>
      </c>
      <c r="L70" s="67" t="n">
        <f aca="false">L51</f>
        <v>-250</v>
      </c>
      <c r="M70" s="67" t="n">
        <f aca="false">M51</f>
        <v>-500</v>
      </c>
      <c r="N70" s="67" t="n">
        <f aca="false">N51</f>
        <v>-500</v>
      </c>
      <c r="O70" s="67" t="n">
        <f aca="false">O51</f>
        <v>-500</v>
      </c>
    </row>
    <row r="71" customFormat="false" ht="12.75" hidden="false" customHeight="false" outlineLevel="0" collapsed="false">
      <c r="G71" s="0" t="s">
        <v>66</v>
      </c>
      <c r="I71" s="67" t="n">
        <f aca="false">SUM(I67:I70)</f>
        <v>2186.85</v>
      </c>
      <c r="J71" s="67" t="n">
        <f aca="false">SUM(J67:J70)</f>
        <v>19428.65</v>
      </c>
      <c r="K71" s="67" t="n">
        <f aca="false">SUM(K67:K70)</f>
        <v>10574.7479742923</v>
      </c>
      <c r="L71" s="67" t="n">
        <f aca="false">SUM(L67:L70)</f>
        <v>8702.44696625193</v>
      </c>
      <c r="M71" s="67" t="n">
        <f aca="false">SUM(M67:M70)</f>
        <v>26559.2843633453</v>
      </c>
      <c r="N71" s="67" t="n">
        <f aca="false">SUM(N67:N70)</f>
        <v>30225.7357763328</v>
      </c>
      <c r="O71" s="67" t="n">
        <f aca="false">SUM(O67:O70)</f>
        <v>35403.8155918328</v>
      </c>
    </row>
    <row r="72" customFormat="false" ht="12.75" hidden="false" customHeight="false" outlineLevel="0" collapsed="false">
      <c r="G72" s="0" t="s">
        <v>68</v>
      </c>
      <c r="I72" s="67" t="n">
        <f aca="false">I32</f>
        <v>25843</v>
      </c>
      <c r="J72" s="67" t="n">
        <f aca="false">J32</f>
        <v>48399</v>
      </c>
      <c r="K72" s="67" t="n">
        <f aca="false">K32</f>
        <v>19253.1433333333</v>
      </c>
      <c r="L72" s="67" t="n">
        <f aca="false">L32</f>
        <v>16764.3546666667</v>
      </c>
      <c r="M72" s="67" t="n">
        <f aca="false">M32</f>
        <v>43104.1645333333</v>
      </c>
      <c r="N72" s="67" t="n">
        <f aca="false">N32</f>
        <v>51693.400768</v>
      </c>
      <c r="O72" s="67" t="n">
        <f aca="false">O32</f>
        <v>61765.7863517867</v>
      </c>
    </row>
    <row r="73" customFormat="false" ht="12.75" hidden="false" customHeight="false" outlineLevel="0" collapsed="false">
      <c r="I73" s="67"/>
      <c r="J73" s="67"/>
      <c r="K73" s="67"/>
      <c r="L73" s="67"/>
      <c r="M73" s="67"/>
      <c r="N73" s="67"/>
      <c r="O73" s="67"/>
    </row>
    <row r="74" customFormat="false" ht="12.75" hidden="false" customHeight="false" outlineLevel="0" collapsed="false">
      <c r="G74" s="0" t="s">
        <v>382</v>
      </c>
      <c r="I74" s="67" t="n">
        <f aca="false">'Sea-3 NH '!G22+'Sea-3 Tampa'!G21</f>
        <v>5522.4328</v>
      </c>
      <c r="J74" s="67" t="n">
        <f aca="false">'Sea-3 NH '!H22+'Sea-3 Tampa'!H21</f>
        <v>6837.0776</v>
      </c>
      <c r="K74" s="67" t="n">
        <f aca="false">'Sea-3 NH '!I22+'Sea-3 Tampa'!I21</f>
        <v>4472.7224</v>
      </c>
      <c r="L74" s="67" t="n">
        <f aca="false">'Sea-3 NH '!J22+'Sea-3 Tampa'!J21</f>
        <v>4430.06</v>
      </c>
      <c r="M74" s="67" t="n">
        <f aca="false">'Sea-3 NH '!K22+'Sea-3 Tampa'!K21</f>
        <v>9042.26666666667</v>
      </c>
      <c r="N74" s="67" t="n">
        <f aca="false">'Sea-3 NH '!L22+'Sea-3 Tampa'!L21</f>
        <v>7627.43253333333</v>
      </c>
      <c r="O74" s="67" t="n">
        <f aca="false">'Sea-3 NH '!M22+'Sea-3 Tampa'!M21</f>
        <v>7719.22743466667</v>
      </c>
    </row>
    <row r="75" customFormat="false" ht="12.75" hidden="false" customHeight="false" outlineLevel="0" collapsed="false">
      <c r="G75" s="0" t="s">
        <v>383</v>
      </c>
      <c r="I75" s="67" t="n">
        <f aca="false">'Rail Ops'!G18</f>
        <v>3364</v>
      </c>
      <c r="J75" s="67" t="n">
        <f aca="false">'Rail Ops'!H18</f>
        <v>3858</v>
      </c>
      <c r="K75" s="67" t="n">
        <f aca="false">'Rail Ops'!I18</f>
        <v>1726.75</v>
      </c>
      <c r="L75" s="67" t="n">
        <f aca="false">'Rail Ops'!J18</f>
        <v>1726.75</v>
      </c>
      <c r="M75" s="67" t="n">
        <f aca="false">'Rail Ops'!K18</f>
        <v>3453.5</v>
      </c>
      <c r="N75" s="67" t="n">
        <f aca="false">'Rail Ops'!L18</f>
        <v>3425.74</v>
      </c>
      <c r="O75" s="67" t="n">
        <f aca="false">'Rail Ops'!M18</f>
        <v>3396.8696</v>
      </c>
    </row>
    <row r="77" customFormat="false" ht="12.75" hidden="false" customHeight="false" outlineLevel="0" collapsed="false">
      <c r="G77" s="0" t="s">
        <v>43</v>
      </c>
      <c r="I77" s="346" t="n">
        <f aca="false">I72-I74-I75</f>
        <v>16956.5672</v>
      </c>
      <c r="J77" s="346" t="n">
        <f aca="false">J72-J74-J75</f>
        <v>37703.9224</v>
      </c>
      <c r="K77" s="346" t="n">
        <f aca="false">K72-K74-K75</f>
        <v>13053.6709333333</v>
      </c>
      <c r="L77" s="346" t="n">
        <f aca="false">L72-L74-L75</f>
        <v>10607.5446666667</v>
      </c>
      <c r="M77" s="346" t="n">
        <f aca="false">M72-M74-M75</f>
        <v>30608.3978666667</v>
      </c>
      <c r="N77" s="346" t="n">
        <f aca="false">N72-N74-N75</f>
        <v>40640.2282346667</v>
      </c>
      <c r="O77" s="346" t="n">
        <f aca="false">O72-O74-O75</f>
        <v>50649.68931712</v>
      </c>
    </row>
  </sheetData>
  <mergeCells count="1">
    <mergeCell ref="L1:Q1"/>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rowBreaks count="2" manualBreakCount="2">
    <brk id="7" man="true" max="16383" min="0"/>
    <brk id="9" man="true" max="16383" min="0"/>
  </rowBreaks>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P508"/>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4" min="4" style="0" width="11.13"/>
    <col collapsed="false" customWidth="true" hidden="false" outlineLevel="0" max="5" min="5" style="0" width="12.7"/>
    <col collapsed="false" customWidth="true" hidden="false" outlineLevel="0" max="6" min="6" style="0" width="11.99"/>
    <col collapsed="false" customWidth="true" hidden="false" outlineLevel="0" max="7" min="7" style="0" width="12.56"/>
    <col collapsed="false" customWidth="true" hidden="false" outlineLevel="0" max="10" min="8" style="0" width="11.28"/>
    <col collapsed="false" customWidth="true" hidden="false" outlineLevel="0" max="11" min="11" style="0" width="11.56"/>
    <col collapsed="false" customWidth="true" hidden="false" outlineLevel="0" max="14" min="12" style="0" width="11.28"/>
  </cols>
  <sheetData>
    <row r="1" customFormat="false" ht="21" hidden="false" customHeight="false" outlineLevel="0" collapsed="false">
      <c r="A1" s="1" t="s">
        <v>0</v>
      </c>
      <c r="B1" s="112"/>
      <c r="C1" s="112"/>
      <c r="D1" s="113"/>
      <c r="E1" s="113"/>
      <c r="F1" s="4"/>
      <c r="G1" s="4"/>
      <c r="H1" s="4"/>
      <c r="I1" s="4"/>
      <c r="J1" s="4"/>
      <c r="K1" s="4"/>
      <c r="L1" s="4"/>
      <c r="M1" s="4"/>
      <c r="N1" s="4"/>
      <c r="O1" s="16" t="s">
        <v>384</v>
      </c>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row>
    <row r="2" customFormat="false" ht="26.25" hidden="false" customHeight="false" outlineLevel="0" collapsed="false">
      <c r="A2" s="269"/>
      <c r="B2" s="270"/>
      <c r="C2" s="270"/>
      <c r="D2" s="271"/>
      <c r="E2" s="271"/>
      <c r="F2" s="272"/>
      <c r="O2" s="114" t="s">
        <v>110</v>
      </c>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row>
    <row r="3" customFormat="false" ht="26.25" hidden="false" customHeight="false" outlineLevel="0" collapsed="false">
      <c r="A3" s="269"/>
      <c r="B3" s="270"/>
      <c r="C3" s="270"/>
      <c r="D3" s="271"/>
      <c r="E3" s="271"/>
      <c r="F3" s="272"/>
      <c r="O3" s="114"/>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row>
    <row r="4" customFormat="false" ht="26.25" hidden="false" customHeight="false" outlineLevel="0" collapsed="false">
      <c r="A4" s="269"/>
      <c r="B4" s="270"/>
      <c r="C4" s="270"/>
      <c r="D4" s="271"/>
      <c r="E4" s="271"/>
      <c r="F4" s="272"/>
      <c r="O4" s="114"/>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row>
    <row r="5" customFormat="false" ht="12.75" hidden="false" customHeight="false" outlineLevel="0" collapsed="false">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row>
    <row r="6" customFormat="false" ht="15.75" hidden="false" customHeight="false" outlineLevel="0" collapsed="false">
      <c r="A6" s="139" t="s">
        <v>385</v>
      </c>
      <c r="D6" s="228" t="n">
        <v>37072</v>
      </c>
      <c r="E6" s="228" t="n">
        <v>37257</v>
      </c>
      <c r="F6" s="228" t="n">
        <v>37622</v>
      </c>
      <c r="G6" s="228" t="n">
        <v>37987</v>
      </c>
      <c r="H6" s="228" t="n">
        <v>38353</v>
      </c>
      <c r="I6" s="228" t="n">
        <v>38718</v>
      </c>
      <c r="J6" s="228" t="n">
        <v>39083</v>
      </c>
      <c r="K6" s="228" t="n">
        <v>39448</v>
      </c>
      <c r="L6" s="228" t="n">
        <v>39814</v>
      </c>
      <c r="M6" s="228" t="n">
        <v>40179</v>
      </c>
      <c r="N6" s="228" t="n">
        <v>40544</v>
      </c>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row>
    <row r="7" customFormat="false" ht="12.75" hidden="false" customHeight="false" outlineLevel="0" collapsed="false">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row>
    <row r="8" customFormat="false" ht="12.75" hidden="false" customHeight="false" outlineLevel="0" collapsed="false">
      <c r="A8" s="53" t="s">
        <v>313</v>
      </c>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row>
    <row r="9" customFormat="false" ht="12.75" hidden="false" customHeight="false" outlineLevel="0" collapsed="false">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row>
    <row r="10" customFormat="false" ht="12.75" hidden="false" customHeight="false" outlineLevel="0" collapsed="false">
      <c r="A10" s="0" t="s">
        <v>314</v>
      </c>
      <c r="D10" s="296" t="n">
        <f aca="false">Dep!A66</f>
        <v>79725.903654933</v>
      </c>
      <c r="E10" s="296" t="n">
        <f aca="false">D13</f>
        <v>78642.9719273508</v>
      </c>
      <c r="F10" s="296" t="n">
        <f aca="false">E13</f>
        <v>76460.4418055197</v>
      </c>
      <c r="G10" s="296" t="n">
        <f aca="false">F13</f>
        <v>74261.2450170219</v>
      </c>
      <c r="H10" s="296" t="n">
        <f aca="false">G13</f>
        <v>72045.3815618575</v>
      </c>
      <c r="I10" s="296" t="n">
        <f aca="false">H13</f>
        <v>69812.8514400264</v>
      </c>
      <c r="J10" s="296" t="n">
        <f aca="false">I13</f>
        <v>67063.6546515286</v>
      </c>
      <c r="K10" s="296" t="n">
        <f aca="false">J13</f>
        <v>64297.7911963642</v>
      </c>
      <c r="L10" s="296" t="n">
        <f aca="false">K13</f>
        <v>61515.2610745331</v>
      </c>
      <c r="M10" s="296" t="n">
        <f aca="false">L13</f>
        <v>58716.0642860353</v>
      </c>
      <c r="N10" s="296" t="n">
        <f aca="false">M13</f>
        <v>55900.2008308709</v>
      </c>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row>
    <row r="11" customFormat="false" ht="12.75" hidden="false" customHeight="false" outlineLevel="0" collapsed="false">
      <c r="A11" s="0" t="s">
        <v>315</v>
      </c>
      <c r="D11" s="67" t="n">
        <f aca="false">-'Valuation - DCF'!L51</f>
        <v>250</v>
      </c>
      <c r="E11" s="67" t="n">
        <f aca="false">-'Valuation - DCF'!M51</f>
        <v>500</v>
      </c>
      <c r="F11" s="67" t="n">
        <f aca="false">-'Valuation - DCF'!N51</f>
        <v>500</v>
      </c>
      <c r="G11" s="67" t="n">
        <f aca="false">-'Valuation - DCF'!O51</f>
        <v>500</v>
      </c>
      <c r="H11" s="67" t="n">
        <f aca="false">-'Valuation - DCF'!P51</f>
        <v>500</v>
      </c>
      <c r="I11" s="67" t="n">
        <f aca="false">-'Valuation - DCF'!Q51</f>
        <v>-0</v>
      </c>
      <c r="J11" s="67" t="n">
        <f aca="false">-'Valuation - DCF'!R51</f>
        <v>-0</v>
      </c>
      <c r="K11" s="67" t="n">
        <f aca="false">-'Valuation - DCF'!S51</f>
        <v>-0</v>
      </c>
      <c r="L11" s="67" t="n">
        <f aca="false">-'Valuation - DCF'!T51</f>
        <v>-0</v>
      </c>
      <c r="M11" s="67" t="n">
        <f aca="false">-'Valuation - DCF'!U51</f>
        <v>-0</v>
      </c>
      <c r="N11" s="67" t="n">
        <f aca="false">-'Valuation - DCF'!V51</f>
        <v>-0</v>
      </c>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row>
    <row r="12" customFormat="false" ht="12.75" hidden="false" customHeight="false" outlineLevel="0" collapsed="false">
      <c r="A12" s="0" t="s">
        <v>295</v>
      </c>
      <c r="D12" s="297" t="n">
        <f aca="false">-(Dep!F52+Dep!F66)/2</f>
        <v>-1332.93172758222</v>
      </c>
      <c r="E12" s="297" t="n">
        <f aca="false">-(Dep!G52+Dep!G66)</f>
        <v>-2682.5301218311</v>
      </c>
      <c r="F12" s="297" t="n">
        <f aca="false">-(Dep!H52+Dep!H66)</f>
        <v>-2699.19678849777</v>
      </c>
      <c r="G12" s="297" t="n">
        <f aca="false">-(Dep!I52+Dep!I66)</f>
        <v>-2715.86345516443</v>
      </c>
      <c r="H12" s="297" t="n">
        <f aca="false">-(Dep!J52+Dep!J66)</f>
        <v>-2732.5301218311</v>
      </c>
      <c r="I12" s="297" t="n">
        <f aca="false">-(Dep!K52+Dep!K66)</f>
        <v>-2749.19678849777</v>
      </c>
      <c r="J12" s="297" t="n">
        <f aca="false">-(Dep!L52+Dep!L66)</f>
        <v>-2765.86345516443</v>
      </c>
      <c r="K12" s="297" t="n">
        <f aca="false">-(Dep!M52+Dep!M66)</f>
        <v>-2782.5301218311</v>
      </c>
      <c r="L12" s="297" t="n">
        <f aca="false">-(Dep!N52+Dep!N66)</f>
        <v>-2799.19678849777</v>
      </c>
      <c r="M12" s="297" t="n">
        <f aca="false">-(Dep!O52+Dep!O66)</f>
        <v>-2815.86345516443</v>
      </c>
      <c r="N12" s="297" t="n">
        <f aca="false">-(Dep!P52+Dep!P66)</f>
        <v>-2832.5301218311</v>
      </c>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row>
    <row r="13" customFormat="false" ht="12.75" hidden="false" customHeight="false" outlineLevel="0" collapsed="false">
      <c r="A13" s="0" t="s">
        <v>316</v>
      </c>
      <c r="D13" s="296" t="n">
        <f aca="false">SUM(D10:D12)</f>
        <v>78642.9719273508</v>
      </c>
      <c r="E13" s="296" t="n">
        <f aca="false">SUM(E10:E12)</f>
        <v>76460.4418055197</v>
      </c>
      <c r="F13" s="296" t="n">
        <f aca="false">SUM(F10:F12)</f>
        <v>74261.2450170219</v>
      </c>
      <c r="G13" s="296" t="n">
        <f aca="false">SUM(G10:G12)</f>
        <v>72045.3815618575</v>
      </c>
      <c r="H13" s="296" t="n">
        <f aca="false">SUM(H10:H12)</f>
        <v>69812.8514400264</v>
      </c>
      <c r="I13" s="296" t="n">
        <f aca="false">SUM(I10:I12)</f>
        <v>67063.6546515286</v>
      </c>
      <c r="J13" s="296" t="n">
        <f aca="false">SUM(J10:J12)</f>
        <v>64297.7911963642</v>
      </c>
      <c r="K13" s="296" t="n">
        <f aca="false">SUM(K10:K12)</f>
        <v>61515.2610745331</v>
      </c>
      <c r="L13" s="296" t="n">
        <f aca="false">SUM(L10:L12)</f>
        <v>58716.0642860353</v>
      </c>
      <c r="M13" s="296" t="n">
        <f aca="false">SUM(M10:M12)</f>
        <v>55900.2008308709</v>
      </c>
      <c r="N13" s="296" t="n">
        <f aca="false">SUM(N10:N12)</f>
        <v>53067.6707090398</v>
      </c>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row>
    <row r="14" customFormat="false" ht="12.75" hidden="false" customHeight="false" outlineLevel="0" collapsed="false">
      <c r="D14" s="296"/>
      <c r="E14" s="296"/>
      <c r="F14" s="296"/>
      <c r="G14" s="296"/>
      <c r="H14" s="296"/>
      <c r="I14" s="296"/>
      <c r="J14" s="296"/>
      <c r="K14" s="296"/>
      <c r="L14" s="296"/>
      <c r="M14" s="296"/>
      <c r="N14" s="296"/>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row>
    <row r="15" customFormat="false" ht="12.75" hidden="false" customHeight="false" outlineLevel="0" collapsed="false">
      <c r="A15" s="53" t="s">
        <v>386</v>
      </c>
      <c r="D15" s="296"/>
      <c r="E15" s="296"/>
      <c r="F15" s="296"/>
      <c r="G15" s="296"/>
      <c r="H15" s="296"/>
      <c r="I15" s="296"/>
      <c r="J15" s="296"/>
      <c r="K15" s="296"/>
      <c r="L15" s="296"/>
      <c r="M15" s="296"/>
      <c r="N15" s="296"/>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row>
    <row r="16" customFormat="false" ht="12.75" hidden="false" customHeight="false" outlineLevel="0" collapsed="false">
      <c r="A16" s="53"/>
      <c r="D16" s="296"/>
      <c r="E16" s="296"/>
      <c r="F16" s="296"/>
      <c r="G16" s="296"/>
      <c r="H16" s="296"/>
      <c r="I16" s="296"/>
      <c r="J16" s="296"/>
      <c r="K16" s="296"/>
      <c r="L16" s="296"/>
      <c r="M16" s="296"/>
      <c r="N16" s="296"/>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row>
    <row r="17" customFormat="false" ht="12.75" hidden="false" customHeight="false" outlineLevel="0" collapsed="false">
      <c r="A17" s="0" t="s">
        <v>314</v>
      </c>
      <c r="D17" s="296" t="n">
        <f aca="false">Dep!A68</f>
        <v>40968.6572098311</v>
      </c>
      <c r="E17" s="296" t="n">
        <f aca="false">D20</f>
        <v>40456.5489947082</v>
      </c>
      <c r="F17" s="296" t="n">
        <f aca="false">E20</f>
        <v>39432.3325644624</v>
      </c>
      <c r="G17" s="296" t="n">
        <f aca="false">F20</f>
        <v>38408.1161342166</v>
      </c>
      <c r="H17" s="296" t="n">
        <f aca="false">G20</f>
        <v>37383.8997039709</v>
      </c>
      <c r="I17" s="296" t="n">
        <f aca="false">H20</f>
        <v>36359.6832737251</v>
      </c>
      <c r="J17" s="296" t="n">
        <f aca="false">I20</f>
        <v>35335.4668434793</v>
      </c>
      <c r="K17" s="296" t="n">
        <f aca="false">J20</f>
        <v>34311.2504132335</v>
      </c>
      <c r="L17" s="296" t="n">
        <f aca="false">K20</f>
        <v>33287.0339829878</v>
      </c>
      <c r="M17" s="296" t="n">
        <f aca="false">L20</f>
        <v>32262.817552742</v>
      </c>
      <c r="N17" s="296" t="n">
        <f aca="false">M20</f>
        <v>31238.6011224962</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row>
    <row r="18" customFormat="false" ht="12.75" hidden="false" customHeight="false" outlineLevel="0" collapsed="false">
      <c r="A18" s="0" t="s">
        <v>315</v>
      </c>
      <c r="D18" s="67" t="n">
        <v>0</v>
      </c>
      <c r="E18" s="67" t="n">
        <f aca="false">-'Valuation - DCF'!M58</f>
        <v>-0</v>
      </c>
      <c r="F18" s="67" t="n">
        <f aca="false">-'Valuation - DCF'!N58</f>
        <v>-0</v>
      </c>
      <c r="G18" s="67" t="n">
        <f aca="false">-'Valuation - DCF'!O58</f>
        <v>-0</v>
      </c>
      <c r="H18" s="67" t="n">
        <f aca="false">-'Valuation - DCF'!P58</f>
        <v>-0</v>
      </c>
      <c r="I18" s="67" t="n">
        <f aca="false">-'Valuation - DCF'!Q58</f>
        <v>-0</v>
      </c>
      <c r="J18" s="67" t="n">
        <f aca="false">-'Valuation - DCF'!R58</f>
        <v>-0</v>
      </c>
      <c r="K18" s="67" t="n">
        <f aca="false">-'Valuation - DCF'!S58</f>
        <v>-0</v>
      </c>
      <c r="L18" s="67" t="n">
        <f aca="false">-'Valuation - DCF'!T58</f>
        <v>-0</v>
      </c>
      <c r="M18" s="67" t="n">
        <f aca="false">-'Valuation - DCF'!U58</f>
        <v>-0</v>
      </c>
      <c r="N18" s="67" t="n">
        <f aca="false">-'Valuation - DCF'!V58</f>
        <v>-0</v>
      </c>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row>
    <row r="19" customFormat="false" ht="12.75" hidden="false" customHeight="false" outlineLevel="0" collapsed="false">
      <c r="A19" s="0" t="s">
        <v>295</v>
      </c>
      <c r="D19" s="297" t="n">
        <f aca="false">-Dep!F68/2</f>
        <v>-512.108215122888</v>
      </c>
      <c r="E19" s="297" t="n">
        <f aca="false">-Dep!G68</f>
        <v>-1024.21643024578</v>
      </c>
      <c r="F19" s="297" t="n">
        <f aca="false">-Dep!H68</f>
        <v>-1024.21643024578</v>
      </c>
      <c r="G19" s="297" t="n">
        <f aca="false">-Dep!I68</f>
        <v>-1024.21643024578</v>
      </c>
      <c r="H19" s="297" t="n">
        <f aca="false">-Dep!J68</f>
        <v>-1024.21643024578</v>
      </c>
      <c r="I19" s="297" t="n">
        <f aca="false">-Dep!K68</f>
        <v>-1024.21643024578</v>
      </c>
      <c r="J19" s="297" t="n">
        <f aca="false">-Dep!L68</f>
        <v>-1024.21643024578</v>
      </c>
      <c r="K19" s="297" t="n">
        <f aca="false">-Dep!M68</f>
        <v>-1024.21643024578</v>
      </c>
      <c r="L19" s="297" t="n">
        <f aca="false">-Dep!N68</f>
        <v>-1024.21643024578</v>
      </c>
      <c r="M19" s="297" t="n">
        <f aca="false">-Dep!O68</f>
        <v>-1024.21643024578</v>
      </c>
      <c r="N19" s="297" t="n">
        <f aca="false">-Dep!P68</f>
        <v>-1024.21643024578</v>
      </c>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row>
    <row r="20" customFormat="false" ht="12.75" hidden="false" customHeight="false" outlineLevel="0" collapsed="false">
      <c r="A20" s="0" t="s">
        <v>316</v>
      </c>
      <c r="D20" s="296" t="n">
        <f aca="false">SUM(D17:D19)</f>
        <v>40456.5489947082</v>
      </c>
      <c r="E20" s="296" t="n">
        <f aca="false">SUM(E17:E19)</f>
        <v>39432.3325644624</v>
      </c>
      <c r="F20" s="296" t="n">
        <f aca="false">SUM(F17:F19)</f>
        <v>38408.1161342166</v>
      </c>
      <c r="G20" s="296" t="n">
        <f aca="false">SUM(G17:G19)</f>
        <v>37383.8997039709</v>
      </c>
      <c r="H20" s="296" t="n">
        <f aca="false">SUM(H17:H19)</f>
        <v>36359.6832737251</v>
      </c>
      <c r="I20" s="296" t="n">
        <f aca="false">SUM(I17:I19)</f>
        <v>35335.4668434793</v>
      </c>
      <c r="J20" s="296" t="n">
        <f aca="false">SUM(J17:J19)</f>
        <v>34311.2504132335</v>
      </c>
      <c r="K20" s="296" t="n">
        <f aca="false">SUM(K17:K19)</f>
        <v>33287.0339829878</v>
      </c>
      <c r="L20" s="296" t="n">
        <f aca="false">SUM(L17:L19)</f>
        <v>32262.817552742</v>
      </c>
      <c r="M20" s="296" t="n">
        <f aca="false">SUM(M17:M19)</f>
        <v>31238.6011224962</v>
      </c>
      <c r="N20" s="296" t="n">
        <f aca="false">SUM(N17:N19)</f>
        <v>30214.3846922504</v>
      </c>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row>
    <row r="21" customFormat="false" ht="12.75" hidden="false" customHeight="false" outlineLevel="0" collapsed="false">
      <c r="D21" s="296"/>
      <c r="E21" s="296"/>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row>
    <row r="22" customFormat="false" ht="12.75" hidden="false" customHeight="false" outlineLevel="0" collapsed="false">
      <c r="A22" s="53" t="s">
        <v>317</v>
      </c>
      <c r="D22" s="67"/>
      <c r="E22" s="67"/>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row>
    <row r="23" customFormat="false" ht="12.75" hidden="false" customHeight="false" outlineLevel="0" collapsed="false">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row>
    <row r="24" customFormat="false" ht="12.75" hidden="false" customHeight="false" outlineLevel="0" collapsed="false">
      <c r="A24" s="0" t="s">
        <v>314</v>
      </c>
      <c r="D24" s="296" t="n">
        <f aca="false">D10</f>
        <v>79725.903654933</v>
      </c>
      <c r="E24" s="296" t="n">
        <f aca="false">D27</f>
        <v>74261.625338788</v>
      </c>
      <c r="F24" s="296" t="n">
        <f aca="false">E27</f>
        <v>55104.0765336949</v>
      </c>
      <c r="G24" s="296" t="n">
        <f aca="false">F27</f>
        <v>41422.3909844471</v>
      </c>
      <c r="H24" s="296" t="n">
        <f aca="false">G27</f>
        <v>31652.050617946</v>
      </c>
      <c r="I24" s="296" t="n">
        <f aca="false">H27</f>
        <v>24666.4024215605</v>
      </c>
      <c r="J24" s="296" t="n">
        <f aca="false">I27</f>
        <v>17144.1018155405</v>
      </c>
      <c r="K24" s="296" t="n">
        <f aca="false">J27</f>
        <v>9569.20361915496</v>
      </c>
      <c r="L24" s="296" t="n">
        <f aca="false">K27</f>
        <v>5524.57831614495</v>
      </c>
      <c r="M24" s="296" t="n">
        <f aca="false">L27</f>
        <v>5024.57831614495</v>
      </c>
      <c r="N24" s="296" t="n">
        <f aca="false">M27</f>
        <v>4524.57831614495</v>
      </c>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row>
    <row r="25" customFormat="false" ht="12.75" hidden="false" customHeight="false" outlineLevel="0" collapsed="false">
      <c r="A25" s="0" t="s">
        <v>315</v>
      </c>
      <c r="D25" s="67" t="n">
        <f aca="false">D11</f>
        <v>250</v>
      </c>
      <c r="E25" s="67" t="n">
        <f aca="false">E11</f>
        <v>500</v>
      </c>
      <c r="F25" s="67" t="n">
        <f aca="false">F11</f>
        <v>500</v>
      </c>
      <c r="G25" s="67" t="n">
        <f aca="false">G11</f>
        <v>500</v>
      </c>
      <c r="H25" s="67" t="n">
        <f aca="false">H11</f>
        <v>500</v>
      </c>
      <c r="I25" s="67" t="n">
        <f aca="false">I11</f>
        <v>-0</v>
      </c>
      <c r="J25" s="67" t="n">
        <f aca="false">J11</f>
        <v>-0</v>
      </c>
      <c r="K25" s="67" t="n">
        <f aca="false">K11</f>
        <v>-0</v>
      </c>
      <c r="L25" s="67" t="n">
        <f aca="false">L11</f>
        <v>-0</v>
      </c>
      <c r="M25" s="67" t="n">
        <f aca="false">M11</f>
        <v>-0</v>
      </c>
      <c r="N25" s="67" t="n">
        <f aca="false">N11</f>
        <v>-0</v>
      </c>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row>
    <row r="26" customFormat="false" ht="12.75" hidden="false" customHeight="false" outlineLevel="0" collapsed="false">
      <c r="A26" s="0" t="s">
        <v>295</v>
      </c>
      <c r="D26" s="297" t="n">
        <f aca="false">-(Dep!F103-Dep!F101)/2</f>
        <v>-5714.27831614496</v>
      </c>
      <c r="E26" s="297" t="n">
        <f aca="false">-(Dep!G103-Dep!G101)</f>
        <v>-19657.5488050931</v>
      </c>
      <c r="F26" s="297" t="n">
        <f aca="false">-(Dep!H103-Dep!H101)</f>
        <v>-14181.6855492478</v>
      </c>
      <c r="G26" s="297" t="n">
        <f aca="false">-(Dep!I103-Dep!I101)</f>
        <v>-10270.3403665011</v>
      </c>
      <c r="H26" s="297" t="n">
        <f aca="false">-(Dep!J103-Dep!J101)</f>
        <v>-7485.64819638551</v>
      </c>
      <c r="I26" s="297" t="n">
        <f aca="false">-(Dep!K103-Dep!K101)</f>
        <v>-7522.30060602002</v>
      </c>
      <c r="J26" s="297" t="n">
        <f aca="false">-(Dep!L103-Dep!L101)</f>
        <v>-7574.89819638551</v>
      </c>
      <c r="K26" s="297" t="n">
        <f aca="false">-(Dep!M103-Dep!M101)</f>
        <v>-4044.62530301001</v>
      </c>
      <c r="L26" s="297" t="n">
        <f aca="false">-(Dep!N103-Dep!N101)</f>
        <v>-500</v>
      </c>
      <c r="M26" s="297" t="n">
        <f aca="false">-(Dep!O103-Dep!O101)</f>
        <v>-500</v>
      </c>
      <c r="N26" s="297" t="n">
        <f aca="false">-(Dep!P103-Dep!P101)</f>
        <v>-500</v>
      </c>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row>
    <row r="27" customFormat="false" ht="12.75" hidden="false" customHeight="false" outlineLevel="0" collapsed="false">
      <c r="A27" s="0" t="s">
        <v>316</v>
      </c>
      <c r="D27" s="296" t="n">
        <f aca="false">SUM(D24:D26)</f>
        <v>74261.625338788</v>
      </c>
      <c r="E27" s="296" t="n">
        <f aca="false">SUM(E24:E26)</f>
        <v>55104.0765336949</v>
      </c>
      <c r="F27" s="296" t="n">
        <f aca="false">SUM(F24:F26)</f>
        <v>41422.3909844471</v>
      </c>
      <c r="G27" s="296" t="n">
        <f aca="false">SUM(G24:G26)</f>
        <v>31652.050617946</v>
      </c>
      <c r="H27" s="296" t="n">
        <f aca="false">SUM(H24:H26)</f>
        <v>24666.4024215605</v>
      </c>
      <c r="I27" s="296" t="n">
        <f aca="false">SUM(I24:I26)</f>
        <v>17144.1018155405</v>
      </c>
      <c r="J27" s="296" t="n">
        <f aca="false">SUM(J24:J26)</f>
        <v>9569.20361915496</v>
      </c>
      <c r="K27" s="296" t="n">
        <f aca="false">SUM(K24:K26)</f>
        <v>5524.57831614495</v>
      </c>
      <c r="L27" s="296" t="n">
        <f aca="false">SUM(L24:L26)</f>
        <v>5024.57831614495</v>
      </c>
      <c r="M27" s="296" t="n">
        <f aca="false">SUM(M24:M26)</f>
        <v>4524.57831614495</v>
      </c>
      <c r="N27" s="296" t="n">
        <f aca="false">SUM(N24:N26)</f>
        <v>4024.57831614495</v>
      </c>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row>
    <row r="28" customFormat="false" ht="12.75" hidden="false" customHeight="false" outlineLevel="0" collapsed="false">
      <c r="D28" s="296"/>
      <c r="E28" s="296"/>
      <c r="F28" s="296"/>
      <c r="G28" s="296"/>
      <c r="H28" s="296"/>
      <c r="I28" s="296"/>
      <c r="J28" s="296"/>
      <c r="K28" s="296"/>
      <c r="L28" s="296"/>
      <c r="M28" s="296"/>
      <c r="N28" s="296"/>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row>
    <row r="29" customFormat="false" ht="12.75" hidden="false" customHeight="false" outlineLevel="0" collapsed="false">
      <c r="A29" s="53" t="s">
        <v>387</v>
      </c>
      <c r="D29" s="296"/>
      <c r="E29" s="296"/>
      <c r="F29" s="296"/>
      <c r="G29" s="296"/>
      <c r="H29" s="296"/>
      <c r="I29" s="296"/>
      <c r="J29" s="296"/>
      <c r="K29" s="296"/>
      <c r="L29" s="296"/>
      <c r="M29" s="296"/>
      <c r="N29" s="296"/>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row>
    <row r="30" customFormat="false" ht="12.75" hidden="false" customHeight="false" outlineLevel="0" collapsed="false">
      <c r="A30" s="53"/>
      <c r="D30" s="296"/>
      <c r="E30" s="296"/>
      <c r="F30" s="296"/>
      <c r="G30" s="296"/>
      <c r="H30" s="296"/>
      <c r="I30" s="296"/>
      <c r="J30" s="296"/>
      <c r="K30" s="296"/>
      <c r="L30" s="296"/>
      <c r="M30" s="296"/>
      <c r="N30" s="296"/>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row>
    <row r="31" customFormat="false" ht="12.75" hidden="false" customHeight="false" outlineLevel="0" collapsed="false">
      <c r="A31" s="0" t="s">
        <v>314</v>
      </c>
      <c r="D31" s="296" t="n">
        <f aca="false">Dep!E101</f>
        <v>40968.6572098311</v>
      </c>
      <c r="E31" s="296" t="n">
        <f aca="false">D34</f>
        <v>39603.0353028367</v>
      </c>
      <c r="F31" s="296" t="n">
        <f aca="false">E34</f>
        <v>36871.791488848</v>
      </c>
      <c r="G31" s="296" t="n">
        <f aca="false">F34</f>
        <v>34140.5476748592</v>
      </c>
      <c r="H31" s="296" t="n">
        <f aca="false">G34</f>
        <v>31409.3038608705</v>
      </c>
      <c r="I31" s="296" t="n">
        <f aca="false">H34</f>
        <v>28678.0600468818</v>
      </c>
      <c r="J31" s="296" t="n">
        <f aca="false">I34</f>
        <v>25946.816232893</v>
      </c>
      <c r="K31" s="296" t="n">
        <f aca="false">J34</f>
        <v>23215.5724189043</v>
      </c>
      <c r="L31" s="296" t="n">
        <f aca="false">K34</f>
        <v>20484.3286049155</v>
      </c>
      <c r="M31" s="296" t="n">
        <f aca="false">L34</f>
        <v>17753.0847909268</v>
      </c>
      <c r="N31" s="296" t="n">
        <f aca="false">M34</f>
        <v>15021.8409769381</v>
      </c>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row>
    <row r="32" customFormat="false" ht="12.75" hidden="false" customHeight="false" outlineLevel="0" collapsed="false">
      <c r="A32" s="0" t="s">
        <v>315</v>
      </c>
      <c r="D32" s="67" t="n">
        <v>0</v>
      </c>
      <c r="E32" s="67" t="n">
        <v>0</v>
      </c>
      <c r="F32" s="67" t="n">
        <v>0</v>
      </c>
      <c r="G32" s="67" t="n">
        <v>0</v>
      </c>
      <c r="H32" s="67" t="n">
        <v>0</v>
      </c>
      <c r="I32" s="67" t="n">
        <v>0</v>
      </c>
      <c r="J32" s="67" t="n">
        <v>0</v>
      </c>
      <c r="K32" s="67" t="n">
        <v>0</v>
      </c>
      <c r="L32" s="67" t="n">
        <v>0</v>
      </c>
      <c r="M32" s="67" t="n">
        <v>0</v>
      </c>
      <c r="N32" s="67" t="n">
        <v>0</v>
      </c>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row>
    <row r="33" customFormat="false" ht="12.75" hidden="false" customHeight="false" outlineLevel="0" collapsed="false">
      <c r="A33" s="0" t="s">
        <v>295</v>
      </c>
      <c r="D33" s="297" t="n">
        <f aca="false">-Dep!F101/2</f>
        <v>-1365.62190699437</v>
      </c>
      <c r="E33" s="297" t="n">
        <f aca="false">-Dep!G101</f>
        <v>-2731.24381398874</v>
      </c>
      <c r="F33" s="297" t="n">
        <f aca="false">-Dep!H101</f>
        <v>-2731.24381398874</v>
      </c>
      <c r="G33" s="297" t="n">
        <f aca="false">-Dep!I101</f>
        <v>-2731.24381398874</v>
      </c>
      <c r="H33" s="297" t="n">
        <f aca="false">-Dep!J101</f>
        <v>-2731.24381398874</v>
      </c>
      <c r="I33" s="297" t="n">
        <f aca="false">-Dep!K101</f>
        <v>-2731.24381398874</v>
      </c>
      <c r="J33" s="297" t="n">
        <f aca="false">-Dep!L101</f>
        <v>-2731.24381398874</v>
      </c>
      <c r="K33" s="297" t="n">
        <f aca="false">-Dep!M101</f>
        <v>-2731.24381398874</v>
      </c>
      <c r="L33" s="297" t="n">
        <f aca="false">-Dep!N101</f>
        <v>-2731.24381398874</v>
      </c>
      <c r="M33" s="297" t="n">
        <f aca="false">-Dep!O101</f>
        <v>-2731.24381398874</v>
      </c>
      <c r="N33" s="297" t="n">
        <f aca="false">-Dep!P101</f>
        <v>-2731.24381398874</v>
      </c>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row>
    <row r="34" customFormat="false" ht="12.75" hidden="false" customHeight="false" outlineLevel="0" collapsed="false">
      <c r="A34" s="0" t="s">
        <v>316</v>
      </c>
      <c r="D34" s="296" t="n">
        <f aca="false">SUM(D31:D33)</f>
        <v>39603.0353028367</v>
      </c>
      <c r="E34" s="296" t="n">
        <f aca="false">SUM(E31:E33)</f>
        <v>36871.791488848</v>
      </c>
      <c r="F34" s="296" t="n">
        <f aca="false">SUM(F31:F33)</f>
        <v>34140.5476748592</v>
      </c>
      <c r="G34" s="296" t="n">
        <f aca="false">SUM(G31:G33)</f>
        <v>31409.3038608705</v>
      </c>
      <c r="H34" s="296" t="n">
        <f aca="false">SUM(H31:H33)</f>
        <v>28678.0600468818</v>
      </c>
      <c r="I34" s="296" t="n">
        <f aca="false">SUM(I31:I33)</f>
        <v>25946.816232893</v>
      </c>
      <c r="J34" s="296" t="n">
        <f aca="false">SUM(J31:J33)</f>
        <v>23215.5724189043</v>
      </c>
      <c r="K34" s="296" t="n">
        <f aca="false">SUM(K31:K33)</f>
        <v>20484.3286049155</v>
      </c>
      <c r="L34" s="296" t="n">
        <f aca="false">SUM(L31:L33)</f>
        <v>17753.0847909268</v>
      </c>
      <c r="M34" s="296" t="n">
        <f aca="false">SUM(M31:M33)</f>
        <v>15021.8409769381</v>
      </c>
      <c r="N34" s="296" t="n">
        <f aca="false">SUM(N31:N33)</f>
        <v>12290.5971629493</v>
      </c>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row>
    <row r="35" customFormat="false" ht="12.75" hidden="false" customHeight="false" outlineLevel="0" collapsed="false">
      <c r="D35" s="296"/>
      <c r="E35" s="296"/>
      <c r="F35" s="296"/>
      <c r="G35" s="296"/>
      <c r="H35" s="296"/>
      <c r="I35" s="296"/>
      <c r="J35" s="296"/>
      <c r="K35" s="296"/>
      <c r="L35" s="296"/>
      <c r="M35" s="296"/>
      <c r="N35" s="296"/>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row>
    <row r="36" customFormat="false" ht="12.75" hidden="false" customHeight="false" outlineLevel="0" collapsed="false">
      <c r="A36" s="0" t="s">
        <v>388</v>
      </c>
      <c r="D36" s="67" t="n">
        <f aca="false">D26+D33</f>
        <v>-7079.90022313933</v>
      </c>
      <c r="E36" s="67" t="n">
        <f aca="false">E26+E33</f>
        <v>-22388.7926190818</v>
      </c>
      <c r="F36" s="67" t="n">
        <f aca="false">F26+F33</f>
        <v>-16912.9293632365</v>
      </c>
      <c r="G36" s="67" t="n">
        <f aca="false">G26+G33</f>
        <v>-13001.5841804899</v>
      </c>
      <c r="H36" s="67" t="n">
        <f aca="false">H26+H33</f>
        <v>-10216.8920103743</v>
      </c>
      <c r="I36" s="67" t="n">
        <f aca="false">I26+I33</f>
        <v>-10253.5444200088</v>
      </c>
      <c r="J36" s="67" t="n">
        <f aca="false">J26+J33</f>
        <v>-10306.1420103743</v>
      </c>
      <c r="K36" s="67" t="n">
        <f aca="false">K26+K33</f>
        <v>-6775.86911699875</v>
      </c>
      <c r="L36" s="67" t="n">
        <f aca="false">L26+L33</f>
        <v>-3231.24381398874</v>
      </c>
      <c r="M36" s="67" t="n">
        <f aca="false">M26+M33</f>
        <v>-3231.24381398874</v>
      </c>
      <c r="N36" s="67" t="n">
        <f aca="false">N26+N33</f>
        <v>-3231.24381398874</v>
      </c>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row>
    <row r="37" customFormat="false" ht="12.75" hidden="false" customHeight="false" outlineLevel="0" collapsed="false">
      <c r="A37" s="0" t="s">
        <v>389</v>
      </c>
      <c r="D37" s="67" t="n">
        <f aca="false">D12+D19</f>
        <v>-1845.0399427051</v>
      </c>
      <c r="E37" s="67" t="n">
        <f aca="false">E12+E19</f>
        <v>-3706.74655207688</v>
      </c>
      <c r="F37" s="67" t="n">
        <f aca="false">F12+F19</f>
        <v>-3723.41321874354</v>
      </c>
      <c r="G37" s="67" t="n">
        <f aca="false">G12+G19</f>
        <v>-3740.07988541021</v>
      </c>
      <c r="H37" s="67" t="n">
        <f aca="false">H12+H19</f>
        <v>-3756.74655207688</v>
      </c>
      <c r="I37" s="67" t="n">
        <f aca="false">I12+I19</f>
        <v>-3773.41321874354</v>
      </c>
      <c r="J37" s="67" t="n">
        <f aca="false">J12+J19</f>
        <v>-3790.07988541021</v>
      </c>
      <c r="K37" s="67" t="n">
        <f aca="false">K12+K19</f>
        <v>-3806.74655207688</v>
      </c>
      <c r="L37" s="67" t="n">
        <f aca="false">L12+L19</f>
        <v>-3823.41321874354</v>
      </c>
      <c r="M37" s="67" t="n">
        <f aca="false">M12+M19</f>
        <v>-3840.07988541021</v>
      </c>
      <c r="N37" s="67" t="n">
        <f aca="false">N12+N19</f>
        <v>-3856.74655207688</v>
      </c>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row>
    <row r="38" customFormat="false" ht="12.75" hidden="false" customHeight="false" outlineLevel="0" collapsed="false">
      <c r="A38" s="0" t="s">
        <v>318</v>
      </c>
      <c r="D38" s="298" t="n">
        <f aca="false">D37-D36</f>
        <v>5234.86028043422</v>
      </c>
      <c r="E38" s="298" t="n">
        <f aca="false">E37-E36</f>
        <v>18682.0460670049</v>
      </c>
      <c r="F38" s="298" t="n">
        <f aca="false">F37-F36</f>
        <v>13189.516144493</v>
      </c>
      <c r="G38" s="298" t="n">
        <f aca="false">G37-G36</f>
        <v>9261.50429507966</v>
      </c>
      <c r="H38" s="298" t="n">
        <f aca="false">H37-H36</f>
        <v>6460.14545829738</v>
      </c>
      <c r="I38" s="298" t="n">
        <f aca="false">I37-I36</f>
        <v>6480.13120126522</v>
      </c>
      <c r="J38" s="298" t="n">
        <f aca="false">J37-J36</f>
        <v>6516.06212496404</v>
      </c>
      <c r="K38" s="298" t="n">
        <f aca="false">K37-K36</f>
        <v>2969.12256492187</v>
      </c>
      <c r="L38" s="298" t="n">
        <f aca="false">L37-L36</f>
        <v>-592.169404754804</v>
      </c>
      <c r="M38" s="298" t="n">
        <f aca="false">M37-M36</f>
        <v>-608.836071421471</v>
      </c>
      <c r="N38" s="298" t="n">
        <f aca="false">N37-N36</f>
        <v>-625.502738088137</v>
      </c>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row>
    <row r="39" customFormat="false" ht="12.75" hidden="false" customHeight="false" outlineLevel="0" collapsed="false">
      <c r="A39" s="0" t="s">
        <v>297</v>
      </c>
      <c r="D39" s="296" t="n">
        <f aca="false">D38*Assumptions!$B$8</f>
        <v>1832.20109815198</v>
      </c>
      <c r="E39" s="296" t="n">
        <f aca="false">E38*Assumptions!$B$8</f>
        <v>6538.71612345173</v>
      </c>
      <c r="F39" s="296" t="n">
        <f aca="false">F38*Assumptions!$B$8</f>
        <v>4616.33065057254</v>
      </c>
      <c r="G39" s="296" t="n">
        <f aca="false">G38*Assumptions!$B$8</f>
        <v>3241.52650327788</v>
      </c>
      <c r="H39" s="296" t="n">
        <f aca="false">H38*Assumptions!$B$8</f>
        <v>2261.05091040408</v>
      </c>
      <c r="I39" s="296" t="n">
        <f aca="false">I38*Assumptions!$B$8</f>
        <v>2268.04592044283</v>
      </c>
      <c r="J39" s="296" t="n">
        <f aca="false">J38*Assumptions!$B$8</f>
        <v>2280.62174373742</v>
      </c>
      <c r="K39" s="296" t="n">
        <f aca="false">K38*Assumptions!$B$8</f>
        <v>1039.19289772266</v>
      </c>
      <c r="L39" s="296" t="n">
        <f aca="false">L38*Assumptions!$B$8</f>
        <v>-207.259291664181</v>
      </c>
      <c r="M39" s="296" t="n">
        <f aca="false">M38*Assumptions!$B$8</f>
        <v>-213.092624997515</v>
      </c>
      <c r="N39" s="296" t="n">
        <f aca="false">N38*Assumptions!$B$8</f>
        <v>-218.925958330848</v>
      </c>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row>
    <row r="40" customFormat="false" ht="12.75" hidden="false" customHeight="false" outlineLevel="0" collapsed="false">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row>
    <row r="41" customFormat="false" ht="12.75" hidden="false" customHeight="false" outlineLevel="0" collapsed="false">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row>
    <row r="42" customFormat="false" ht="12.75" hidden="false" customHeight="false" outlineLevel="0" collapsed="false">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row>
    <row r="43" customFormat="false" ht="12.75" hidden="false" customHeight="false" outlineLevel="0" collapsed="false">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row>
    <row r="44" customFormat="false" ht="12.75" hidden="false" customHeight="false" outlineLevel="0" collapsed="false">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row>
    <row r="45" customFormat="false" ht="12.75" hidden="false" customHeight="false" outlineLevel="0" collapsed="false">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row>
    <row r="46" customFormat="false" ht="12.75" hidden="false" customHeight="false" outlineLevel="0" collapsed="false">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row>
    <row r="47" customFormat="false" ht="12.75" hidden="false" customHeight="false" outlineLevel="0" collapsed="false">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row>
    <row r="48" customFormat="false" ht="12.75" hidden="false" customHeight="false" outlineLevel="0" collapsed="false">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row>
    <row r="49" customFormat="false" ht="12.75" hidden="false" customHeight="false" outlineLevel="0" collapsed="false">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row>
    <row r="50" customFormat="false" ht="12.75" hidden="false" customHeight="false" outlineLevel="0" collapsed="false">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row>
    <row r="51" customFormat="false" ht="12.75" hidden="false" customHeight="false" outlineLevel="0" collapsed="false">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row>
    <row r="52" customFormat="false" ht="12.75" hidden="false" customHeight="false" outlineLevel="0" collapsed="false">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row>
    <row r="53" customFormat="false" ht="12.75" hidden="false" customHeight="false" outlineLevel="0" collapsed="false">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row>
    <row r="54" customFormat="false" ht="12.75" hidden="false" customHeight="false" outlineLevel="0" collapsed="false">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row>
    <row r="55" customFormat="false" ht="12.75" hidden="false" customHeight="false" outlineLevel="0" collapsed="false">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row>
    <row r="56" customFormat="false" ht="12.75" hidden="false" customHeight="false" outlineLevel="0" collapsed="false">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row>
    <row r="57" customFormat="false" ht="12.75" hidden="false" customHeight="false" outlineLevel="0" collapsed="false">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N57" s="67"/>
      <c r="AO57" s="67"/>
      <c r="AP57" s="67"/>
    </row>
    <row r="58" customFormat="false" ht="12.75" hidden="false" customHeight="false" outlineLevel="0" collapsed="false">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row>
    <row r="59" customFormat="false" ht="12.75" hidden="false" customHeight="false" outlineLevel="0" collapsed="false">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row>
    <row r="60" customFormat="false" ht="12.75" hidden="false" customHeight="false" outlineLevel="0" collapsed="false">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row>
    <row r="61" customFormat="false" ht="12.75" hidden="false" customHeight="false" outlineLevel="0" collapsed="false">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row>
    <row r="62" customFormat="false" ht="12.75" hidden="false" customHeight="false" outlineLevel="0" collapsed="false">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row>
    <row r="63" customFormat="false" ht="12.75" hidden="false" customHeight="false" outlineLevel="0" collapsed="false">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row>
    <row r="64" customFormat="false" ht="12.75" hidden="false" customHeight="false" outlineLevel="0" collapsed="false">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c r="AN64" s="67"/>
      <c r="AO64" s="67"/>
      <c r="AP64" s="67"/>
    </row>
    <row r="65" customFormat="false" ht="12.75" hidden="false" customHeight="false" outlineLevel="0" collapsed="false">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row>
    <row r="66" customFormat="false" ht="12.75" hidden="false" customHeight="false" outlineLevel="0" collapsed="false">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row>
    <row r="67" customFormat="false" ht="12.75" hidden="false" customHeight="false" outlineLevel="0" collapsed="false">
      <c r="E67" s="67"/>
      <c r="F67" s="67"/>
      <c r="G67" s="67"/>
      <c r="H67" s="67"/>
      <c r="I67" s="67"/>
      <c r="J67" s="67"/>
      <c r="K67" s="67"/>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row>
    <row r="68" customFormat="false" ht="12.75" hidden="false" customHeight="false" outlineLevel="0" collapsed="false">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row>
    <row r="69" customFormat="false" ht="12.75" hidden="false" customHeight="false" outlineLevel="0" collapsed="false">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67"/>
      <c r="AI69" s="67"/>
      <c r="AJ69" s="67"/>
      <c r="AK69" s="67"/>
      <c r="AL69" s="67"/>
      <c r="AM69" s="67"/>
      <c r="AN69" s="67"/>
      <c r="AO69" s="67"/>
      <c r="AP69" s="67"/>
    </row>
    <row r="70" customFormat="false" ht="12.75" hidden="false" customHeight="false" outlineLevel="0" collapsed="false">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row>
    <row r="71" customFormat="false" ht="12.75" hidden="false" customHeight="false" outlineLevel="0" collapsed="false">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row>
    <row r="72" customFormat="false" ht="12.75" hidden="false" customHeight="false" outlineLevel="0" collapsed="false">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c r="AN72" s="67"/>
      <c r="AO72" s="67"/>
      <c r="AP72" s="67"/>
    </row>
    <row r="73" customFormat="false" ht="12.75" hidden="false" customHeight="false" outlineLevel="0" collapsed="false">
      <c r="E73" s="67"/>
      <c r="F73" s="67"/>
      <c r="G73" s="67"/>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row>
    <row r="74" customFormat="false" ht="12.75" hidden="false" customHeight="false" outlineLevel="0" collapsed="false">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row>
    <row r="75" customFormat="false" ht="12.75" hidden="false" customHeight="false" outlineLevel="0" collapsed="false">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row>
    <row r="76" customFormat="false" ht="12.75" hidden="false" customHeight="false" outlineLevel="0" collapsed="false">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row>
    <row r="77" customFormat="false" ht="12.75" hidden="false" customHeight="false" outlineLevel="0" collapsed="false">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row>
    <row r="78" customFormat="false" ht="12.75" hidden="false" customHeight="false" outlineLevel="0" collapsed="false">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c r="AH78" s="67"/>
      <c r="AI78" s="67"/>
      <c r="AJ78" s="67"/>
      <c r="AK78" s="67"/>
      <c r="AL78" s="67"/>
      <c r="AM78" s="67"/>
      <c r="AN78" s="67"/>
      <c r="AO78" s="67"/>
      <c r="AP78" s="67"/>
    </row>
    <row r="79" customFormat="false" ht="12.75" hidden="false" customHeight="false" outlineLevel="0" collapsed="false">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row>
    <row r="80" customFormat="false" ht="12.75" hidden="false" customHeight="false" outlineLevel="0" collapsed="false">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row>
    <row r="81" customFormat="false" ht="12.75" hidden="false" customHeight="false" outlineLevel="0" collapsed="false">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row>
    <row r="82" customFormat="false" ht="12.75" hidden="false" customHeight="false" outlineLevel="0" collapsed="false">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row>
    <row r="83" customFormat="false" ht="12.75" hidden="false" customHeight="false" outlineLevel="0" collapsed="false">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row>
    <row r="84" customFormat="false" ht="12.75" hidden="false" customHeight="false" outlineLevel="0" collapsed="false">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row>
    <row r="85" customFormat="false" ht="12.75" hidden="false" customHeight="false" outlineLevel="0" collapsed="false">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row>
    <row r="86" customFormat="false" ht="12.75" hidden="false" customHeight="false" outlineLevel="0" collapsed="false">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row>
    <row r="87" customFormat="false" ht="12.75" hidden="false" customHeight="false" outlineLevel="0" collapsed="false">
      <c r="E87" s="67"/>
      <c r="F87" s="67"/>
      <c r="G87" s="6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row>
    <row r="88" customFormat="false" ht="12.75" hidden="false" customHeight="false" outlineLevel="0" collapsed="false">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row>
    <row r="89" customFormat="false" ht="12.75" hidden="false" customHeight="false" outlineLevel="0" collapsed="false">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row>
    <row r="90" customFormat="false" ht="12.75" hidden="false" customHeight="false" outlineLevel="0" collapsed="false">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row>
    <row r="91" customFormat="false" ht="12.75" hidden="false" customHeight="false" outlineLevel="0" collapsed="false">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row>
    <row r="92" customFormat="false" ht="12.75" hidden="false" customHeight="false" outlineLevel="0" collapsed="false">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row>
    <row r="93" customFormat="false" ht="12.75" hidden="false" customHeight="false" outlineLevel="0" collapsed="false">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row>
    <row r="94" customFormat="false" ht="12.75" hidden="false" customHeight="false" outlineLevel="0" collapsed="false">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row>
    <row r="95" customFormat="false" ht="12.75" hidden="false" customHeight="false" outlineLevel="0" collapsed="false">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row>
    <row r="96" customFormat="false" ht="12.75" hidden="false" customHeight="false" outlineLevel="0" collapsed="false">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row>
    <row r="97" customFormat="false" ht="12.75" hidden="false" customHeight="false" outlineLevel="0" collapsed="false">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row>
    <row r="98" customFormat="false" ht="12.75" hidden="false" customHeight="false" outlineLevel="0" collapsed="false">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row>
    <row r="99" customFormat="false" ht="12.75" hidden="false" customHeight="false" outlineLevel="0" collapsed="false">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row>
    <row r="100" customFormat="false" ht="12.75" hidden="false" customHeight="false" outlineLevel="0" collapsed="false">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row>
    <row r="101" customFormat="false" ht="12.75" hidden="false" customHeight="false" outlineLevel="0" collapsed="false">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row>
    <row r="102" customFormat="false" ht="12.75" hidden="false" customHeight="false" outlineLevel="0" collapsed="false">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row>
    <row r="103" customFormat="false" ht="12.75" hidden="false" customHeight="false" outlineLevel="0" collapsed="false">
      <c r="E103" s="67"/>
      <c r="F103" s="67"/>
      <c r="G103" s="67"/>
      <c r="H103" s="67"/>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row>
    <row r="104" customFormat="false" ht="12.75" hidden="false" customHeight="false" outlineLevel="0" collapsed="false">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row>
    <row r="105" customFormat="false" ht="12.75" hidden="false" customHeight="false" outlineLevel="0" collapsed="false">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row>
    <row r="106" customFormat="false" ht="12.75" hidden="false" customHeight="false" outlineLevel="0" collapsed="false">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row>
    <row r="107" customFormat="false" ht="12.75" hidden="false" customHeight="false" outlineLevel="0" collapsed="false">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row>
    <row r="108" customFormat="false" ht="12.75" hidden="false" customHeight="false" outlineLevel="0" collapsed="false">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c r="AK108" s="67"/>
      <c r="AL108" s="67"/>
      <c r="AM108" s="67"/>
      <c r="AN108" s="67"/>
      <c r="AO108" s="67"/>
      <c r="AP108" s="67"/>
    </row>
    <row r="109" customFormat="false" ht="12.75" hidden="false" customHeight="false" outlineLevel="0" collapsed="false">
      <c r="E109" s="67"/>
      <c r="F109" s="67"/>
      <c r="G109" s="67"/>
      <c r="H109" s="67"/>
      <c r="I109" s="67"/>
      <c r="J109" s="67"/>
      <c r="K109" s="67"/>
      <c r="L109" s="67"/>
      <c r="M109" s="67"/>
      <c r="N109" s="67"/>
      <c r="O109" s="67"/>
      <c r="P109" s="67"/>
      <c r="Q109" s="67"/>
      <c r="R109" s="67"/>
      <c r="S109" s="67"/>
      <c r="T109" s="67"/>
      <c r="U109" s="67"/>
      <c r="V109" s="67"/>
      <c r="W109" s="67"/>
      <c r="X109" s="67"/>
      <c r="Y109" s="67"/>
      <c r="Z109" s="67"/>
      <c r="AA109" s="67"/>
      <c r="AB109" s="67"/>
      <c r="AC109" s="67"/>
      <c r="AD109" s="67"/>
      <c r="AE109" s="67"/>
      <c r="AF109" s="67"/>
      <c r="AG109" s="67"/>
      <c r="AH109" s="67"/>
      <c r="AI109" s="67"/>
      <c r="AJ109" s="67"/>
      <c r="AK109" s="67"/>
      <c r="AL109" s="67"/>
      <c r="AM109" s="67"/>
      <c r="AN109" s="67"/>
      <c r="AO109" s="67"/>
      <c r="AP109" s="67"/>
    </row>
    <row r="110" customFormat="false" ht="12.75" hidden="false" customHeight="false" outlineLevel="0" collapsed="false">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row>
    <row r="111" customFormat="false" ht="12.75" hidden="false" customHeight="false" outlineLevel="0" collapsed="false">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row>
    <row r="112" customFormat="false" ht="12.75" hidden="false" customHeight="false" outlineLevel="0" collapsed="false">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row>
    <row r="113" customFormat="false" ht="12.75" hidden="false" customHeight="false" outlineLevel="0" collapsed="false">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row>
    <row r="114" customFormat="false" ht="12.75" hidden="false" customHeight="false" outlineLevel="0" collapsed="false">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row>
    <row r="115" customFormat="false" ht="12.75" hidden="false" customHeight="false" outlineLevel="0" collapsed="false">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67"/>
    </row>
    <row r="116" customFormat="false" ht="12.75" hidden="false" customHeight="false" outlineLevel="0" collapsed="false">
      <c r="E116" s="67"/>
      <c r="F116" s="67"/>
      <c r="G116" s="6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67"/>
      <c r="AH116" s="67"/>
      <c r="AI116" s="67"/>
      <c r="AJ116" s="67"/>
      <c r="AK116" s="67"/>
      <c r="AL116" s="67"/>
      <c r="AM116" s="67"/>
      <c r="AN116" s="67"/>
      <c r="AO116" s="67"/>
      <c r="AP116" s="67"/>
    </row>
    <row r="117" customFormat="false" ht="12.75" hidden="false" customHeight="false" outlineLevel="0" collapsed="false">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67"/>
      <c r="AH117" s="67"/>
      <c r="AI117" s="67"/>
      <c r="AJ117" s="67"/>
      <c r="AK117" s="67"/>
      <c r="AL117" s="67"/>
      <c r="AM117" s="67"/>
      <c r="AN117" s="67"/>
      <c r="AO117" s="67"/>
      <c r="AP117" s="67"/>
    </row>
    <row r="118" customFormat="false" ht="12.75" hidden="false" customHeight="false" outlineLevel="0" collapsed="false">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7"/>
      <c r="AL118" s="67"/>
      <c r="AM118" s="67"/>
      <c r="AN118" s="67"/>
      <c r="AO118" s="67"/>
      <c r="AP118" s="67"/>
    </row>
    <row r="119" customFormat="false" ht="12.75" hidden="false" customHeight="false" outlineLevel="0" collapsed="false">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7"/>
      <c r="AL119" s="67"/>
      <c r="AM119" s="67"/>
      <c r="AN119" s="67"/>
      <c r="AO119" s="67"/>
      <c r="AP119" s="67"/>
    </row>
    <row r="120" customFormat="false" ht="12.75" hidden="false" customHeight="false" outlineLevel="0" collapsed="false">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row>
    <row r="121" customFormat="false" ht="12.75" hidden="false" customHeight="false" outlineLevel="0" collapsed="false">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row>
    <row r="122" customFormat="false" ht="12.75" hidden="false" customHeight="false" outlineLevel="0" collapsed="false">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row>
    <row r="123" customFormat="false" ht="12.75" hidden="false" customHeight="false" outlineLevel="0" collapsed="false">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67"/>
      <c r="AP123" s="67"/>
    </row>
    <row r="124" customFormat="false" ht="12.75" hidden="false" customHeight="false" outlineLevel="0" collapsed="false">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row>
    <row r="125" customFormat="false" ht="12.75" hidden="false" customHeight="false" outlineLevel="0" collapsed="false">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7"/>
      <c r="AL125" s="67"/>
      <c r="AM125" s="67"/>
      <c r="AN125" s="67"/>
      <c r="AO125" s="67"/>
      <c r="AP125" s="67"/>
    </row>
    <row r="126" customFormat="false" ht="12.75" hidden="false" customHeight="false" outlineLevel="0" collapsed="false">
      <c r="E126" s="67"/>
      <c r="F126" s="67"/>
      <c r="G126" s="67"/>
      <c r="H126" s="67"/>
      <c r="I126" s="67"/>
      <c r="J126" s="67"/>
      <c r="K126" s="67"/>
      <c r="L126" s="67"/>
      <c r="M126" s="67"/>
      <c r="N126" s="67"/>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7"/>
      <c r="AL126" s="67"/>
      <c r="AM126" s="67"/>
      <c r="AN126" s="67"/>
      <c r="AO126" s="67"/>
      <c r="AP126" s="67"/>
    </row>
    <row r="127" customFormat="false" ht="12.75" hidden="false" customHeight="false" outlineLevel="0" collapsed="false">
      <c r="E127" s="67"/>
      <c r="F127" s="67"/>
      <c r="G127" s="67"/>
      <c r="H127" s="67"/>
      <c r="I127" s="67"/>
      <c r="J127" s="67"/>
      <c r="K127" s="67"/>
      <c r="L127" s="67"/>
      <c r="M127" s="67"/>
      <c r="N127" s="67"/>
      <c r="O127" s="67"/>
      <c r="P127" s="67"/>
      <c r="Q127" s="67"/>
      <c r="R127" s="67"/>
      <c r="S127" s="67"/>
      <c r="T127" s="67"/>
      <c r="U127" s="67"/>
      <c r="V127" s="67"/>
      <c r="W127" s="67"/>
      <c r="X127" s="67"/>
      <c r="Y127" s="67"/>
      <c r="Z127" s="67"/>
      <c r="AA127" s="67"/>
      <c r="AB127" s="67"/>
      <c r="AC127" s="67"/>
      <c r="AD127" s="67"/>
      <c r="AE127" s="67"/>
      <c r="AF127" s="67"/>
      <c r="AG127" s="67"/>
      <c r="AH127" s="67"/>
      <c r="AI127" s="67"/>
      <c r="AJ127" s="67"/>
      <c r="AK127" s="67"/>
      <c r="AL127" s="67"/>
      <c r="AM127" s="67"/>
      <c r="AN127" s="67"/>
      <c r="AO127" s="67"/>
      <c r="AP127" s="67"/>
    </row>
    <row r="128" customFormat="false" ht="12.75" hidden="false" customHeight="false" outlineLevel="0" collapsed="false">
      <c r="E128" s="67"/>
      <c r="F128" s="67"/>
      <c r="G128" s="67"/>
      <c r="H128" s="67"/>
      <c r="I128" s="67"/>
      <c r="J128" s="67"/>
      <c r="K128" s="67"/>
      <c r="L128" s="67"/>
      <c r="M128" s="67"/>
      <c r="N128" s="67"/>
      <c r="O128" s="6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row>
    <row r="129" customFormat="false" ht="12.75" hidden="false" customHeight="false" outlineLevel="0" collapsed="false">
      <c r="E129" s="67"/>
      <c r="F129" s="67"/>
      <c r="G129" s="67"/>
      <c r="H129" s="67"/>
      <c r="I129" s="67"/>
      <c r="J129" s="67"/>
      <c r="K129" s="67"/>
      <c r="L129" s="67"/>
      <c r="M129" s="67"/>
      <c r="N129" s="67"/>
      <c r="O129" s="67"/>
      <c r="P129" s="67"/>
      <c r="Q129" s="67"/>
      <c r="R129" s="67"/>
      <c r="S129" s="67"/>
      <c r="T129" s="67"/>
      <c r="U129" s="67"/>
      <c r="V129" s="67"/>
      <c r="W129" s="67"/>
      <c r="X129" s="67"/>
      <c r="Y129" s="67"/>
      <c r="Z129" s="67"/>
      <c r="AA129" s="67"/>
      <c r="AB129" s="67"/>
      <c r="AC129" s="67"/>
      <c r="AD129" s="67"/>
      <c r="AE129" s="67"/>
      <c r="AF129" s="67"/>
      <c r="AG129" s="67"/>
      <c r="AH129" s="67"/>
      <c r="AI129" s="67"/>
      <c r="AJ129" s="67"/>
      <c r="AK129" s="67"/>
      <c r="AL129" s="67"/>
      <c r="AM129" s="67"/>
      <c r="AN129" s="67"/>
      <c r="AO129" s="67"/>
      <c r="AP129" s="67"/>
    </row>
    <row r="130" customFormat="false" ht="12.75" hidden="false" customHeight="false" outlineLevel="0" collapsed="false">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row>
    <row r="131" customFormat="false" ht="12.75" hidden="false" customHeight="false" outlineLevel="0" collapsed="false">
      <c r="E131" s="67"/>
      <c r="F131" s="67"/>
      <c r="G131" s="67"/>
      <c r="H131" s="67"/>
      <c r="I131" s="67"/>
      <c r="J131" s="67"/>
      <c r="K131" s="67"/>
      <c r="L131" s="67"/>
      <c r="M131" s="67"/>
      <c r="N131" s="67"/>
      <c r="O131" s="67"/>
      <c r="P131" s="67"/>
      <c r="Q131" s="67"/>
      <c r="R131" s="67"/>
      <c r="S131" s="67"/>
      <c r="T131" s="67"/>
      <c r="U131" s="67"/>
      <c r="V131" s="67"/>
      <c r="W131" s="67"/>
      <c r="X131" s="67"/>
      <c r="Y131" s="67"/>
      <c r="Z131" s="67"/>
      <c r="AA131" s="67"/>
      <c r="AB131" s="67"/>
      <c r="AC131" s="67"/>
      <c r="AD131" s="67"/>
      <c r="AE131" s="67"/>
      <c r="AF131" s="67"/>
      <c r="AG131" s="67"/>
      <c r="AH131" s="67"/>
      <c r="AI131" s="67"/>
      <c r="AJ131" s="67"/>
      <c r="AK131" s="67"/>
      <c r="AL131" s="67"/>
      <c r="AM131" s="67"/>
      <c r="AN131" s="67"/>
      <c r="AO131" s="67"/>
      <c r="AP131" s="67"/>
    </row>
    <row r="132" customFormat="false" ht="12.75" hidden="false" customHeight="false" outlineLevel="0" collapsed="false">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c r="AK132" s="67"/>
      <c r="AL132" s="67"/>
      <c r="AM132" s="67"/>
      <c r="AN132" s="67"/>
      <c r="AO132" s="67"/>
      <c r="AP132" s="67"/>
    </row>
    <row r="133" customFormat="false" ht="12.75" hidden="false" customHeight="false" outlineLevel="0" collapsed="false">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67"/>
    </row>
    <row r="134" customFormat="false" ht="12.75" hidden="false" customHeight="false" outlineLevel="0" collapsed="false">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row>
    <row r="135" customFormat="false" ht="12.75" hidden="false" customHeight="false" outlineLevel="0" collapsed="false">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row>
    <row r="136" customFormat="false" ht="12.75" hidden="false" customHeight="false" outlineLevel="0" collapsed="false">
      <c r="E136" s="67"/>
      <c r="F136" s="67"/>
      <c r="G136" s="67"/>
      <c r="H136" s="67"/>
      <c r="I136" s="67"/>
      <c r="J136" s="67"/>
      <c r="K136" s="67"/>
      <c r="L136" s="67"/>
      <c r="M136" s="67"/>
      <c r="N136" s="67"/>
      <c r="O136" s="67"/>
      <c r="P136" s="67"/>
      <c r="Q136" s="67"/>
      <c r="R136" s="67"/>
      <c r="S136" s="67"/>
      <c r="T136" s="67"/>
      <c r="U136" s="67"/>
      <c r="V136" s="67"/>
      <c r="W136" s="67"/>
      <c r="X136" s="67"/>
      <c r="Y136" s="67"/>
      <c r="Z136" s="67"/>
      <c r="AA136" s="67"/>
      <c r="AB136" s="67"/>
      <c r="AC136" s="67"/>
      <c r="AD136" s="67"/>
      <c r="AE136" s="67"/>
      <c r="AF136" s="67"/>
      <c r="AG136" s="67"/>
      <c r="AH136" s="67"/>
      <c r="AI136" s="67"/>
      <c r="AJ136" s="67"/>
      <c r="AK136" s="67"/>
      <c r="AL136" s="67"/>
      <c r="AM136" s="67"/>
      <c r="AN136" s="67"/>
      <c r="AO136" s="67"/>
      <c r="AP136" s="67"/>
    </row>
    <row r="137" customFormat="false" ht="12.75" hidden="false" customHeight="false" outlineLevel="0" collapsed="false">
      <c r="E137" s="67"/>
      <c r="F137" s="67"/>
      <c r="G137" s="67"/>
      <c r="H137" s="67"/>
      <c r="I137" s="67"/>
      <c r="J137" s="67"/>
      <c r="K137" s="67"/>
      <c r="L137" s="67"/>
      <c r="M137" s="67"/>
      <c r="N137" s="67"/>
      <c r="O137" s="67"/>
      <c r="P137" s="67"/>
      <c r="Q137" s="67"/>
      <c r="R137" s="67"/>
      <c r="S137" s="67"/>
      <c r="T137" s="67"/>
      <c r="U137" s="67"/>
      <c r="V137" s="67"/>
      <c r="W137" s="67"/>
      <c r="X137" s="67"/>
      <c r="Y137" s="67"/>
      <c r="Z137" s="67"/>
      <c r="AA137" s="67"/>
      <c r="AB137" s="67"/>
      <c r="AC137" s="67"/>
      <c r="AD137" s="67"/>
      <c r="AE137" s="67"/>
      <c r="AF137" s="67"/>
      <c r="AG137" s="67"/>
      <c r="AH137" s="67"/>
      <c r="AI137" s="67"/>
      <c r="AJ137" s="67"/>
      <c r="AK137" s="67"/>
      <c r="AL137" s="67"/>
      <c r="AM137" s="67"/>
      <c r="AN137" s="67"/>
      <c r="AO137" s="67"/>
      <c r="AP137" s="67"/>
    </row>
    <row r="138" customFormat="false" ht="12.75" hidden="false" customHeight="false" outlineLevel="0" collapsed="false">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row>
    <row r="139" customFormat="false" ht="12.75" hidden="false" customHeight="false" outlineLevel="0" collapsed="false">
      <c r="E139" s="67"/>
      <c r="F139" s="67"/>
      <c r="G139" s="67"/>
      <c r="H139" s="67"/>
      <c r="I139" s="67"/>
      <c r="J139" s="67"/>
      <c r="K139" s="67"/>
      <c r="L139" s="67"/>
      <c r="M139" s="67"/>
      <c r="N139" s="67"/>
      <c r="O139" s="67"/>
      <c r="P139" s="67"/>
      <c r="Q139" s="67"/>
      <c r="R139" s="67"/>
      <c r="S139" s="67"/>
      <c r="T139" s="67"/>
      <c r="U139" s="67"/>
      <c r="V139" s="67"/>
      <c r="W139" s="67"/>
      <c r="X139" s="67"/>
      <c r="Y139" s="67"/>
      <c r="Z139" s="67"/>
      <c r="AA139" s="67"/>
      <c r="AB139" s="67"/>
      <c r="AC139" s="67"/>
      <c r="AD139" s="67"/>
      <c r="AE139" s="67"/>
      <c r="AF139" s="67"/>
      <c r="AG139" s="67"/>
      <c r="AH139" s="67"/>
      <c r="AI139" s="67"/>
      <c r="AJ139" s="67"/>
      <c r="AK139" s="67"/>
      <c r="AL139" s="67"/>
      <c r="AM139" s="67"/>
      <c r="AN139" s="67"/>
      <c r="AO139" s="67"/>
      <c r="AP139" s="67"/>
    </row>
    <row r="140" customFormat="false" ht="12.75" hidden="false" customHeight="false" outlineLevel="0" collapsed="false">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row>
    <row r="141" customFormat="false" ht="12.75" hidden="false" customHeight="false" outlineLevel="0" collapsed="false">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row>
    <row r="142" customFormat="false" ht="12.75" hidden="false" customHeight="false" outlineLevel="0" collapsed="false">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c r="AE142" s="67"/>
      <c r="AF142" s="67"/>
      <c r="AG142" s="67"/>
      <c r="AH142" s="67"/>
      <c r="AI142" s="67"/>
      <c r="AJ142" s="67"/>
      <c r="AK142" s="67"/>
      <c r="AL142" s="67"/>
      <c r="AM142" s="67"/>
      <c r="AN142" s="67"/>
      <c r="AO142" s="67"/>
      <c r="AP142" s="67"/>
    </row>
    <row r="143" customFormat="false" ht="12.75" hidden="false" customHeight="false" outlineLevel="0" collapsed="false">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row>
    <row r="144" customFormat="false" ht="12.75" hidden="false" customHeight="false" outlineLevel="0" collapsed="false">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7"/>
      <c r="AL144" s="67"/>
      <c r="AM144" s="67"/>
      <c r="AN144" s="67"/>
      <c r="AO144" s="67"/>
      <c r="AP144" s="67"/>
    </row>
    <row r="145" customFormat="false" ht="12.75" hidden="false" customHeight="false" outlineLevel="0" collapsed="false">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row>
    <row r="146" customFormat="false" ht="12.75" hidden="false" customHeight="false" outlineLevel="0" collapsed="false">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row>
    <row r="147" customFormat="false" ht="12.75" hidden="false" customHeight="false" outlineLevel="0" collapsed="false">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7"/>
      <c r="AL147" s="67"/>
      <c r="AM147" s="67"/>
      <c r="AN147" s="67"/>
      <c r="AO147" s="67"/>
      <c r="AP147" s="67"/>
    </row>
    <row r="148" customFormat="false" ht="12.75" hidden="false" customHeight="false" outlineLevel="0" collapsed="false">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row>
    <row r="149" customFormat="false" ht="12.75" hidden="false" customHeight="false" outlineLevel="0" collapsed="false">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7"/>
      <c r="AL149" s="67"/>
      <c r="AM149" s="67"/>
      <c r="AN149" s="67"/>
      <c r="AO149" s="67"/>
      <c r="AP149" s="67"/>
    </row>
    <row r="150" customFormat="false" ht="12.75" hidden="false" customHeight="false" outlineLevel="0" collapsed="false">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row>
    <row r="151" customFormat="false" ht="12.75" hidden="false" customHeight="false" outlineLevel="0" collapsed="false">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7"/>
      <c r="AL151" s="67"/>
      <c r="AM151" s="67"/>
      <c r="AN151" s="67"/>
      <c r="AO151" s="67"/>
      <c r="AP151" s="67"/>
    </row>
    <row r="152" customFormat="false" ht="12.75" hidden="false" customHeight="false" outlineLevel="0" collapsed="false">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row>
    <row r="153" customFormat="false" ht="12.75" hidden="false" customHeight="false" outlineLevel="0" collapsed="false">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67"/>
    </row>
    <row r="154" customFormat="false" ht="12.75" hidden="false" customHeight="false" outlineLevel="0" collapsed="false">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row>
    <row r="155" customFormat="false" ht="12.75" hidden="false" customHeight="false" outlineLevel="0" collapsed="false">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7"/>
      <c r="AL155" s="67"/>
      <c r="AM155" s="67"/>
      <c r="AN155" s="67"/>
      <c r="AO155" s="67"/>
      <c r="AP155" s="67"/>
    </row>
    <row r="156" customFormat="false" ht="12.75" hidden="false" customHeight="false" outlineLevel="0" collapsed="false">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row>
    <row r="157" customFormat="false" ht="12.75" hidden="false" customHeight="false" outlineLevel="0" collapsed="false">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7"/>
      <c r="AL157" s="67"/>
      <c r="AM157" s="67"/>
      <c r="AN157" s="67"/>
      <c r="AO157" s="67"/>
      <c r="AP157" s="67"/>
    </row>
    <row r="158" customFormat="false" ht="12.75" hidden="false" customHeight="false" outlineLevel="0" collapsed="false">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7"/>
      <c r="AL158" s="67"/>
      <c r="AM158" s="67"/>
      <c r="AN158" s="67"/>
      <c r="AO158" s="67"/>
      <c r="AP158" s="67"/>
    </row>
    <row r="159" customFormat="false" ht="12.75" hidden="false" customHeight="false" outlineLevel="0" collapsed="false">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c r="AE159" s="67"/>
      <c r="AF159" s="67"/>
      <c r="AG159" s="67"/>
      <c r="AH159" s="67"/>
      <c r="AI159" s="67"/>
      <c r="AJ159" s="67"/>
      <c r="AK159" s="67"/>
      <c r="AL159" s="67"/>
      <c r="AM159" s="67"/>
      <c r="AN159" s="67"/>
      <c r="AO159" s="67"/>
      <c r="AP159" s="67"/>
    </row>
    <row r="160" customFormat="false" ht="12.75" hidden="false" customHeight="false" outlineLevel="0" collapsed="false">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row>
    <row r="161" customFormat="false" ht="12.75" hidden="false" customHeight="false" outlineLevel="0" collapsed="false">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row>
    <row r="162" customFormat="false" ht="12.75" hidden="false" customHeight="false" outlineLevel="0" collapsed="false">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c r="AE162" s="67"/>
      <c r="AF162" s="67"/>
      <c r="AG162" s="67"/>
      <c r="AH162" s="67"/>
      <c r="AI162" s="67"/>
      <c r="AJ162" s="67"/>
      <c r="AK162" s="67"/>
      <c r="AL162" s="67"/>
      <c r="AM162" s="67"/>
      <c r="AN162" s="67"/>
      <c r="AO162" s="67"/>
      <c r="AP162" s="67"/>
    </row>
    <row r="163" customFormat="false" ht="12.75" hidden="false" customHeight="false" outlineLevel="0" collapsed="false">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c r="AE163" s="67"/>
      <c r="AF163" s="67"/>
      <c r="AG163" s="67"/>
      <c r="AH163" s="67"/>
      <c r="AI163" s="67"/>
      <c r="AJ163" s="67"/>
      <c r="AK163" s="67"/>
      <c r="AL163" s="67"/>
      <c r="AM163" s="67"/>
      <c r="AN163" s="67"/>
      <c r="AO163" s="67"/>
      <c r="AP163" s="67"/>
    </row>
    <row r="164" customFormat="false" ht="12.75" hidden="false" customHeight="false" outlineLevel="0" collapsed="false">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7"/>
      <c r="AL164" s="67"/>
      <c r="AM164" s="67"/>
      <c r="AN164" s="67"/>
      <c r="AO164" s="67"/>
      <c r="AP164" s="67"/>
    </row>
    <row r="165" customFormat="false" ht="12.75" hidden="false" customHeight="false" outlineLevel="0" collapsed="false">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67"/>
    </row>
    <row r="166" customFormat="false" ht="12.75" hidden="false" customHeight="false" outlineLevel="0" collapsed="false">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row>
    <row r="167" customFormat="false" ht="12.75" hidden="false" customHeight="false" outlineLevel="0" collapsed="false">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7"/>
      <c r="AL167" s="67"/>
      <c r="AM167" s="67"/>
      <c r="AN167" s="67"/>
      <c r="AO167" s="67"/>
      <c r="AP167" s="67"/>
    </row>
    <row r="168" customFormat="false" ht="12.75" hidden="false" customHeight="false" outlineLevel="0" collapsed="false">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row>
    <row r="169" customFormat="false" ht="12.75" hidden="false" customHeight="false" outlineLevel="0" collapsed="false">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7"/>
      <c r="AL169" s="67"/>
      <c r="AM169" s="67"/>
      <c r="AN169" s="67"/>
      <c r="AO169" s="67"/>
      <c r="AP169" s="67"/>
    </row>
    <row r="170" customFormat="false" ht="12.75" hidden="false" customHeight="false" outlineLevel="0" collapsed="false">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row>
    <row r="171" customFormat="false" ht="12.75" hidden="false" customHeight="false" outlineLevel="0" collapsed="false">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7"/>
      <c r="AL171" s="67"/>
      <c r="AM171" s="67"/>
      <c r="AN171" s="67"/>
      <c r="AO171" s="67"/>
      <c r="AP171" s="67"/>
    </row>
    <row r="172" customFormat="false" ht="12.75" hidden="false" customHeight="false" outlineLevel="0" collapsed="false">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row>
    <row r="173" customFormat="false" ht="12.75" hidden="false" customHeight="false" outlineLevel="0" collapsed="false">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c r="AE173" s="67"/>
      <c r="AF173" s="67"/>
      <c r="AG173" s="67"/>
      <c r="AH173" s="67"/>
      <c r="AI173" s="67"/>
      <c r="AJ173" s="67"/>
      <c r="AK173" s="67"/>
      <c r="AL173" s="67"/>
      <c r="AM173" s="67"/>
      <c r="AN173" s="67"/>
      <c r="AO173" s="67"/>
      <c r="AP173" s="67"/>
    </row>
    <row r="174" customFormat="false" ht="12.75" hidden="false" customHeight="false" outlineLevel="0" collapsed="false">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c r="AE174" s="67"/>
      <c r="AF174" s="67"/>
      <c r="AG174" s="67"/>
      <c r="AH174" s="67"/>
      <c r="AI174" s="67"/>
      <c r="AJ174" s="67"/>
      <c r="AK174" s="67"/>
      <c r="AL174" s="67"/>
      <c r="AM174" s="67"/>
      <c r="AN174" s="67"/>
      <c r="AO174" s="67"/>
      <c r="AP174" s="67"/>
    </row>
    <row r="175" customFormat="false" ht="12.75" hidden="false" customHeight="false" outlineLevel="0" collapsed="false">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row>
    <row r="176" customFormat="false" ht="12.75" hidden="false" customHeight="false" outlineLevel="0" collapsed="false">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c r="AE176" s="67"/>
      <c r="AF176" s="67"/>
      <c r="AG176" s="67"/>
      <c r="AH176" s="67"/>
      <c r="AI176" s="67"/>
      <c r="AJ176" s="67"/>
      <c r="AK176" s="67"/>
      <c r="AL176" s="67"/>
      <c r="AM176" s="67"/>
      <c r="AN176" s="67"/>
      <c r="AO176" s="67"/>
      <c r="AP176" s="67"/>
    </row>
    <row r="177" customFormat="false" ht="12.75" hidden="false" customHeight="false" outlineLevel="0" collapsed="false">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c r="AE177" s="67"/>
      <c r="AF177" s="67"/>
      <c r="AG177" s="67"/>
      <c r="AH177" s="67"/>
      <c r="AI177" s="67"/>
      <c r="AJ177" s="67"/>
      <c r="AK177" s="67"/>
      <c r="AL177" s="67"/>
      <c r="AM177" s="67"/>
      <c r="AN177" s="67"/>
      <c r="AO177" s="67"/>
      <c r="AP177" s="67"/>
    </row>
    <row r="178" customFormat="false" ht="12.75" hidden="false" customHeight="false" outlineLevel="0" collapsed="false">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row>
    <row r="179" customFormat="false" ht="12.75" hidden="false" customHeight="false" outlineLevel="0" collapsed="false">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c r="AE179" s="67"/>
      <c r="AF179" s="67"/>
      <c r="AG179" s="67"/>
      <c r="AH179" s="67"/>
      <c r="AI179" s="67"/>
      <c r="AJ179" s="67"/>
      <c r="AK179" s="67"/>
      <c r="AL179" s="67"/>
      <c r="AM179" s="67"/>
      <c r="AN179" s="67"/>
      <c r="AO179" s="67"/>
      <c r="AP179" s="67"/>
    </row>
    <row r="180" customFormat="false" ht="12.75" hidden="false" customHeight="false" outlineLevel="0" collapsed="false">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row>
    <row r="181" customFormat="false" ht="12.75" hidden="false" customHeight="false" outlineLevel="0" collapsed="false">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c r="AE181" s="67"/>
      <c r="AF181" s="67"/>
      <c r="AG181" s="67"/>
      <c r="AH181" s="67"/>
      <c r="AI181" s="67"/>
      <c r="AJ181" s="67"/>
      <c r="AK181" s="67"/>
      <c r="AL181" s="67"/>
      <c r="AM181" s="67"/>
      <c r="AN181" s="67"/>
      <c r="AO181" s="67"/>
      <c r="AP181" s="67"/>
    </row>
    <row r="182" customFormat="false" ht="12.75" hidden="false" customHeight="false" outlineLevel="0" collapsed="false">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c r="AE182" s="67"/>
      <c r="AF182" s="67"/>
      <c r="AG182" s="67"/>
      <c r="AH182" s="67"/>
      <c r="AI182" s="67"/>
      <c r="AJ182" s="67"/>
      <c r="AK182" s="67"/>
      <c r="AL182" s="67"/>
      <c r="AM182" s="67"/>
      <c r="AN182" s="67"/>
      <c r="AO182" s="67"/>
      <c r="AP182" s="67"/>
    </row>
    <row r="183" customFormat="false" ht="12.75" hidden="false" customHeight="false" outlineLevel="0" collapsed="false">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c r="AE183" s="67"/>
      <c r="AF183" s="67"/>
      <c r="AG183" s="67"/>
      <c r="AH183" s="67"/>
      <c r="AI183" s="67"/>
      <c r="AJ183" s="67"/>
      <c r="AK183" s="67"/>
      <c r="AL183" s="67"/>
      <c r="AM183" s="67"/>
      <c r="AN183" s="67"/>
      <c r="AO183" s="67"/>
      <c r="AP183" s="67"/>
    </row>
    <row r="184" customFormat="false" ht="12.75" hidden="false" customHeight="false" outlineLevel="0" collapsed="false">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row>
    <row r="185" customFormat="false" ht="12.75" hidden="false" customHeight="false" outlineLevel="0" collapsed="false">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row>
    <row r="186" customFormat="false" ht="12.75" hidden="false" customHeight="false" outlineLevel="0" collapsed="false">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c r="AE186" s="67"/>
      <c r="AF186" s="67"/>
      <c r="AG186" s="67"/>
      <c r="AH186" s="67"/>
      <c r="AI186" s="67"/>
      <c r="AJ186" s="67"/>
      <c r="AK186" s="67"/>
      <c r="AL186" s="67"/>
      <c r="AM186" s="67"/>
      <c r="AN186" s="67"/>
      <c r="AO186" s="67"/>
      <c r="AP186" s="67"/>
    </row>
    <row r="187" customFormat="false" ht="12.75" hidden="false" customHeight="false" outlineLevel="0" collapsed="false">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c r="AE187" s="67"/>
      <c r="AF187" s="67"/>
      <c r="AG187" s="67"/>
      <c r="AH187" s="67"/>
      <c r="AI187" s="67"/>
      <c r="AJ187" s="67"/>
      <c r="AK187" s="67"/>
      <c r="AL187" s="67"/>
      <c r="AM187" s="67"/>
      <c r="AN187" s="67"/>
      <c r="AO187" s="67"/>
      <c r="AP187" s="67"/>
    </row>
    <row r="188" customFormat="false" ht="12.75" hidden="false" customHeight="false" outlineLevel="0" collapsed="false">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row>
    <row r="189" customFormat="false" ht="12.75" hidden="false" customHeight="false" outlineLevel="0" collapsed="false">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c r="AE189" s="67"/>
      <c r="AF189" s="67"/>
      <c r="AG189" s="67"/>
      <c r="AH189" s="67"/>
      <c r="AI189" s="67"/>
      <c r="AJ189" s="67"/>
      <c r="AK189" s="67"/>
      <c r="AL189" s="67"/>
      <c r="AM189" s="67"/>
      <c r="AN189" s="67"/>
      <c r="AO189" s="67"/>
      <c r="AP189" s="67"/>
    </row>
    <row r="190" customFormat="false" ht="12.75" hidden="false" customHeight="false" outlineLevel="0" collapsed="false">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c r="AE190" s="67"/>
      <c r="AF190" s="67"/>
      <c r="AG190" s="67"/>
      <c r="AH190" s="67"/>
      <c r="AI190" s="67"/>
      <c r="AJ190" s="67"/>
      <c r="AK190" s="67"/>
      <c r="AL190" s="67"/>
      <c r="AM190" s="67"/>
      <c r="AN190" s="67"/>
      <c r="AO190" s="67"/>
      <c r="AP190" s="67"/>
    </row>
    <row r="191" customFormat="false" ht="12.75" hidden="false" customHeight="false" outlineLevel="0" collapsed="false">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c r="AE191" s="67"/>
      <c r="AF191" s="67"/>
      <c r="AG191" s="67"/>
      <c r="AH191" s="67"/>
      <c r="AI191" s="67"/>
      <c r="AJ191" s="67"/>
      <c r="AK191" s="67"/>
      <c r="AL191" s="67"/>
      <c r="AM191" s="67"/>
      <c r="AN191" s="67"/>
      <c r="AO191" s="67"/>
      <c r="AP191" s="67"/>
    </row>
    <row r="192" customFormat="false" ht="12.75" hidden="false" customHeight="false" outlineLevel="0" collapsed="false">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c r="AE192" s="67"/>
      <c r="AF192" s="67"/>
      <c r="AG192" s="67"/>
      <c r="AH192" s="67"/>
      <c r="AI192" s="67"/>
      <c r="AJ192" s="67"/>
      <c r="AK192" s="67"/>
      <c r="AL192" s="67"/>
      <c r="AM192" s="67"/>
      <c r="AN192" s="67"/>
      <c r="AO192" s="67"/>
      <c r="AP192" s="67"/>
    </row>
    <row r="193" customFormat="false" ht="12.75" hidden="false" customHeight="false" outlineLevel="0" collapsed="false">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row>
    <row r="194" customFormat="false" ht="12.75" hidden="false" customHeight="false" outlineLevel="0" collapsed="false">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c r="AE194" s="67"/>
      <c r="AF194" s="67"/>
      <c r="AG194" s="67"/>
      <c r="AH194" s="67"/>
      <c r="AI194" s="67"/>
      <c r="AJ194" s="67"/>
      <c r="AK194" s="67"/>
      <c r="AL194" s="67"/>
      <c r="AM194" s="67"/>
      <c r="AN194" s="67"/>
      <c r="AO194" s="67"/>
      <c r="AP194" s="67"/>
    </row>
    <row r="195" customFormat="false" ht="12.75" hidden="false" customHeight="false" outlineLevel="0" collapsed="false">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row>
    <row r="196" customFormat="false" ht="12.75" hidden="false" customHeight="false" outlineLevel="0" collapsed="false">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c r="AE196" s="67"/>
      <c r="AF196" s="67"/>
      <c r="AG196" s="67"/>
      <c r="AH196" s="67"/>
      <c r="AI196" s="67"/>
      <c r="AJ196" s="67"/>
      <c r="AK196" s="67"/>
      <c r="AL196" s="67"/>
      <c r="AM196" s="67"/>
      <c r="AN196" s="67"/>
      <c r="AO196" s="67"/>
      <c r="AP196" s="67"/>
    </row>
    <row r="197" customFormat="false" ht="12.75" hidden="false" customHeight="false" outlineLevel="0" collapsed="false">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row>
    <row r="198" customFormat="false" ht="12.75" hidden="false" customHeight="false" outlineLevel="0" collapsed="false">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row>
    <row r="199" customFormat="false" ht="12.75" hidden="false" customHeight="false" outlineLevel="0" collapsed="false">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c r="AE199" s="67"/>
      <c r="AF199" s="67"/>
      <c r="AG199" s="67"/>
      <c r="AH199" s="67"/>
      <c r="AI199" s="67"/>
      <c r="AJ199" s="67"/>
      <c r="AK199" s="67"/>
      <c r="AL199" s="67"/>
      <c r="AM199" s="67"/>
      <c r="AN199" s="67"/>
      <c r="AO199" s="67"/>
      <c r="AP199" s="67"/>
    </row>
    <row r="200" customFormat="false" ht="12.75" hidden="false" customHeight="false" outlineLevel="0" collapsed="false">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c r="AE200" s="67"/>
      <c r="AF200" s="67"/>
      <c r="AG200" s="67"/>
      <c r="AH200" s="67"/>
      <c r="AI200" s="67"/>
      <c r="AJ200" s="67"/>
      <c r="AK200" s="67"/>
      <c r="AL200" s="67"/>
      <c r="AM200" s="67"/>
      <c r="AN200" s="67"/>
      <c r="AO200" s="67"/>
      <c r="AP200" s="67"/>
    </row>
    <row r="201" customFormat="false" ht="12.75" hidden="false" customHeight="false" outlineLevel="0" collapsed="false">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c r="AE201" s="67"/>
      <c r="AF201" s="67"/>
      <c r="AG201" s="67"/>
      <c r="AH201" s="67"/>
      <c r="AI201" s="67"/>
      <c r="AJ201" s="67"/>
      <c r="AK201" s="67"/>
      <c r="AL201" s="67"/>
      <c r="AM201" s="67"/>
      <c r="AN201" s="67"/>
      <c r="AO201" s="67"/>
      <c r="AP201" s="67"/>
    </row>
    <row r="202" customFormat="false" ht="12.75" hidden="false" customHeight="false" outlineLevel="0" collapsed="false">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row>
    <row r="203" customFormat="false" ht="12.75" hidden="false" customHeight="false" outlineLevel="0" collapsed="false">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c r="AE203" s="67"/>
      <c r="AF203" s="67"/>
      <c r="AG203" s="67"/>
      <c r="AH203" s="67"/>
      <c r="AI203" s="67"/>
      <c r="AJ203" s="67"/>
      <c r="AK203" s="67"/>
      <c r="AL203" s="67"/>
      <c r="AM203" s="67"/>
      <c r="AN203" s="67"/>
      <c r="AO203" s="67"/>
      <c r="AP203" s="67"/>
    </row>
    <row r="204" customFormat="false" ht="12.75" hidden="false" customHeight="false" outlineLevel="0" collapsed="false">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c r="AH204" s="67"/>
      <c r="AI204" s="67"/>
      <c r="AJ204" s="67"/>
      <c r="AK204" s="67"/>
      <c r="AL204" s="67"/>
      <c r="AM204" s="67"/>
      <c r="AN204" s="67"/>
      <c r="AO204" s="67"/>
      <c r="AP204" s="67"/>
    </row>
    <row r="205" customFormat="false" ht="12.75" hidden="false" customHeight="false" outlineLevel="0" collapsed="false">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row>
    <row r="206" customFormat="false" ht="12.75" hidden="false" customHeight="false" outlineLevel="0" collapsed="false">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c r="AH206" s="67"/>
      <c r="AI206" s="67"/>
      <c r="AJ206" s="67"/>
      <c r="AK206" s="67"/>
      <c r="AL206" s="67"/>
      <c r="AM206" s="67"/>
      <c r="AN206" s="67"/>
      <c r="AO206" s="67"/>
      <c r="AP206" s="67"/>
    </row>
    <row r="207" customFormat="false" ht="12.75" hidden="false" customHeight="false" outlineLevel="0" collapsed="false">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c r="AE207" s="67"/>
      <c r="AF207" s="67"/>
      <c r="AG207" s="67"/>
      <c r="AH207" s="67"/>
      <c r="AI207" s="67"/>
      <c r="AJ207" s="67"/>
      <c r="AK207" s="67"/>
      <c r="AL207" s="67"/>
      <c r="AM207" s="67"/>
      <c r="AN207" s="67"/>
      <c r="AO207" s="67"/>
      <c r="AP207" s="67"/>
    </row>
    <row r="208" customFormat="false" ht="12.75" hidden="false" customHeight="false" outlineLevel="0" collapsed="false">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c r="AE208" s="67"/>
      <c r="AF208" s="67"/>
      <c r="AG208" s="67"/>
      <c r="AH208" s="67"/>
      <c r="AI208" s="67"/>
      <c r="AJ208" s="67"/>
      <c r="AK208" s="67"/>
      <c r="AL208" s="67"/>
      <c r="AM208" s="67"/>
      <c r="AN208" s="67"/>
      <c r="AO208" s="67"/>
      <c r="AP208" s="67"/>
    </row>
    <row r="209" customFormat="false" ht="12.75" hidden="false" customHeight="false" outlineLevel="0" collapsed="false">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row>
    <row r="210" customFormat="false" ht="12.75" hidden="false" customHeight="false" outlineLevel="0" collapsed="false">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row>
    <row r="211" customFormat="false" ht="12.75" hidden="false" customHeight="false" outlineLevel="0" collapsed="false">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c r="AH211" s="67"/>
      <c r="AI211" s="67"/>
      <c r="AJ211" s="67"/>
      <c r="AK211" s="67"/>
      <c r="AL211" s="67"/>
      <c r="AM211" s="67"/>
      <c r="AN211" s="67"/>
      <c r="AO211" s="67"/>
      <c r="AP211" s="67"/>
    </row>
    <row r="212" customFormat="false" ht="12.75" hidden="false" customHeight="false" outlineLevel="0" collapsed="false">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row>
    <row r="213" customFormat="false" ht="12.75" hidden="false" customHeight="false" outlineLevel="0" collapsed="false">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c r="AE213" s="67"/>
      <c r="AF213" s="67"/>
      <c r="AG213" s="67"/>
      <c r="AH213" s="67"/>
      <c r="AI213" s="67"/>
      <c r="AJ213" s="67"/>
      <c r="AK213" s="67"/>
      <c r="AL213" s="67"/>
      <c r="AM213" s="67"/>
      <c r="AN213" s="67"/>
      <c r="AO213" s="67"/>
      <c r="AP213" s="67"/>
    </row>
    <row r="214" customFormat="false" ht="12.75" hidden="false" customHeight="false" outlineLevel="0" collapsed="false">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c r="AE214" s="67"/>
      <c r="AF214" s="67"/>
      <c r="AG214" s="67"/>
      <c r="AH214" s="67"/>
      <c r="AI214" s="67"/>
      <c r="AJ214" s="67"/>
      <c r="AK214" s="67"/>
      <c r="AL214" s="67"/>
      <c r="AM214" s="67"/>
      <c r="AN214" s="67"/>
      <c r="AO214" s="67"/>
      <c r="AP214" s="67"/>
    </row>
    <row r="215" customFormat="false" ht="12.75" hidden="false" customHeight="false" outlineLevel="0" collapsed="false">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row>
    <row r="216" customFormat="false" ht="12.75" hidden="false" customHeight="false" outlineLevel="0" collapsed="false">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c r="AE216" s="67"/>
      <c r="AF216" s="67"/>
      <c r="AG216" s="67"/>
      <c r="AH216" s="67"/>
      <c r="AI216" s="67"/>
      <c r="AJ216" s="67"/>
      <c r="AK216" s="67"/>
      <c r="AL216" s="67"/>
      <c r="AM216" s="67"/>
      <c r="AN216" s="67"/>
      <c r="AO216" s="67"/>
      <c r="AP216" s="67"/>
    </row>
    <row r="217" customFormat="false" ht="12.75" hidden="false" customHeight="false" outlineLevel="0" collapsed="false">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row>
    <row r="218" customFormat="false" ht="12.75" hidden="false" customHeight="false" outlineLevel="0" collapsed="false">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c r="AE218" s="67"/>
      <c r="AF218" s="67"/>
      <c r="AG218" s="67"/>
      <c r="AH218" s="67"/>
      <c r="AI218" s="67"/>
      <c r="AJ218" s="67"/>
      <c r="AK218" s="67"/>
      <c r="AL218" s="67"/>
      <c r="AM218" s="67"/>
      <c r="AN218" s="67"/>
      <c r="AO218" s="67"/>
      <c r="AP218" s="67"/>
    </row>
    <row r="219" customFormat="false" ht="12.75" hidden="false" customHeight="false" outlineLevel="0" collapsed="false">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c r="AE219" s="67"/>
      <c r="AF219" s="67"/>
      <c r="AG219" s="67"/>
      <c r="AH219" s="67"/>
      <c r="AI219" s="67"/>
      <c r="AJ219" s="67"/>
      <c r="AK219" s="67"/>
      <c r="AL219" s="67"/>
      <c r="AM219" s="67"/>
      <c r="AN219" s="67"/>
      <c r="AO219" s="67"/>
      <c r="AP219" s="67"/>
    </row>
    <row r="220" customFormat="false" ht="12.75" hidden="false" customHeight="false" outlineLevel="0" collapsed="false">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c r="AE220" s="67"/>
      <c r="AF220" s="67"/>
      <c r="AG220" s="67"/>
      <c r="AH220" s="67"/>
      <c r="AI220" s="67"/>
      <c r="AJ220" s="67"/>
      <c r="AK220" s="67"/>
      <c r="AL220" s="67"/>
      <c r="AM220" s="67"/>
      <c r="AN220" s="67"/>
      <c r="AO220" s="67"/>
      <c r="AP220" s="67"/>
    </row>
    <row r="221" customFormat="false" ht="12.75" hidden="false" customHeight="false" outlineLevel="0" collapsed="false">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c r="AE221" s="67"/>
      <c r="AF221" s="67"/>
      <c r="AG221" s="67"/>
      <c r="AH221" s="67"/>
      <c r="AI221" s="67"/>
      <c r="AJ221" s="67"/>
      <c r="AK221" s="67"/>
      <c r="AL221" s="67"/>
      <c r="AM221" s="67"/>
      <c r="AN221" s="67"/>
      <c r="AO221" s="67"/>
      <c r="AP221" s="67"/>
    </row>
    <row r="222" customFormat="false" ht="12.75" hidden="false" customHeight="false" outlineLevel="0" collapsed="false">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67"/>
      <c r="AH222" s="67"/>
      <c r="AI222" s="67"/>
      <c r="AJ222" s="67"/>
      <c r="AK222" s="67"/>
      <c r="AL222" s="67"/>
      <c r="AM222" s="67"/>
      <c r="AN222" s="67"/>
      <c r="AO222" s="67"/>
      <c r="AP222" s="67"/>
    </row>
    <row r="223" customFormat="false" ht="12.75" hidden="false" customHeight="false" outlineLevel="0" collapsed="false">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c r="AE223" s="67"/>
      <c r="AF223" s="67"/>
      <c r="AG223" s="67"/>
      <c r="AH223" s="67"/>
      <c r="AI223" s="67"/>
      <c r="AJ223" s="67"/>
      <c r="AK223" s="67"/>
      <c r="AL223" s="67"/>
      <c r="AM223" s="67"/>
      <c r="AN223" s="67"/>
      <c r="AO223" s="67"/>
      <c r="AP223" s="67"/>
    </row>
    <row r="224" customFormat="false" ht="12.75" hidden="false" customHeight="false" outlineLevel="0" collapsed="false">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c r="AE224" s="67"/>
      <c r="AF224" s="67"/>
      <c r="AG224" s="67"/>
      <c r="AH224" s="67"/>
      <c r="AI224" s="67"/>
      <c r="AJ224" s="67"/>
      <c r="AK224" s="67"/>
      <c r="AL224" s="67"/>
      <c r="AM224" s="67"/>
      <c r="AN224" s="67"/>
      <c r="AO224" s="67"/>
      <c r="AP224" s="67"/>
    </row>
    <row r="225" customFormat="false" ht="12.75" hidden="false" customHeight="false" outlineLevel="0" collapsed="false">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row>
    <row r="226" customFormat="false" ht="12.75" hidden="false" customHeight="false" outlineLevel="0" collapsed="false">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67"/>
      <c r="AH226" s="67"/>
      <c r="AI226" s="67"/>
      <c r="AJ226" s="67"/>
      <c r="AK226" s="67"/>
      <c r="AL226" s="67"/>
      <c r="AM226" s="67"/>
      <c r="AN226" s="67"/>
      <c r="AO226" s="67"/>
      <c r="AP226" s="67"/>
    </row>
    <row r="227" customFormat="false" ht="12.75" hidden="false" customHeight="false" outlineLevel="0" collapsed="false">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67"/>
      <c r="AH227" s="67"/>
      <c r="AI227" s="67"/>
      <c r="AJ227" s="67"/>
      <c r="AK227" s="67"/>
      <c r="AL227" s="67"/>
      <c r="AM227" s="67"/>
      <c r="AN227" s="67"/>
      <c r="AO227" s="67"/>
      <c r="AP227" s="67"/>
    </row>
    <row r="228" customFormat="false" ht="12.75" hidden="false" customHeight="false" outlineLevel="0" collapsed="false">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c r="AE228" s="67"/>
      <c r="AF228" s="67"/>
      <c r="AG228" s="67"/>
      <c r="AH228" s="67"/>
      <c r="AI228" s="67"/>
      <c r="AJ228" s="67"/>
      <c r="AK228" s="67"/>
      <c r="AL228" s="67"/>
      <c r="AM228" s="67"/>
      <c r="AN228" s="67"/>
      <c r="AO228" s="67"/>
      <c r="AP228" s="67"/>
    </row>
    <row r="229" customFormat="false" ht="12.75" hidden="false" customHeight="false" outlineLevel="0" collapsed="false">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c r="AE229" s="67"/>
      <c r="AF229" s="67"/>
      <c r="AG229" s="67"/>
      <c r="AH229" s="67"/>
      <c r="AI229" s="67"/>
      <c r="AJ229" s="67"/>
      <c r="AK229" s="67"/>
      <c r="AL229" s="67"/>
      <c r="AM229" s="67"/>
      <c r="AN229" s="67"/>
      <c r="AO229" s="67"/>
      <c r="AP229" s="67"/>
    </row>
    <row r="230" customFormat="false" ht="12.75" hidden="false" customHeight="false" outlineLevel="0" collapsed="false">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c r="AE230" s="67"/>
      <c r="AF230" s="67"/>
      <c r="AG230" s="67"/>
      <c r="AH230" s="67"/>
      <c r="AI230" s="67"/>
      <c r="AJ230" s="67"/>
      <c r="AK230" s="67"/>
      <c r="AL230" s="67"/>
      <c r="AM230" s="67"/>
      <c r="AN230" s="67"/>
      <c r="AO230" s="67"/>
      <c r="AP230" s="67"/>
    </row>
    <row r="231" customFormat="false" ht="12.75" hidden="false" customHeight="false" outlineLevel="0" collapsed="false">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c r="AE231" s="67"/>
      <c r="AF231" s="67"/>
      <c r="AG231" s="67"/>
      <c r="AH231" s="67"/>
      <c r="AI231" s="67"/>
      <c r="AJ231" s="67"/>
      <c r="AK231" s="67"/>
      <c r="AL231" s="67"/>
      <c r="AM231" s="67"/>
      <c r="AN231" s="67"/>
      <c r="AO231" s="67"/>
      <c r="AP231" s="67"/>
    </row>
    <row r="232" customFormat="false" ht="12.75" hidden="false" customHeight="false" outlineLevel="0" collapsed="false">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c r="AE232" s="67"/>
      <c r="AF232" s="67"/>
      <c r="AG232" s="67"/>
      <c r="AH232" s="67"/>
      <c r="AI232" s="67"/>
      <c r="AJ232" s="67"/>
      <c r="AK232" s="67"/>
      <c r="AL232" s="67"/>
      <c r="AM232" s="67"/>
      <c r="AN232" s="67"/>
      <c r="AO232" s="67"/>
      <c r="AP232" s="67"/>
    </row>
    <row r="233" customFormat="false" ht="12.75" hidden="false" customHeight="false" outlineLevel="0" collapsed="false">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c r="AE233" s="67"/>
      <c r="AF233" s="67"/>
      <c r="AG233" s="67"/>
      <c r="AH233" s="67"/>
      <c r="AI233" s="67"/>
      <c r="AJ233" s="67"/>
      <c r="AK233" s="67"/>
      <c r="AL233" s="67"/>
      <c r="AM233" s="67"/>
      <c r="AN233" s="67"/>
      <c r="AO233" s="67"/>
      <c r="AP233" s="67"/>
    </row>
    <row r="234" customFormat="false" ht="12.75" hidden="false" customHeight="false" outlineLevel="0" collapsed="false">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row>
    <row r="235" customFormat="false" ht="12.75" hidden="false" customHeight="false" outlineLevel="0" collapsed="false">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c r="AE235" s="67"/>
      <c r="AF235" s="67"/>
      <c r="AG235" s="67"/>
      <c r="AH235" s="67"/>
      <c r="AI235" s="67"/>
      <c r="AJ235" s="67"/>
      <c r="AK235" s="67"/>
      <c r="AL235" s="67"/>
      <c r="AM235" s="67"/>
      <c r="AN235" s="67"/>
      <c r="AO235" s="67"/>
      <c r="AP235" s="67"/>
    </row>
    <row r="236" customFormat="false" ht="12.75" hidden="false" customHeight="false" outlineLevel="0" collapsed="false">
      <c r="E236" s="67"/>
      <c r="F236" s="67"/>
      <c r="G236" s="67"/>
      <c r="H236" s="67"/>
      <c r="I236" s="67"/>
      <c r="J236" s="67"/>
      <c r="K236" s="67"/>
      <c r="L236" s="67"/>
      <c r="M236" s="67"/>
      <c r="N236" s="67"/>
      <c r="O236" s="67"/>
      <c r="P236" s="67"/>
      <c r="Q236" s="67"/>
      <c r="R236" s="67"/>
      <c r="S236" s="67"/>
      <c r="T236" s="67"/>
      <c r="U236" s="67"/>
      <c r="V236" s="67"/>
      <c r="W236" s="67"/>
      <c r="X236" s="67"/>
      <c r="Y236" s="67"/>
      <c r="Z236" s="67"/>
      <c r="AA236" s="67"/>
      <c r="AB236" s="67"/>
      <c r="AC236" s="67"/>
      <c r="AD236" s="67"/>
      <c r="AE236" s="67"/>
      <c r="AF236" s="67"/>
      <c r="AG236" s="67"/>
      <c r="AH236" s="67"/>
      <c r="AI236" s="67"/>
      <c r="AJ236" s="67"/>
      <c r="AK236" s="67"/>
      <c r="AL236" s="67"/>
      <c r="AM236" s="67"/>
      <c r="AN236" s="67"/>
      <c r="AO236" s="67"/>
      <c r="AP236" s="67"/>
    </row>
    <row r="237" customFormat="false" ht="12.75" hidden="false" customHeight="false" outlineLevel="0" collapsed="false">
      <c r="E237" s="67"/>
      <c r="F237" s="67"/>
      <c r="G237" s="67"/>
      <c r="H237" s="67"/>
      <c r="I237" s="67"/>
      <c r="J237" s="67"/>
      <c r="K237" s="67"/>
      <c r="L237" s="67"/>
      <c r="M237" s="67"/>
      <c r="N237" s="67"/>
      <c r="O237" s="67"/>
      <c r="P237" s="67"/>
      <c r="Q237" s="67"/>
      <c r="R237" s="67"/>
      <c r="S237" s="67"/>
      <c r="T237" s="67"/>
      <c r="U237" s="67"/>
      <c r="V237" s="67"/>
      <c r="W237" s="67"/>
      <c r="X237" s="67"/>
      <c r="Y237" s="67"/>
      <c r="Z237" s="67"/>
      <c r="AA237" s="67"/>
      <c r="AB237" s="67"/>
      <c r="AC237" s="67"/>
      <c r="AD237" s="67"/>
      <c r="AE237" s="67"/>
      <c r="AF237" s="67"/>
      <c r="AG237" s="67"/>
      <c r="AH237" s="67"/>
      <c r="AI237" s="67"/>
      <c r="AJ237" s="67"/>
      <c r="AK237" s="67"/>
      <c r="AL237" s="67"/>
      <c r="AM237" s="67"/>
      <c r="AN237" s="67"/>
      <c r="AO237" s="67"/>
      <c r="AP237" s="67"/>
    </row>
    <row r="238" customFormat="false" ht="12.75" hidden="false" customHeight="false" outlineLevel="0" collapsed="false">
      <c r="E238" s="67"/>
      <c r="F238" s="67"/>
      <c r="G238" s="67"/>
      <c r="H238" s="67"/>
      <c r="I238" s="67"/>
      <c r="J238" s="67"/>
      <c r="K238" s="67"/>
      <c r="L238" s="67"/>
      <c r="M238" s="67"/>
      <c r="N238" s="67"/>
      <c r="O238" s="67"/>
      <c r="P238" s="67"/>
      <c r="Q238" s="67"/>
      <c r="R238" s="67"/>
      <c r="S238" s="67"/>
      <c r="T238" s="67"/>
      <c r="U238" s="67"/>
      <c r="V238" s="67"/>
      <c r="W238" s="67"/>
      <c r="X238" s="67"/>
      <c r="Y238" s="67"/>
      <c r="Z238" s="67"/>
      <c r="AA238" s="67"/>
      <c r="AB238" s="67"/>
      <c r="AC238" s="67"/>
      <c r="AD238" s="67"/>
      <c r="AE238" s="67"/>
      <c r="AF238" s="67"/>
      <c r="AG238" s="67"/>
      <c r="AH238" s="67"/>
      <c r="AI238" s="67"/>
      <c r="AJ238" s="67"/>
      <c r="AK238" s="67"/>
      <c r="AL238" s="67"/>
      <c r="AM238" s="67"/>
      <c r="AN238" s="67"/>
      <c r="AO238" s="67"/>
      <c r="AP238" s="67"/>
    </row>
    <row r="239" customFormat="false" ht="12.75" hidden="false" customHeight="false" outlineLevel="0" collapsed="false">
      <c r="E239" s="67"/>
      <c r="F239" s="67"/>
      <c r="G239" s="67"/>
      <c r="H239" s="67"/>
      <c r="I239" s="67"/>
      <c r="J239" s="67"/>
      <c r="K239" s="67"/>
      <c r="L239" s="67"/>
      <c r="M239" s="67"/>
      <c r="N239" s="67"/>
      <c r="O239" s="67"/>
      <c r="P239" s="67"/>
      <c r="Q239" s="67"/>
      <c r="R239" s="67"/>
      <c r="S239" s="67"/>
      <c r="T239" s="67"/>
      <c r="U239" s="67"/>
      <c r="V239" s="67"/>
      <c r="W239" s="67"/>
      <c r="X239" s="67"/>
      <c r="Y239" s="67"/>
      <c r="Z239" s="67"/>
      <c r="AA239" s="67"/>
      <c r="AB239" s="67"/>
      <c r="AC239" s="67"/>
      <c r="AD239" s="67"/>
      <c r="AE239" s="67"/>
      <c r="AF239" s="67"/>
      <c r="AG239" s="67"/>
      <c r="AH239" s="67"/>
      <c r="AI239" s="67"/>
      <c r="AJ239" s="67"/>
      <c r="AK239" s="67"/>
      <c r="AL239" s="67"/>
      <c r="AM239" s="67"/>
      <c r="AN239" s="67"/>
      <c r="AO239" s="67"/>
      <c r="AP239" s="67"/>
    </row>
    <row r="240" customFormat="false" ht="12.75" hidden="false" customHeight="false" outlineLevel="0" collapsed="false">
      <c r="E240" s="67"/>
      <c r="F240" s="67"/>
      <c r="G240" s="67"/>
      <c r="H240" s="67"/>
      <c r="I240" s="67"/>
      <c r="J240" s="67"/>
      <c r="K240" s="67"/>
      <c r="L240" s="67"/>
      <c r="M240" s="67"/>
      <c r="N240" s="67"/>
      <c r="O240" s="67"/>
      <c r="P240" s="67"/>
      <c r="Q240" s="67"/>
      <c r="R240" s="67"/>
      <c r="S240" s="67"/>
      <c r="T240" s="67"/>
      <c r="U240" s="67"/>
      <c r="V240" s="67"/>
      <c r="W240" s="67"/>
      <c r="X240" s="67"/>
      <c r="Y240" s="67"/>
      <c r="Z240" s="67"/>
      <c r="AA240" s="67"/>
      <c r="AB240" s="67"/>
      <c r="AC240" s="67"/>
      <c r="AD240" s="67"/>
      <c r="AE240" s="67"/>
      <c r="AF240" s="67"/>
      <c r="AG240" s="67"/>
      <c r="AH240" s="67"/>
      <c r="AI240" s="67"/>
      <c r="AJ240" s="67"/>
      <c r="AK240" s="67"/>
      <c r="AL240" s="67"/>
      <c r="AM240" s="67"/>
      <c r="AN240" s="67"/>
      <c r="AO240" s="67"/>
      <c r="AP240" s="67"/>
    </row>
    <row r="241" customFormat="false" ht="12.75" hidden="false" customHeight="false" outlineLevel="0" collapsed="false">
      <c r="E241" s="67"/>
      <c r="F241" s="67"/>
      <c r="G241" s="67"/>
      <c r="H241" s="67"/>
      <c r="I241" s="67"/>
      <c r="J241" s="67"/>
      <c r="K241" s="67"/>
      <c r="L241" s="67"/>
      <c r="M241" s="67"/>
      <c r="N241" s="67"/>
      <c r="O241" s="67"/>
      <c r="P241" s="67"/>
      <c r="Q241" s="67"/>
      <c r="R241" s="67"/>
      <c r="S241" s="67"/>
      <c r="T241" s="67"/>
      <c r="U241" s="67"/>
      <c r="V241" s="67"/>
      <c r="W241" s="67"/>
      <c r="X241" s="67"/>
      <c r="Y241" s="67"/>
      <c r="Z241" s="67"/>
      <c r="AA241" s="67"/>
      <c r="AB241" s="67"/>
      <c r="AC241" s="67"/>
      <c r="AD241" s="67"/>
      <c r="AE241" s="67"/>
      <c r="AF241" s="67"/>
      <c r="AG241" s="67"/>
      <c r="AH241" s="67"/>
      <c r="AI241" s="67"/>
      <c r="AJ241" s="67"/>
      <c r="AK241" s="67"/>
      <c r="AL241" s="67"/>
      <c r="AM241" s="67"/>
      <c r="AN241" s="67"/>
      <c r="AO241" s="67"/>
      <c r="AP241" s="67"/>
    </row>
    <row r="242" customFormat="false" ht="12.75" hidden="false" customHeight="false" outlineLevel="0" collapsed="false">
      <c r="E242" s="67"/>
      <c r="F242" s="67"/>
      <c r="G242" s="67"/>
      <c r="H242" s="67"/>
      <c r="I242" s="67"/>
      <c r="J242" s="67"/>
      <c r="K242" s="67"/>
      <c r="L242" s="67"/>
      <c r="M242" s="67"/>
      <c r="N242" s="67"/>
      <c r="O242" s="67"/>
      <c r="P242" s="67"/>
      <c r="Q242" s="67"/>
      <c r="R242" s="67"/>
      <c r="S242" s="67"/>
      <c r="T242" s="67"/>
      <c r="U242" s="67"/>
      <c r="V242" s="67"/>
      <c r="W242" s="67"/>
      <c r="X242" s="67"/>
      <c r="Y242" s="67"/>
      <c r="Z242" s="67"/>
      <c r="AA242" s="67"/>
      <c r="AB242" s="67"/>
      <c r="AC242" s="67"/>
      <c r="AD242" s="67"/>
      <c r="AE242" s="67"/>
      <c r="AF242" s="67"/>
      <c r="AG242" s="67"/>
      <c r="AH242" s="67"/>
      <c r="AI242" s="67"/>
      <c r="AJ242" s="67"/>
      <c r="AK242" s="67"/>
      <c r="AL242" s="67"/>
      <c r="AM242" s="67"/>
      <c r="AN242" s="67"/>
      <c r="AO242" s="67"/>
      <c r="AP242" s="67"/>
    </row>
    <row r="243" customFormat="false" ht="12.75" hidden="false" customHeight="false" outlineLevel="0" collapsed="false">
      <c r="E243" s="67"/>
      <c r="F243" s="67"/>
      <c r="G243" s="67"/>
      <c r="H243" s="67"/>
      <c r="I243" s="67"/>
      <c r="J243" s="67"/>
      <c r="K243" s="67"/>
      <c r="L243" s="67"/>
      <c r="M243" s="67"/>
      <c r="N243" s="67"/>
      <c r="O243" s="67"/>
      <c r="P243" s="67"/>
      <c r="Q243" s="67"/>
      <c r="R243" s="67"/>
      <c r="S243" s="67"/>
      <c r="T243" s="67"/>
      <c r="U243" s="67"/>
      <c r="V243" s="67"/>
      <c r="W243" s="67"/>
      <c r="X243" s="67"/>
      <c r="Y243" s="67"/>
      <c r="Z243" s="67"/>
      <c r="AA243" s="67"/>
      <c r="AB243" s="67"/>
      <c r="AC243" s="67"/>
      <c r="AD243" s="67"/>
      <c r="AE243" s="67"/>
      <c r="AF243" s="67"/>
      <c r="AG243" s="67"/>
      <c r="AH243" s="67"/>
      <c r="AI243" s="67"/>
      <c r="AJ243" s="67"/>
      <c r="AK243" s="67"/>
      <c r="AL243" s="67"/>
      <c r="AM243" s="67"/>
      <c r="AN243" s="67"/>
      <c r="AO243" s="67"/>
      <c r="AP243" s="67"/>
    </row>
    <row r="244" customFormat="false" ht="12.75" hidden="false" customHeight="false" outlineLevel="0" collapsed="false">
      <c r="E244" s="67"/>
      <c r="F244" s="67"/>
      <c r="G244" s="67"/>
      <c r="H244" s="67"/>
      <c r="I244" s="67"/>
      <c r="J244" s="67"/>
      <c r="K244" s="67"/>
      <c r="L244" s="67"/>
      <c r="M244" s="67"/>
      <c r="N244" s="67"/>
      <c r="O244" s="67"/>
      <c r="P244" s="67"/>
      <c r="Q244" s="67"/>
      <c r="R244" s="67"/>
      <c r="S244" s="67"/>
      <c r="T244" s="67"/>
      <c r="U244" s="67"/>
      <c r="V244" s="67"/>
      <c r="W244" s="67"/>
      <c r="X244" s="67"/>
      <c r="Y244" s="67"/>
      <c r="Z244" s="67"/>
      <c r="AA244" s="67"/>
      <c r="AB244" s="67"/>
      <c r="AC244" s="67"/>
      <c r="AD244" s="67"/>
      <c r="AE244" s="67"/>
      <c r="AF244" s="67"/>
      <c r="AG244" s="67"/>
      <c r="AH244" s="67"/>
      <c r="AI244" s="67"/>
      <c r="AJ244" s="67"/>
      <c r="AK244" s="67"/>
      <c r="AL244" s="67"/>
      <c r="AM244" s="67"/>
      <c r="AN244" s="67"/>
      <c r="AO244" s="67"/>
      <c r="AP244" s="67"/>
    </row>
    <row r="245" customFormat="false" ht="12.75" hidden="false" customHeight="false" outlineLevel="0" collapsed="false">
      <c r="E245" s="67"/>
      <c r="F245" s="67"/>
      <c r="G245" s="67"/>
      <c r="H245" s="67"/>
      <c r="I245" s="67"/>
      <c r="J245" s="67"/>
      <c r="K245" s="67"/>
      <c r="L245" s="67"/>
      <c r="M245" s="67"/>
      <c r="N245" s="67"/>
      <c r="O245" s="67"/>
      <c r="P245" s="67"/>
      <c r="Q245" s="67"/>
      <c r="R245" s="67"/>
      <c r="S245" s="67"/>
      <c r="T245" s="67"/>
      <c r="U245" s="67"/>
      <c r="V245" s="67"/>
      <c r="W245" s="67"/>
      <c r="X245" s="67"/>
      <c r="Y245" s="67"/>
      <c r="Z245" s="67"/>
      <c r="AA245" s="67"/>
      <c r="AB245" s="67"/>
      <c r="AC245" s="67"/>
      <c r="AD245" s="67"/>
      <c r="AE245" s="67"/>
      <c r="AF245" s="67"/>
      <c r="AG245" s="67"/>
      <c r="AH245" s="67"/>
      <c r="AI245" s="67"/>
      <c r="AJ245" s="67"/>
      <c r="AK245" s="67"/>
      <c r="AL245" s="67"/>
      <c r="AM245" s="67"/>
      <c r="AN245" s="67"/>
      <c r="AO245" s="67"/>
      <c r="AP245" s="67"/>
    </row>
    <row r="246" customFormat="false" ht="12.75" hidden="false" customHeight="false" outlineLevel="0" collapsed="false">
      <c r="E246" s="67"/>
      <c r="F246" s="67"/>
      <c r="G246" s="67"/>
      <c r="H246" s="67"/>
      <c r="I246" s="67"/>
      <c r="J246" s="67"/>
      <c r="K246" s="67"/>
      <c r="L246" s="67"/>
      <c r="M246" s="67"/>
      <c r="N246" s="67"/>
      <c r="O246" s="67"/>
      <c r="P246" s="67"/>
      <c r="Q246" s="67"/>
      <c r="R246" s="67"/>
      <c r="S246" s="67"/>
      <c r="T246" s="67"/>
      <c r="U246" s="67"/>
      <c r="V246" s="67"/>
      <c r="W246" s="67"/>
      <c r="X246" s="67"/>
      <c r="Y246" s="67"/>
      <c r="Z246" s="67"/>
      <c r="AA246" s="67"/>
      <c r="AB246" s="67"/>
      <c r="AC246" s="67"/>
      <c r="AD246" s="67"/>
      <c r="AE246" s="67"/>
      <c r="AF246" s="67"/>
      <c r="AG246" s="67"/>
      <c r="AH246" s="67"/>
      <c r="AI246" s="67"/>
      <c r="AJ246" s="67"/>
      <c r="AK246" s="67"/>
      <c r="AL246" s="67"/>
      <c r="AM246" s="67"/>
      <c r="AN246" s="67"/>
      <c r="AO246" s="67"/>
      <c r="AP246" s="67"/>
    </row>
    <row r="247" customFormat="false" ht="12.75" hidden="false" customHeight="false" outlineLevel="0" collapsed="false">
      <c r="E247" s="67"/>
      <c r="F247" s="67"/>
      <c r="G247" s="67"/>
      <c r="H247" s="67"/>
      <c r="I247" s="67"/>
      <c r="J247" s="67"/>
      <c r="K247" s="67"/>
      <c r="L247" s="67"/>
      <c r="M247" s="67"/>
      <c r="N247" s="67"/>
      <c r="O247" s="67"/>
      <c r="P247" s="67"/>
      <c r="Q247" s="67"/>
      <c r="R247" s="67"/>
      <c r="S247" s="67"/>
      <c r="T247" s="67"/>
      <c r="U247" s="67"/>
      <c r="V247" s="67"/>
      <c r="W247" s="67"/>
      <c r="X247" s="67"/>
      <c r="Y247" s="67"/>
      <c r="Z247" s="67"/>
      <c r="AA247" s="67"/>
      <c r="AB247" s="67"/>
      <c r="AC247" s="67"/>
      <c r="AD247" s="67"/>
      <c r="AE247" s="67"/>
      <c r="AF247" s="67"/>
      <c r="AG247" s="67"/>
      <c r="AH247" s="67"/>
      <c r="AI247" s="67"/>
      <c r="AJ247" s="67"/>
      <c r="AK247" s="67"/>
      <c r="AL247" s="67"/>
      <c r="AM247" s="67"/>
      <c r="AN247" s="67"/>
      <c r="AO247" s="67"/>
      <c r="AP247" s="67"/>
    </row>
    <row r="248" customFormat="false" ht="12.75" hidden="false" customHeight="false" outlineLevel="0" collapsed="false">
      <c r="E248" s="67"/>
      <c r="F248" s="67"/>
      <c r="G248" s="67"/>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row>
    <row r="249" customFormat="false" ht="12.75" hidden="false" customHeight="false" outlineLevel="0" collapsed="false">
      <c r="E249" s="67"/>
      <c r="F249" s="67"/>
      <c r="G249" s="67"/>
      <c r="H249" s="67"/>
      <c r="I249" s="67"/>
      <c r="J249" s="67"/>
      <c r="K249" s="67"/>
      <c r="L249" s="67"/>
      <c r="M249" s="67"/>
      <c r="N249" s="67"/>
      <c r="O249" s="67"/>
      <c r="P249" s="67"/>
      <c r="Q249" s="67"/>
      <c r="R249" s="67"/>
      <c r="S249" s="67"/>
      <c r="T249" s="67"/>
      <c r="U249" s="67"/>
      <c r="V249" s="67"/>
      <c r="W249" s="67"/>
      <c r="X249" s="67"/>
      <c r="Y249" s="67"/>
      <c r="Z249" s="67"/>
      <c r="AA249" s="67"/>
      <c r="AB249" s="67"/>
      <c r="AC249" s="67"/>
      <c r="AD249" s="67"/>
      <c r="AE249" s="67"/>
      <c r="AF249" s="67"/>
      <c r="AG249" s="67"/>
      <c r="AH249" s="67"/>
      <c r="AI249" s="67"/>
      <c r="AJ249" s="67"/>
      <c r="AK249" s="67"/>
      <c r="AL249" s="67"/>
      <c r="AM249" s="67"/>
      <c r="AN249" s="67"/>
      <c r="AO249" s="67"/>
      <c r="AP249" s="67"/>
    </row>
    <row r="250" customFormat="false" ht="12.75" hidden="false" customHeight="false" outlineLevel="0" collapsed="false">
      <c r="E250" s="67"/>
      <c r="F250" s="67"/>
      <c r="G250" s="67"/>
      <c r="H250" s="67"/>
      <c r="I250" s="67"/>
      <c r="J250" s="67"/>
      <c r="K250" s="67"/>
      <c r="L250" s="67"/>
      <c r="M250" s="67"/>
      <c r="N250" s="67"/>
      <c r="O250" s="67"/>
      <c r="P250" s="67"/>
      <c r="Q250" s="67"/>
      <c r="R250" s="67"/>
      <c r="S250" s="67"/>
      <c r="T250" s="67"/>
      <c r="U250" s="67"/>
      <c r="V250" s="67"/>
      <c r="W250" s="67"/>
      <c r="X250" s="67"/>
      <c r="Y250" s="67"/>
      <c r="Z250" s="67"/>
      <c r="AA250" s="67"/>
      <c r="AB250" s="67"/>
      <c r="AC250" s="67"/>
      <c r="AD250" s="67"/>
      <c r="AE250" s="67"/>
      <c r="AF250" s="67"/>
      <c r="AG250" s="67"/>
      <c r="AH250" s="67"/>
      <c r="AI250" s="67"/>
      <c r="AJ250" s="67"/>
      <c r="AK250" s="67"/>
      <c r="AL250" s="67"/>
      <c r="AM250" s="67"/>
      <c r="AN250" s="67"/>
      <c r="AO250" s="67"/>
      <c r="AP250" s="67"/>
    </row>
    <row r="251" customFormat="false" ht="12.75" hidden="false" customHeight="false" outlineLevel="0" collapsed="false">
      <c r="E251" s="67"/>
      <c r="F251" s="67"/>
      <c r="G251" s="67"/>
      <c r="H251" s="67"/>
      <c r="I251" s="67"/>
      <c r="J251" s="67"/>
      <c r="K251" s="67"/>
      <c r="L251" s="67"/>
      <c r="M251" s="67"/>
      <c r="N251" s="67"/>
      <c r="O251" s="67"/>
      <c r="P251" s="67"/>
      <c r="Q251" s="67"/>
      <c r="R251" s="67"/>
      <c r="S251" s="67"/>
      <c r="T251" s="67"/>
      <c r="U251" s="67"/>
      <c r="V251" s="67"/>
      <c r="W251" s="67"/>
      <c r="X251" s="67"/>
      <c r="Y251" s="67"/>
      <c r="Z251" s="67"/>
      <c r="AA251" s="67"/>
      <c r="AB251" s="67"/>
      <c r="AC251" s="67"/>
      <c r="AD251" s="67"/>
      <c r="AE251" s="67"/>
      <c r="AF251" s="67"/>
      <c r="AG251" s="67"/>
      <c r="AH251" s="67"/>
      <c r="AI251" s="67"/>
      <c r="AJ251" s="67"/>
      <c r="AK251" s="67"/>
      <c r="AL251" s="67"/>
      <c r="AM251" s="67"/>
      <c r="AN251" s="67"/>
      <c r="AO251" s="67"/>
      <c r="AP251" s="67"/>
    </row>
    <row r="252" customFormat="false" ht="12.75" hidden="false" customHeight="false" outlineLevel="0" collapsed="false">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row>
    <row r="253" customFormat="false" ht="12.75" hidden="false" customHeight="false" outlineLevel="0" collapsed="false">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row>
    <row r="254" customFormat="false" ht="12.75" hidden="false" customHeight="false" outlineLevel="0" collapsed="false">
      <c r="E254" s="67"/>
      <c r="F254" s="67"/>
      <c r="G254" s="67"/>
      <c r="H254" s="67"/>
      <c r="I254" s="67"/>
      <c r="J254" s="67"/>
      <c r="K254" s="67"/>
      <c r="L254" s="67"/>
      <c r="M254" s="67"/>
      <c r="N254" s="67"/>
      <c r="O254" s="67"/>
      <c r="P254" s="67"/>
      <c r="Q254" s="67"/>
      <c r="R254" s="67"/>
      <c r="S254" s="67"/>
      <c r="T254" s="67"/>
      <c r="U254" s="67"/>
      <c r="V254" s="67"/>
      <c r="W254" s="67"/>
      <c r="X254" s="67"/>
      <c r="Y254" s="67"/>
      <c r="Z254" s="67"/>
      <c r="AA254" s="67"/>
      <c r="AB254" s="67"/>
      <c r="AC254" s="67"/>
      <c r="AD254" s="67"/>
      <c r="AE254" s="67"/>
      <c r="AF254" s="67"/>
      <c r="AG254" s="67"/>
      <c r="AH254" s="67"/>
      <c r="AI254" s="67"/>
      <c r="AJ254" s="67"/>
      <c r="AK254" s="67"/>
      <c r="AL254" s="67"/>
      <c r="AM254" s="67"/>
      <c r="AN254" s="67"/>
      <c r="AO254" s="67"/>
      <c r="AP254" s="67"/>
    </row>
    <row r="255" customFormat="false" ht="12.75" hidden="false" customHeight="false" outlineLevel="0" collapsed="false">
      <c r="E255" s="67"/>
      <c r="F255" s="67"/>
      <c r="G255" s="67"/>
      <c r="H255" s="67"/>
      <c r="I255" s="67"/>
      <c r="J255" s="67"/>
      <c r="K255" s="67"/>
      <c r="L255" s="67"/>
      <c r="M255" s="67"/>
      <c r="N255" s="67"/>
      <c r="O255" s="67"/>
      <c r="P255" s="67"/>
      <c r="Q255" s="67"/>
      <c r="R255" s="67"/>
      <c r="S255" s="67"/>
      <c r="T255" s="67"/>
      <c r="U255" s="67"/>
      <c r="V255" s="67"/>
      <c r="W255" s="67"/>
      <c r="X255" s="67"/>
      <c r="Y255" s="67"/>
      <c r="Z255" s="67"/>
      <c r="AA255" s="67"/>
      <c r="AB255" s="67"/>
      <c r="AC255" s="67"/>
      <c r="AD255" s="67"/>
      <c r="AE255" s="67"/>
      <c r="AF255" s="67"/>
      <c r="AG255" s="67"/>
      <c r="AH255" s="67"/>
      <c r="AI255" s="67"/>
      <c r="AJ255" s="67"/>
      <c r="AK255" s="67"/>
      <c r="AL255" s="67"/>
      <c r="AM255" s="67"/>
      <c r="AN255" s="67"/>
      <c r="AO255" s="67"/>
      <c r="AP255" s="67"/>
    </row>
    <row r="256" customFormat="false" ht="12.75" hidden="false" customHeight="false" outlineLevel="0" collapsed="false">
      <c r="E256" s="67"/>
      <c r="F256" s="67"/>
      <c r="G256" s="67"/>
      <c r="H256" s="67"/>
      <c r="I256" s="67"/>
      <c r="J256" s="67"/>
      <c r="K256" s="67"/>
      <c r="L256" s="67"/>
      <c r="M256" s="67"/>
      <c r="N256" s="67"/>
      <c r="O256" s="67"/>
      <c r="P256" s="67"/>
      <c r="Q256" s="67"/>
      <c r="R256" s="67"/>
      <c r="S256" s="67"/>
      <c r="T256" s="67"/>
      <c r="U256" s="67"/>
      <c r="V256" s="67"/>
      <c r="W256" s="67"/>
      <c r="X256" s="67"/>
      <c r="Y256" s="67"/>
      <c r="Z256" s="67"/>
      <c r="AA256" s="67"/>
      <c r="AB256" s="67"/>
      <c r="AC256" s="67"/>
      <c r="AD256" s="67"/>
      <c r="AE256" s="67"/>
      <c r="AF256" s="67"/>
      <c r="AG256" s="67"/>
      <c r="AH256" s="67"/>
      <c r="AI256" s="67"/>
      <c r="AJ256" s="67"/>
      <c r="AK256" s="67"/>
      <c r="AL256" s="67"/>
      <c r="AM256" s="67"/>
      <c r="AN256" s="67"/>
      <c r="AO256" s="67"/>
      <c r="AP256" s="67"/>
    </row>
    <row r="257" customFormat="false" ht="12.75" hidden="false" customHeight="false" outlineLevel="0" collapsed="false">
      <c r="E257" s="67"/>
      <c r="F257" s="67"/>
      <c r="G257" s="67"/>
      <c r="H257" s="67"/>
      <c r="I257" s="67"/>
      <c r="J257" s="67"/>
      <c r="K257" s="67"/>
      <c r="L257" s="67"/>
      <c r="M257" s="67"/>
      <c r="N257" s="67"/>
      <c r="O257" s="67"/>
      <c r="P257" s="67"/>
      <c r="Q257" s="67"/>
      <c r="R257" s="67"/>
      <c r="S257" s="67"/>
      <c r="T257" s="67"/>
      <c r="U257" s="67"/>
      <c r="V257" s="67"/>
      <c r="W257" s="67"/>
      <c r="X257" s="67"/>
      <c r="Y257" s="67"/>
      <c r="Z257" s="67"/>
      <c r="AA257" s="67"/>
      <c r="AB257" s="67"/>
      <c r="AC257" s="67"/>
      <c r="AD257" s="67"/>
      <c r="AE257" s="67"/>
      <c r="AF257" s="67"/>
      <c r="AG257" s="67"/>
      <c r="AH257" s="67"/>
      <c r="AI257" s="67"/>
      <c r="AJ257" s="67"/>
      <c r="AK257" s="67"/>
      <c r="AL257" s="67"/>
      <c r="AM257" s="67"/>
      <c r="AN257" s="67"/>
      <c r="AO257" s="67"/>
      <c r="AP257" s="67"/>
    </row>
    <row r="258" customFormat="false" ht="12.75" hidden="false" customHeight="false" outlineLevel="0" collapsed="false">
      <c r="E258" s="67"/>
      <c r="F258" s="67"/>
      <c r="G258" s="67"/>
      <c r="H258" s="67"/>
      <c r="I258" s="67"/>
      <c r="J258" s="67"/>
      <c r="K258" s="67"/>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row>
    <row r="259" customFormat="false" ht="12.75" hidden="false" customHeight="false" outlineLevel="0" collapsed="false">
      <c r="E259" s="67"/>
      <c r="F259" s="67"/>
      <c r="G259" s="67"/>
      <c r="H259" s="67"/>
      <c r="I259" s="67"/>
      <c r="J259" s="67"/>
      <c r="K259" s="67"/>
      <c r="L259" s="67"/>
      <c r="M259" s="67"/>
      <c r="N259" s="67"/>
      <c r="O259" s="67"/>
      <c r="P259" s="67"/>
      <c r="Q259" s="67"/>
      <c r="R259" s="67"/>
      <c r="S259" s="67"/>
      <c r="T259" s="67"/>
      <c r="U259" s="67"/>
      <c r="V259" s="67"/>
      <c r="W259" s="67"/>
      <c r="X259" s="67"/>
      <c r="Y259" s="67"/>
      <c r="Z259" s="67"/>
      <c r="AA259" s="67"/>
      <c r="AB259" s="67"/>
      <c r="AC259" s="67"/>
      <c r="AD259" s="67"/>
      <c r="AE259" s="67"/>
      <c r="AF259" s="67"/>
      <c r="AG259" s="67"/>
      <c r="AH259" s="67"/>
      <c r="AI259" s="67"/>
      <c r="AJ259" s="67"/>
      <c r="AK259" s="67"/>
      <c r="AL259" s="67"/>
      <c r="AM259" s="67"/>
      <c r="AN259" s="67"/>
      <c r="AO259" s="67"/>
      <c r="AP259" s="67"/>
    </row>
    <row r="260" customFormat="false" ht="12.75" hidden="false" customHeight="false" outlineLevel="0" collapsed="false">
      <c r="E260" s="67"/>
      <c r="F260" s="67"/>
      <c r="G260" s="67"/>
      <c r="H260" s="67"/>
      <c r="I260" s="67"/>
      <c r="J260" s="67"/>
      <c r="K260" s="67"/>
      <c r="L260" s="67"/>
      <c r="M260" s="67"/>
      <c r="N260" s="67"/>
      <c r="O260" s="67"/>
      <c r="P260" s="67"/>
      <c r="Q260" s="67"/>
      <c r="R260" s="67"/>
      <c r="S260" s="67"/>
      <c r="T260" s="67"/>
      <c r="U260" s="67"/>
      <c r="V260" s="67"/>
      <c r="W260" s="67"/>
      <c r="X260" s="67"/>
      <c r="Y260" s="67"/>
      <c r="Z260" s="67"/>
      <c r="AA260" s="67"/>
      <c r="AB260" s="67"/>
      <c r="AC260" s="67"/>
      <c r="AD260" s="67"/>
      <c r="AE260" s="67"/>
      <c r="AF260" s="67"/>
      <c r="AG260" s="67"/>
      <c r="AH260" s="67"/>
      <c r="AI260" s="67"/>
      <c r="AJ260" s="67"/>
      <c r="AK260" s="67"/>
      <c r="AL260" s="67"/>
      <c r="AM260" s="67"/>
      <c r="AN260" s="67"/>
      <c r="AO260" s="67"/>
      <c r="AP260" s="67"/>
    </row>
    <row r="261" customFormat="false" ht="12.75" hidden="false" customHeight="false" outlineLevel="0" collapsed="false">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c r="AH261" s="67"/>
      <c r="AI261" s="67"/>
      <c r="AJ261" s="67"/>
      <c r="AK261" s="67"/>
      <c r="AL261" s="67"/>
      <c r="AM261" s="67"/>
      <c r="AN261" s="67"/>
      <c r="AO261" s="67"/>
      <c r="AP261" s="67"/>
    </row>
    <row r="262" customFormat="false" ht="12.75" hidden="false" customHeight="false" outlineLevel="0" collapsed="false">
      <c r="E262" s="67"/>
      <c r="F262" s="67"/>
      <c r="G262" s="67"/>
      <c r="H262" s="67"/>
      <c r="I262" s="67"/>
      <c r="J262" s="67"/>
      <c r="K262" s="67"/>
      <c r="L262" s="67"/>
      <c r="M262" s="67"/>
      <c r="N262" s="67"/>
      <c r="O262" s="67"/>
      <c r="P262" s="67"/>
      <c r="Q262" s="67"/>
      <c r="R262" s="67"/>
      <c r="S262" s="67"/>
      <c r="T262" s="67"/>
      <c r="U262" s="67"/>
      <c r="V262" s="67"/>
      <c r="W262" s="67"/>
      <c r="X262" s="67"/>
      <c r="Y262" s="67"/>
      <c r="Z262" s="67"/>
      <c r="AA262" s="67"/>
      <c r="AB262" s="67"/>
      <c r="AC262" s="67"/>
      <c r="AD262" s="67"/>
      <c r="AE262" s="67"/>
      <c r="AF262" s="67"/>
      <c r="AG262" s="67"/>
      <c r="AH262" s="67"/>
      <c r="AI262" s="67"/>
      <c r="AJ262" s="67"/>
      <c r="AK262" s="67"/>
      <c r="AL262" s="67"/>
      <c r="AM262" s="67"/>
      <c r="AN262" s="67"/>
      <c r="AO262" s="67"/>
      <c r="AP262" s="67"/>
    </row>
    <row r="263" customFormat="false" ht="12.75" hidden="false" customHeight="false" outlineLevel="0" collapsed="false">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c r="AH263" s="67"/>
      <c r="AI263" s="67"/>
      <c r="AJ263" s="67"/>
      <c r="AK263" s="67"/>
      <c r="AL263" s="67"/>
      <c r="AM263" s="67"/>
      <c r="AN263" s="67"/>
      <c r="AO263" s="67"/>
      <c r="AP263" s="67"/>
    </row>
    <row r="264" customFormat="false" ht="12.75" hidden="false" customHeight="false" outlineLevel="0" collapsed="false">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row>
    <row r="265" customFormat="false" ht="12.75" hidden="false" customHeight="false" outlineLevel="0" collapsed="false">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c r="AH265" s="67"/>
      <c r="AI265" s="67"/>
      <c r="AJ265" s="67"/>
      <c r="AK265" s="67"/>
      <c r="AL265" s="67"/>
      <c r="AM265" s="67"/>
      <c r="AN265" s="67"/>
      <c r="AO265" s="67"/>
      <c r="AP265" s="67"/>
    </row>
    <row r="266" customFormat="false" ht="12.75" hidden="false" customHeight="false" outlineLevel="0" collapsed="false">
      <c r="E266" s="67"/>
      <c r="F266" s="67"/>
      <c r="G266" s="67"/>
      <c r="H266" s="67"/>
      <c r="I266" s="67"/>
      <c r="J266" s="67"/>
      <c r="K266" s="67"/>
      <c r="L266" s="67"/>
      <c r="M266" s="67"/>
      <c r="N266" s="67"/>
      <c r="O266" s="67"/>
      <c r="P266" s="67"/>
      <c r="Q266" s="67"/>
      <c r="R266" s="67"/>
      <c r="S266" s="67"/>
      <c r="T266" s="67"/>
      <c r="U266" s="67"/>
      <c r="V266" s="67"/>
      <c r="W266" s="67"/>
      <c r="X266" s="67"/>
      <c r="Y266" s="67"/>
      <c r="Z266" s="67"/>
      <c r="AA266" s="67"/>
      <c r="AB266" s="67"/>
      <c r="AC266" s="67"/>
      <c r="AD266" s="67"/>
      <c r="AE266" s="67"/>
      <c r="AF266" s="67"/>
      <c r="AG266" s="67"/>
      <c r="AH266" s="67"/>
      <c r="AI266" s="67"/>
      <c r="AJ266" s="67"/>
      <c r="AK266" s="67"/>
      <c r="AL266" s="67"/>
      <c r="AM266" s="67"/>
      <c r="AN266" s="67"/>
      <c r="AO266" s="67"/>
      <c r="AP266" s="67"/>
    </row>
    <row r="267" customFormat="false" ht="12.75" hidden="false" customHeight="false" outlineLevel="0" collapsed="false">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c r="AH267" s="67"/>
      <c r="AI267" s="67"/>
      <c r="AJ267" s="67"/>
      <c r="AK267" s="67"/>
      <c r="AL267" s="67"/>
      <c r="AM267" s="67"/>
      <c r="AN267" s="67"/>
      <c r="AO267" s="67"/>
      <c r="AP267" s="67"/>
    </row>
    <row r="268" customFormat="false" ht="12.75" hidden="false" customHeight="false" outlineLevel="0" collapsed="false">
      <c r="E268" s="67"/>
      <c r="F268" s="67"/>
      <c r="G268" s="67"/>
      <c r="H268" s="67"/>
      <c r="I268" s="67"/>
      <c r="J268" s="67"/>
      <c r="K268" s="67"/>
      <c r="L268" s="67"/>
      <c r="M268" s="67"/>
      <c r="N268" s="67"/>
      <c r="O268" s="67"/>
      <c r="P268" s="67"/>
      <c r="Q268" s="67"/>
      <c r="R268" s="67"/>
      <c r="S268" s="67"/>
      <c r="T268" s="67"/>
      <c r="U268" s="67"/>
      <c r="V268" s="67"/>
      <c r="W268" s="67"/>
      <c r="X268" s="67"/>
      <c r="Y268" s="67"/>
      <c r="Z268" s="67"/>
      <c r="AA268" s="67"/>
      <c r="AB268" s="67"/>
      <c r="AC268" s="67"/>
      <c r="AD268" s="67"/>
      <c r="AE268" s="67"/>
      <c r="AF268" s="67"/>
      <c r="AG268" s="67"/>
      <c r="AH268" s="67"/>
      <c r="AI268" s="67"/>
      <c r="AJ268" s="67"/>
      <c r="AK268" s="67"/>
      <c r="AL268" s="67"/>
      <c r="AM268" s="67"/>
      <c r="AN268" s="67"/>
      <c r="AO268" s="67"/>
      <c r="AP268" s="67"/>
    </row>
    <row r="269" customFormat="false" ht="12.75" hidden="false" customHeight="false" outlineLevel="0" collapsed="false">
      <c r="E269" s="67"/>
      <c r="F269" s="67"/>
      <c r="G269" s="67"/>
      <c r="H269" s="67"/>
      <c r="I269" s="67"/>
      <c r="J269" s="67"/>
      <c r="K269" s="67"/>
      <c r="L269" s="67"/>
      <c r="M269" s="67"/>
      <c r="N269" s="67"/>
      <c r="O269" s="67"/>
      <c r="P269" s="67"/>
      <c r="Q269" s="67"/>
      <c r="R269" s="67"/>
      <c r="S269" s="67"/>
      <c r="T269" s="67"/>
      <c r="U269" s="67"/>
      <c r="V269" s="67"/>
      <c r="W269" s="67"/>
      <c r="X269" s="67"/>
      <c r="Y269" s="67"/>
      <c r="Z269" s="67"/>
      <c r="AA269" s="67"/>
      <c r="AB269" s="67"/>
      <c r="AC269" s="67"/>
      <c r="AD269" s="67"/>
      <c r="AE269" s="67"/>
      <c r="AF269" s="67"/>
      <c r="AG269" s="67"/>
      <c r="AH269" s="67"/>
      <c r="AI269" s="67"/>
      <c r="AJ269" s="67"/>
      <c r="AK269" s="67"/>
      <c r="AL269" s="67"/>
      <c r="AM269" s="67"/>
      <c r="AN269" s="67"/>
      <c r="AO269" s="67"/>
      <c r="AP269" s="67"/>
    </row>
    <row r="270" customFormat="false" ht="12.75" hidden="false" customHeight="false" outlineLevel="0" collapsed="false">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row>
    <row r="271" customFormat="false" ht="12.75" hidden="false" customHeight="false" outlineLevel="0" collapsed="false">
      <c r="E271" s="67"/>
      <c r="F271" s="67"/>
      <c r="G271" s="67"/>
      <c r="H271" s="67"/>
      <c r="I271" s="67"/>
      <c r="J271" s="67"/>
      <c r="K271" s="67"/>
      <c r="L271" s="67"/>
      <c r="M271" s="67"/>
      <c r="N271" s="67"/>
      <c r="O271" s="67"/>
      <c r="P271" s="67"/>
      <c r="Q271" s="67"/>
      <c r="R271" s="67"/>
      <c r="S271" s="67"/>
      <c r="T271" s="67"/>
      <c r="U271" s="67"/>
      <c r="V271" s="67"/>
      <c r="W271" s="67"/>
      <c r="X271" s="67"/>
      <c r="Y271" s="67"/>
      <c r="Z271" s="67"/>
      <c r="AA271" s="67"/>
      <c r="AB271" s="67"/>
      <c r="AC271" s="67"/>
      <c r="AD271" s="67"/>
      <c r="AE271" s="67"/>
      <c r="AF271" s="67"/>
      <c r="AG271" s="67"/>
      <c r="AH271" s="67"/>
      <c r="AI271" s="67"/>
      <c r="AJ271" s="67"/>
      <c r="AK271" s="67"/>
      <c r="AL271" s="67"/>
      <c r="AM271" s="67"/>
      <c r="AN271" s="67"/>
      <c r="AO271" s="67"/>
      <c r="AP271" s="67"/>
    </row>
    <row r="272" customFormat="false" ht="12.75" hidden="false" customHeight="false" outlineLevel="0" collapsed="false">
      <c r="E272" s="67"/>
      <c r="F272" s="67"/>
      <c r="G272" s="67"/>
      <c r="H272" s="67"/>
      <c r="I272" s="67"/>
      <c r="J272" s="67"/>
      <c r="K272" s="67"/>
      <c r="L272" s="67"/>
      <c r="M272" s="67"/>
      <c r="N272" s="67"/>
      <c r="O272" s="67"/>
      <c r="P272" s="67"/>
      <c r="Q272" s="67"/>
      <c r="R272" s="67"/>
      <c r="S272" s="67"/>
      <c r="T272" s="67"/>
      <c r="U272" s="67"/>
      <c r="V272" s="67"/>
      <c r="W272" s="67"/>
      <c r="X272" s="67"/>
      <c r="Y272" s="67"/>
      <c r="Z272" s="67"/>
      <c r="AA272" s="67"/>
      <c r="AB272" s="67"/>
      <c r="AC272" s="67"/>
      <c r="AD272" s="67"/>
      <c r="AE272" s="67"/>
      <c r="AF272" s="67"/>
      <c r="AG272" s="67"/>
      <c r="AH272" s="67"/>
      <c r="AI272" s="67"/>
      <c r="AJ272" s="67"/>
      <c r="AK272" s="67"/>
      <c r="AL272" s="67"/>
      <c r="AM272" s="67"/>
      <c r="AN272" s="67"/>
      <c r="AO272" s="67"/>
      <c r="AP272" s="67"/>
    </row>
    <row r="273" customFormat="false" ht="12.75" hidden="false" customHeight="false" outlineLevel="0" collapsed="false">
      <c r="E273" s="67"/>
      <c r="F273" s="67"/>
      <c r="G273" s="67"/>
      <c r="H273" s="67"/>
      <c r="I273" s="67"/>
      <c r="J273" s="67"/>
      <c r="K273" s="67"/>
      <c r="L273" s="67"/>
      <c r="M273" s="67"/>
      <c r="N273" s="67"/>
      <c r="O273" s="67"/>
      <c r="P273" s="67"/>
      <c r="Q273" s="67"/>
      <c r="R273" s="67"/>
      <c r="S273" s="67"/>
      <c r="T273" s="67"/>
      <c r="U273" s="67"/>
      <c r="V273" s="67"/>
      <c r="W273" s="67"/>
      <c r="X273" s="67"/>
      <c r="Y273" s="67"/>
      <c r="Z273" s="67"/>
      <c r="AA273" s="67"/>
      <c r="AB273" s="67"/>
      <c r="AC273" s="67"/>
      <c r="AD273" s="67"/>
      <c r="AE273" s="67"/>
      <c r="AF273" s="67"/>
      <c r="AG273" s="67"/>
      <c r="AH273" s="67"/>
      <c r="AI273" s="67"/>
      <c r="AJ273" s="67"/>
      <c r="AK273" s="67"/>
      <c r="AL273" s="67"/>
      <c r="AM273" s="67"/>
      <c r="AN273" s="67"/>
      <c r="AO273" s="67"/>
      <c r="AP273" s="67"/>
    </row>
    <row r="274" customFormat="false" ht="12.75" hidden="false" customHeight="false" outlineLevel="0" collapsed="false">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row>
    <row r="275" customFormat="false" ht="12.75" hidden="false" customHeight="false" outlineLevel="0" collapsed="false">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row>
    <row r="276" customFormat="false" ht="12.75" hidden="false" customHeight="false" outlineLevel="0" collapsed="false">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row>
    <row r="277" customFormat="false" ht="12.75" hidden="false" customHeight="false" outlineLevel="0" collapsed="false">
      <c r="E277" s="67"/>
      <c r="F277" s="67"/>
      <c r="G277" s="67"/>
      <c r="H277" s="67"/>
      <c r="I277" s="67"/>
      <c r="J277" s="67"/>
      <c r="K277" s="67"/>
      <c r="L277" s="67"/>
      <c r="M277" s="67"/>
      <c r="N277" s="67"/>
      <c r="O277" s="67"/>
      <c r="P277" s="67"/>
      <c r="Q277" s="67"/>
      <c r="R277" s="67"/>
      <c r="S277" s="67"/>
      <c r="T277" s="67"/>
      <c r="U277" s="67"/>
      <c r="V277" s="67"/>
      <c r="W277" s="67"/>
      <c r="X277" s="67"/>
      <c r="Y277" s="67"/>
      <c r="Z277" s="67"/>
      <c r="AA277" s="67"/>
      <c r="AB277" s="67"/>
      <c r="AC277" s="67"/>
      <c r="AD277" s="67"/>
      <c r="AE277" s="67"/>
      <c r="AF277" s="67"/>
      <c r="AG277" s="67"/>
      <c r="AH277" s="67"/>
      <c r="AI277" s="67"/>
      <c r="AJ277" s="67"/>
      <c r="AK277" s="67"/>
      <c r="AL277" s="67"/>
      <c r="AM277" s="67"/>
      <c r="AN277" s="67"/>
      <c r="AO277" s="67"/>
      <c r="AP277" s="67"/>
    </row>
    <row r="278" customFormat="false" ht="12.75" hidden="false" customHeight="false" outlineLevel="0" collapsed="false">
      <c r="E278" s="67"/>
      <c r="F278" s="67"/>
      <c r="G278" s="67"/>
      <c r="H278" s="67"/>
      <c r="I278" s="67"/>
      <c r="J278" s="67"/>
      <c r="K278" s="67"/>
      <c r="L278" s="67"/>
      <c r="M278" s="67"/>
      <c r="N278" s="67"/>
      <c r="O278" s="67"/>
      <c r="P278" s="67"/>
      <c r="Q278" s="67"/>
      <c r="R278" s="67"/>
      <c r="S278" s="67"/>
      <c r="T278" s="67"/>
      <c r="U278" s="67"/>
      <c r="V278" s="67"/>
      <c r="W278" s="67"/>
      <c r="X278" s="67"/>
      <c r="Y278" s="67"/>
      <c r="Z278" s="67"/>
      <c r="AA278" s="67"/>
      <c r="AB278" s="67"/>
      <c r="AC278" s="67"/>
      <c r="AD278" s="67"/>
      <c r="AE278" s="67"/>
      <c r="AF278" s="67"/>
      <c r="AG278" s="67"/>
      <c r="AH278" s="67"/>
      <c r="AI278" s="67"/>
      <c r="AJ278" s="67"/>
      <c r="AK278" s="67"/>
      <c r="AL278" s="67"/>
      <c r="AM278" s="67"/>
      <c r="AN278" s="67"/>
      <c r="AO278" s="67"/>
      <c r="AP278" s="67"/>
    </row>
    <row r="279" customFormat="false" ht="12.75" hidden="false" customHeight="false" outlineLevel="0" collapsed="false">
      <c r="E279" s="67"/>
      <c r="F279" s="67"/>
      <c r="G279" s="67"/>
      <c r="H279" s="67"/>
      <c r="I279" s="67"/>
      <c r="J279" s="67"/>
      <c r="K279" s="67"/>
      <c r="L279" s="67"/>
      <c r="M279" s="67"/>
      <c r="N279" s="67"/>
      <c r="O279" s="67"/>
      <c r="P279" s="67"/>
      <c r="Q279" s="67"/>
      <c r="R279" s="67"/>
      <c r="S279" s="67"/>
      <c r="T279" s="67"/>
      <c r="U279" s="67"/>
      <c r="V279" s="67"/>
      <c r="W279" s="67"/>
      <c r="X279" s="67"/>
      <c r="Y279" s="67"/>
      <c r="Z279" s="67"/>
      <c r="AA279" s="67"/>
      <c r="AB279" s="67"/>
      <c r="AC279" s="67"/>
      <c r="AD279" s="67"/>
      <c r="AE279" s="67"/>
      <c r="AF279" s="67"/>
      <c r="AG279" s="67"/>
      <c r="AH279" s="67"/>
      <c r="AI279" s="67"/>
      <c r="AJ279" s="67"/>
      <c r="AK279" s="67"/>
      <c r="AL279" s="67"/>
      <c r="AM279" s="67"/>
      <c r="AN279" s="67"/>
      <c r="AO279" s="67"/>
      <c r="AP279" s="67"/>
    </row>
    <row r="280" customFormat="false" ht="12.75" hidden="false" customHeight="false" outlineLevel="0" collapsed="false">
      <c r="E280" s="67"/>
      <c r="F280" s="67"/>
      <c r="G280" s="67"/>
      <c r="H280" s="67"/>
      <c r="I280" s="67"/>
      <c r="J280" s="67"/>
      <c r="K280" s="67"/>
      <c r="L280" s="67"/>
      <c r="M280" s="67"/>
      <c r="N280" s="67"/>
      <c r="O280" s="67"/>
      <c r="P280" s="67"/>
      <c r="Q280" s="67"/>
      <c r="R280" s="67"/>
      <c r="S280" s="67"/>
      <c r="T280" s="67"/>
      <c r="U280" s="67"/>
      <c r="V280" s="67"/>
      <c r="W280" s="67"/>
      <c r="X280" s="67"/>
      <c r="Y280" s="67"/>
      <c r="Z280" s="67"/>
      <c r="AA280" s="67"/>
      <c r="AB280" s="67"/>
      <c r="AC280" s="67"/>
      <c r="AD280" s="67"/>
      <c r="AE280" s="67"/>
      <c r="AF280" s="67"/>
      <c r="AG280" s="67"/>
      <c r="AH280" s="67"/>
      <c r="AI280" s="67"/>
      <c r="AJ280" s="67"/>
      <c r="AK280" s="67"/>
      <c r="AL280" s="67"/>
      <c r="AM280" s="67"/>
      <c r="AN280" s="67"/>
      <c r="AO280" s="67"/>
      <c r="AP280" s="67"/>
    </row>
    <row r="281" customFormat="false" ht="12.75" hidden="false" customHeight="false" outlineLevel="0" collapsed="false">
      <c r="E281" s="67"/>
      <c r="F281" s="67"/>
      <c r="G281" s="67"/>
      <c r="H281" s="67"/>
      <c r="I281" s="67"/>
      <c r="J281" s="67"/>
      <c r="K281" s="67"/>
      <c r="L281" s="67"/>
      <c r="M281" s="67"/>
      <c r="N281" s="67"/>
      <c r="O281" s="67"/>
      <c r="P281" s="67"/>
      <c r="Q281" s="67"/>
      <c r="R281" s="67"/>
      <c r="S281" s="67"/>
      <c r="T281" s="67"/>
      <c r="U281" s="67"/>
      <c r="V281" s="67"/>
      <c r="W281" s="67"/>
      <c r="X281" s="67"/>
      <c r="Y281" s="67"/>
      <c r="Z281" s="67"/>
      <c r="AA281" s="67"/>
      <c r="AB281" s="67"/>
      <c r="AC281" s="67"/>
      <c r="AD281" s="67"/>
      <c r="AE281" s="67"/>
      <c r="AF281" s="67"/>
      <c r="AG281" s="67"/>
      <c r="AH281" s="67"/>
      <c r="AI281" s="67"/>
      <c r="AJ281" s="67"/>
      <c r="AK281" s="67"/>
      <c r="AL281" s="67"/>
      <c r="AM281" s="67"/>
      <c r="AN281" s="67"/>
      <c r="AO281" s="67"/>
      <c r="AP281" s="67"/>
    </row>
    <row r="282" customFormat="false" ht="12.75" hidden="false" customHeight="false" outlineLevel="0" collapsed="false">
      <c r="E282" s="67"/>
      <c r="F282" s="67"/>
      <c r="G282" s="67"/>
      <c r="H282" s="67"/>
      <c r="I282" s="67"/>
      <c r="J282" s="67"/>
      <c r="K282" s="67"/>
      <c r="L282" s="67"/>
      <c r="M282" s="67"/>
      <c r="N282" s="67"/>
      <c r="O282" s="67"/>
      <c r="P282" s="67"/>
      <c r="Q282" s="67"/>
      <c r="R282" s="67"/>
      <c r="S282" s="67"/>
      <c r="T282" s="67"/>
      <c r="U282" s="67"/>
      <c r="V282" s="67"/>
      <c r="W282" s="67"/>
      <c r="X282" s="67"/>
      <c r="Y282" s="67"/>
      <c r="Z282" s="67"/>
      <c r="AA282" s="67"/>
      <c r="AB282" s="67"/>
      <c r="AC282" s="67"/>
      <c r="AD282" s="67"/>
      <c r="AE282" s="67"/>
      <c r="AF282" s="67"/>
      <c r="AG282" s="67"/>
      <c r="AH282" s="67"/>
      <c r="AI282" s="67"/>
      <c r="AJ282" s="67"/>
      <c r="AK282" s="67"/>
      <c r="AL282" s="67"/>
      <c r="AM282" s="67"/>
      <c r="AN282" s="67"/>
      <c r="AO282" s="67"/>
      <c r="AP282" s="67"/>
    </row>
    <row r="283" customFormat="false" ht="12.75" hidden="false" customHeight="false" outlineLevel="0" collapsed="false">
      <c r="E283" s="67"/>
      <c r="F283" s="67"/>
      <c r="G283" s="67"/>
      <c r="H283" s="67"/>
      <c r="I283" s="67"/>
      <c r="J283" s="67"/>
      <c r="K283" s="67"/>
      <c r="L283" s="67"/>
      <c r="M283" s="67"/>
      <c r="N283" s="67"/>
      <c r="O283" s="67"/>
      <c r="P283" s="67"/>
      <c r="Q283" s="67"/>
      <c r="R283" s="67"/>
      <c r="S283" s="67"/>
      <c r="T283" s="67"/>
      <c r="U283" s="67"/>
      <c r="V283" s="67"/>
      <c r="W283" s="67"/>
      <c r="X283" s="67"/>
      <c r="Y283" s="67"/>
      <c r="Z283" s="67"/>
      <c r="AA283" s="67"/>
      <c r="AB283" s="67"/>
      <c r="AC283" s="67"/>
      <c r="AD283" s="67"/>
      <c r="AE283" s="67"/>
      <c r="AF283" s="67"/>
      <c r="AG283" s="67"/>
      <c r="AH283" s="67"/>
      <c r="AI283" s="67"/>
      <c r="AJ283" s="67"/>
      <c r="AK283" s="67"/>
      <c r="AL283" s="67"/>
      <c r="AM283" s="67"/>
      <c r="AN283" s="67"/>
      <c r="AO283" s="67"/>
      <c r="AP283" s="67"/>
    </row>
    <row r="284" customFormat="false" ht="12.75" hidden="false" customHeight="false" outlineLevel="0" collapsed="false">
      <c r="E284" s="67"/>
      <c r="F284" s="67"/>
      <c r="G284" s="67"/>
      <c r="H284" s="67"/>
      <c r="I284" s="67"/>
      <c r="J284" s="67"/>
      <c r="K284" s="67"/>
      <c r="L284" s="67"/>
      <c r="M284" s="67"/>
      <c r="N284" s="67"/>
      <c r="O284" s="67"/>
      <c r="P284" s="67"/>
      <c r="Q284" s="67"/>
      <c r="R284" s="67"/>
      <c r="S284" s="67"/>
      <c r="T284" s="67"/>
      <c r="U284" s="67"/>
      <c r="V284" s="67"/>
      <c r="W284" s="67"/>
      <c r="X284" s="67"/>
      <c r="Y284" s="67"/>
      <c r="Z284" s="67"/>
      <c r="AA284" s="67"/>
      <c r="AB284" s="67"/>
      <c r="AC284" s="67"/>
      <c r="AD284" s="67"/>
      <c r="AE284" s="67"/>
      <c r="AF284" s="67"/>
      <c r="AG284" s="67"/>
      <c r="AH284" s="67"/>
      <c r="AI284" s="67"/>
      <c r="AJ284" s="67"/>
      <c r="AK284" s="67"/>
      <c r="AL284" s="67"/>
      <c r="AM284" s="67"/>
      <c r="AN284" s="67"/>
      <c r="AO284" s="67"/>
      <c r="AP284" s="67"/>
    </row>
    <row r="285" customFormat="false" ht="12.75" hidden="false" customHeight="false" outlineLevel="0" collapsed="false">
      <c r="E285" s="67"/>
      <c r="F285" s="67"/>
      <c r="G285" s="67"/>
      <c r="H285" s="67"/>
      <c r="I285" s="67"/>
      <c r="J285" s="67"/>
      <c r="K285" s="67"/>
      <c r="L285" s="67"/>
      <c r="M285" s="67"/>
      <c r="N285" s="67"/>
      <c r="O285" s="67"/>
      <c r="P285" s="67"/>
      <c r="Q285" s="67"/>
      <c r="R285" s="67"/>
      <c r="S285" s="67"/>
      <c r="T285" s="67"/>
      <c r="U285" s="67"/>
      <c r="V285" s="67"/>
      <c r="W285" s="67"/>
      <c r="X285" s="67"/>
      <c r="Y285" s="67"/>
      <c r="Z285" s="67"/>
      <c r="AA285" s="67"/>
      <c r="AB285" s="67"/>
      <c r="AC285" s="67"/>
      <c r="AD285" s="67"/>
      <c r="AE285" s="67"/>
      <c r="AF285" s="67"/>
      <c r="AG285" s="67"/>
      <c r="AH285" s="67"/>
      <c r="AI285" s="67"/>
      <c r="AJ285" s="67"/>
      <c r="AK285" s="67"/>
      <c r="AL285" s="67"/>
      <c r="AM285" s="67"/>
      <c r="AN285" s="67"/>
      <c r="AO285" s="67"/>
      <c r="AP285" s="67"/>
    </row>
    <row r="286" customFormat="false" ht="12.75" hidden="false" customHeight="false" outlineLevel="0" collapsed="false">
      <c r="E286" s="67"/>
      <c r="F286" s="67"/>
      <c r="G286" s="67"/>
      <c r="H286" s="67"/>
      <c r="I286" s="67"/>
      <c r="J286" s="67"/>
      <c r="K286" s="67"/>
      <c r="L286" s="67"/>
      <c r="M286" s="67"/>
      <c r="N286" s="67"/>
      <c r="O286" s="67"/>
      <c r="P286" s="67"/>
      <c r="Q286" s="67"/>
      <c r="R286" s="67"/>
      <c r="S286" s="67"/>
      <c r="T286" s="67"/>
      <c r="U286" s="67"/>
      <c r="V286" s="67"/>
      <c r="W286" s="67"/>
      <c r="X286" s="67"/>
      <c r="Y286" s="67"/>
      <c r="Z286" s="67"/>
      <c r="AA286" s="67"/>
      <c r="AB286" s="67"/>
      <c r="AC286" s="67"/>
      <c r="AD286" s="67"/>
      <c r="AE286" s="67"/>
      <c r="AF286" s="67"/>
      <c r="AG286" s="67"/>
      <c r="AH286" s="67"/>
      <c r="AI286" s="67"/>
      <c r="AJ286" s="67"/>
      <c r="AK286" s="67"/>
      <c r="AL286" s="67"/>
      <c r="AM286" s="67"/>
      <c r="AN286" s="67"/>
      <c r="AO286" s="67"/>
      <c r="AP286" s="67"/>
    </row>
    <row r="287" customFormat="false" ht="12.75" hidden="false" customHeight="false" outlineLevel="0" collapsed="false">
      <c r="E287" s="67"/>
      <c r="F287" s="67"/>
      <c r="G287" s="67"/>
      <c r="H287" s="67"/>
      <c r="I287" s="67"/>
      <c r="J287" s="67"/>
      <c r="K287" s="67"/>
      <c r="L287" s="67"/>
      <c r="M287" s="67"/>
      <c r="N287" s="67"/>
      <c r="O287" s="67"/>
      <c r="P287" s="67"/>
      <c r="Q287" s="67"/>
      <c r="R287" s="67"/>
      <c r="S287" s="67"/>
      <c r="T287" s="67"/>
      <c r="U287" s="67"/>
      <c r="V287" s="67"/>
      <c r="W287" s="67"/>
      <c r="X287" s="67"/>
      <c r="Y287" s="67"/>
      <c r="Z287" s="67"/>
      <c r="AA287" s="67"/>
      <c r="AB287" s="67"/>
      <c r="AC287" s="67"/>
      <c r="AD287" s="67"/>
      <c r="AE287" s="67"/>
      <c r="AF287" s="67"/>
      <c r="AG287" s="67"/>
      <c r="AH287" s="67"/>
      <c r="AI287" s="67"/>
      <c r="AJ287" s="67"/>
      <c r="AK287" s="67"/>
      <c r="AL287" s="67"/>
      <c r="AM287" s="67"/>
      <c r="AN287" s="67"/>
      <c r="AO287" s="67"/>
      <c r="AP287" s="67"/>
    </row>
    <row r="288" customFormat="false" ht="12.75" hidden="false" customHeight="false" outlineLevel="0" collapsed="false">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row>
    <row r="289" customFormat="false" ht="12.75" hidden="false" customHeight="false" outlineLevel="0" collapsed="false">
      <c r="E289" s="67"/>
      <c r="F289" s="67"/>
      <c r="G289" s="67"/>
      <c r="H289" s="67"/>
      <c r="I289" s="67"/>
      <c r="J289" s="67"/>
      <c r="K289" s="67"/>
      <c r="L289" s="67"/>
      <c r="M289" s="67"/>
      <c r="N289" s="67"/>
      <c r="O289" s="67"/>
      <c r="P289" s="67"/>
      <c r="Q289" s="67"/>
      <c r="R289" s="67"/>
      <c r="S289" s="67"/>
      <c r="T289" s="67"/>
      <c r="U289" s="67"/>
      <c r="V289" s="67"/>
      <c r="W289" s="67"/>
      <c r="X289" s="67"/>
      <c r="Y289" s="67"/>
      <c r="Z289" s="67"/>
      <c r="AA289" s="67"/>
      <c r="AB289" s="67"/>
      <c r="AC289" s="67"/>
      <c r="AD289" s="67"/>
      <c r="AE289" s="67"/>
      <c r="AF289" s="67"/>
      <c r="AG289" s="67"/>
      <c r="AH289" s="67"/>
      <c r="AI289" s="67"/>
      <c r="AJ289" s="67"/>
      <c r="AK289" s="67"/>
      <c r="AL289" s="67"/>
      <c r="AM289" s="67"/>
      <c r="AN289" s="67"/>
      <c r="AO289" s="67"/>
      <c r="AP289" s="67"/>
    </row>
    <row r="290" customFormat="false" ht="12.75" hidden="false" customHeight="false" outlineLevel="0" collapsed="false">
      <c r="E290" s="67"/>
      <c r="F290" s="67"/>
      <c r="G290" s="67"/>
      <c r="H290" s="67"/>
      <c r="I290" s="67"/>
      <c r="J290" s="67"/>
      <c r="K290" s="67"/>
      <c r="L290" s="67"/>
      <c r="M290" s="67"/>
      <c r="N290" s="67"/>
      <c r="O290" s="67"/>
      <c r="P290" s="67"/>
      <c r="Q290" s="67"/>
      <c r="R290" s="67"/>
      <c r="S290" s="67"/>
      <c r="T290" s="67"/>
      <c r="U290" s="67"/>
      <c r="V290" s="67"/>
      <c r="W290" s="67"/>
      <c r="X290" s="67"/>
      <c r="Y290" s="67"/>
      <c r="Z290" s="67"/>
      <c r="AA290" s="67"/>
      <c r="AB290" s="67"/>
      <c r="AC290" s="67"/>
      <c r="AD290" s="67"/>
      <c r="AE290" s="67"/>
      <c r="AF290" s="67"/>
      <c r="AG290" s="67"/>
      <c r="AH290" s="67"/>
      <c r="AI290" s="67"/>
      <c r="AJ290" s="67"/>
      <c r="AK290" s="67"/>
      <c r="AL290" s="67"/>
      <c r="AM290" s="67"/>
      <c r="AN290" s="67"/>
      <c r="AO290" s="67"/>
      <c r="AP290" s="67"/>
    </row>
    <row r="291" customFormat="false" ht="12.75" hidden="false" customHeight="false" outlineLevel="0" collapsed="false">
      <c r="E291" s="67"/>
      <c r="F291" s="67"/>
      <c r="G291" s="67"/>
      <c r="H291" s="67"/>
      <c r="I291" s="67"/>
      <c r="J291" s="67"/>
      <c r="K291" s="67"/>
      <c r="L291" s="67"/>
      <c r="M291" s="67"/>
      <c r="N291" s="67"/>
      <c r="O291" s="67"/>
      <c r="P291" s="67"/>
      <c r="Q291" s="67"/>
      <c r="R291" s="67"/>
      <c r="S291" s="67"/>
      <c r="T291" s="67"/>
      <c r="U291" s="67"/>
      <c r="V291" s="67"/>
      <c r="W291" s="67"/>
      <c r="X291" s="67"/>
      <c r="Y291" s="67"/>
      <c r="Z291" s="67"/>
      <c r="AA291" s="67"/>
      <c r="AB291" s="67"/>
      <c r="AC291" s="67"/>
      <c r="AD291" s="67"/>
      <c r="AE291" s="67"/>
      <c r="AF291" s="67"/>
      <c r="AG291" s="67"/>
      <c r="AH291" s="67"/>
      <c r="AI291" s="67"/>
      <c r="AJ291" s="67"/>
      <c r="AK291" s="67"/>
      <c r="AL291" s="67"/>
      <c r="AM291" s="67"/>
      <c r="AN291" s="67"/>
      <c r="AO291" s="67"/>
      <c r="AP291" s="67"/>
    </row>
    <row r="292" customFormat="false" ht="12.75" hidden="false" customHeight="false" outlineLevel="0" collapsed="false">
      <c r="E292" s="67"/>
      <c r="F292" s="67"/>
      <c r="G292" s="67"/>
      <c r="H292" s="67"/>
      <c r="I292" s="67"/>
      <c r="J292" s="67"/>
      <c r="K292" s="67"/>
      <c r="L292" s="67"/>
      <c r="M292" s="67"/>
      <c r="N292" s="67"/>
      <c r="O292" s="67"/>
      <c r="P292" s="67"/>
      <c r="Q292" s="67"/>
      <c r="R292" s="67"/>
      <c r="S292" s="67"/>
      <c r="T292" s="67"/>
      <c r="U292" s="67"/>
      <c r="V292" s="67"/>
      <c r="W292" s="67"/>
      <c r="X292" s="67"/>
      <c r="Y292" s="67"/>
      <c r="Z292" s="67"/>
      <c r="AA292" s="67"/>
      <c r="AB292" s="67"/>
      <c r="AC292" s="67"/>
      <c r="AD292" s="67"/>
      <c r="AE292" s="67"/>
      <c r="AF292" s="67"/>
      <c r="AG292" s="67"/>
      <c r="AH292" s="67"/>
      <c r="AI292" s="67"/>
      <c r="AJ292" s="67"/>
      <c r="AK292" s="67"/>
      <c r="AL292" s="67"/>
      <c r="AM292" s="67"/>
      <c r="AN292" s="67"/>
      <c r="AO292" s="67"/>
      <c r="AP292" s="67"/>
    </row>
    <row r="293" customFormat="false" ht="12.75" hidden="false" customHeight="false" outlineLevel="0" collapsed="false">
      <c r="E293" s="67"/>
      <c r="F293" s="67"/>
      <c r="G293" s="67"/>
      <c r="H293" s="67"/>
      <c r="I293" s="67"/>
      <c r="J293" s="67"/>
      <c r="K293" s="67"/>
      <c r="L293" s="67"/>
      <c r="M293" s="67"/>
      <c r="N293" s="67"/>
      <c r="O293" s="67"/>
      <c r="P293" s="67"/>
      <c r="Q293" s="67"/>
      <c r="R293" s="67"/>
      <c r="S293" s="67"/>
      <c r="T293" s="67"/>
      <c r="U293" s="67"/>
      <c r="V293" s="67"/>
      <c r="W293" s="67"/>
      <c r="X293" s="67"/>
      <c r="Y293" s="67"/>
      <c r="Z293" s="67"/>
      <c r="AA293" s="67"/>
      <c r="AB293" s="67"/>
      <c r="AC293" s="67"/>
      <c r="AD293" s="67"/>
      <c r="AE293" s="67"/>
      <c r="AF293" s="67"/>
      <c r="AG293" s="67"/>
      <c r="AH293" s="67"/>
      <c r="AI293" s="67"/>
      <c r="AJ293" s="67"/>
      <c r="AK293" s="67"/>
      <c r="AL293" s="67"/>
      <c r="AM293" s="67"/>
      <c r="AN293" s="67"/>
      <c r="AO293" s="67"/>
      <c r="AP293" s="67"/>
    </row>
    <row r="294" customFormat="false" ht="12.75" hidden="false" customHeight="false" outlineLevel="0" collapsed="false">
      <c r="E294" s="67"/>
      <c r="F294" s="67"/>
      <c r="G294" s="67"/>
      <c r="H294" s="67"/>
      <c r="I294" s="67"/>
      <c r="J294" s="67"/>
      <c r="K294" s="67"/>
      <c r="L294" s="67"/>
      <c r="M294" s="67"/>
      <c r="N294" s="67"/>
      <c r="O294" s="67"/>
      <c r="P294" s="67"/>
      <c r="Q294" s="67"/>
      <c r="R294" s="67"/>
      <c r="S294" s="67"/>
      <c r="T294" s="67"/>
      <c r="U294" s="67"/>
      <c r="V294" s="67"/>
      <c r="W294" s="67"/>
      <c r="X294" s="67"/>
      <c r="Y294" s="67"/>
      <c r="Z294" s="67"/>
      <c r="AA294" s="67"/>
      <c r="AB294" s="67"/>
      <c r="AC294" s="67"/>
      <c r="AD294" s="67"/>
      <c r="AE294" s="67"/>
      <c r="AF294" s="67"/>
      <c r="AG294" s="67"/>
      <c r="AH294" s="67"/>
      <c r="AI294" s="67"/>
      <c r="AJ294" s="67"/>
      <c r="AK294" s="67"/>
      <c r="AL294" s="67"/>
      <c r="AM294" s="67"/>
      <c r="AN294" s="67"/>
      <c r="AO294" s="67"/>
      <c r="AP294" s="67"/>
    </row>
    <row r="295" customFormat="false" ht="12.75" hidden="false" customHeight="false" outlineLevel="0" collapsed="false">
      <c r="E295" s="67"/>
      <c r="F295" s="67"/>
      <c r="G295" s="67"/>
      <c r="H295" s="67"/>
      <c r="I295" s="67"/>
      <c r="J295" s="67"/>
      <c r="K295" s="67"/>
      <c r="L295" s="67"/>
      <c r="M295" s="67"/>
      <c r="N295" s="67"/>
      <c r="O295" s="67"/>
      <c r="P295" s="67"/>
      <c r="Q295" s="67"/>
      <c r="R295" s="67"/>
      <c r="S295" s="67"/>
      <c r="T295" s="67"/>
      <c r="U295" s="67"/>
      <c r="V295" s="67"/>
      <c r="W295" s="67"/>
      <c r="X295" s="67"/>
      <c r="Y295" s="67"/>
      <c r="Z295" s="67"/>
      <c r="AA295" s="67"/>
      <c r="AB295" s="67"/>
      <c r="AC295" s="67"/>
      <c r="AD295" s="67"/>
      <c r="AE295" s="67"/>
      <c r="AF295" s="67"/>
      <c r="AG295" s="67"/>
      <c r="AH295" s="67"/>
      <c r="AI295" s="67"/>
      <c r="AJ295" s="67"/>
      <c r="AK295" s="67"/>
      <c r="AL295" s="67"/>
      <c r="AM295" s="67"/>
      <c r="AN295" s="67"/>
      <c r="AO295" s="67"/>
      <c r="AP295" s="67"/>
    </row>
    <row r="296" customFormat="false" ht="12.75" hidden="false" customHeight="false" outlineLevel="0" collapsed="false">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row>
    <row r="297" customFormat="false" ht="12.75" hidden="false" customHeight="false" outlineLevel="0" collapsed="false">
      <c r="E297" s="67"/>
      <c r="F297" s="67"/>
      <c r="G297" s="67"/>
      <c r="H297" s="67"/>
      <c r="I297" s="67"/>
      <c r="J297" s="67"/>
      <c r="K297" s="67"/>
      <c r="L297" s="67"/>
      <c r="M297" s="67"/>
      <c r="N297" s="67"/>
      <c r="O297" s="67"/>
      <c r="P297" s="67"/>
      <c r="Q297" s="67"/>
      <c r="R297" s="67"/>
      <c r="S297" s="67"/>
      <c r="T297" s="67"/>
      <c r="U297" s="67"/>
      <c r="V297" s="67"/>
      <c r="W297" s="67"/>
      <c r="X297" s="67"/>
      <c r="Y297" s="67"/>
      <c r="Z297" s="67"/>
      <c r="AA297" s="67"/>
      <c r="AB297" s="67"/>
      <c r="AC297" s="67"/>
      <c r="AD297" s="67"/>
      <c r="AE297" s="67"/>
      <c r="AF297" s="67"/>
      <c r="AG297" s="67"/>
      <c r="AH297" s="67"/>
      <c r="AI297" s="67"/>
      <c r="AJ297" s="67"/>
      <c r="AK297" s="67"/>
      <c r="AL297" s="67"/>
      <c r="AM297" s="67"/>
      <c r="AN297" s="67"/>
      <c r="AO297" s="67"/>
      <c r="AP297" s="67"/>
    </row>
    <row r="298" customFormat="false" ht="12.75" hidden="false" customHeight="false" outlineLevel="0" collapsed="false">
      <c r="E298" s="67"/>
      <c r="F298" s="67"/>
      <c r="G298" s="67"/>
      <c r="H298" s="67"/>
      <c r="I298" s="67"/>
      <c r="J298" s="67"/>
      <c r="K298" s="67"/>
      <c r="L298" s="67"/>
      <c r="M298" s="67"/>
      <c r="N298" s="67"/>
      <c r="O298" s="67"/>
      <c r="P298" s="67"/>
      <c r="Q298" s="67"/>
      <c r="R298" s="67"/>
      <c r="S298" s="67"/>
      <c r="T298" s="67"/>
      <c r="U298" s="67"/>
      <c r="V298" s="67"/>
      <c r="W298" s="67"/>
      <c r="X298" s="67"/>
      <c r="Y298" s="67"/>
      <c r="Z298" s="67"/>
      <c r="AA298" s="67"/>
      <c r="AB298" s="67"/>
      <c r="AC298" s="67"/>
      <c r="AD298" s="67"/>
      <c r="AE298" s="67"/>
      <c r="AF298" s="67"/>
      <c r="AG298" s="67"/>
      <c r="AH298" s="67"/>
      <c r="AI298" s="67"/>
      <c r="AJ298" s="67"/>
      <c r="AK298" s="67"/>
      <c r="AL298" s="67"/>
      <c r="AM298" s="67"/>
      <c r="AN298" s="67"/>
      <c r="AO298" s="67"/>
      <c r="AP298" s="67"/>
    </row>
    <row r="299" customFormat="false" ht="12.75" hidden="false" customHeight="false" outlineLevel="0" collapsed="false">
      <c r="E299" s="67"/>
      <c r="F299" s="67"/>
      <c r="G299" s="67"/>
      <c r="H299" s="67"/>
      <c r="I299" s="67"/>
      <c r="J299" s="67"/>
      <c r="K299" s="67"/>
      <c r="L299" s="67"/>
      <c r="M299" s="67"/>
      <c r="N299" s="67"/>
      <c r="O299" s="67"/>
      <c r="P299" s="67"/>
      <c r="Q299" s="67"/>
      <c r="R299" s="67"/>
      <c r="S299" s="67"/>
      <c r="T299" s="67"/>
      <c r="U299" s="67"/>
      <c r="V299" s="67"/>
      <c r="W299" s="67"/>
      <c r="X299" s="67"/>
      <c r="Y299" s="67"/>
      <c r="Z299" s="67"/>
      <c r="AA299" s="67"/>
      <c r="AB299" s="67"/>
      <c r="AC299" s="67"/>
      <c r="AD299" s="67"/>
      <c r="AE299" s="67"/>
      <c r="AF299" s="67"/>
      <c r="AG299" s="67"/>
      <c r="AH299" s="67"/>
      <c r="AI299" s="67"/>
      <c r="AJ299" s="67"/>
      <c r="AK299" s="67"/>
      <c r="AL299" s="67"/>
      <c r="AM299" s="67"/>
      <c r="AN299" s="67"/>
      <c r="AO299" s="67"/>
      <c r="AP299" s="67"/>
    </row>
    <row r="300" customFormat="false" ht="12.75" hidden="false" customHeight="false" outlineLevel="0" collapsed="false">
      <c r="E300" s="67"/>
      <c r="F300" s="67"/>
      <c r="G300" s="67"/>
      <c r="H300" s="67"/>
      <c r="I300" s="67"/>
      <c r="J300" s="67"/>
      <c r="K300" s="67"/>
      <c r="L300" s="67"/>
      <c r="M300" s="67"/>
      <c r="N300" s="67"/>
      <c r="O300" s="67"/>
      <c r="P300" s="67"/>
      <c r="Q300" s="67"/>
      <c r="R300" s="67"/>
      <c r="S300" s="67"/>
      <c r="T300" s="67"/>
      <c r="U300" s="67"/>
      <c r="V300" s="67"/>
      <c r="W300" s="67"/>
      <c r="X300" s="67"/>
      <c r="Y300" s="67"/>
      <c r="Z300" s="67"/>
      <c r="AA300" s="67"/>
      <c r="AB300" s="67"/>
      <c r="AC300" s="67"/>
      <c r="AD300" s="67"/>
      <c r="AE300" s="67"/>
      <c r="AF300" s="67"/>
      <c r="AG300" s="67"/>
      <c r="AH300" s="67"/>
      <c r="AI300" s="67"/>
      <c r="AJ300" s="67"/>
      <c r="AK300" s="67"/>
      <c r="AL300" s="67"/>
      <c r="AM300" s="67"/>
      <c r="AN300" s="67"/>
      <c r="AO300" s="67"/>
      <c r="AP300" s="67"/>
    </row>
    <row r="301" customFormat="false" ht="12.75" hidden="false" customHeight="false" outlineLevel="0" collapsed="false">
      <c r="E301" s="67"/>
      <c r="F301" s="67"/>
      <c r="G301" s="67"/>
      <c r="H301" s="67"/>
      <c r="I301" s="67"/>
      <c r="J301" s="67"/>
      <c r="K301" s="67"/>
      <c r="L301" s="67"/>
      <c r="M301" s="67"/>
      <c r="N301" s="67"/>
      <c r="O301" s="67"/>
      <c r="P301" s="67"/>
      <c r="Q301" s="67"/>
      <c r="R301" s="67"/>
      <c r="S301" s="67"/>
      <c r="T301" s="67"/>
      <c r="U301" s="67"/>
      <c r="V301" s="67"/>
      <c r="W301" s="67"/>
      <c r="X301" s="67"/>
      <c r="Y301" s="67"/>
      <c r="Z301" s="67"/>
      <c r="AA301" s="67"/>
      <c r="AB301" s="67"/>
      <c r="AC301" s="67"/>
      <c r="AD301" s="67"/>
      <c r="AE301" s="67"/>
      <c r="AF301" s="67"/>
      <c r="AG301" s="67"/>
      <c r="AH301" s="67"/>
      <c r="AI301" s="67"/>
      <c r="AJ301" s="67"/>
      <c r="AK301" s="67"/>
      <c r="AL301" s="67"/>
      <c r="AM301" s="67"/>
      <c r="AN301" s="67"/>
      <c r="AO301" s="67"/>
      <c r="AP301" s="67"/>
    </row>
    <row r="302" customFormat="false" ht="12.75" hidden="false" customHeight="false" outlineLevel="0" collapsed="false">
      <c r="E302" s="67"/>
      <c r="F302" s="67"/>
      <c r="G302" s="67"/>
      <c r="H302" s="67"/>
      <c r="I302" s="67"/>
      <c r="J302" s="67"/>
      <c r="K302" s="67"/>
      <c r="L302" s="67"/>
      <c r="M302" s="67"/>
      <c r="N302" s="67"/>
      <c r="O302" s="67"/>
      <c r="P302" s="67"/>
      <c r="Q302" s="67"/>
      <c r="R302" s="67"/>
      <c r="S302" s="67"/>
      <c r="T302" s="67"/>
      <c r="U302" s="67"/>
      <c r="V302" s="67"/>
      <c r="W302" s="67"/>
      <c r="X302" s="67"/>
      <c r="Y302" s="67"/>
      <c r="Z302" s="67"/>
      <c r="AA302" s="67"/>
      <c r="AB302" s="67"/>
      <c r="AC302" s="67"/>
      <c r="AD302" s="67"/>
      <c r="AE302" s="67"/>
      <c r="AF302" s="67"/>
      <c r="AG302" s="67"/>
      <c r="AH302" s="67"/>
      <c r="AI302" s="67"/>
      <c r="AJ302" s="67"/>
      <c r="AK302" s="67"/>
      <c r="AL302" s="67"/>
      <c r="AM302" s="67"/>
      <c r="AN302" s="67"/>
      <c r="AO302" s="67"/>
      <c r="AP302" s="67"/>
    </row>
    <row r="303" customFormat="false" ht="12.75" hidden="false" customHeight="false" outlineLevel="0" collapsed="false">
      <c r="E303" s="67"/>
      <c r="F303" s="67"/>
      <c r="G303" s="67"/>
      <c r="H303" s="67"/>
      <c r="I303" s="67"/>
      <c r="J303" s="67"/>
      <c r="K303" s="67"/>
      <c r="L303" s="67"/>
      <c r="M303" s="67"/>
      <c r="N303" s="67"/>
      <c r="O303" s="67"/>
      <c r="P303" s="67"/>
      <c r="Q303" s="67"/>
      <c r="R303" s="67"/>
      <c r="S303" s="67"/>
      <c r="T303" s="67"/>
      <c r="U303" s="67"/>
      <c r="V303" s="67"/>
      <c r="W303" s="67"/>
      <c r="X303" s="67"/>
      <c r="Y303" s="67"/>
      <c r="Z303" s="67"/>
      <c r="AA303" s="67"/>
      <c r="AB303" s="67"/>
      <c r="AC303" s="67"/>
      <c r="AD303" s="67"/>
      <c r="AE303" s="67"/>
      <c r="AF303" s="67"/>
      <c r="AG303" s="67"/>
      <c r="AH303" s="67"/>
      <c r="AI303" s="67"/>
      <c r="AJ303" s="67"/>
      <c r="AK303" s="67"/>
      <c r="AL303" s="67"/>
      <c r="AM303" s="67"/>
      <c r="AN303" s="67"/>
      <c r="AO303" s="67"/>
      <c r="AP303" s="67"/>
    </row>
    <row r="304" customFormat="false" ht="12.75" hidden="false" customHeight="false" outlineLevel="0" collapsed="false">
      <c r="E304" s="67"/>
      <c r="F304" s="67"/>
      <c r="G304" s="67"/>
      <c r="H304" s="67"/>
      <c r="I304" s="67"/>
      <c r="J304" s="67"/>
      <c r="K304" s="67"/>
      <c r="L304" s="67"/>
      <c r="M304" s="67"/>
      <c r="N304" s="67"/>
      <c r="O304" s="67"/>
      <c r="P304" s="67"/>
      <c r="Q304" s="67"/>
      <c r="R304" s="67"/>
      <c r="S304" s="67"/>
      <c r="T304" s="67"/>
      <c r="U304" s="67"/>
      <c r="V304" s="67"/>
      <c r="W304" s="67"/>
      <c r="X304" s="67"/>
      <c r="Y304" s="67"/>
      <c r="Z304" s="67"/>
      <c r="AA304" s="67"/>
      <c r="AB304" s="67"/>
      <c r="AC304" s="67"/>
      <c r="AD304" s="67"/>
      <c r="AE304" s="67"/>
      <c r="AF304" s="67"/>
      <c r="AG304" s="67"/>
      <c r="AH304" s="67"/>
      <c r="AI304" s="67"/>
      <c r="AJ304" s="67"/>
      <c r="AK304" s="67"/>
      <c r="AL304" s="67"/>
      <c r="AM304" s="67"/>
      <c r="AN304" s="67"/>
      <c r="AO304" s="67"/>
      <c r="AP304" s="67"/>
    </row>
    <row r="305" customFormat="false" ht="12.75" hidden="false" customHeight="false" outlineLevel="0" collapsed="false">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row>
    <row r="306" customFormat="false" ht="12.75" hidden="false" customHeight="false" outlineLevel="0" collapsed="false">
      <c r="E306" s="67"/>
      <c r="F306" s="67"/>
      <c r="G306" s="67"/>
      <c r="H306" s="67"/>
      <c r="I306" s="67"/>
      <c r="J306" s="67"/>
      <c r="K306" s="67"/>
      <c r="L306" s="67"/>
      <c r="M306" s="67"/>
      <c r="N306" s="67"/>
      <c r="O306" s="67"/>
      <c r="P306" s="67"/>
      <c r="Q306" s="67"/>
      <c r="R306" s="67"/>
      <c r="S306" s="67"/>
      <c r="T306" s="67"/>
      <c r="U306" s="67"/>
      <c r="V306" s="67"/>
      <c r="W306" s="67"/>
      <c r="X306" s="67"/>
      <c r="Y306" s="67"/>
      <c r="Z306" s="67"/>
      <c r="AA306" s="67"/>
      <c r="AB306" s="67"/>
      <c r="AC306" s="67"/>
      <c r="AD306" s="67"/>
      <c r="AE306" s="67"/>
      <c r="AF306" s="67"/>
      <c r="AG306" s="67"/>
      <c r="AH306" s="67"/>
      <c r="AI306" s="67"/>
      <c r="AJ306" s="67"/>
      <c r="AK306" s="67"/>
      <c r="AL306" s="67"/>
      <c r="AM306" s="67"/>
      <c r="AN306" s="67"/>
      <c r="AO306" s="67"/>
      <c r="AP306" s="67"/>
    </row>
    <row r="307" customFormat="false" ht="12.75" hidden="false" customHeight="false" outlineLevel="0" collapsed="false">
      <c r="E307" s="67"/>
      <c r="F307" s="67"/>
      <c r="G307" s="67"/>
      <c r="H307" s="67"/>
      <c r="I307" s="67"/>
      <c r="J307" s="67"/>
      <c r="K307" s="67"/>
      <c r="L307" s="67"/>
      <c r="M307" s="67"/>
      <c r="N307" s="67"/>
      <c r="O307" s="67"/>
      <c r="P307" s="67"/>
      <c r="Q307" s="67"/>
      <c r="R307" s="67"/>
      <c r="S307" s="67"/>
      <c r="T307" s="67"/>
      <c r="U307" s="67"/>
      <c r="V307" s="67"/>
      <c r="W307" s="67"/>
      <c r="X307" s="67"/>
      <c r="Y307" s="67"/>
      <c r="Z307" s="67"/>
      <c r="AA307" s="67"/>
      <c r="AB307" s="67"/>
      <c r="AC307" s="67"/>
      <c r="AD307" s="67"/>
      <c r="AE307" s="67"/>
      <c r="AF307" s="67"/>
      <c r="AG307" s="67"/>
      <c r="AH307" s="67"/>
      <c r="AI307" s="67"/>
      <c r="AJ307" s="67"/>
      <c r="AK307" s="67"/>
      <c r="AL307" s="67"/>
      <c r="AM307" s="67"/>
      <c r="AN307" s="67"/>
      <c r="AO307" s="67"/>
      <c r="AP307" s="67"/>
    </row>
    <row r="308" customFormat="false" ht="12.75" hidden="false" customHeight="false" outlineLevel="0" collapsed="false">
      <c r="E308" s="67"/>
      <c r="F308" s="67"/>
      <c r="G308" s="67"/>
      <c r="H308" s="67"/>
      <c r="I308" s="67"/>
      <c r="J308" s="67"/>
      <c r="K308" s="67"/>
      <c r="L308" s="67"/>
      <c r="M308" s="67"/>
      <c r="N308" s="67"/>
      <c r="O308" s="67"/>
      <c r="P308" s="67"/>
      <c r="Q308" s="67"/>
      <c r="R308" s="67"/>
      <c r="S308" s="67"/>
      <c r="T308" s="67"/>
      <c r="U308" s="67"/>
      <c r="V308" s="67"/>
      <c r="W308" s="67"/>
      <c r="X308" s="67"/>
      <c r="Y308" s="67"/>
      <c r="Z308" s="67"/>
      <c r="AA308" s="67"/>
      <c r="AB308" s="67"/>
      <c r="AC308" s="67"/>
      <c r="AD308" s="67"/>
      <c r="AE308" s="67"/>
      <c r="AF308" s="67"/>
      <c r="AG308" s="67"/>
      <c r="AH308" s="67"/>
      <c r="AI308" s="67"/>
      <c r="AJ308" s="67"/>
      <c r="AK308" s="67"/>
      <c r="AL308" s="67"/>
      <c r="AM308" s="67"/>
      <c r="AN308" s="67"/>
      <c r="AO308" s="67"/>
      <c r="AP308" s="67"/>
    </row>
    <row r="309" customFormat="false" ht="12.75" hidden="false" customHeight="false" outlineLevel="0" collapsed="false">
      <c r="E309" s="67"/>
      <c r="F309" s="67"/>
      <c r="G309" s="67"/>
      <c r="H309" s="67"/>
      <c r="I309" s="67"/>
      <c r="J309" s="67"/>
      <c r="K309" s="67"/>
      <c r="L309" s="67"/>
      <c r="M309" s="67"/>
      <c r="N309" s="67"/>
      <c r="O309" s="67"/>
      <c r="P309" s="67"/>
      <c r="Q309" s="67"/>
      <c r="R309" s="67"/>
      <c r="S309" s="67"/>
      <c r="T309" s="67"/>
      <c r="U309" s="67"/>
      <c r="V309" s="67"/>
      <c r="W309" s="67"/>
      <c r="X309" s="67"/>
      <c r="Y309" s="67"/>
      <c r="Z309" s="67"/>
      <c r="AA309" s="67"/>
      <c r="AB309" s="67"/>
      <c r="AC309" s="67"/>
      <c r="AD309" s="67"/>
      <c r="AE309" s="67"/>
      <c r="AF309" s="67"/>
      <c r="AG309" s="67"/>
      <c r="AH309" s="67"/>
      <c r="AI309" s="67"/>
      <c r="AJ309" s="67"/>
      <c r="AK309" s="67"/>
      <c r="AL309" s="67"/>
      <c r="AM309" s="67"/>
      <c r="AN309" s="67"/>
      <c r="AO309" s="67"/>
      <c r="AP309" s="67"/>
    </row>
    <row r="310" customFormat="false" ht="12.75" hidden="false" customHeight="false" outlineLevel="0" collapsed="false">
      <c r="E310" s="67"/>
      <c r="F310" s="67"/>
      <c r="G310" s="67"/>
      <c r="H310" s="67"/>
      <c r="I310" s="67"/>
      <c r="J310" s="67"/>
      <c r="K310" s="67"/>
      <c r="L310" s="67"/>
      <c r="M310" s="67"/>
      <c r="N310" s="67"/>
      <c r="O310" s="67"/>
      <c r="P310" s="67"/>
      <c r="Q310" s="67"/>
      <c r="R310" s="67"/>
      <c r="S310" s="67"/>
      <c r="T310" s="67"/>
      <c r="U310" s="67"/>
      <c r="V310" s="67"/>
      <c r="W310" s="67"/>
      <c r="X310" s="67"/>
      <c r="Y310" s="67"/>
      <c r="Z310" s="67"/>
      <c r="AA310" s="67"/>
      <c r="AB310" s="67"/>
      <c r="AC310" s="67"/>
      <c r="AD310" s="67"/>
      <c r="AE310" s="67"/>
      <c r="AF310" s="67"/>
      <c r="AG310" s="67"/>
      <c r="AH310" s="67"/>
      <c r="AI310" s="67"/>
      <c r="AJ310" s="67"/>
      <c r="AK310" s="67"/>
      <c r="AL310" s="67"/>
      <c r="AM310" s="67"/>
      <c r="AN310" s="67"/>
      <c r="AO310" s="67"/>
      <c r="AP310" s="67"/>
    </row>
    <row r="311" customFormat="false" ht="12.75" hidden="false" customHeight="false" outlineLevel="0" collapsed="false">
      <c r="E311" s="67"/>
      <c r="F311" s="67"/>
      <c r="G311" s="67"/>
      <c r="H311" s="67"/>
      <c r="I311" s="67"/>
      <c r="J311" s="67"/>
      <c r="K311" s="67"/>
      <c r="L311" s="67"/>
      <c r="M311" s="67"/>
      <c r="N311" s="67"/>
      <c r="O311" s="67"/>
      <c r="P311" s="67"/>
      <c r="Q311" s="67"/>
      <c r="R311" s="67"/>
      <c r="S311" s="67"/>
      <c r="T311" s="67"/>
      <c r="U311" s="67"/>
      <c r="V311" s="67"/>
      <c r="W311" s="67"/>
      <c r="X311" s="67"/>
      <c r="Y311" s="67"/>
      <c r="Z311" s="67"/>
      <c r="AA311" s="67"/>
      <c r="AB311" s="67"/>
      <c r="AC311" s="67"/>
      <c r="AD311" s="67"/>
      <c r="AE311" s="67"/>
      <c r="AF311" s="67"/>
      <c r="AG311" s="67"/>
      <c r="AH311" s="67"/>
      <c r="AI311" s="67"/>
      <c r="AJ311" s="67"/>
      <c r="AK311" s="67"/>
      <c r="AL311" s="67"/>
      <c r="AM311" s="67"/>
      <c r="AN311" s="67"/>
      <c r="AO311" s="67"/>
      <c r="AP311" s="67"/>
    </row>
    <row r="312" customFormat="false" ht="12.75" hidden="false" customHeight="false" outlineLevel="0" collapsed="false">
      <c r="E312" s="67"/>
      <c r="F312" s="67"/>
      <c r="G312" s="67"/>
      <c r="H312" s="67"/>
      <c r="I312" s="67"/>
      <c r="J312" s="67"/>
      <c r="K312" s="67"/>
      <c r="L312" s="67"/>
      <c r="M312" s="67"/>
      <c r="N312" s="67"/>
      <c r="O312" s="67"/>
      <c r="P312" s="67"/>
      <c r="Q312" s="67"/>
      <c r="R312" s="67"/>
      <c r="S312" s="67"/>
      <c r="T312" s="67"/>
      <c r="U312" s="67"/>
      <c r="V312" s="67"/>
      <c r="W312" s="67"/>
      <c r="X312" s="67"/>
      <c r="Y312" s="67"/>
      <c r="Z312" s="67"/>
      <c r="AA312" s="67"/>
      <c r="AB312" s="67"/>
      <c r="AC312" s="67"/>
      <c r="AD312" s="67"/>
      <c r="AE312" s="67"/>
      <c r="AF312" s="67"/>
      <c r="AG312" s="67"/>
      <c r="AH312" s="67"/>
      <c r="AI312" s="67"/>
      <c r="AJ312" s="67"/>
      <c r="AK312" s="67"/>
      <c r="AL312" s="67"/>
      <c r="AM312" s="67"/>
      <c r="AN312" s="67"/>
      <c r="AO312" s="67"/>
      <c r="AP312" s="67"/>
    </row>
    <row r="313" customFormat="false" ht="12.75" hidden="false" customHeight="false" outlineLevel="0" collapsed="false">
      <c r="E313" s="67"/>
      <c r="F313" s="67"/>
      <c r="G313" s="67"/>
      <c r="H313" s="67"/>
      <c r="I313" s="67"/>
      <c r="J313" s="67"/>
      <c r="K313" s="67"/>
      <c r="L313" s="67"/>
      <c r="M313" s="67"/>
      <c r="N313" s="67"/>
      <c r="O313" s="67"/>
      <c r="P313" s="67"/>
      <c r="Q313" s="67"/>
      <c r="R313" s="67"/>
      <c r="S313" s="67"/>
      <c r="T313" s="67"/>
      <c r="U313" s="67"/>
      <c r="V313" s="67"/>
      <c r="W313" s="67"/>
      <c r="X313" s="67"/>
      <c r="Y313" s="67"/>
      <c r="Z313" s="67"/>
      <c r="AA313" s="67"/>
      <c r="AB313" s="67"/>
      <c r="AC313" s="67"/>
      <c r="AD313" s="67"/>
      <c r="AE313" s="67"/>
      <c r="AF313" s="67"/>
      <c r="AG313" s="67"/>
      <c r="AH313" s="67"/>
      <c r="AI313" s="67"/>
      <c r="AJ313" s="67"/>
      <c r="AK313" s="67"/>
      <c r="AL313" s="67"/>
      <c r="AM313" s="67"/>
      <c r="AN313" s="67"/>
      <c r="AO313" s="67"/>
      <c r="AP313" s="67"/>
    </row>
    <row r="314" customFormat="false" ht="12.75" hidden="false" customHeight="false" outlineLevel="0" collapsed="false">
      <c r="E314" s="67"/>
      <c r="F314" s="67"/>
      <c r="G314" s="67"/>
      <c r="H314" s="67"/>
      <c r="I314" s="67"/>
      <c r="J314" s="67"/>
      <c r="K314" s="67"/>
      <c r="L314" s="67"/>
      <c r="M314" s="67"/>
      <c r="N314" s="67"/>
      <c r="O314" s="67"/>
      <c r="P314" s="67"/>
      <c r="Q314" s="67"/>
      <c r="R314" s="67"/>
      <c r="S314" s="67"/>
      <c r="T314" s="67"/>
      <c r="U314" s="67"/>
      <c r="V314" s="67"/>
      <c r="W314" s="67"/>
      <c r="X314" s="67"/>
      <c r="Y314" s="67"/>
      <c r="Z314" s="67"/>
      <c r="AA314" s="67"/>
      <c r="AB314" s="67"/>
      <c r="AC314" s="67"/>
      <c r="AD314" s="67"/>
      <c r="AE314" s="67"/>
      <c r="AF314" s="67"/>
      <c r="AG314" s="67"/>
      <c r="AH314" s="67"/>
      <c r="AI314" s="67"/>
      <c r="AJ314" s="67"/>
      <c r="AK314" s="67"/>
      <c r="AL314" s="67"/>
      <c r="AM314" s="67"/>
      <c r="AN314" s="67"/>
      <c r="AO314" s="67"/>
      <c r="AP314" s="67"/>
    </row>
    <row r="315" customFormat="false" ht="12.75" hidden="false" customHeight="false" outlineLevel="0" collapsed="false">
      <c r="E315" s="67"/>
      <c r="F315" s="67"/>
      <c r="G315" s="67"/>
      <c r="H315" s="67"/>
      <c r="I315" s="67"/>
      <c r="J315" s="67"/>
      <c r="K315" s="67"/>
      <c r="L315" s="67"/>
      <c r="M315" s="67"/>
      <c r="N315" s="67"/>
      <c r="O315" s="67"/>
      <c r="P315" s="67"/>
      <c r="Q315" s="67"/>
      <c r="R315" s="67"/>
      <c r="S315" s="67"/>
      <c r="T315" s="67"/>
      <c r="U315" s="67"/>
      <c r="V315" s="67"/>
      <c r="W315" s="67"/>
      <c r="X315" s="67"/>
      <c r="Y315" s="67"/>
      <c r="Z315" s="67"/>
      <c r="AA315" s="67"/>
      <c r="AB315" s="67"/>
      <c r="AC315" s="67"/>
      <c r="AD315" s="67"/>
      <c r="AE315" s="67"/>
      <c r="AF315" s="67"/>
      <c r="AG315" s="67"/>
      <c r="AH315" s="67"/>
      <c r="AI315" s="67"/>
      <c r="AJ315" s="67"/>
      <c r="AK315" s="67"/>
      <c r="AL315" s="67"/>
      <c r="AM315" s="67"/>
      <c r="AN315" s="67"/>
      <c r="AO315" s="67"/>
      <c r="AP315" s="67"/>
    </row>
    <row r="316" customFormat="false" ht="12.75" hidden="false" customHeight="false" outlineLevel="0" collapsed="false">
      <c r="E316" s="67"/>
      <c r="F316" s="67"/>
      <c r="G316" s="67"/>
      <c r="H316" s="67"/>
      <c r="I316" s="67"/>
      <c r="J316" s="67"/>
      <c r="K316" s="67"/>
      <c r="L316" s="67"/>
      <c r="M316" s="67"/>
      <c r="N316" s="67"/>
      <c r="O316" s="67"/>
      <c r="P316" s="67"/>
      <c r="Q316" s="67"/>
      <c r="R316" s="67"/>
      <c r="S316" s="67"/>
      <c r="T316" s="67"/>
      <c r="U316" s="67"/>
      <c r="V316" s="67"/>
      <c r="W316" s="67"/>
      <c r="X316" s="67"/>
      <c r="Y316" s="67"/>
      <c r="Z316" s="67"/>
      <c r="AA316" s="67"/>
      <c r="AB316" s="67"/>
      <c r="AC316" s="67"/>
      <c r="AD316" s="67"/>
      <c r="AE316" s="67"/>
      <c r="AF316" s="67"/>
      <c r="AG316" s="67"/>
      <c r="AH316" s="67"/>
      <c r="AI316" s="67"/>
      <c r="AJ316" s="67"/>
      <c r="AK316" s="67"/>
      <c r="AL316" s="67"/>
      <c r="AM316" s="67"/>
      <c r="AN316" s="67"/>
      <c r="AO316" s="67"/>
      <c r="AP316" s="67"/>
    </row>
    <row r="317" customFormat="false" ht="12.75" hidden="false" customHeight="false" outlineLevel="0" collapsed="false">
      <c r="E317" s="67"/>
      <c r="F317" s="67"/>
      <c r="G317" s="67"/>
      <c r="H317" s="67"/>
      <c r="I317" s="67"/>
      <c r="J317" s="67"/>
      <c r="K317" s="67"/>
      <c r="L317" s="67"/>
      <c r="M317" s="67"/>
      <c r="N317" s="67"/>
      <c r="O317" s="67"/>
      <c r="P317" s="67"/>
      <c r="Q317" s="67"/>
      <c r="R317" s="67"/>
      <c r="S317" s="67"/>
      <c r="T317" s="67"/>
      <c r="U317" s="67"/>
      <c r="V317" s="67"/>
      <c r="W317" s="67"/>
      <c r="X317" s="67"/>
      <c r="Y317" s="67"/>
      <c r="Z317" s="67"/>
      <c r="AA317" s="67"/>
      <c r="AB317" s="67"/>
      <c r="AC317" s="67"/>
      <c r="AD317" s="67"/>
      <c r="AE317" s="67"/>
      <c r="AF317" s="67"/>
      <c r="AG317" s="67"/>
      <c r="AH317" s="67"/>
      <c r="AI317" s="67"/>
      <c r="AJ317" s="67"/>
      <c r="AK317" s="67"/>
      <c r="AL317" s="67"/>
      <c r="AM317" s="67"/>
      <c r="AN317" s="67"/>
      <c r="AO317" s="67"/>
      <c r="AP317" s="67"/>
    </row>
    <row r="318" customFormat="false" ht="12.75" hidden="false" customHeight="false" outlineLevel="0" collapsed="false">
      <c r="E318" s="67"/>
      <c r="F318" s="67"/>
      <c r="G318" s="67"/>
      <c r="H318" s="67"/>
      <c r="I318" s="67"/>
      <c r="J318" s="67"/>
      <c r="K318" s="67"/>
      <c r="L318" s="67"/>
      <c r="M318" s="67"/>
      <c r="N318" s="67"/>
      <c r="O318" s="67"/>
      <c r="P318" s="67"/>
      <c r="Q318" s="67"/>
      <c r="R318" s="67"/>
      <c r="S318" s="67"/>
      <c r="T318" s="67"/>
      <c r="U318" s="67"/>
      <c r="V318" s="67"/>
      <c r="W318" s="67"/>
      <c r="X318" s="67"/>
      <c r="Y318" s="67"/>
      <c r="Z318" s="67"/>
      <c r="AA318" s="67"/>
      <c r="AB318" s="67"/>
      <c r="AC318" s="67"/>
      <c r="AD318" s="67"/>
      <c r="AE318" s="67"/>
      <c r="AF318" s="67"/>
      <c r="AG318" s="67"/>
      <c r="AH318" s="67"/>
      <c r="AI318" s="67"/>
      <c r="AJ318" s="67"/>
      <c r="AK318" s="67"/>
      <c r="AL318" s="67"/>
      <c r="AM318" s="67"/>
      <c r="AN318" s="67"/>
      <c r="AO318" s="67"/>
      <c r="AP318" s="67"/>
    </row>
    <row r="319" customFormat="false" ht="12.75" hidden="false" customHeight="false" outlineLevel="0" collapsed="false">
      <c r="E319" s="67"/>
      <c r="F319" s="67"/>
      <c r="G319" s="67"/>
      <c r="H319" s="67"/>
      <c r="I319" s="67"/>
      <c r="J319" s="67"/>
      <c r="K319" s="67"/>
      <c r="L319" s="67"/>
      <c r="M319" s="67"/>
      <c r="N319" s="67"/>
      <c r="O319" s="67"/>
      <c r="P319" s="67"/>
      <c r="Q319" s="67"/>
      <c r="R319" s="67"/>
      <c r="S319" s="67"/>
      <c r="T319" s="67"/>
      <c r="U319" s="67"/>
      <c r="V319" s="67"/>
      <c r="W319" s="67"/>
      <c r="X319" s="67"/>
      <c r="Y319" s="67"/>
      <c r="Z319" s="67"/>
      <c r="AA319" s="67"/>
      <c r="AB319" s="67"/>
      <c r="AC319" s="67"/>
      <c r="AD319" s="67"/>
      <c r="AE319" s="67"/>
      <c r="AF319" s="67"/>
      <c r="AG319" s="67"/>
      <c r="AH319" s="67"/>
      <c r="AI319" s="67"/>
      <c r="AJ319" s="67"/>
      <c r="AK319" s="67"/>
      <c r="AL319" s="67"/>
      <c r="AM319" s="67"/>
      <c r="AN319" s="67"/>
      <c r="AO319" s="67"/>
      <c r="AP319" s="67"/>
    </row>
    <row r="320" customFormat="false" ht="12.75" hidden="false" customHeight="false" outlineLevel="0" collapsed="false">
      <c r="E320" s="67"/>
      <c r="F320" s="67"/>
      <c r="G320" s="67"/>
      <c r="H320" s="67"/>
      <c r="I320" s="67"/>
      <c r="J320" s="67"/>
      <c r="K320" s="67"/>
      <c r="L320" s="67"/>
      <c r="M320" s="67"/>
      <c r="N320" s="67"/>
      <c r="O320" s="67"/>
      <c r="P320" s="67"/>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row>
    <row r="321" customFormat="false" ht="12.75" hidden="false" customHeight="false" outlineLevel="0" collapsed="false">
      <c r="E321" s="67"/>
      <c r="F321" s="67"/>
      <c r="G321" s="67"/>
      <c r="H321" s="67"/>
      <c r="I321" s="67"/>
      <c r="J321" s="67"/>
      <c r="K321" s="67"/>
      <c r="L321" s="67"/>
      <c r="M321" s="67"/>
      <c r="N321" s="67"/>
      <c r="O321" s="67"/>
      <c r="P321" s="67"/>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row>
    <row r="322" customFormat="false" ht="12.75" hidden="false" customHeight="false" outlineLevel="0" collapsed="false">
      <c r="E322" s="67"/>
      <c r="F322" s="67"/>
      <c r="G322" s="67"/>
      <c r="H322" s="67"/>
      <c r="I322" s="67"/>
      <c r="J322" s="67"/>
      <c r="K322" s="67"/>
      <c r="L322" s="67"/>
      <c r="M322" s="67"/>
      <c r="N322" s="67"/>
      <c r="O322" s="67"/>
      <c r="P322" s="67"/>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row>
    <row r="323" customFormat="false" ht="12.75" hidden="false" customHeight="false" outlineLevel="0" collapsed="false">
      <c r="E323" s="67"/>
      <c r="F323" s="67"/>
      <c r="G323" s="67"/>
      <c r="H323" s="67"/>
      <c r="I323" s="67"/>
      <c r="J323" s="67"/>
      <c r="K323" s="67"/>
      <c r="L323" s="67"/>
      <c r="M323" s="67"/>
      <c r="N323" s="67"/>
      <c r="O323" s="67"/>
      <c r="P323" s="67"/>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row>
    <row r="324" customFormat="false" ht="12.75" hidden="false" customHeight="false" outlineLevel="0" collapsed="false">
      <c r="E324" s="67"/>
      <c r="F324" s="67"/>
      <c r="G324" s="67"/>
      <c r="H324" s="67"/>
      <c r="I324" s="67"/>
      <c r="J324" s="67"/>
      <c r="K324" s="67"/>
      <c r="L324" s="67"/>
      <c r="M324" s="67"/>
      <c r="N324" s="67"/>
      <c r="O324" s="67"/>
      <c r="P324" s="67"/>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row>
    <row r="325" customFormat="false" ht="12.75" hidden="false" customHeight="false" outlineLevel="0" collapsed="false">
      <c r="E325" s="67"/>
      <c r="F325" s="67"/>
      <c r="G325" s="67"/>
      <c r="H325" s="67"/>
      <c r="I325" s="67"/>
      <c r="J325" s="67"/>
      <c r="K325" s="67"/>
      <c r="L325" s="67"/>
      <c r="M325" s="67"/>
      <c r="N325" s="67"/>
      <c r="O325" s="67"/>
      <c r="P325" s="67"/>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row>
    <row r="326" customFormat="false" ht="12.75" hidden="false" customHeight="false" outlineLevel="0" collapsed="false">
      <c r="E326" s="67"/>
      <c r="F326" s="67"/>
      <c r="G326" s="67"/>
      <c r="H326" s="67"/>
      <c r="I326" s="67"/>
      <c r="J326" s="67"/>
      <c r="K326" s="67"/>
      <c r="L326" s="67"/>
      <c r="M326" s="67"/>
      <c r="N326" s="67"/>
      <c r="O326" s="67"/>
      <c r="P326" s="67"/>
      <c r="Q326" s="67"/>
      <c r="R326" s="67"/>
      <c r="S326" s="67"/>
      <c r="T326" s="67"/>
      <c r="U326" s="67"/>
      <c r="V326" s="67"/>
      <c r="W326" s="67"/>
      <c r="X326" s="67"/>
      <c r="Y326" s="67"/>
      <c r="Z326" s="67"/>
      <c r="AA326" s="67"/>
      <c r="AB326" s="67"/>
      <c r="AC326" s="67"/>
      <c r="AD326" s="67"/>
      <c r="AE326" s="67"/>
      <c r="AF326" s="67"/>
      <c r="AG326" s="67"/>
      <c r="AH326" s="67"/>
      <c r="AI326" s="67"/>
      <c r="AJ326" s="67"/>
      <c r="AK326" s="67"/>
      <c r="AL326" s="67"/>
      <c r="AM326" s="67"/>
      <c r="AN326" s="67"/>
      <c r="AO326" s="67"/>
      <c r="AP326" s="67"/>
    </row>
    <row r="327" customFormat="false" ht="12.75" hidden="false" customHeight="false" outlineLevel="0" collapsed="false">
      <c r="E327" s="67"/>
      <c r="F327" s="67"/>
      <c r="G327" s="67"/>
      <c r="H327" s="67"/>
      <c r="I327" s="67"/>
      <c r="J327" s="67"/>
      <c r="K327" s="67"/>
      <c r="L327" s="67"/>
      <c r="M327" s="67"/>
      <c r="N327" s="67"/>
      <c r="O327" s="67"/>
      <c r="P327" s="67"/>
      <c r="Q327" s="67"/>
      <c r="R327" s="67"/>
      <c r="S327" s="67"/>
      <c r="T327" s="67"/>
      <c r="U327" s="67"/>
      <c r="V327" s="67"/>
      <c r="W327" s="67"/>
      <c r="X327" s="67"/>
      <c r="Y327" s="67"/>
      <c r="Z327" s="67"/>
      <c r="AA327" s="67"/>
      <c r="AB327" s="67"/>
      <c r="AC327" s="67"/>
      <c r="AD327" s="67"/>
      <c r="AE327" s="67"/>
      <c r="AF327" s="67"/>
      <c r="AG327" s="67"/>
      <c r="AH327" s="67"/>
      <c r="AI327" s="67"/>
      <c r="AJ327" s="67"/>
      <c r="AK327" s="67"/>
      <c r="AL327" s="67"/>
      <c r="AM327" s="67"/>
      <c r="AN327" s="67"/>
      <c r="AO327" s="67"/>
      <c r="AP327" s="67"/>
    </row>
    <row r="328" customFormat="false" ht="12.75" hidden="false" customHeight="false" outlineLevel="0" collapsed="false">
      <c r="E328" s="67"/>
      <c r="F328" s="67"/>
      <c r="G328" s="67"/>
      <c r="H328" s="67"/>
      <c r="I328" s="67"/>
      <c r="J328" s="67"/>
      <c r="K328" s="67"/>
      <c r="L328" s="67"/>
      <c r="M328" s="67"/>
      <c r="N328" s="67"/>
      <c r="O328" s="67"/>
      <c r="P328" s="67"/>
      <c r="Q328" s="67"/>
      <c r="R328" s="67"/>
      <c r="S328" s="67"/>
      <c r="T328" s="67"/>
      <c r="U328" s="67"/>
      <c r="V328" s="67"/>
      <c r="W328" s="67"/>
      <c r="X328" s="67"/>
      <c r="Y328" s="67"/>
      <c r="Z328" s="67"/>
      <c r="AA328" s="67"/>
      <c r="AB328" s="67"/>
      <c r="AC328" s="67"/>
      <c r="AD328" s="67"/>
      <c r="AE328" s="67"/>
      <c r="AF328" s="67"/>
      <c r="AG328" s="67"/>
      <c r="AH328" s="67"/>
      <c r="AI328" s="67"/>
      <c r="AJ328" s="67"/>
      <c r="AK328" s="67"/>
      <c r="AL328" s="67"/>
      <c r="AM328" s="67"/>
      <c r="AN328" s="67"/>
      <c r="AO328" s="67"/>
      <c r="AP328" s="67"/>
    </row>
    <row r="329" customFormat="false" ht="12.75" hidden="false" customHeight="false" outlineLevel="0" collapsed="false">
      <c r="E329" s="67"/>
      <c r="F329" s="67"/>
      <c r="G329" s="67"/>
      <c r="H329" s="67"/>
      <c r="I329" s="67"/>
      <c r="J329" s="67"/>
      <c r="K329" s="67"/>
      <c r="L329" s="67"/>
      <c r="M329" s="67"/>
      <c r="N329" s="67"/>
      <c r="O329" s="67"/>
      <c r="P329" s="67"/>
      <c r="Q329" s="67"/>
      <c r="R329" s="67"/>
      <c r="S329" s="67"/>
      <c r="T329" s="67"/>
      <c r="U329" s="67"/>
      <c r="V329" s="67"/>
      <c r="W329" s="67"/>
      <c r="X329" s="67"/>
      <c r="Y329" s="67"/>
      <c r="Z329" s="67"/>
      <c r="AA329" s="67"/>
      <c r="AB329" s="67"/>
      <c r="AC329" s="67"/>
      <c r="AD329" s="67"/>
      <c r="AE329" s="67"/>
      <c r="AF329" s="67"/>
      <c r="AG329" s="67"/>
      <c r="AH329" s="67"/>
      <c r="AI329" s="67"/>
      <c r="AJ329" s="67"/>
      <c r="AK329" s="67"/>
      <c r="AL329" s="67"/>
      <c r="AM329" s="67"/>
      <c r="AN329" s="67"/>
      <c r="AO329" s="67"/>
      <c r="AP329" s="67"/>
    </row>
    <row r="330" customFormat="false" ht="12.75" hidden="false" customHeight="false" outlineLevel="0" collapsed="false">
      <c r="E330" s="67"/>
      <c r="F330" s="67"/>
      <c r="G330" s="67"/>
      <c r="H330" s="67"/>
      <c r="I330" s="67"/>
      <c r="J330" s="67"/>
      <c r="K330" s="67"/>
      <c r="L330" s="67"/>
      <c r="M330" s="67"/>
      <c r="N330" s="67"/>
      <c r="O330" s="67"/>
      <c r="P330" s="67"/>
      <c r="Q330" s="67"/>
      <c r="R330" s="67"/>
      <c r="S330" s="67"/>
      <c r="T330" s="67"/>
      <c r="U330" s="67"/>
      <c r="V330" s="67"/>
      <c r="W330" s="67"/>
      <c r="X330" s="67"/>
      <c r="Y330" s="67"/>
      <c r="Z330" s="67"/>
      <c r="AA330" s="67"/>
      <c r="AB330" s="67"/>
      <c r="AC330" s="67"/>
      <c r="AD330" s="67"/>
      <c r="AE330" s="67"/>
      <c r="AF330" s="67"/>
      <c r="AG330" s="67"/>
      <c r="AH330" s="67"/>
      <c r="AI330" s="67"/>
      <c r="AJ330" s="67"/>
      <c r="AK330" s="67"/>
      <c r="AL330" s="67"/>
      <c r="AM330" s="67"/>
      <c r="AN330" s="67"/>
      <c r="AO330" s="67"/>
      <c r="AP330" s="67"/>
    </row>
    <row r="331" customFormat="false" ht="12.75" hidden="false" customHeight="false" outlineLevel="0" collapsed="false">
      <c r="E331" s="67"/>
      <c r="F331" s="67"/>
      <c r="G331" s="67"/>
      <c r="H331" s="67"/>
      <c r="I331" s="67"/>
      <c r="J331" s="67"/>
      <c r="K331" s="67"/>
      <c r="L331" s="67"/>
      <c r="M331" s="67"/>
      <c r="N331" s="67"/>
      <c r="O331" s="67"/>
      <c r="P331" s="67"/>
      <c r="Q331" s="67"/>
      <c r="R331" s="67"/>
      <c r="S331" s="67"/>
      <c r="T331" s="67"/>
      <c r="U331" s="67"/>
      <c r="V331" s="67"/>
      <c r="W331" s="67"/>
      <c r="X331" s="67"/>
      <c r="Y331" s="67"/>
      <c r="Z331" s="67"/>
      <c r="AA331" s="67"/>
      <c r="AB331" s="67"/>
      <c r="AC331" s="67"/>
      <c r="AD331" s="67"/>
      <c r="AE331" s="67"/>
      <c r="AF331" s="67"/>
      <c r="AG331" s="67"/>
      <c r="AH331" s="67"/>
      <c r="AI331" s="67"/>
      <c r="AJ331" s="67"/>
      <c r="AK331" s="67"/>
      <c r="AL331" s="67"/>
      <c r="AM331" s="67"/>
      <c r="AN331" s="67"/>
      <c r="AO331" s="67"/>
      <c r="AP331" s="67"/>
    </row>
    <row r="332" customFormat="false" ht="12.75" hidden="false" customHeight="false" outlineLevel="0" collapsed="false">
      <c r="E332" s="67"/>
      <c r="F332" s="67"/>
      <c r="G332" s="67"/>
      <c r="H332" s="67"/>
      <c r="I332" s="67"/>
      <c r="J332" s="67"/>
      <c r="K332" s="67"/>
      <c r="L332" s="67"/>
      <c r="M332" s="67"/>
      <c r="N332" s="67"/>
      <c r="O332" s="67"/>
      <c r="P332" s="67"/>
      <c r="Q332" s="67"/>
      <c r="R332" s="67"/>
      <c r="S332" s="67"/>
      <c r="T332" s="67"/>
      <c r="U332" s="67"/>
      <c r="V332" s="67"/>
      <c r="W332" s="67"/>
      <c r="X332" s="67"/>
      <c r="Y332" s="67"/>
      <c r="Z332" s="67"/>
      <c r="AA332" s="67"/>
      <c r="AB332" s="67"/>
      <c r="AC332" s="67"/>
      <c r="AD332" s="67"/>
      <c r="AE332" s="67"/>
      <c r="AF332" s="67"/>
      <c r="AG332" s="67"/>
      <c r="AH332" s="67"/>
      <c r="AI332" s="67"/>
      <c r="AJ332" s="67"/>
      <c r="AK332" s="67"/>
      <c r="AL332" s="67"/>
      <c r="AM332" s="67"/>
      <c r="AN332" s="67"/>
      <c r="AO332" s="67"/>
      <c r="AP332" s="67"/>
    </row>
    <row r="333" customFormat="false" ht="12.75" hidden="false" customHeight="false" outlineLevel="0" collapsed="false">
      <c r="E333" s="67"/>
      <c r="F333" s="67"/>
      <c r="G333" s="67"/>
      <c r="H333" s="67"/>
      <c r="I333" s="67"/>
      <c r="J333" s="67"/>
      <c r="K333" s="67"/>
      <c r="L333" s="67"/>
      <c r="M333" s="67"/>
      <c r="N333" s="67"/>
      <c r="O333" s="67"/>
      <c r="P333" s="67"/>
      <c r="Q333" s="67"/>
      <c r="R333" s="67"/>
      <c r="S333" s="67"/>
      <c r="T333" s="67"/>
      <c r="U333" s="67"/>
      <c r="V333" s="67"/>
      <c r="W333" s="67"/>
      <c r="X333" s="67"/>
      <c r="Y333" s="67"/>
      <c r="Z333" s="67"/>
      <c r="AA333" s="67"/>
      <c r="AB333" s="67"/>
      <c r="AC333" s="67"/>
      <c r="AD333" s="67"/>
      <c r="AE333" s="67"/>
      <c r="AF333" s="67"/>
      <c r="AG333" s="67"/>
      <c r="AH333" s="67"/>
      <c r="AI333" s="67"/>
      <c r="AJ333" s="67"/>
      <c r="AK333" s="67"/>
      <c r="AL333" s="67"/>
      <c r="AM333" s="67"/>
      <c r="AN333" s="67"/>
      <c r="AO333" s="67"/>
      <c r="AP333" s="67"/>
    </row>
    <row r="334" customFormat="false" ht="12.75" hidden="false" customHeight="false" outlineLevel="0" collapsed="false">
      <c r="E334" s="67"/>
      <c r="F334" s="67"/>
      <c r="G334" s="67"/>
      <c r="H334" s="67"/>
      <c r="I334" s="67"/>
      <c r="J334" s="67"/>
      <c r="K334" s="67"/>
      <c r="L334" s="67"/>
      <c r="M334" s="67"/>
      <c r="N334" s="67"/>
      <c r="O334" s="67"/>
      <c r="P334" s="67"/>
      <c r="Q334" s="67"/>
      <c r="R334" s="67"/>
      <c r="S334" s="67"/>
      <c r="T334" s="67"/>
      <c r="U334" s="67"/>
      <c r="V334" s="67"/>
      <c r="W334" s="67"/>
      <c r="X334" s="67"/>
      <c r="Y334" s="67"/>
      <c r="Z334" s="67"/>
      <c r="AA334" s="67"/>
      <c r="AB334" s="67"/>
      <c r="AC334" s="67"/>
      <c r="AD334" s="67"/>
      <c r="AE334" s="67"/>
      <c r="AF334" s="67"/>
      <c r="AG334" s="67"/>
      <c r="AH334" s="67"/>
      <c r="AI334" s="67"/>
      <c r="AJ334" s="67"/>
      <c r="AK334" s="67"/>
      <c r="AL334" s="67"/>
      <c r="AM334" s="67"/>
      <c r="AN334" s="67"/>
      <c r="AO334" s="67"/>
      <c r="AP334" s="67"/>
    </row>
    <row r="335" customFormat="false" ht="12.75" hidden="false" customHeight="false" outlineLevel="0" collapsed="false">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row>
    <row r="336" customFormat="false" ht="12.75" hidden="false" customHeight="false" outlineLevel="0" collapsed="false">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row>
    <row r="337" customFormat="false" ht="12.75" hidden="false" customHeight="false" outlineLevel="0" collapsed="false">
      <c r="E337" s="67"/>
      <c r="F337" s="67"/>
      <c r="G337" s="67"/>
      <c r="H337" s="67"/>
      <c r="I337" s="67"/>
      <c r="J337" s="67"/>
      <c r="K337" s="67"/>
      <c r="L337" s="67"/>
      <c r="M337" s="67"/>
      <c r="N337" s="67"/>
      <c r="O337" s="67"/>
      <c r="P337" s="67"/>
      <c r="Q337" s="67"/>
      <c r="R337" s="67"/>
      <c r="S337" s="67"/>
      <c r="T337" s="67"/>
      <c r="U337" s="67"/>
      <c r="V337" s="67"/>
      <c r="W337" s="67"/>
      <c r="X337" s="67"/>
      <c r="Y337" s="67"/>
      <c r="Z337" s="67"/>
      <c r="AA337" s="67"/>
      <c r="AB337" s="67"/>
      <c r="AC337" s="67"/>
      <c r="AD337" s="67"/>
      <c r="AE337" s="67"/>
      <c r="AF337" s="67"/>
      <c r="AG337" s="67"/>
      <c r="AH337" s="67"/>
      <c r="AI337" s="67"/>
      <c r="AJ337" s="67"/>
      <c r="AK337" s="67"/>
      <c r="AL337" s="67"/>
      <c r="AM337" s="67"/>
      <c r="AN337" s="67"/>
      <c r="AO337" s="67"/>
      <c r="AP337" s="67"/>
    </row>
    <row r="338" customFormat="false" ht="12.75" hidden="false" customHeight="false" outlineLevel="0" collapsed="false">
      <c r="E338" s="67"/>
      <c r="F338" s="67"/>
      <c r="G338" s="67"/>
      <c r="H338" s="67"/>
      <c r="I338" s="67"/>
      <c r="J338" s="67"/>
      <c r="K338" s="67"/>
      <c r="L338" s="67"/>
      <c r="M338" s="67"/>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row>
    <row r="339" customFormat="false" ht="12.75" hidden="false" customHeight="false" outlineLevel="0" collapsed="false">
      <c r="E339" s="67"/>
      <c r="F339" s="67"/>
      <c r="G339" s="67"/>
      <c r="H339" s="67"/>
      <c r="I339" s="67"/>
      <c r="J339" s="67"/>
      <c r="K339" s="67"/>
      <c r="L339" s="67"/>
      <c r="M339" s="67"/>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row>
    <row r="340" customFormat="false" ht="12.75" hidden="false" customHeight="false" outlineLevel="0" collapsed="false">
      <c r="E340" s="67"/>
      <c r="F340" s="67"/>
      <c r="G340" s="67"/>
      <c r="H340" s="67"/>
      <c r="I340" s="67"/>
      <c r="J340" s="67"/>
      <c r="K340" s="67"/>
      <c r="L340" s="67"/>
      <c r="M340" s="67"/>
      <c r="N340" s="67"/>
      <c r="O340" s="67"/>
      <c r="P340" s="67"/>
      <c r="Q340" s="67"/>
      <c r="R340" s="67"/>
      <c r="S340" s="67"/>
      <c r="T340" s="67"/>
      <c r="U340" s="67"/>
      <c r="V340" s="67"/>
      <c r="W340" s="67"/>
      <c r="X340" s="67"/>
      <c r="Y340" s="67"/>
      <c r="Z340" s="67"/>
      <c r="AA340" s="67"/>
      <c r="AB340" s="67"/>
      <c r="AC340" s="67"/>
      <c r="AD340" s="67"/>
      <c r="AE340" s="67"/>
      <c r="AF340" s="67"/>
      <c r="AG340" s="67"/>
      <c r="AH340" s="67"/>
      <c r="AI340" s="67"/>
      <c r="AJ340" s="67"/>
      <c r="AK340" s="67"/>
      <c r="AL340" s="67"/>
      <c r="AM340" s="67"/>
      <c r="AN340" s="67"/>
      <c r="AO340" s="67"/>
      <c r="AP340" s="67"/>
    </row>
    <row r="341" customFormat="false" ht="12.75" hidden="false" customHeight="false" outlineLevel="0" collapsed="false">
      <c r="E341" s="67"/>
      <c r="F341" s="67"/>
      <c r="G341" s="67"/>
      <c r="H341" s="67"/>
      <c r="I341" s="67"/>
      <c r="J341" s="67"/>
      <c r="K341" s="67"/>
      <c r="L341" s="67"/>
      <c r="M341" s="67"/>
      <c r="N341" s="67"/>
      <c r="O341" s="67"/>
      <c r="P341" s="67"/>
      <c r="Q341" s="67"/>
      <c r="R341" s="67"/>
      <c r="S341" s="67"/>
      <c r="T341" s="67"/>
      <c r="U341" s="67"/>
      <c r="V341" s="67"/>
      <c r="W341" s="67"/>
      <c r="X341" s="67"/>
      <c r="Y341" s="67"/>
      <c r="Z341" s="67"/>
      <c r="AA341" s="67"/>
      <c r="AB341" s="67"/>
      <c r="AC341" s="67"/>
      <c r="AD341" s="67"/>
      <c r="AE341" s="67"/>
      <c r="AF341" s="67"/>
      <c r="AG341" s="67"/>
      <c r="AH341" s="67"/>
      <c r="AI341" s="67"/>
      <c r="AJ341" s="67"/>
      <c r="AK341" s="67"/>
      <c r="AL341" s="67"/>
      <c r="AM341" s="67"/>
      <c r="AN341" s="67"/>
      <c r="AO341" s="67"/>
      <c r="AP341" s="67"/>
    </row>
    <row r="342" customFormat="false" ht="12.75" hidden="false" customHeight="false" outlineLevel="0" collapsed="false">
      <c r="E342" s="67"/>
      <c r="F342" s="67"/>
      <c r="G342" s="67"/>
      <c r="H342" s="67"/>
      <c r="I342" s="67"/>
      <c r="J342" s="67"/>
      <c r="K342" s="67"/>
      <c r="L342" s="67"/>
      <c r="M342" s="67"/>
      <c r="N342" s="67"/>
      <c r="O342" s="67"/>
      <c r="P342" s="67"/>
      <c r="Q342" s="67"/>
      <c r="R342" s="67"/>
      <c r="S342" s="67"/>
      <c r="T342" s="67"/>
      <c r="U342" s="67"/>
      <c r="V342" s="67"/>
      <c r="W342" s="67"/>
      <c r="X342" s="67"/>
      <c r="Y342" s="67"/>
      <c r="Z342" s="67"/>
      <c r="AA342" s="67"/>
      <c r="AB342" s="67"/>
      <c r="AC342" s="67"/>
      <c r="AD342" s="67"/>
      <c r="AE342" s="67"/>
      <c r="AF342" s="67"/>
      <c r="AG342" s="67"/>
      <c r="AH342" s="67"/>
      <c r="AI342" s="67"/>
      <c r="AJ342" s="67"/>
      <c r="AK342" s="67"/>
      <c r="AL342" s="67"/>
      <c r="AM342" s="67"/>
      <c r="AN342" s="67"/>
      <c r="AO342" s="67"/>
      <c r="AP342" s="67"/>
    </row>
    <row r="343" customFormat="false" ht="12.75" hidden="false" customHeight="false" outlineLevel="0" collapsed="false">
      <c r="E343" s="67"/>
      <c r="F343" s="67"/>
      <c r="G343" s="67"/>
      <c r="H343" s="67"/>
      <c r="I343" s="67"/>
      <c r="J343" s="67"/>
      <c r="K343" s="67"/>
      <c r="L343" s="67"/>
      <c r="M343" s="67"/>
      <c r="N343" s="67"/>
      <c r="O343" s="67"/>
      <c r="P343" s="67"/>
      <c r="Q343" s="67"/>
      <c r="R343" s="67"/>
      <c r="S343" s="67"/>
      <c r="T343" s="67"/>
      <c r="U343" s="67"/>
      <c r="V343" s="67"/>
      <c r="W343" s="67"/>
      <c r="X343" s="67"/>
      <c r="Y343" s="67"/>
      <c r="Z343" s="67"/>
      <c r="AA343" s="67"/>
      <c r="AB343" s="67"/>
      <c r="AC343" s="67"/>
      <c r="AD343" s="67"/>
      <c r="AE343" s="67"/>
      <c r="AF343" s="67"/>
      <c r="AG343" s="67"/>
      <c r="AH343" s="67"/>
      <c r="AI343" s="67"/>
      <c r="AJ343" s="67"/>
      <c r="AK343" s="67"/>
      <c r="AL343" s="67"/>
      <c r="AM343" s="67"/>
      <c r="AN343" s="67"/>
      <c r="AO343" s="67"/>
      <c r="AP343" s="67"/>
    </row>
    <row r="344" customFormat="false" ht="12.75" hidden="false" customHeight="false" outlineLevel="0" collapsed="false">
      <c r="E344" s="67"/>
      <c r="F344" s="67"/>
      <c r="G344" s="67"/>
      <c r="H344" s="67"/>
      <c r="I344" s="67"/>
      <c r="J344" s="67"/>
      <c r="K344" s="67"/>
      <c r="L344" s="67"/>
      <c r="M344" s="67"/>
      <c r="N344" s="67"/>
      <c r="O344" s="67"/>
      <c r="P344" s="67"/>
      <c r="Q344" s="67"/>
      <c r="R344" s="67"/>
      <c r="S344" s="67"/>
      <c r="T344" s="67"/>
      <c r="U344" s="67"/>
      <c r="V344" s="67"/>
      <c r="W344" s="67"/>
      <c r="X344" s="67"/>
      <c r="Y344" s="67"/>
      <c r="Z344" s="67"/>
      <c r="AA344" s="67"/>
      <c r="AB344" s="67"/>
      <c r="AC344" s="67"/>
      <c r="AD344" s="67"/>
      <c r="AE344" s="67"/>
      <c r="AF344" s="67"/>
      <c r="AG344" s="67"/>
      <c r="AH344" s="67"/>
      <c r="AI344" s="67"/>
      <c r="AJ344" s="67"/>
      <c r="AK344" s="67"/>
      <c r="AL344" s="67"/>
      <c r="AM344" s="67"/>
      <c r="AN344" s="67"/>
      <c r="AO344" s="67"/>
      <c r="AP344" s="67"/>
    </row>
    <row r="345" customFormat="false" ht="12.75" hidden="false" customHeight="false" outlineLevel="0" collapsed="false">
      <c r="E345" s="67"/>
      <c r="F345" s="67"/>
      <c r="G345" s="67"/>
      <c r="H345" s="67"/>
      <c r="I345" s="67"/>
      <c r="J345" s="67"/>
      <c r="K345" s="67"/>
      <c r="L345" s="67"/>
      <c r="M345" s="67"/>
      <c r="N345" s="67"/>
      <c r="O345" s="67"/>
      <c r="P345" s="67"/>
      <c r="Q345" s="67"/>
      <c r="R345" s="67"/>
      <c r="S345" s="67"/>
      <c r="T345" s="67"/>
      <c r="U345" s="67"/>
      <c r="V345" s="67"/>
      <c r="W345" s="67"/>
      <c r="X345" s="67"/>
      <c r="Y345" s="67"/>
      <c r="Z345" s="67"/>
      <c r="AA345" s="67"/>
      <c r="AB345" s="67"/>
      <c r="AC345" s="67"/>
      <c r="AD345" s="67"/>
      <c r="AE345" s="67"/>
      <c r="AF345" s="67"/>
      <c r="AG345" s="67"/>
      <c r="AH345" s="67"/>
      <c r="AI345" s="67"/>
      <c r="AJ345" s="67"/>
      <c r="AK345" s="67"/>
      <c r="AL345" s="67"/>
      <c r="AM345" s="67"/>
      <c r="AN345" s="67"/>
      <c r="AO345" s="67"/>
      <c r="AP345" s="67"/>
    </row>
    <row r="346" customFormat="false" ht="12.75" hidden="false" customHeight="false" outlineLevel="0" collapsed="false">
      <c r="E346" s="67"/>
      <c r="F346" s="67"/>
      <c r="G346" s="67"/>
      <c r="H346" s="67"/>
      <c r="I346" s="67"/>
      <c r="J346" s="67"/>
      <c r="K346" s="67"/>
      <c r="L346" s="67"/>
      <c r="M346" s="67"/>
      <c r="N346" s="67"/>
      <c r="O346" s="67"/>
      <c r="P346" s="67"/>
      <c r="Q346" s="67"/>
      <c r="R346" s="67"/>
      <c r="S346" s="67"/>
      <c r="T346" s="67"/>
      <c r="U346" s="67"/>
      <c r="V346" s="67"/>
      <c r="W346" s="67"/>
      <c r="X346" s="67"/>
      <c r="Y346" s="67"/>
      <c r="Z346" s="67"/>
      <c r="AA346" s="67"/>
      <c r="AB346" s="67"/>
      <c r="AC346" s="67"/>
      <c r="AD346" s="67"/>
      <c r="AE346" s="67"/>
      <c r="AF346" s="67"/>
      <c r="AG346" s="67"/>
      <c r="AH346" s="67"/>
      <c r="AI346" s="67"/>
      <c r="AJ346" s="67"/>
      <c r="AK346" s="67"/>
      <c r="AL346" s="67"/>
      <c r="AM346" s="67"/>
      <c r="AN346" s="67"/>
      <c r="AO346" s="67"/>
      <c r="AP346" s="67"/>
    </row>
    <row r="347" customFormat="false" ht="12.75" hidden="false" customHeight="false" outlineLevel="0" collapsed="false">
      <c r="E347" s="67"/>
      <c r="F347" s="67"/>
      <c r="G347" s="67"/>
      <c r="H347" s="67"/>
      <c r="I347" s="67"/>
      <c r="J347" s="67"/>
      <c r="K347" s="67"/>
      <c r="L347" s="67"/>
      <c r="M347" s="67"/>
      <c r="N347" s="67"/>
      <c r="O347" s="67"/>
      <c r="P347" s="67"/>
      <c r="Q347" s="67"/>
      <c r="R347" s="67"/>
      <c r="S347" s="67"/>
      <c r="T347" s="67"/>
      <c r="U347" s="67"/>
      <c r="V347" s="67"/>
      <c r="W347" s="67"/>
      <c r="X347" s="67"/>
      <c r="Y347" s="67"/>
      <c r="Z347" s="67"/>
      <c r="AA347" s="67"/>
      <c r="AB347" s="67"/>
      <c r="AC347" s="67"/>
      <c r="AD347" s="67"/>
      <c r="AE347" s="67"/>
      <c r="AF347" s="67"/>
      <c r="AG347" s="67"/>
      <c r="AH347" s="67"/>
      <c r="AI347" s="67"/>
      <c r="AJ347" s="67"/>
      <c r="AK347" s="67"/>
      <c r="AL347" s="67"/>
      <c r="AM347" s="67"/>
      <c r="AN347" s="67"/>
      <c r="AO347" s="67"/>
      <c r="AP347" s="67"/>
    </row>
    <row r="348" customFormat="false" ht="12.75" hidden="false" customHeight="false" outlineLevel="0" collapsed="false">
      <c r="E348" s="67"/>
      <c r="F348" s="67"/>
      <c r="G348" s="67"/>
      <c r="H348" s="67"/>
      <c r="I348" s="67"/>
      <c r="J348" s="67"/>
      <c r="K348" s="67"/>
      <c r="L348" s="67"/>
      <c r="M348" s="67"/>
      <c r="N348" s="67"/>
      <c r="O348" s="67"/>
      <c r="P348" s="67"/>
      <c r="Q348" s="67"/>
      <c r="R348" s="67"/>
      <c r="S348" s="67"/>
      <c r="T348" s="67"/>
      <c r="U348" s="67"/>
      <c r="V348" s="67"/>
      <c r="W348" s="67"/>
      <c r="X348" s="67"/>
      <c r="Y348" s="67"/>
      <c r="Z348" s="67"/>
      <c r="AA348" s="67"/>
      <c r="AB348" s="67"/>
      <c r="AC348" s="67"/>
      <c r="AD348" s="67"/>
      <c r="AE348" s="67"/>
      <c r="AF348" s="67"/>
      <c r="AG348" s="67"/>
      <c r="AH348" s="67"/>
      <c r="AI348" s="67"/>
      <c r="AJ348" s="67"/>
      <c r="AK348" s="67"/>
      <c r="AL348" s="67"/>
      <c r="AM348" s="67"/>
      <c r="AN348" s="67"/>
      <c r="AO348" s="67"/>
      <c r="AP348" s="67"/>
    </row>
    <row r="349" customFormat="false" ht="12.75" hidden="false" customHeight="false" outlineLevel="0" collapsed="false">
      <c r="E349" s="67"/>
      <c r="F349" s="67"/>
      <c r="G349" s="67"/>
      <c r="H349" s="67"/>
      <c r="I349" s="67"/>
      <c r="J349" s="67"/>
      <c r="K349" s="67"/>
      <c r="L349" s="67"/>
      <c r="M349" s="67"/>
      <c r="N349" s="67"/>
      <c r="O349" s="67"/>
      <c r="P349" s="67"/>
      <c r="Q349" s="67"/>
      <c r="R349" s="67"/>
      <c r="S349" s="67"/>
      <c r="T349" s="67"/>
      <c r="U349" s="67"/>
      <c r="V349" s="67"/>
      <c r="W349" s="67"/>
      <c r="X349" s="67"/>
      <c r="Y349" s="67"/>
      <c r="Z349" s="67"/>
      <c r="AA349" s="67"/>
      <c r="AB349" s="67"/>
      <c r="AC349" s="67"/>
      <c r="AD349" s="67"/>
      <c r="AE349" s="67"/>
      <c r="AF349" s="67"/>
      <c r="AG349" s="67"/>
      <c r="AH349" s="67"/>
      <c r="AI349" s="67"/>
      <c r="AJ349" s="67"/>
      <c r="AK349" s="67"/>
      <c r="AL349" s="67"/>
      <c r="AM349" s="67"/>
      <c r="AN349" s="67"/>
      <c r="AO349" s="67"/>
      <c r="AP349" s="67"/>
    </row>
    <row r="350" customFormat="false" ht="12.75" hidden="false" customHeight="false" outlineLevel="0" collapsed="false">
      <c r="E350" s="67"/>
      <c r="F350" s="67"/>
      <c r="G350" s="67"/>
      <c r="H350" s="67"/>
      <c r="I350" s="67"/>
      <c r="J350" s="67"/>
      <c r="K350" s="67"/>
      <c r="L350" s="67"/>
      <c r="M350" s="67"/>
      <c r="N350" s="67"/>
      <c r="O350" s="67"/>
      <c r="P350" s="67"/>
      <c r="Q350" s="67"/>
      <c r="R350" s="67"/>
      <c r="S350" s="67"/>
      <c r="T350" s="67"/>
      <c r="U350" s="67"/>
      <c r="V350" s="67"/>
      <c r="W350" s="67"/>
      <c r="X350" s="67"/>
      <c r="Y350" s="67"/>
      <c r="Z350" s="67"/>
      <c r="AA350" s="67"/>
      <c r="AB350" s="67"/>
      <c r="AC350" s="67"/>
      <c r="AD350" s="67"/>
      <c r="AE350" s="67"/>
      <c r="AF350" s="67"/>
      <c r="AG350" s="67"/>
      <c r="AH350" s="67"/>
      <c r="AI350" s="67"/>
      <c r="AJ350" s="67"/>
      <c r="AK350" s="67"/>
      <c r="AL350" s="67"/>
      <c r="AM350" s="67"/>
      <c r="AN350" s="67"/>
      <c r="AO350" s="67"/>
      <c r="AP350" s="67"/>
    </row>
    <row r="351" customFormat="false" ht="12.75" hidden="false" customHeight="false" outlineLevel="0" collapsed="false">
      <c r="E351" s="67"/>
      <c r="F351" s="67"/>
      <c r="G351" s="67"/>
      <c r="H351" s="67"/>
      <c r="I351" s="67"/>
      <c r="J351" s="67"/>
      <c r="K351" s="67"/>
      <c r="L351" s="67"/>
      <c r="M351" s="67"/>
      <c r="N351" s="67"/>
      <c r="O351" s="67"/>
      <c r="P351" s="67"/>
      <c r="Q351" s="67"/>
      <c r="R351" s="67"/>
      <c r="S351" s="67"/>
      <c r="T351" s="67"/>
      <c r="U351" s="67"/>
      <c r="V351" s="67"/>
      <c r="W351" s="67"/>
      <c r="X351" s="67"/>
      <c r="Y351" s="67"/>
      <c r="Z351" s="67"/>
      <c r="AA351" s="67"/>
      <c r="AB351" s="67"/>
      <c r="AC351" s="67"/>
      <c r="AD351" s="67"/>
      <c r="AE351" s="67"/>
      <c r="AF351" s="67"/>
      <c r="AG351" s="67"/>
      <c r="AH351" s="67"/>
      <c r="AI351" s="67"/>
      <c r="AJ351" s="67"/>
      <c r="AK351" s="67"/>
      <c r="AL351" s="67"/>
      <c r="AM351" s="67"/>
      <c r="AN351" s="67"/>
      <c r="AO351" s="67"/>
      <c r="AP351" s="67"/>
    </row>
    <row r="352" customFormat="false" ht="12.75" hidden="false" customHeight="false" outlineLevel="0" collapsed="false">
      <c r="E352" s="67"/>
      <c r="F352" s="67"/>
      <c r="G352" s="67"/>
      <c r="H352" s="67"/>
      <c r="I352" s="67"/>
      <c r="J352" s="67"/>
      <c r="K352" s="67"/>
      <c r="L352" s="67"/>
      <c r="M352" s="67"/>
      <c r="N352" s="67"/>
      <c r="O352" s="67"/>
      <c r="P352" s="67"/>
      <c r="Q352" s="67"/>
      <c r="R352" s="67"/>
      <c r="S352" s="67"/>
      <c r="T352" s="67"/>
      <c r="U352" s="67"/>
      <c r="V352" s="67"/>
      <c r="W352" s="67"/>
      <c r="X352" s="67"/>
      <c r="Y352" s="67"/>
      <c r="Z352" s="67"/>
      <c r="AA352" s="67"/>
      <c r="AB352" s="67"/>
      <c r="AC352" s="67"/>
      <c r="AD352" s="67"/>
      <c r="AE352" s="67"/>
      <c r="AF352" s="67"/>
      <c r="AG352" s="67"/>
      <c r="AH352" s="67"/>
      <c r="AI352" s="67"/>
      <c r="AJ352" s="67"/>
      <c r="AK352" s="67"/>
      <c r="AL352" s="67"/>
      <c r="AM352" s="67"/>
      <c r="AN352" s="67"/>
      <c r="AO352" s="67"/>
      <c r="AP352" s="67"/>
    </row>
    <row r="353" customFormat="false" ht="12.75" hidden="false" customHeight="false" outlineLevel="0" collapsed="false">
      <c r="E353" s="67"/>
      <c r="F353" s="67"/>
      <c r="G353" s="67"/>
      <c r="H353" s="67"/>
      <c r="I353" s="67"/>
      <c r="J353" s="67"/>
      <c r="K353" s="67"/>
      <c r="L353" s="67"/>
      <c r="M353" s="67"/>
      <c r="N353" s="67"/>
      <c r="O353" s="67"/>
      <c r="P353" s="67"/>
      <c r="Q353" s="67"/>
      <c r="R353" s="67"/>
      <c r="S353" s="67"/>
      <c r="T353" s="67"/>
      <c r="U353" s="67"/>
      <c r="V353" s="67"/>
      <c r="W353" s="67"/>
      <c r="X353" s="67"/>
      <c r="Y353" s="67"/>
      <c r="Z353" s="67"/>
      <c r="AA353" s="67"/>
      <c r="AB353" s="67"/>
      <c r="AC353" s="67"/>
      <c r="AD353" s="67"/>
      <c r="AE353" s="67"/>
      <c r="AF353" s="67"/>
      <c r="AG353" s="67"/>
      <c r="AH353" s="67"/>
      <c r="AI353" s="67"/>
      <c r="AJ353" s="67"/>
      <c r="AK353" s="67"/>
      <c r="AL353" s="67"/>
      <c r="AM353" s="67"/>
      <c r="AN353" s="67"/>
      <c r="AO353" s="67"/>
      <c r="AP353" s="67"/>
    </row>
    <row r="354" customFormat="false" ht="12.75" hidden="false" customHeight="false" outlineLevel="0" collapsed="false">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row>
    <row r="355" customFormat="false" ht="12.75" hidden="false" customHeight="false" outlineLevel="0" collapsed="false">
      <c r="E355" s="67"/>
      <c r="F355" s="67"/>
      <c r="G355" s="67"/>
      <c r="H355" s="67"/>
      <c r="I355" s="67"/>
      <c r="J355" s="67"/>
      <c r="K355" s="67"/>
      <c r="L355" s="67"/>
      <c r="M355" s="67"/>
      <c r="N355" s="67"/>
      <c r="O355" s="67"/>
      <c r="P355" s="67"/>
      <c r="Q355" s="67"/>
      <c r="R355" s="67"/>
      <c r="S355" s="67"/>
      <c r="T355" s="67"/>
      <c r="U355" s="67"/>
      <c r="V355" s="67"/>
      <c r="W355" s="67"/>
      <c r="X355" s="67"/>
      <c r="Y355" s="67"/>
      <c r="Z355" s="67"/>
      <c r="AA355" s="67"/>
      <c r="AB355" s="67"/>
      <c r="AC355" s="67"/>
      <c r="AD355" s="67"/>
      <c r="AE355" s="67"/>
      <c r="AF355" s="67"/>
      <c r="AG355" s="67"/>
      <c r="AH355" s="67"/>
      <c r="AI355" s="67"/>
      <c r="AJ355" s="67"/>
      <c r="AK355" s="67"/>
      <c r="AL355" s="67"/>
      <c r="AM355" s="67"/>
      <c r="AN355" s="67"/>
      <c r="AO355" s="67"/>
      <c r="AP355" s="67"/>
    </row>
    <row r="356" customFormat="false" ht="12.75" hidden="false" customHeight="false" outlineLevel="0" collapsed="false">
      <c r="E356" s="67"/>
      <c r="F356" s="67"/>
      <c r="G356" s="67"/>
      <c r="H356" s="67"/>
      <c r="I356" s="67"/>
      <c r="J356" s="67"/>
      <c r="K356" s="67"/>
      <c r="L356" s="67"/>
      <c r="M356" s="67"/>
      <c r="N356" s="67"/>
      <c r="O356" s="67"/>
      <c r="P356" s="67"/>
      <c r="Q356" s="67"/>
      <c r="R356" s="67"/>
      <c r="S356" s="67"/>
      <c r="T356" s="67"/>
      <c r="U356" s="67"/>
      <c r="V356" s="67"/>
      <c r="W356" s="67"/>
      <c r="X356" s="67"/>
      <c r="Y356" s="67"/>
      <c r="Z356" s="67"/>
      <c r="AA356" s="67"/>
      <c r="AB356" s="67"/>
      <c r="AC356" s="67"/>
      <c r="AD356" s="67"/>
      <c r="AE356" s="67"/>
      <c r="AF356" s="67"/>
      <c r="AG356" s="67"/>
      <c r="AH356" s="67"/>
      <c r="AI356" s="67"/>
      <c r="AJ356" s="67"/>
      <c r="AK356" s="67"/>
      <c r="AL356" s="67"/>
      <c r="AM356" s="67"/>
      <c r="AN356" s="67"/>
      <c r="AO356" s="67"/>
      <c r="AP356" s="67"/>
    </row>
    <row r="357" customFormat="false" ht="12.75" hidden="false" customHeight="false" outlineLevel="0" collapsed="false">
      <c r="E357" s="67"/>
      <c r="F357" s="67"/>
      <c r="G357" s="67"/>
      <c r="H357" s="67"/>
      <c r="I357" s="67"/>
      <c r="J357" s="67"/>
      <c r="K357" s="67"/>
      <c r="L357" s="67"/>
      <c r="M357" s="67"/>
      <c r="N357" s="67"/>
      <c r="O357" s="67"/>
      <c r="P357" s="67"/>
      <c r="Q357" s="67"/>
      <c r="R357" s="67"/>
      <c r="S357" s="67"/>
      <c r="T357" s="67"/>
      <c r="U357" s="67"/>
      <c r="V357" s="67"/>
      <c r="W357" s="67"/>
      <c r="X357" s="67"/>
      <c r="Y357" s="67"/>
      <c r="Z357" s="67"/>
      <c r="AA357" s="67"/>
      <c r="AB357" s="67"/>
      <c r="AC357" s="67"/>
      <c r="AD357" s="67"/>
      <c r="AE357" s="67"/>
      <c r="AF357" s="67"/>
      <c r="AG357" s="67"/>
      <c r="AH357" s="67"/>
      <c r="AI357" s="67"/>
      <c r="AJ357" s="67"/>
      <c r="AK357" s="67"/>
      <c r="AL357" s="67"/>
      <c r="AM357" s="67"/>
      <c r="AN357" s="67"/>
      <c r="AO357" s="67"/>
      <c r="AP357" s="67"/>
    </row>
    <row r="358" customFormat="false" ht="12.75" hidden="false" customHeight="false" outlineLevel="0" collapsed="false">
      <c r="E358" s="67"/>
      <c r="F358" s="67"/>
      <c r="G358" s="67"/>
      <c r="H358" s="67"/>
      <c r="I358" s="67"/>
      <c r="J358" s="67"/>
      <c r="K358" s="67"/>
      <c r="L358" s="67"/>
      <c r="M358" s="67"/>
      <c r="N358" s="67"/>
      <c r="O358" s="67"/>
      <c r="P358" s="67"/>
      <c r="Q358" s="67"/>
      <c r="R358" s="67"/>
      <c r="S358" s="67"/>
      <c r="T358" s="67"/>
      <c r="U358" s="67"/>
      <c r="V358" s="67"/>
      <c r="W358" s="67"/>
      <c r="X358" s="67"/>
      <c r="Y358" s="67"/>
      <c r="Z358" s="67"/>
      <c r="AA358" s="67"/>
      <c r="AB358" s="67"/>
      <c r="AC358" s="67"/>
      <c r="AD358" s="67"/>
      <c r="AE358" s="67"/>
      <c r="AF358" s="67"/>
      <c r="AG358" s="67"/>
      <c r="AH358" s="67"/>
      <c r="AI358" s="67"/>
      <c r="AJ358" s="67"/>
      <c r="AK358" s="67"/>
      <c r="AL358" s="67"/>
      <c r="AM358" s="67"/>
      <c r="AN358" s="67"/>
      <c r="AO358" s="67"/>
      <c r="AP358" s="67"/>
    </row>
    <row r="359" customFormat="false" ht="12.75" hidden="false" customHeight="false" outlineLevel="0" collapsed="false">
      <c r="E359" s="67"/>
      <c r="F359" s="67"/>
      <c r="G359" s="67"/>
      <c r="H359" s="67"/>
      <c r="I359" s="67"/>
      <c r="J359" s="67"/>
      <c r="K359" s="67"/>
      <c r="L359" s="67"/>
      <c r="M359" s="67"/>
      <c r="N359" s="67"/>
      <c r="O359" s="67"/>
      <c r="P359" s="67"/>
      <c r="Q359" s="67"/>
      <c r="R359" s="67"/>
      <c r="S359" s="67"/>
      <c r="T359" s="67"/>
      <c r="U359" s="67"/>
      <c r="V359" s="67"/>
      <c r="W359" s="67"/>
      <c r="X359" s="67"/>
      <c r="Y359" s="67"/>
      <c r="Z359" s="67"/>
      <c r="AA359" s="67"/>
      <c r="AB359" s="67"/>
      <c r="AC359" s="67"/>
      <c r="AD359" s="67"/>
      <c r="AE359" s="67"/>
      <c r="AF359" s="67"/>
      <c r="AG359" s="67"/>
      <c r="AH359" s="67"/>
      <c r="AI359" s="67"/>
      <c r="AJ359" s="67"/>
      <c r="AK359" s="67"/>
      <c r="AL359" s="67"/>
      <c r="AM359" s="67"/>
      <c r="AN359" s="67"/>
      <c r="AO359" s="67"/>
      <c r="AP359" s="67"/>
    </row>
    <row r="360" customFormat="false" ht="12.75" hidden="false" customHeight="false" outlineLevel="0" collapsed="false">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row>
    <row r="361" customFormat="false" ht="12.75" hidden="false" customHeight="false" outlineLevel="0" collapsed="false">
      <c r="E361" s="67"/>
      <c r="F361" s="67"/>
      <c r="G361" s="67"/>
      <c r="H361" s="67"/>
      <c r="I361" s="67"/>
      <c r="J361" s="67"/>
      <c r="K361" s="67"/>
      <c r="L361" s="67"/>
      <c r="M361" s="67"/>
      <c r="N361" s="67"/>
      <c r="O361" s="67"/>
      <c r="P361" s="67"/>
      <c r="Q361" s="67"/>
      <c r="R361" s="67"/>
      <c r="S361" s="67"/>
      <c r="T361" s="67"/>
      <c r="U361" s="67"/>
      <c r="V361" s="67"/>
      <c r="W361" s="67"/>
      <c r="X361" s="67"/>
      <c r="Y361" s="67"/>
      <c r="Z361" s="67"/>
      <c r="AA361" s="67"/>
      <c r="AB361" s="67"/>
      <c r="AC361" s="67"/>
      <c r="AD361" s="67"/>
      <c r="AE361" s="67"/>
      <c r="AF361" s="67"/>
      <c r="AG361" s="67"/>
      <c r="AH361" s="67"/>
      <c r="AI361" s="67"/>
      <c r="AJ361" s="67"/>
      <c r="AK361" s="67"/>
      <c r="AL361" s="67"/>
      <c r="AM361" s="67"/>
      <c r="AN361" s="67"/>
      <c r="AO361" s="67"/>
      <c r="AP361" s="67"/>
    </row>
    <row r="362" customFormat="false" ht="12.75" hidden="false" customHeight="false" outlineLevel="0" collapsed="false">
      <c r="E362" s="67"/>
      <c r="F362" s="67"/>
      <c r="G362" s="67"/>
      <c r="H362" s="67"/>
      <c r="I362" s="67"/>
      <c r="J362" s="67"/>
      <c r="K362" s="67"/>
      <c r="L362" s="67"/>
      <c r="M362" s="67"/>
      <c r="N362" s="67"/>
      <c r="O362" s="67"/>
      <c r="P362" s="67"/>
      <c r="Q362" s="67"/>
      <c r="R362" s="67"/>
      <c r="S362" s="67"/>
      <c r="T362" s="67"/>
      <c r="U362" s="67"/>
      <c r="V362" s="67"/>
      <c r="W362" s="67"/>
      <c r="X362" s="67"/>
      <c r="Y362" s="67"/>
      <c r="Z362" s="67"/>
      <c r="AA362" s="67"/>
      <c r="AB362" s="67"/>
      <c r="AC362" s="67"/>
      <c r="AD362" s="67"/>
      <c r="AE362" s="67"/>
      <c r="AF362" s="67"/>
      <c r="AG362" s="67"/>
      <c r="AH362" s="67"/>
      <c r="AI362" s="67"/>
      <c r="AJ362" s="67"/>
      <c r="AK362" s="67"/>
      <c r="AL362" s="67"/>
      <c r="AM362" s="67"/>
      <c r="AN362" s="67"/>
      <c r="AO362" s="67"/>
      <c r="AP362" s="67"/>
    </row>
    <row r="363" customFormat="false" ht="12.75" hidden="false" customHeight="false" outlineLevel="0" collapsed="false">
      <c r="E363" s="67"/>
      <c r="F363" s="67"/>
      <c r="G363" s="67"/>
      <c r="H363" s="67"/>
      <c r="I363" s="67"/>
      <c r="J363" s="67"/>
      <c r="K363" s="67"/>
      <c r="L363" s="67"/>
      <c r="M363" s="67"/>
      <c r="N363" s="67"/>
      <c r="O363" s="67"/>
      <c r="P363" s="67"/>
      <c r="Q363" s="67"/>
      <c r="R363" s="67"/>
      <c r="S363" s="67"/>
      <c r="T363" s="67"/>
      <c r="U363" s="67"/>
      <c r="V363" s="67"/>
      <c r="W363" s="67"/>
      <c r="X363" s="67"/>
      <c r="Y363" s="67"/>
      <c r="Z363" s="67"/>
      <c r="AA363" s="67"/>
      <c r="AB363" s="67"/>
      <c r="AC363" s="67"/>
      <c r="AD363" s="67"/>
      <c r="AE363" s="67"/>
      <c r="AF363" s="67"/>
      <c r="AG363" s="67"/>
      <c r="AH363" s="67"/>
      <c r="AI363" s="67"/>
      <c r="AJ363" s="67"/>
      <c r="AK363" s="67"/>
      <c r="AL363" s="67"/>
      <c r="AM363" s="67"/>
      <c r="AN363" s="67"/>
      <c r="AO363" s="67"/>
      <c r="AP363" s="67"/>
    </row>
    <row r="364" customFormat="false" ht="12.75" hidden="false" customHeight="false" outlineLevel="0" collapsed="false">
      <c r="E364" s="67"/>
      <c r="F364" s="67"/>
      <c r="G364" s="67"/>
      <c r="H364" s="67"/>
      <c r="I364" s="67"/>
      <c r="J364" s="67"/>
      <c r="K364" s="67"/>
      <c r="L364" s="67"/>
      <c r="M364" s="67"/>
      <c r="N364" s="67"/>
      <c r="O364" s="67"/>
      <c r="P364" s="67"/>
      <c r="Q364" s="67"/>
      <c r="R364" s="67"/>
      <c r="S364" s="67"/>
      <c r="T364" s="67"/>
      <c r="U364" s="67"/>
      <c r="V364" s="67"/>
      <c r="W364" s="67"/>
      <c r="X364" s="67"/>
      <c r="Y364" s="67"/>
      <c r="Z364" s="67"/>
      <c r="AA364" s="67"/>
      <c r="AB364" s="67"/>
      <c r="AC364" s="67"/>
      <c r="AD364" s="67"/>
      <c r="AE364" s="67"/>
      <c r="AF364" s="67"/>
      <c r="AG364" s="67"/>
      <c r="AH364" s="67"/>
      <c r="AI364" s="67"/>
      <c r="AJ364" s="67"/>
      <c r="AK364" s="67"/>
      <c r="AL364" s="67"/>
      <c r="AM364" s="67"/>
      <c r="AN364" s="67"/>
      <c r="AO364" s="67"/>
      <c r="AP364" s="67"/>
    </row>
    <row r="365" customFormat="false" ht="12.75" hidden="false" customHeight="false" outlineLevel="0" collapsed="false">
      <c r="E365" s="67"/>
      <c r="F365" s="67"/>
      <c r="G365" s="67"/>
      <c r="H365" s="67"/>
      <c r="I365" s="67"/>
      <c r="J365" s="67"/>
      <c r="K365" s="67"/>
      <c r="L365" s="67"/>
      <c r="M365" s="67"/>
      <c r="N365" s="67"/>
      <c r="O365" s="67"/>
      <c r="P365" s="67"/>
      <c r="Q365" s="67"/>
      <c r="R365" s="67"/>
      <c r="S365" s="67"/>
      <c r="T365" s="67"/>
      <c r="U365" s="67"/>
      <c r="V365" s="67"/>
      <c r="W365" s="67"/>
      <c r="X365" s="67"/>
      <c r="Y365" s="67"/>
      <c r="Z365" s="67"/>
      <c r="AA365" s="67"/>
      <c r="AB365" s="67"/>
      <c r="AC365" s="67"/>
      <c r="AD365" s="67"/>
      <c r="AE365" s="67"/>
      <c r="AF365" s="67"/>
      <c r="AG365" s="67"/>
      <c r="AH365" s="67"/>
      <c r="AI365" s="67"/>
      <c r="AJ365" s="67"/>
      <c r="AK365" s="67"/>
      <c r="AL365" s="67"/>
      <c r="AM365" s="67"/>
      <c r="AN365" s="67"/>
      <c r="AO365" s="67"/>
      <c r="AP365" s="67"/>
    </row>
    <row r="366" customFormat="false" ht="12.75" hidden="false" customHeight="false" outlineLevel="0" collapsed="false">
      <c r="E366" s="67"/>
      <c r="F366" s="67"/>
      <c r="G366" s="67"/>
      <c r="H366" s="67"/>
      <c r="I366" s="67"/>
      <c r="J366" s="67"/>
      <c r="K366" s="67"/>
      <c r="L366" s="67"/>
      <c r="M366" s="67"/>
      <c r="N366" s="67"/>
      <c r="O366" s="67"/>
      <c r="P366" s="67"/>
      <c r="Q366" s="67"/>
      <c r="R366" s="67"/>
      <c r="S366" s="67"/>
      <c r="T366" s="67"/>
      <c r="U366" s="67"/>
      <c r="V366" s="67"/>
      <c r="W366" s="67"/>
      <c r="X366" s="67"/>
      <c r="Y366" s="67"/>
      <c r="Z366" s="67"/>
      <c r="AA366" s="67"/>
      <c r="AB366" s="67"/>
      <c r="AC366" s="67"/>
      <c r="AD366" s="67"/>
      <c r="AE366" s="67"/>
      <c r="AF366" s="67"/>
      <c r="AG366" s="67"/>
      <c r="AH366" s="67"/>
      <c r="AI366" s="67"/>
      <c r="AJ366" s="67"/>
      <c r="AK366" s="67"/>
      <c r="AL366" s="67"/>
      <c r="AM366" s="67"/>
      <c r="AN366" s="67"/>
      <c r="AO366" s="67"/>
      <c r="AP366" s="67"/>
    </row>
    <row r="367" customFormat="false" ht="12.75" hidden="false" customHeight="false" outlineLevel="0" collapsed="false">
      <c r="E367" s="67"/>
      <c r="F367" s="67"/>
      <c r="G367" s="67"/>
      <c r="H367" s="67"/>
      <c r="I367" s="67"/>
      <c r="J367" s="67"/>
      <c r="K367" s="67"/>
      <c r="L367" s="67"/>
      <c r="M367" s="67"/>
      <c r="N367" s="67"/>
      <c r="O367" s="67"/>
      <c r="P367" s="67"/>
      <c r="Q367" s="67"/>
      <c r="R367" s="67"/>
      <c r="S367" s="67"/>
      <c r="T367" s="67"/>
      <c r="U367" s="67"/>
      <c r="V367" s="67"/>
      <c r="W367" s="67"/>
      <c r="X367" s="67"/>
      <c r="Y367" s="67"/>
      <c r="Z367" s="67"/>
      <c r="AA367" s="67"/>
      <c r="AB367" s="67"/>
      <c r="AC367" s="67"/>
      <c r="AD367" s="67"/>
      <c r="AE367" s="67"/>
      <c r="AF367" s="67"/>
      <c r="AG367" s="67"/>
      <c r="AH367" s="67"/>
      <c r="AI367" s="67"/>
      <c r="AJ367" s="67"/>
      <c r="AK367" s="67"/>
      <c r="AL367" s="67"/>
      <c r="AM367" s="67"/>
      <c r="AN367" s="67"/>
      <c r="AO367" s="67"/>
      <c r="AP367" s="67"/>
    </row>
    <row r="368" customFormat="false" ht="12.75" hidden="false" customHeight="false" outlineLevel="0" collapsed="false">
      <c r="E368" s="67"/>
      <c r="F368" s="67"/>
      <c r="G368" s="67"/>
      <c r="H368" s="67"/>
      <c r="I368" s="67"/>
      <c r="J368" s="67"/>
      <c r="K368" s="67"/>
      <c r="L368" s="67"/>
      <c r="M368" s="67"/>
      <c r="N368" s="67"/>
      <c r="O368" s="67"/>
      <c r="P368" s="67"/>
      <c r="Q368" s="67"/>
      <c r="R368" s="67"/>
      <c r="S368" s="67"/>
      <c r="T368" s="67"/>
      <c r="U368" s="67"/>
      <c r="V368" s="67"/>
      <c r="W368" s="67"/>
      <c r="X368" s="67"/>
      <c r="Y368" s="67"/>
      <c r="Z368" s="67"/>
      <c r="AA368" s="67"/>
      <c r="AB368" s="67"/>
      <c r="AC368" s="67"/>
      <c r="AD368" s="67"/>
      <c r="AE368" s="67"/>
      <c r="AF368" s="67"/>
      <c r="AG368" s="67"/>
      <c r="AH368" s="67"/>
      <c r="AI368" s="67"/>
      <c r="AJ368" s="67"/>
      <c r="AK368" s="67"/>
      <c r="AL368" s="67"/>
      <c r="AM368" s="67"/>
      <c r="AN368" s="67"/>
      <c r="AO368" s="67"/>
      <c r="AP368" s="67"/>
    </row>
    <row r="369" customFormat="false" ht="12.75" hidden="false" customHeight="false" outlineLevel="0" collapsed="false">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row>
    <row r="370" customFormat="false" ht="12.75" hidden="false" customHeight="false" outlineLevel="0" collapsed="false">
      <c r="E370" s="67"/>
      <c r="F370" s="67"/>
      <c r="G370" s="67"/>
      <c r="H370" s="67"/>
      <c r="I370" s="67"/>
      <c r="J370" s="67"/>
      <c r="K370" s="67"/>
      <c r="L370" s="67"/>
      <c r="M370" s="67"/>
      <c r="N370" s="67"/>
      <c r="O370" s="67"/>
      <c r="P370" s="67"/>
      <c r="Q370" s="67"/>
      <c r="R370" s="67"/>
      <c r="S370" s="67"/>
      <c r="T370" s="67"/>
      <c r="U370" s="67"/>
      <c r="V370" s="67"/>
      <c r="W370" s="67"/>
      <c r="X370" s="67"/>
      <c r="Y370" s="67"/>
      <c r="Z370" s="67"/>
      <c r="AA370" s="67"/>
      <c r="AB370" s="67"/>
      <c r="AC370" s="67"/>
      <c r="AD370" s="67"/>
      <c r="AE370" s="67"/>
      <c r="AF370" s="67"/>
      <c r="AG370" s="67"/>
      <c r="AH370" s="67"/>
      <c r="AI370" s="67"/>
      <c r="AJ370" s="67"/>
      <c r="AK370" s="67"/>
      <c r="AL370" s="67"/>
      <c r="AM370" s="67"/>
      <c r="AN370" s="67"/>
      <c r="AO370" s="67"/>
      <c r="AP370" s="67"/>
    </row>
    <row r="371" customFormat="false" ht="12.75" hidden="false" customHeight="false" outlineLevel="0" collapsed="false">
      <c r="E371" s="67"/>
      <c r="F371" s="67"/>
      <c r="G371" s="67"/>
      <c r="H371" s="67"/>
      <c r="I371" s="67"/>
      <c r="J371" s="67"/>
      <c r="K371" s="67"/>
      <c r="L371" s="67"/>
      <c r="M371" s="67"/>
      <c r="N371" s="67"/>
      <c r="O371" s="67"/>
      <c r="P371" s="67"/>
      <c r="Q371" s="67"/>
      <c r="R371" s="67"/>
      <c r="S371" s="67"/>
      <c r="T371" s="67"/>
      <c r="U371" s="67"/>
      <c r="V371" s="67"/>
      <c r="W371" s="67"/>
      <c r="X371" s="67"/>
      <c r="Y371" s="67"/>
      <c r="Z371" s="67"/>
      <c r="AA371" s="67"/>
      <c r="AB371" s="67"/>
      <c r="AC371" s="67"/>
      <c r="AD371" s="67"/>
      <c r="AE371" s="67"/>
      <c r="AF371" s="67"/>
      <c r="AG371" s="67"/>
      <c r="AH371" s="67"/>
      <c r="AI371" s="67"/>
      <c r="AJ371" s="67"/>
      <c r="AK371" s="67"/>
      <c r="AL371" s="67"/>
      <c r="AM371" s="67"/>
      <c r="AN371" s="67"/>
      <c r="AO371" s="67"/>
      <c r="AP371" s="67"/>
    </row>
    <row r="372" customFormat="false" ht="12.75" hidden="false" customHeight="false" outlineLevel="0" collapsed="false">
      <c r="E372" s="67"/>
      <c r="F372" s="67"/>
      <c r="G372" s="67"/>
      <c r="H372" s="67"/>
      <c r="I372" s="67"/>
      <c r="J372" s="67"/>
      <c r="K372" s="67"/>
      <c r="L372" s="67"/>
      <c r="M372" s="67"/>
      <c r="N372" s="67"/>
      <c r="O372" s="67"/>
      <c r="P372" s="67"/>
      <c r="Q372" s="67"/>
      <c r="R372" s="67"/>
      <c r="S372" s="67"/>
      <c r="T372" s="67"/>
      <c r="U372" s="67"/>
      <c r="V372" s="67"/>
      <c r="W372" s="67"/>
      <c r="X372" s="67"/>
      <c r="Y372" s="67"/>
      <c r="Z372" s="67"/>
      <c r="AA372" s="67"/>
      <c r="AB372" s="67"/>
      <c r="AC372" s="67"/>
      <c r="AD372" s="67"/>
      <c r="AE372" s="67"/>
      <c r="AF372" s="67"/>
      <c r="AG372" s="67"/>
      <c r="AH372" s="67"/>
      <c r="AI372" s="67"/>
      <c r="AJ372" s="67"/>
      <c r="AK372" s="67"/>
      <c r="AL372" s="67"/>
      <c r="AM372" s="67"/>
      <c r="AN372" s="67"/>
      <c r="AO372" s="67"/>
      <c r="AP372" s="67"/>
    </row>
    <row r="373" customFormat="false" ht="12.75" hidden="false" customHeight="false" outlineLevel="0" collapsed="false">
      <c r="E373" s="67"/>
      <c r="F373" s="67"/>
      <c r="G373" s="67"/>
      <c r="H373" s="67"/>
      <c r="I373" s="67"/>
      <c r="J373" s="67"/>
      <c r="K373" s="67"/>
      <c r="L373" s="67"/>
      <c r="M373" s="67"/>
      <c r="N373" s="67"/>
      <c r="O373" s="67"/>
      <c r="P373" s="67"/>
      <c r="Q373" s="67"/>
      <c r="R373" s="67"/>
      <c r="S373" s="67"/>
      <c r="T373" s="67"/>
      <c r="U373" s="67"/>
      <c r="V373" s="67"/>
      <c r="W373" s="67"/>
      <c r="X373" s="67"/>
      <c r="Y373" s="67"/>
      <c r="Z373" s="67"/>
      <c r="AA373" s="67"/>
      <c r="AB373" s="67"/>
      <c r="AC373" s="67"/>
      <c r="AD373" s="67"/>
      <c r="AE373" s="67"/>
      <c r="AF373" s="67"/>
      <c r="AG373" s="67"/>
      <c r="AH373" s="67"/>
      <c r="AI373" s="67"/>
      <c r="AJ373" s="67"/>
      <c r="AK373" s="67"/>
      <c r="AL373" s="67"/>
      <c r="AM373" s="67"/>
      <c r="AN373" s="67"/>
      <c r="AO373" s="67"/>
      <c r="AP373" s="67"/>
    </row>
    <row r="374" customFormat="false" ht="12.75" hidden="false" customHeight="false" outlineLevel="0" collapsed="false">
      <c r="E374" s="67"/>
      <c r="F374" s="67"/>
      <c r="G374" s="67"/>
      <c r="H374" s="67"/>
      <c r="I374" s="67"/>
      <c r="J374" s="67"/>
      <c r="K374" s="67"/>
      <c r="L374" s="67"/>
      <c r="M374" s="67"/>
      <c r="N374" s="67"/>
      <c r="O374" s="67"/>
      <c r="P374" s="67"/>
      <c r="Q374" s="67"/>
      <c r="R374" s="67"/>
      <c r="S374" s="67"/>
      <c r="T374" s="67"/>
      <c r="U374" s="67"/>
      <c r="V374" s="67"/>
      <c r="W374" s="67"/>
      <c r="X374" s="67"/>
      <c r="Y374" s="67"/>
      <c r="Z374" s="67"/>
      <c r="AA374" s="67"/>
      <c r="AB374" s="67"/>
      <c r="AC374" s="67"/>
      <c r="AD374" s="67"/>
      <c r="AE374" s="67"/>
      <c r="AF374" s="67"/>
      <c r="AG374" s="67"/>
      <c r="AH374" s="67"/>
      <c r="AI374" s="67"/>
      <c r="AJ374" s="67"/>
      <c r="AK374" s="67"/>
      <c r="AL374" s="67"/>
      <c r="AM374" s="67"/>
      <c r="AN374" s="67"/>
      <c r="AO374" s="67"/>
      <c r="AP374" s="67"/>
    </row>
    <row r="375" customFormat="false" ht="12.75" hidden="false" customHeight="false" outlineLevel="0" collapsed="false">
      <c r="E375" s="67"/>
      <c r="F375" s="67"/>
      <c r="G375" s="67"/>
      <c r="H375" s="67"/>
      <c r="I375" s="67"/>
      <c r="J375" s="67"/>
      <c r="K375" s="67"/>
      <c r="L375" s="67"/>
      <c r="M375" s="67"/>
      <c r="N375" s="67"/>
      <c r="O375" s="67"/>
      <c r="P375" s="67"/>
      <c r="Q375" s="67"/>
      <c r="R375" s="67"/>
      <c r="S375" s="67"/>
      <c r="T375" s="67"/>
      <c r="U375" s="67"/>
      <c r="V375" s="67"/>
      <c r="W375" s="67"/>
      <c r="X375" s="67"/>
      <c r="Y375" s="67"/>
      <c r="Z375" s="67"/>
      <c r="AA375" s="67"/>
      <c r="AB375" s="67"/>
      <c r="AC375" s="67"/>
      <c r="AD375" s="67"/>
      <c r="AE375" s="67"/>
      <c r="AF375" s="67"/>
      <c r="AG375" s="67"/>
      <c r="AH375" s="67"/>
      <c r="AI375" s="67"/>
      <c r="AJ375" s="67"/>
      <c r="AK375" s="67"/>
      <c r="AL375" s="67"/>
      <c r="AM375" s="67"/>
      <c r="AN375" s="67"/>
      <c r="AO375" s="67"/>
      <c r="AP375" s="67"/>
    </row>
    <row r="376" customFormat="false" ht="12.75" hidden="false" customHeight="false" outlineLevel="0" collapsed="false">
      <c r="E376" s="67"/>
      <c r="F376" s="67"/>
      <c r="G376" s="67"/>
      <c r="H376" s="67"/>
      <c r="I376" s="67"/>
      <c r="J376" s="67"/>
      <c r="K376" s="67"/>
      <c r="L376" s="67"/>
      <c r="M376" s="67"/>
      <c r="N376" s="67"/>
      <c r="O376" s="67"/>
      <c r="P376" s="67"/>
      <c r="Q376" s="67"/>
      <c r="R376" s="67"/>
      <c r="S376" s="67"/>
      <c r="T376" s="67"/>
      <c r="U376" s="67"/>
      <c r="V376" s="67"/>
      <c r="W376" s="67"/>
      <c r="X376" s="67"/>
      <c r="Y376" s="67"/>
      <c r="Z376" s="67"/>
      <c r="AA376" s="67"/>
      <c r="AB376" s="67"/>
      <c r="AC376" s="67"/>
      <c r="AD376" s="67"/>
      <c r="AE376" s="67"/>
      <c r="AF376" s="67"/>
      <c r="AG376" s="67"/>
      <c r="AH376" s="67"/>
      <c r="AI376" s="67"/>
      <c r="AJ376" s="67"/>
      <c r="AK376" s="67"/>
      <c r="AL376" s="67"/>
      <c r="AM376" s="67"/>
      <c r="AN376" s="67"/>
      <c r="AO376" s="67"/>
      <c r="AP376" s="67"/>
    </row>
    <row r="377" customFormat="false" ht="12.75" hidden="false" customHeight="false" outlineLevel="0" collapsed="false">
      <c r="E377" s="67"/>
      <c r="F377" s="67"/>
      <c r="G377" s="67"/>
      <c r="H377" s="67"/>
      <c r="I377" s="67"/>
      <c r="J377" s="67"/>
      <c r="K377" s="67"/>
      <c r="L377" s="67"/>
      <c r="M377" s="67"/>
      <c r="N377" s="67"/>
      <c r="O377" s="67"/>
      <c r="P377" s="67"/>
      <c r="Q377" s="67"/>
      <c r="R377" s="67"/>
      <c r="S377" s="67"/>
      <c r="T377" s="67"/>
      <c r="U377" s="67"/>
      <c r="V377" s="67"/>
      <c r="W377" s="67"/>
      <c r="X377" s="67"/>
      <c r="Y377" s="67"/>
      <c r="Z377" s="67"/>
      <c r="AA377" s="67"/>
      <c r="AB377" s="67"/>
      <c r="AC377" s="67"/>
      <c r="AD377" s="67"/>
      <c r="AE377" s="67"/>
      <c r="AF377" s="67"/>
      <c r="AG377" s="67"/>
      <c r="AH377" s="67"/>
      <c r="AI377" s="67"/>
      <c r="AJ377" s="67"/>
      <c r="AK377" s="67"/>
      <c r="AL377" s="67"/>
      <c r="AM377" s="67"/>
      <c r="AN377" s="67"/>
      <c r="AO377" s="67"/>
      <c r="AP377" s="67"/>
    </row>
    <row r="378" customFormat="false" ht="12.75" hidden="false" customHeight="false" outlineLevel="0" collapsed="false">
      <c r="E378" s="67"/>
      <c r="F378" s="67"/>
      <c r="G378" s="67"/>
      <c r="H378" s="67"/>
      <c r="I378" s="67"/>
      <c r="J378" s="67"/>
      <c r="K378" s="67"/>
      <c r="L378" s="67"/>
      <c r="M378" s="67"/>
      <c r="N378" s="67"/>
      <c r="O378" s="67"/>
      <c r="P378" s="67"/>
      <c r="Q378" s="67"/>
      <c r="R378" s="67"/>
      <c r="S378" s="67"/>
      <c r="T378" s="67"/>
      <c r="U378" s="67"/>
      <c r="V378" s="67"/>
      <c r="W378" s="67"/>
      <c r="X378" s="67"/>
      <c r="Y378" s="67"/>
      <c r="Z378" s="67"/>
      <c r="AA378" s="67"/>
      <c r="AB378" s="67"/>
      <c r="AC378" s="67"/>
      <c r="AD378" s="67"/>
      <c r="AE378" s="67"/>
      <c r="AF378" s="67"/>
      <c r="AG378" s="67"/>
      <c r="AH378" s="67"/>
      <c r="AI378" s="67"/>
      <c r="AJ378" s="67"/>
      <c r="AK378" s="67"/>
      <c r="AL378" s="67"/>
      <c r="AM378" s="67"/>
      <c r="AN378" s="67"/>
      <c r="AO378" s="67"/>
      <c r="AP378" s="67"/>
    </row>
    <row r="379" customFormat="false" ht="12.75" hidden="false" customHeight="false" outlineLevel="0" collapsed="false">
      <c r="E379" s="67"/>
      <c r="F379" s="67"/>
      <c r="G379" s="67"/>
      <c r="H379" s="67"/>
      <c r="I379" s="67"/>
      <c r="J379" s="67"/>
      <c r="K379" s="67"/>
      <c r="L379" s="67"/>
      <c r="M379" s="67"/>
      <c r="N379" s="67"/>
      <c r="O379" s="67"/>
      <c r="P379" s="67"/>
      <c r="Q379" s="67"/>
      <c r="R379" s="67"/>
      <c r="S379" s="67"/>
      <c r="T379" s="67"/>
      <c r="U379" s="67"/>
      <c r="V379" s="67"/>
      <c r="W379" s="67"/>
      <c r="X379" s="67"/>
      <c r="Y379" s="67"/>
      <c r="Z379" s="67"/>
      <c r="AA379" s="67"/>
      <c r="AB379" s="67"/>
      <c r="AC379" s="67"/>
      <c r="AD379" s="67"/>
      <c r="AE379" s="67"/>
      <c r="AF379" s="67"/>
      <c r="AG379" s="67"/>
      <c r="AH379" s="67"/>
      <c r="AI379" s="67"/>
      <c r="AJ379" s="67"/>
      <c r="AK379" s="67"/>
      <c r="AL379" s="67"/>
      <c r="AM379" s="67"/>
      <c r="AN379" s="67"/>
      <c r="AO379" s="67"/>
      <c r="AP379" s="67"/>
    </row>
    <row r="380" customFormat="false" ht="12.75" hidden="false" customHeight="false" outlineLevel="0" collapsed="false">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row>
    <row r="381" customFormat="false" ht="12.75" hidden="false" customHeight="false" outlineLevel="0" collapsed="false">
      <c r="E381" s="67"/>
      <c r="F381" s="67"/>
      <c r="G381" s="67"/>
      <c r="H381" s="67"/>
      <c r="I381" s="67"/>
      <c r="J381" s="67"/>
      <c r="K381" s="67"/>
      <c r="L381" s="67"/>
      <c r="M381" s="67"/>
      <c r="N381" s="67"/>
      <c r="O381" s="67"/>
      <c r="P381" s="67"/>
      <c r="Q381" s="67"/>
      <c r="R381" s="67"/>
      <c r="S381" s="67"/>
      <c r="T381" s="67"/>
      <c r="U381" s="67"/>
      <c r="V381" s="67"/>
      <c r="W381" s="67"/>
      <c r="X381" s="67"/>
      <c r="Y381" s="67"/>
      <c r="Z381" s="67"/>
      <c r="AA381" s="67"/>
      <c r="AB381" s="67"/>
      <c r="AC381" s="67"/>
      <c r="AD381" s="67"/>
      <c r="AE381" s="67"/>
      <c r="AF381" s="67"/>
      <c r="AG381" s="67"/>
      <c r="AH381" s="67"/>
      <c r="AI381" s="67"/>
      <c r="AJ381" s="67"/>
      <c r="AK381" s="67"/>
      <c r="AL381" s="67"/>
      <c r="AM381" s="67"/>
      <c r="AN381" s="67"/>
      <c r="AO381" s="67"/>
      <c r="AP381" s="67"/>
    </row>
    <row r="382" customFormat="false" ht="12.75" hidden="false" customHeight="false" outlineLevel="0" collapsed="false">
      <c r="E382" s="67"/>
      <c r="F382" s="67"/>
      <c r="G382" s="67"/>
      <c r="H382" s="67"/>
      <c r="I382" s="67"/>
      <c r="J382" s="67"/>
      <c r="K382" s="67"/>
      <c r="L382" s="67"/>
      <c r="M382" s="67"/>
      <c r="N382" s="67"/>
      <c r="O382" s="67"/>
      <c r="P382" s="67"/>
      <c r="Q382" s="67"/>
      <c r="R382" s="67"/>
      <c r="S382" s="67"/>
      <c r="T382" s="67"/>
      <c r="U382" s="67"/>
      <c r="V382" s="67"/>
      <c r="W382" s="67"/>
      <c r="X382" s="67"/>
      <c r="Y382" s="67"/>
      <c r="Z382" s="67"/>
      <c r="AA382" s="67"/>
      <c r="AB382" s="67"/>
      <c r="AC382" s="67"/>
      <c r="AD382" s="67"/>
      <c r="AE382" s="67"/>
      <c r="AF382" s="67"/>
      <c r="AG382" s="67"/>
      <c r="AH382" s="67"/>
      <c r="AI382" s="67"/>
      <c r="AJ382" s="67"/>
      <c r="AK382" s="67"/>
      <c r="AL382" s="67"/>
      <c r="AM382" s="67"/>
      <c r="AN382" s="67"/>
      <c r="AO382" s="67"/>
      <c r="AP382" s="67"/>
    </row>
    <row r="383" customFormat="false" ht="12.75" hidden="false" customHeight="false" outlineLevel="0" collapsed="false">
      <c r="E383" s="67"/>
      <c r="F383" s="67"/>
      <c r="G383" s="67"/>
      <c r="H383" s="67"/>
      <c r="I383" s="67"/>
      <c r="J383" s="67"/>
      <c r="K383" s="67"/>
      <c r="L383" s="67"/>
      <c r="M383" s="67"/>
      <c r="N383" s="67"/>
      <c r="O383" s="67"/>
      <c r="P383" s="67"/>
      <c r="Q383" s="67"/>
      <c r="R383" s="67"/>
      <c r="S383" s="67"/>
      <c r="T383" s="67"/>
      <c r="U383" s="67"/>
      <c r="V383" s="67"/>
      <c r="W383" s="67"/>
      <c r="X383" s="67"/>
      <c r="Y383" s="67"/>
      <c r="Z383" s="67"/>
      <c r="AA383" s="67"/>
      <c r="AB383" s="67"/>
      <c r="AC383" s="67"/>
      <c r="AD383" s="67"/>
      <c r="AE383" s="67"/>
      <c r="AF383" s="67"/>
      <c r="AG383" s="67"/>
      <c r="AH383" s="67"/>
      <c r="AI383" s="67"/>
      <c r="AJ383" s="67"/>
      <c r="AK383" s="67"/>
      <c r="AL383" s="67"/>
      <c r="AM383" s="67"/>
      <c r="AN383" s="67"/>
      <c r="AO383" s="67"/>
      <c r="AP383" s="67"/>
    </row>
    <row r="384" customFormat="false" ht="12.75" hidden="false" customHeight="false" outlineLevel="0" collapsed="false">
      <c r="E384" s="67"/>
      <c r="F384" s="67"/>
      <c r="G384" s="67"/>
      <c r="H384" s="67"/>
      <c r="I384" s="67"/>
      <c r="J384" s="67"/>
      <c r="K384" s="67"/>
      <c r="L384" s="67"/>
      <c r="M384" s="67"/>
      <c r="N384" s="67"/>
      <c r="O384" s="67"/>
      <c r="P384" s="67"/>
      <c r="Q384" s="67"/>
      <c r="R384" s="67"/>
      <c r="S384" s="67"/>
      <c r="T384" s="67"/>
      <c r="U384" s="67"/>
      <c r="V384" s="67"/>
      <c r="W384" s="67"/>
      <c r="X384" s="67"/>
      <c r="Y384" s="67"/>
      <c r="Z384" s="67"/>
      <c r="AA384" s="67"/>
      <c r="AB384" s="67"/>
      <c r="AC384" s="67"/>
      <c r="AD384" s="67"/>
      <c r="AE384" s="67"/>
      <c r="AF384" s="67"/>
      <c r="AG384" s="67"/>
      <c r="AH384" s="67"/>
      <c r="AI384" s="67"/>
      <c r="AJ384" s="67"/>
      <c r="AK384" s="67"/>
      <c r="AL384" s="67"/>
      <c r="AM384" s="67"/>
      <c r="AN384" s="67"/>
      <c r="AO384" s="67"/>
      <c r="AP384" s="67"/>
    </row>
    <row r="385" customFormat="false" ht="12.75" hidden="false" customHeight="false" outlineLevel="0" collapsed="false">
      <c r="E385" s="67"/>
      <c r="F385" s="67"/>
      <c r="G385" s="67"/>
      <c r="H385" s="67"/>
      <c r="I385" s="67"/>
      <c r="J385" s="67"/>
      <c r="K385" s="67"/>
      <c r="L385" s="67"/>
      <c r="M385" s="67"/>
      <c r="N385" s="67"/>
      <c r="O385" s="67"/>
      <c r="P385" s="67"/>
      <c r="Q385" s="67"/>
      <c r="R385" s="67"/>
      <c r="S385" s="67"/>
      <c r="T385" s="67"/>
      <c r="U385" s="67"/>
      <c r="V385" s="67"/>
      <c r="W385" s="67"/>
      <c r="X385" s="67"/>
      <c r="Y385" s="67"/>
      <c r="Z385" s="67"/>
      <c r="AA385" s="67"/>
      <c r="AB385" s="67"/>
      <c r="AC385" s="67"/>
      <c r="AD385" s="67"/>
      <c r="AE385" s="67"/>
      <c r="AF385" s="67"/>
      <c r="AG385" s="67"/>
      <c r="AH385" s="67"/>
      <c r="AI385" s="67"/>
      <c r="AJ385" s="67"/>
      <c r="AK385" s="67"/>
      <c r="AL385" s="67"/>
      <c r="AM385" s="67"/>
      <c r="AN385" s="67"/>
      <c r="AO385" s="67"/>
      <c r="AP385" s="67"/>
    </row>
    <row r="386" customFormat="false" ht="12.75" hidden="false" customHeight="false" outlineLevel="0" collapsed="false">
      <c r="E386" s="67"/>
      <c r="F386" s="67"/>
      <c r="G386" s="67"/>
      <c r="H386" s="67"/>
      <c r="I386" s="67"/>
      <c r="J386" s="67"/>
      <c r="K386" s="67"/>
      <c r="L386" s="67"/>
      <c r="M386" s="67"/>
      <c r="N386" s="67"/>
      <c r="O386" s="67"/>
      <c r="P386" s="67"/>
      <c r="Q386" s="67"/>
      <c r="R386" s="67"/>
      <c r="S386" s="67"/>
      <c r="T386" s="67"/>
      <c r="U386" s="67"/>
      <c r="V386" s="67"/>
      <c r="W386" s="67"/>
      <c r="X386" s="67"/>
      <c r="Y386" s="67"/>
      <c r="Z386" s="67"/>
      <c r="AA386" s="67"/>
      <c r="AB386" s="67"/>
      <c r="AC386" s="67"/>
      <c r="AD386" s="67"/>
      <c r="AE386" s="67"/>
      <c r="AF386" s="67"/>
      <c r="AG386" s="67"/>
      <c r="AH386" s="67"/>
      <c r="AI386" s="67"/>
      <c r="AJ386" s="67"/>
      <c r="AK386" s="67"/>
      <c r="AL386" s="67"/>
      <c r="AM386" s="67"/>
      <c r="AN386" s="67"/>
      <c r="AO386" s="67"/>
      <c r="AP386" s="67"/>
    </row>
    <row r="387" customFormat="false" ht="12.75" hidden="false" customHeight="false" outlineLevel="0" collapsed="false">
      <c r="E387" s="67"/>
      <c r="F387" s="67"/>
      <c r="G387" s="67"/>
      <c r="H387" s="67"/>
      <c r="I387" s="67"/>
      <c r="J387" s="67"/>
      <c r="K387" s="67"/>
      <c r="L387" s="67"/>
      <c r="M387" s="67"/>
      <c r="N387" s="67"/>
      <c r="O387" s="67"/>
      <c r="P387" s="67"/>
      <c r="Q387" s="67"/>
      <c r="R387" s="67"/>
      <c r="S387" s="67"/>
      <c r="T387" s="67"/>
      <c r="U387" s="67"/>
      <c r="V387" s="67"/>
      <c r="W387" s="67"/>
      <c r="X387" s="67"/>
      <c r="Y387" s="67"/>
      <c r="Z387" s="67"/>
      <c r="AA387" s="67"/>
      <c r="AB387" s="67"/>
      <c r="AC387" s="67"/>
      <c r="AD387" s="67"/>
      <c r="AE387" s="67"/>
      <c r="AF387" s="67"/>
      <c r="AG387" s="67"/>
      <c r="AH387" s="67"/>
      <c r="AI387" s="67"/>
      <c r="AJ387" s="67"/>
      <c r="AK387" s="67"/>
      <c r="AL387" s="67"/>
      <c r="AM387" s="67"/>
      <c r="AN387" s="67"/>
      <c r="AO387" s="67"/>
      <c r="AP387" s="67"/>
    </row>
    <row r="388" customFormat="false" ht="12.75" hidden="false" customHeight="false" outlineLevel="0" collapsed="false">
      <c r="E388" s="67"/>
      <c r="F388" s="67"/>
      <c r="G388" s="67"/>
      <c r="H388" s="67"/>
      <c r="I388" s="67"/>
      <c r="J388" s="67"/>
      <c r="K388" s="67"/>
      <c r="L388" s="67"/>
      <c r="M388" s="67"/>
      <c r="N388" s="67"/>
      <c r="O388" s="67"/>
      <c r="P388" s="67"/>
      <c r="Q388" s="67"/>
      <c r="R388" s="67"/>
      <c r="S388" s="67"/>
      <c r="T388" s="67"/>
      <c r="U388" s="67"/>
      <c r="V388" s="67"/>
      <c r="W388" s="67"/>
      <c r="X388" s="67"/>
      <c r="Y388" s="67"/>
      <c r="Z388" s="67"/>
      <c r="AA388" s="67"/>
      <c r="AB388" s="67"/>
      <c r="AC388" s="67"/>
      <c r="AD388" s="67"/>
      <c r="AE388" s="67"/>
      <c r="AF388" s="67"/>
      <c r="AG388" s="67"/>
      <c r="AH388" s="67"/>
      <c r="AI388" s="67"/>
      <c r="AJ388" s="67"/>
      <c r="AK388" s="67"/>
      <c r="AL388" s="67"/>
      <c r="AM388" s="67"/>
      <c r="AN388" s="67"/>
      <c r="AO388" s="67"/>
      <c r="AP388" s="67"/>
    </row>
    <row r="389" customFormat="false" ht="12.75" hidden="false" customHeight="false" outlineLevel="0" collapsed="false">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row>
    <row r="390" customFormat="false" ht="12.75" hidden="false" customHeight="false" outlineLevel="0" collapsed="false">
      <c r="E390" s="67"/>
      <c r="F390" s="67"/>
      <c r="G390" s="67"/>
      <c r="H390" s="67"/>
      <c r="I390" s="67"/>
      <c r="J390" s="67"/>
      <c r="K390" s="67"/>
      <c r="L390" s="67"/>
      <c r="M390" s="67"/>
      <c r="N390" s="67"/>
      <c r="O390" s="67"/>
      <c r="P390" s="67"/>
      <c r="Q390" s="67"/>
      <c r="R390" s="67"/>
      <c r="S390" s="67"/>
      <c r="T390" s="67"/>
      <c r="U390" s="67"/>
      <c r="V390" s="67"/>
      <c r="W390" s="67"/>
      <c r="X390" s="67"/>
      <c r="Y390" s="67"/>
      <c r="Z390" s="67"/>
      <c r="AA390" s="67"/>
      <c r="AB390" s="67"/>
      <c r="AC390" s="67"/>
      <c r="AD390" s="67"/>
      <c r="AE390" s="67"/>
      <c r="AF390" s="67"/>
      <c r="AG390" s="67"/>
      <c r="AH390" s="67"/>
      <c r="AI390" s="67"/>
      <c r="AJ390" s="67"/>
      <c r="AK390" s="67"/>
      <c r="AL390" s="67"/>
      <c r="AM390" s="67"/>
      <c r="AN390" s="67"/>
      <c r="AO390" s="67"/>
      <c r="AP390" s="67"/>
    </row>
    <row r="391" customFormat="false" ht="12.75" hidden="false" customHeight="false" outlineLevel="0" collapsed="false">
      <c r="E391" s="67"/>
      <c r="F391" s="67"/>
      <c r="G391" s="67"/>
      <c r="H391" s="67"/>
      <c r="I391" s="67"/>
      <c r="J391" s="67"/>
      <c r="K391" s="67"/>
      <c r="L391" s="67"/>
      <c r="M391" s="67"/>
      <c r="N391" s="67"/>
      <c r="O391" s="67"/>
      <c r="P391" s="67"/>
      <c r="Q391" s="67"/>
      <c r="R391" s="67"/>
      <c r="S391" s="67"/>
      <c r="T391" s="67"/>
      <c r="U391" s="67"/>
      <c r="V391" s="67"/>
      <c r="W391" s="67"/>
      <c r="X391" s="67"/>
      <c r="Y391" s="67"/>
      <c r="Z391" s="67"/>
      <c r="AA391" s="67"/>
      <c r="AB391" s="67"/>
      <c r="AC391" s="67"/>
      <c r="AD391" s="67"/>
      <c r="AE391" s="67"/>
      <c r="AF391" s="67"/>
      <c r="AG391" s="67"/>
      <c r="AH391" s="67"/>
      <c r="AI391" s="67"/>
      <c r="AJ391" s="67"/>
      <c r="AK391" s="67"/>
      <c r="AL391" s="67"/>
      <c r="AM391" s="67"/>
      <c r="AN391" s="67"/>
      <c r="AO391" s="67"/>
      <c r="AP391" s="67"/>
    </row>
    <row r="392" customFormat="false" ht="12.75" hidden="false" customHeight="false" outlineLevel="0" collapsed="false">
      <c r="E392" s="67"/>
      <c r="F392" s="67"/>
      <c r="G392" s="67"/>
      <c r="H392" s="67"/>
      <c r="I392" s="67"/>
      <c r="J392" s="67"/>
      <c r="K392" s="67"/>
      <c r="L392" s="67"/>
      <c r="M392" s="67"/>
      <c r="N392" s="67"/>
      <c r="O392" s="67"/>
      <c r="P392" s="67"/>
      <c r="Q392" s="67"/>
      <c r="R392" s="67"/>
      <c r="S392" s="67"/>
      <c r="T392" s="67"/>
      <c r="U392" s="67"/>
      <c r="V392" s="67"/>
      <c r="W392" s="67"/>
      <c r="X392" s="67"/>
      <c r="Y392" s="67"/>
      <c r="Z392" s="67"/>
      <c r="AA392" s="67"/>
      <c r="AB392" s="67"/>
      <c r="AC392" s="67"/>
      <c r="AD392" s="67"/>
      <c r="AE392" s="67"/>
      <c r="AF392" s="67"/>
      <c r="AG392" s="67"/>
      <c r="AH392" s="67"/>
      <c r="AI392" s="67"/>
      <c r="AJ392" s="67"/>
      <c r="AK392" s="67"/>
      <c r="AL392" s="67"/>
      <c r="AM392" s="67"/>
      <c r="AN392" s="67"/>
      <c r="AO392" s="67"/>
      <c r="AP392" s="67"/>
    </row>
    <row r="393" customFormat="false" ht="12.75" hidden="false" customHeight="false" outlineLevel="0" collapsed="false">
      <c r="E393" s="67"/>
      <c r="F393" s="67"/>
      <c r="G393" s="67"/>
      <c r="H393" s="67"/>
      <c r="I393" s="67"/>
      <c r="J393" s="67"/>
      <c r="K393" s="67"/>
      <c r="L393" s="67"/>
      <c r="M393" s="67"/>
      <c r="N393" s="67"/>
      <c r="O393" s="67"/>
      <c r="P393" s="67"/>
      <c r="Q393" s="67"/>
      <c r="R393" s="67"/>
      <c r="S393" s="67"/>
      <c r="T393" s="67"/>
      <c r="U393" s="67"/>
      <c r="V393" s="67"/>
      <c r="W393" s="67"/>
      <c r="X393" s="67"/>
      <c r="Y393" s="67"/>
      <c r="Z393" s="67"/>
      <c r="AA393" s="67"/>
      <c r="AB393" s="67"/>
      <c r="AC393" s="67"/>
      <c r="AD393" s="67"/>
      <c r="AE393" s="67"/>
      <c r="AF393" s="67"/>
      <c r="AG393" s="67"/>
      <c r="AH393" s="67"/>
      <c r="AI393" s="67"/>
      <c r="AJ393" s="67"/>
      <c r="AK393" s="67"/>
      <c r="AL393" s="67"/>
      <c r="AM393" s="67"/>
      <c r="AN393" s="67"/>
      <c r="AO393" s="67"/>
      <c r="AP393" s="67"/>
    </row>
    <row r="394" customFormat="false" ht="12.75" hidden="false" customHeight="false" outlineLevel="0" collapsed="false">
      <c r="E394" s="67"/>
      <c r="F394" s="67"/>
      <c r="G394" s="67"/>
      <c r="H394" s="67"/>
      <c r="I394" s="67"/>
      <c r="J394" s="67"/>
      <c r="K394" s="67"/>
      <c r="L394" s="67"/>
      <c r="M394" s="67"/>
      <c r="N394" s="67"/>
      <c r="O394" s="67"/>
      <c r="P394" s="67"/>
      <c r="Q394" s="67"/>
      <c r="R394" s="67"/>
      <c r="S394" s="67"/>
      <c r="T394" s="67"/>
      <c r="U394" s="67"/>
      <c r="V394" s="67"/>
      <c r="W394" s="67"/>
      <c r="X394" s="67"/>
      <c r="Y394" s="67"/>
      <c r="Z394" s="67"/>
      <c r="AA394" s="67"/>
      <c r="AB394" s="67"/>
      <c r="AC394" s="67"/>
      <c r="AD394" s="67"/>
      <c r="AE394" s="67"/>
      <c r="AF394" s="67"/>
      <c r="AG394" s="67"/>
      <c r="AH394" s="67"/>
      <c r="AI394" s="67"/>
      <c r="AJ394" s="67"/>
      <c r="AK394" s="67"/>
      <c r="AL394" s="67"/>
      <c r="AM394" s="67"/>
      <c r="AN394" s="67"/>
      <c r="AO394" s="67"/>
      <c r="AP394" s="67"/>
    </row>
    <row r="395" customFormat="false" ht="12.75" hidden="false" customHeight="false" outlineLevel="0" collapsed="false">
      <c r="E395" s="67"/>
      <c r="F395" s="67"/>
      <c r="G395" s="67"/>
      <c r="H395" s="67"/>
      <c r="I395" s="67"/>
      <c r="J395" s="67"/>
      <c r="K395" s="67"/>
      <c r="L395" s="67"/>
      <c r="M395" s="67"/>
      <c r="N395" s="67"/>
      <c r="O395" s="67"/>
      <c r="P395" s="67"/>
      <c r="Q395" s="67"/>
      <c r="R395" s="67"/>
      <c r="S395" s="67"/>
      <c r="T395" s="67"/>
      <c r="U395" s="67"/>
      <c r="V395" s="67"/>
      <c r="W395" s="67"/>
      <c r="X395" s="67"/>
      <c r="Y395" s="67"/>
      <c r="Z395" s="67"/>
      <c r="AA395" s="67"/>
      <c r="AB395" s="67"/>
      <c r="AC395" s="67"/>
      <c r="AD395" s="67"/>
      <c r="AE395" s="67"/>
      <c r="AF395" s="67"/>
      <c r="AG395" s="67"/>
      <c r="AH395" s="67"/>
      <c r="AI395" s="67"/>
      <c r="AJ395" s="67"/>
      <c r="AK395" s="67"/>
      <c r="AL395" s="67"/>
      <c r="AM395" s="67"/>
      <c r="AN395" s="67"/>
      <c r="AO395" s="67"/>
      <c r="AP395" s="67"/>
    </row>
    <row r="396" customFormat="false" ht="12.75" hidden="false" customHeight="false" outlineLevel="0" collapsed="false">
      <c r="E396" s="67"/>
      <c r="F396" s="67"/>
      <c r="G396" s="67"/>
      <c r="H396" s="67"/>
      <c r="I396" s="67"/>
      <c r="J396" s="67"/>
      <c r="K396" s="67"/>
      <c r="L396" s="67"/>
      <c r="M396" s="67"/>
      <c r="N396" s="67"/>
      <c r="O396" s="67"/>
      <c r="P396" s="67"/>
      <c r="Q396" s="67"/>
      <c r="R396" s="67"/>
      <c r="S396" s="67"/>
      <c r="T396" s="67"/>
      <c r="U396" s="67"/>
      <c r="V396" s="67"/>
      <c r="W396" s="67"/>
      <c r="X396" s="67"/>
      <c r="Y396" s="67"/>
      <c r="Z396" s="67"/>
      <c r="AA396" s="67"/>
      <c r="AB396" s="67"/>
      <c r="AC396" s="67"/>
      <c r="AD396" s="67"/>
      <c r="AE396" s="67"/>
      <c r="AF396" s="67"/>
      <c r="AG396" s="67"/>
      <c r="AH396" s="67"/>
      <c r="AI396" s="67"/>
      <c r="AJ396" s="67"/>
      <c r="AK396" s="67"/>
      <c r="AL396" s="67"/>
      <c r="AM396" s="67"/>
      <c r="AN396" s="67"/>
      <c r="AO396" s="67"/>
      <c r="AP396" s="67"/>
    </row>
    <row r="397" customFormat="false" ht="12.75" hidden="false" customHeight="false" outlineLevel="0" collapsed="false">
      <c r="E397" s="67"/>
      <c r="F397" s="67"/>
      <c r="G397" s="67"/>
      <c r="H397" s="67"/>
      <c r="I397" s="67"/>
      <c r="J397" s="67"/>
      <c r="K397" s="67"/>
      <c r="L397" s="67"/>
      <c r="M397" s="67"/>
      <c r="N397" s="67"/>
      <c r="O397" s="67"/>
      <c r="P397" s="67"/>
      <c r="Q397" s="67"/>
      <c r="R397" s="67"/>
      <c r="S397" s="67"/>
      <c r="T397" s="67"/>
      <c r="U397" s="67"/>
      <c r="V397" s="67"/>
      <c r="W397" s="67"/>
      <c r="X397" s="67"/>
      <c r="Y397" s="67"/>
      <c r="Z397" s="67"/>
      <c r="AA397" s="67"/>
      <c r="AB397" s="67"/>
      <c r="AC397" s="67"/>
      <c r="AD397" s="67"/>
      <c r="AE397" s="67"/>
      <c r="AF397" s="67"/>
      <c r="AG397" s="67"/>
      <c r="AH397" s="67"/>
      <c r="AI397" s="67"/>
      <c r="AJ397" s="67"/>
      <c r="AK397" s="67"/>
      <c r="AL397" s="67"/>
      <c r="AM397" s="67"/>
      <c r="AN397" s="67"/>
      <c r="AO397" s="67"/>
      <c r="AP397" s="67"/>
    </row>
    <row r="398" customFormat="false" ht="12.75" hidden="false" customHeight="false" outlineLevel="0" collapsed="false">
      <c r="E398" s="67"/>
      <c r="F398" s="67"/>
      <c r="G398" s="67"/>
      <c r="H398" s="67"/>
      <c r="I398" s="67"/>
      <c r="J398" s="67"/>
      <c r="K398" s="67"/>
      <c r="L398" s="67"/>
      <c r="M398" s="67"/>
      <c r="N398" s="67"/>
      <c r="O398" s="67"/>
      <c r="P398" s="67"/>
      <c r="Q398" s="67"/>
      <c r="R398" s="67"/>
      <c r="S398" s="67"/>
      <c r="T398" s="67"/>
      <c r="U398" s="67"/>
      <c r="V398" s="67"/>
      <c r="W398" s="67"/>
      <c r="X398" s="67"/>
      <c r="Y398" s="67"/>
      <c r="Z398" s="67"/>
      <c r="AA398" s="67"/>
      <c r="AB398" s="67"/>
      <c r="AC398" s="67"/>
      <c r="AD398" s="67"/>
      <c r="AE398" s="67"/>
      <c r="AF398" s="67"/>
      <c r="AG398" s="67"/>
      <c r="AH398" s="67"/>
      <c r="AI398" s="67"/>
      <c r="AJ398" s="67"/>
      <c r="AK398" s="67"/>
      <c r="AL398" s="67"/>
      <c r="AM398" s="67"/>
      <c r="AN398" s="67"/>
      <c r="AO398" s="67"/>
      <c r="AP398" s="67"/>
    </row>
    <row r="399" customFormat="false" ht="12.75" hidden="false" customHeight="false" outlineLevel="0" collapsed="false">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row>
    <row r="400" customFormat="false" ht="12.75" hidden="false" customHeight="false" outlineLevel="0" collapsed="false">
      <c r="E400" s="67"/>
      <c r="F400" s="67"/>
      <c r="G400" s="67"/>
      <c r="H400" s="67"/>
      <c r="I400" s="67"/>
      <c r="J400" s="67"/>
      <c r="K400" s="67"/>
      <c r="L400" s="67"/>
      <c r="M400" s="67"/>
      <c r="N400" s="67"/>
      <c r="O400" s="67"/>
      <c r="P400" s="67"/>
      <c r="Q400" s="67"/>
      <c r="R400" s="67"/>
      <c r="S400" s="67"/>
      <c r="T400" s="67"/>
      <c r="U400" s="67"/>
      <c r="V400" s="67"/>
      <c r="W400" s="67"/>
      <c r="X400" s="67"/>
      <c r="Y400" s="67"/>
      <c r="Z400" s="67"/>
      <c r="AA400" s="67"/>
      <c r="AB400" s="67"/>
      <c r="AC400" s="67"/>
      <c r="AD400" s="67"/>
      <c r="AE400" s="67"/>
      <c r="AF400" s="67"/>
      <c r="AG400" s="67"/>
      <c r="AH400" s="67"/>
      <c r="AI400" s="67"/>
      <c r="AJ400" s="67"/>
      <c r="AK400" s="67"/>
      <c r="AL400" s="67"/>
      <c r="AM400" s="67"/>
      <c r="AN400" s="67"/>
      <c r="AO400" s="67"/>
      <c r="AP400" s="67"/>
    </row>
    <row r="401" customFormat="false" ht="12.75" hidden="false" customHeight="false" outlineLevel="0" collapsed="false">
      <c r="E401" s="67"/>
      <c r="F401" s="67"/>
      <c r="G401" s="67"/>
      <c r="H401" s="67"/>
      <c r="I401" s="67"/>
      <c r="J401" s="67"/>
      <c r="K401" s="67"/>
      <c r="L401" s="67"/>
      <c r="M401" s="67"/>
      <c r="N401" s="67"/>
      <c r="O401" s="67"/>
      <c r="P401" s="67"/>
      <c r="Q401" s="67"/>
      <c r="R401" s="67"/>
      <c r="S401" s="67"/>
      <c r="T401" s="67"/>
      <c r="U401" s="67"/>
      <c r="V401" s="67"/>
      <c r="W401" s="67"/>
      <c r="X401" s="67"/>
      <c r="Y401" s="67"/>
      <c r="Z401" s="67"/>
      <c r="AA401" s="67"/>
      <c r="AB401" s="67"/>
      <c r="AC401" s="67"/>
      <c r="AD401" s="67"/>
      <c r="AE401" s="67"/>
      <c r="AF401" s="67"/>
      <c r="AG401" s="67"/>
      <c r="AH401" s="67"/>
      <c r="AI401" s="67"/>
      <c r="AJ401" s="67"/>
      <c r="AK401" s="67"/>
      <c r="AL401" s="67"/>
      <c r="AM401" s="67"/>
      <c r="AN401" s="67"/>
      <c r="AO401" s="67"/>
      <c r="AP401" s="67"/>
    </row>
    <row r="402" customFormat="false" ht="12.75" hidden="false" customHeight="false" outlineLevel="0" collapsed="false">
      <c r="E402" s="67"/>
      <c r="F402" s="67"/>
      <c r="G402" s="67"/>
      <c r="H402" s="67"/>
      <c r="I402" s="67"/>
      <c r="J402" s="67"/>
      <c r="K402" s="67"/>
      <c r="L402" s="67"/>
      <c r="M402" s="67"/>
      <c r="N402" s="67"/>
      <c r="O402" s="67"/>
      <c r="P402" s="67"/>
      <c r="Q402" s="67"/>
      <c r="R402" s="67"/>
      <c r="S402" s="67"/>
      <c r="T402" s="67"/>
      <c r="U402" s="67"/>
      <c r="V402" s="67"/>
      <c r="W402" s="67"/>
      <c r="X402" s="67"/>
      <c r="Y402" s="67"/>
      <c r="Z402" s="67"/>
      <c r="AA402" s="67"/>
      <c r="AB402" s="67"/>
      <c r="AC402" s="67"/>
      <c r="AD402" s="67"/>
      <c r="AE402" s="67"/>
      <c r="AF402" s="67"/>
      <c r="AG402" s="67"/>
      <c r="AH402" s="67"/>
      <c r="AI402" s="67"/>
      <c r="AJ402" s="67"/>
      <c r="AK402" s="67"/>
      <c r="AL402" s="67"/>
      <c r="AM402" s="67"/>
      <c r="AN402" s="67"/>
      <c r="AO402" s="67"/>
      <c r="AP402" s="67"/>
    </row>
    <row r="403" customFormat="false" ht="12.75" hidden="false" customHeight="false" outlineLevel="0" collapsed="false">
      <c r="E403" s="67"/>
      <c r="F403" s="67"/>
      <c r="G403" s="67"/>
      <c r="H403" s="67"/>
      <c r="I403" s="67"/>
      <c r="J403" s="67"/>
      <c r="K403" s="67"/>
      <c r="L403" s="67"/>
      <c r="M403" s="67"/>
      <c r="N403" s="67"/>
      <c r="O403" s="67"/>
      <c r="P403" s="67"/>
      <c r="Q403" s="67"/>
      <c r="R403" s="67"/>
      <c r="S403" s="67"/>
      <c r="T403" s="67"/>
      <c r="U403" s="67"/>
      <c r="V403" s="67"/>
      <c r="W403" s="67"/>
      <c r="X403" s="67"/>
      <c r="Y403" s="67"/>
      <c r="Z403" s="67"/>
      <c r="AA403" s="67"/>
      <c r="AB403" s="67"/>
      <c r="AC403" s="67"/>
      <c r="AD403" s="67"/>
      <c r="AE403" s="67"/>
      <c r="AF403" s="67"/>
      <c r="AG403" s="67"/>
      <c r="AH403" s="67"/>
      <c r="AI403" s="67"/>
      <c r="AJ403" s="67"/>
      <c r="AK403" s="67"/>
      <c r="AL403" s="67"/>
      <c r="AM403" s="67"/>
      <c r="AN403" s="67"/>
      <c r="AO403" s="67"/>
      <c r="AP403" s="67"/>
    </row>
    <row r="404" customFormat="false" ht="12.75" hidden="false" customHeight="false" outlineLevel="0" collapsed="false">
      <c r="E404" s="67"/>
      <c r="F404" s="67"/>
      <c r="G404" s="67"/>
      <c r="H404" s="67"/>
      <c r="I404" s="67"/>
      <c r="J404" s="67"/>
      <c r="K404" s="67"/>
      <c r="L404" s="67"/>
      <c r="M404" s="67"/>
      <c r="N404" s="67"/>
      <c r="O404" s="67"/>
      <c r="P404" s="67"/>
      <c r="Q404" s="67"/>
      <c r="R404" s="67"/>
      <c r="S404" s="67"/>
      <c r="T404" s="67"/>
      <c r="U404" s="67"/>
      <c r="V404" s="67"/>
      <c r="W404" s="67"/>
      <c r="X404" s="67"/>
      <c r="Y404" s="67"/>
      <c r="Z404" s="67"/>
      <c r="AA404" s="67"/>
      <c r="AB404" s="67"/>
      <c r="AC404" s="67"/>
      <c r="AD404" s="67"/>
      <c r="AE404" s="67"/>
      <c r="AF404" s="67"/>
      <c r="AG404" s="67"/>
      <c r="AH404" s="67"/>
      <c r="AI404" s="67"/>
      <c r="AJ404" s="67"/>
      <c r="AK404" s="67"/>
      <c r="AL404" s="67"/>
      <c r="AM404" s="67"/>
      <c r="AN404" s="67"/>
      <c r="AO404" s="67"/>
      <c r="AP404" s="67"/>
    </row>
    <row r="405" customFormat="false" ht="12.75" hidden="false" customHeight="false" outlineLevel="0" collapsed="false">
      <c r="E405" s="67"/>
      <c r="F405" s="67"/>
      <c r="G405" s="67"/>
      <c r="H405" s="67"/>
      <c r="I405" s="67"/>
      <c r="J405" s="67"/>
      <c r="K405" s="67"/>
      <c r="L405" s="67"/>
      <c r="M405" s="67"/>
      <c r="N405" s="67"/>
      <c r="O405" s="67"/>
      <c r="P405" s="67"/>
      <c r="Q405" s="67"/>
      <c r="R405" s="67"/>
      <c r="S405" s="67"/>
      <c r="T405" s="67"/>
      <c r="U405" s="67"/>
      <c r="V405" s="67"/>
      <c r="W405" s="67"/>
      <c r="X405" s="67"/>
      <c r="Y405" s="67"/>
      <c r="Z405" s="67"/>
      <c r="AA405" s="67"/>
      <c r="AB405" s="67"/>
      <c r="AC405" s="67"/>
      <c r="AD405" s="67"/>
      <c r="AE405" s="67"/>
      <c r="AF405" s="67"/>
      <c r="AG405" s="67"/>
      <c r="AH405" s="67"/>
      <c r="AI405" s="67"/>
      <c r="AJ405" s="67"/>
      <c r="AK405" s="67"/>
      <c r="AL405" s="67"/>
      <c r="AM405" s="67"/>
      <c r="AN405" s="67"/>
      <c r="AO405" s="67"/>
      <c r="AP405" s="67"/>
    </row>
    <row r="406" customFormat="false" ht="12.75" hidden="false" customHeight="false" outlineLevel="0" collapsed="false">
      <c r="E406" s="67"/>
      <c r="F406" s="67"/>
      <c r="G406" s="67"/>
      <c r="H406" s="67"/>
      <c r="I406" s="67"/>
      <c r="J406" s="67"/>
      <c r="K406" s="67"/>
      <c r="L406" s="67"/>
      <c r="M406" s="67"/>
      <c r="N406" s="67"/>
      <c r="O406" s="67"/>
      <c r="P406" s="67"/>
      <c r="Q406" s="67"/>
      <c r="R406" s="67"/>
      <c r="S406" s="67"/>
      <c r="T406" s="67"/>
      <c r="U406" s="67"/>
      <c r="V406" s="67"/>
      <c r="W406" s="67"/>
      <c r="X406" s="67"/>
      <c r="Y406" s="67"/>
      <c r="Z406" s="67"/>
      <c r="AA406" s="67"/>
      <c r="AB406" s="67"/>
      <c r="AC406" s="67"/>
      <c r="AD406" s="67"/>
      <c r="AE406" s="67"/>
      <c r="AF406" s="67"/>
      <c r="AG406" s="67"/>
      <c r="AH406" s="67"/>
      <c r="AI406" s="67"/>
      <c r="AJ406" s="67"/>
      <c r="AK406" s="67"/>
      <c r="AL406" s="67"/>
      <c r="AM406" s="67"/>
      <c r="AN406" s="67"/>
      <c r="AO406" s="67"/>
      <c r="AP406" s="67"/>
    </row>
    <row r="407" customFormat="false" ht="12.75" hidden="false" customHeight="false" outlineLevel="0" collapsed="false">
      <c r="E407" s="67"/>
      <c r="F407" s="67"/>
      <c r="G407" s="67"/>
      <c r="H407" s="67"/>
      <c r="I407" s="67"/>
      <c r="J407" s="67"/>
      <c r="K407" s="67"/>
      <c r="L407" s="67"/>
      <c r="M407" s="67"/>
      <c r="N407" s="67"/>
      <c r="O407" s="67"/>
      <c r="P407" s="67"/>
      <c r="Q407" s="67"/>
      <c r="R407" s="67"/>
      <c r="S407" s="67"/>
      <c r="T407" s="67"/>
      <c r="U407" s="67"/>
      <c r="V407" s="67"/>
      <c r="W407" s="67"/>
      <c r="X407" s="67"/>
      <c r="Y407" s="67"/>
      <c r="Z407" s="67"/>
      <c r="AA407" s="67"/>
      <c r="AB407" s="67"/>
      <c r="AC407" s="67"/>
      <c r="AD407" s="67"/>
      <c r="AE407" s="67"/>
      <c r="AF407" s="67"/>
      <c r="AG407" s="67"/>
      <c r="AH407" s="67"/>
      <c r="AI407" s="67"/>
      <c r="AJ407" s="67"/>
      <c r="AK407" s="67"/>
      <c r="AL407" s="67"/>
      <c r="AM407" s="67"/>
      <c r="AN407" s="67"/>
      <c r="AO407" s="67"/>
      <c r="AP407" s="67"/>
    </row>
    <row r="408" customFormat="false" ht="12.75" hidden="false" customHeight="false" outlineLevel="0" collapsed="false">
      <c r="E408" s="67"/>
      <c r="F408" s="67"/>
      <c r="G408" s="67"/>
      <c r="H408" s="67"/>
      <c r="I408" s="67"/>
      <c r="J408" s="67"/>
      <c r="K408" s="67"/>
      <c r="L408" s="67"/>
      <c r="M408" s="67"/>
      <c r="N408" s="67"/>
      <c r="O408" s="67"/>
      <c r="P408" s="67"/>
      <c r="Q408" s="67"/>
      <c r="R408" s="67"/>
      <c r="S408" s="67"/>
      <c r="T408" s="67"/>
      <c r="U408" s="67"/>
      <c r="V408" s="67"/>
      <c r="W408" s="67"/>
      <c r="X408" s="67"/>
      <c r="Y408" s="67"/>
      <c r="Z408" s="67"/>
      <c r="AA408" s="67"/>
      <c r="AB408" s="67"/>
      <c r="AC408" s="67"/>
      <c r="AD408" s="67"/>
      <c r="AE408" s="67"/>
      <c r="AF408" s="67"/>
      <c r="AG408" s="67"/>
      <c r="AH408" s="67"/>
      <c r="AI408" s="67"/>
      <c r="AJ408" s="67"/>
      <c r="AK408" s="67"/>
      <c r="AL408" s="67"/>
      <c r="AM408" s="67"/>
      <c r="AN408" s="67"/>
      <c r="AO408" s="67"/>
      <c r="AP408" s="67"/>
    </row>
    <row r="409" customFormat="false" ht="12.75" hidden="false" customHeight="false" outlineLevel="0" collapsed="false">
      <c r="E409" s="67"/>
      <c r="F409" s="67"/>
      <c r="G409" s="67"/>
      <c r="H409" s="67"/>
      <c r="I409" s="67"/>
      <c r="J409" s="67"/>
      <c r="K409" s="67"/>
      <c r="L409" s="67"/>
      <c r="M409" s="67"/>
      <c r="N409" s="67"/>
      <c r="O409" s="67"/>
      <c r="P409" s="67"/>
      <c r="Q409" s="67"/>
      <c r="R409" s="67"/>
      <c r="S409" s="67"/>
      <c r="T409" s="67"/>
      <c r="U409" s="67"/>
      <c r="V409" s="67"/>
      <c r="W409" s="67"/>
      <c r="X409" s="67"/>
      <c r="Y409" s="67"/>
      <c r="Z409" s="67"/>
      <c r="AA409" s="67"/>
      <c r="AB409" s="67"/>
      <c r="AC409" s="67"/>
      <c r="AD409" s="67"/>
      <c r="AE409" s="67"/>
      <c r="AF409" s="67"/>
      <c r="AG409" s="67"/>
      <c r="AH409" s="67"/>
      <c r="AI409" s="67"/>
      <c r="AJ409" s="67"/>
      <c r="AK409" s="67"/>
      <c r="AL409" s="67"/>
      <c r="AM409" s="67"/>
      <c r="AN409" s="67"/>
      <c r="AO409" s="67"/>
      <c r="AP409" s="67"/>
    </row>
    <row r="410" customFormat="false" ht="12.75" hidden="false" customHeight="false" outlineLevel="0" collapsed="false">
      <c r="E410" s="67"/>
      <c r="F410" s="67"/>
      <c r="G410" s="67"/>
      <c r="H410" s="67"/>
      <c r="I410" s="67"/>
      <c r="J410" s="67"/>
      <c r="K410" s="67"/>
      <c r="L410" s="67"/>
      <c r="M410" s="67"/>
      <c r="N410" s="67"/>
      <c r="O410" s="67"/>
      <c r="P410" s="67"/>
      <c r="Q410" s="67"/>
      <c r="R410" s="67"/>
      <c r="S410" s="67"/>
      <c r="T410" s="67"/>
      <c r="U410" s="67"/>
      <c r="V410" s="67"/>
      <c r="W410" s="67"/>
      <c r="X410" s="67"/>
      <c r="Y410" s="67"/>
      <c r="Z410" s="67"/>
      <c r="AA410" s="67"/>
      <c r="AB410" s="67"/>
      <c r="AC410" s="67"/>
      <c r="AD410" s="67"/>
      <c r="AE410" s="67"/>
      <c r="AF410" s="67"/>
      <c r="AG410" s="67"/>
      <c r="AH410" s="67"/>
      <c r="AI410" s="67"/>
      <c r="AJ410" s="67"/>
      <c r="AK410" s="67"/>
      <c r="AL410" s="67"/>
      <c r="AM410" s="67"/>
      <c r="AN410" s="67"/>
      <c r="AO410" s="67"/>
      <c r="AP410" s="67"/>
    </row>
    <row r="411" customFormat="false" ht="12.75" hidden="false" customHeight="false" outlineLevel="0" collapsed="false">
      <c r="E411" s="67"/>
      <c r="F411" s="67"/>
      <c r="G411" s="67"/>
      <c r="H411" s="67"/>
      <c r="I411" s="67"/>
      <c r="J411" s="67"/>
      <c r="K411" s="67"/>
      <c r="L411" s="67"/>
      <c r="M411" s="67"/>
      <c r="N411" s="67"/>
      <c r="O411" s="67"/>
      <c r="P411" s="67"/>
      <c r="Q411" s="67"/>
      <c r="R411" s="67"/>
      <c r="S411" s="67"/>
      <c r="T411" s="67"/>
      <c r="U411" s="67"/>
      <c r="V411" s="67"/>
      <c r="W411" s="67"/>
      <c r="X411" s="67"/>
      <c r="Y411" s="67"/>
      <c r="Z411" s="67"/>
      <c r="AA411" s="67"/>
      <c r="AB411" s="67"/>
      <c r="AC411" s="67"/>
      <c r="AD411" s="67"/>
      <c r="AE411" s="67"/>
      <c r="AF411" s="67"/>
      <c r="AG411" s="67"/>
      <c r="AH411" s="67"/>
      <c r="AI411" s="67"/>
      <c r="AJ411" s="67"/>
      <c r="AK411" s="67"/>
      <c r="AL411" s="67"/>
      <c r="AM411" s="67"/>
      <c r="AN411" s="67"/>
      <c r="AO411" s="67"/>
      <c r="AP411" s="67"/>
    </row>
    <row r="412" customFormat="false" ht="12.75" hidden="false" customHeight="false" outlineLevel="0" collapsed="false">
      <c r="E412" s="67"/>
      <c r="F412" s="67"/>
      <c r="G412" s="67"/>
      <c r="H412" s="67"/>
      <c r="I412" s="67"/>
      <c r="J412" s="67"/>
      <c r="K412" s="67"/>
      <c r="L412" s="67"/>
      <c r="M412" s="67"/>
      <c r="N412" s="67"/>
      <c r="O412" s="67"/>
      <c r="P412" s="67"/>
      <c r="Q412" s="67"/>
      <c r="R412" s="67"/>
      <c r="S412" s="67"/>
      <c r="T412" s="67"/>
      <c r="U412" s="67"/>
      <c r="V412" s="67"/>
      <c r="W412" s="67"/>
      <c r="X412" s="67"/>
      <c r="Y412" s="67"/>
      <c r="Z412" s="67"/>
      <c r="AA412" s="67"/>
      <c r="AB412" s="67"/>
      <c r="AC412" s="67"/>
      <c r="AD412" s="67"/>
      <c r="AE412" s="67"/>
      <c r="AF412" s="67"/>
      <c r="AG412" s="67"/>
      <c r="AH412" s="67"/>
      <c r="AI412" s="67"/>
      <c r="AJ412" s="67"/>
      <c r="AK412" s="67"/>
      <c r="AL412" s="67"/>
      <c r="AM412" s="67"/>
      <c r="AN412" s="67"/>
      <c r="AO412" s="67"/>
      <c r="AP412" s="67"/>
    </row>
    <row r="413" customFormat="false" ht="12.75" hidden="false" customHeight="false" outlineLevel="0" collapsed="false">
      <c r="E413" s="67"/>
      <c r="F413" s="67"/>
      <c r="G413" s="67"/>
      <c r="H413" s="67"/>
      <c r="I413" s="67"/>
      <c r="J413" s="67"/>
      <c r="K413" s="67"/>
      <c r="L413" s="67"/>
      <c r="M413" s="67"/>
      <c r="N413" s="67"/>
      <c r="O413" s="67"/>
      <c r="P413" s="67"/>
      <c r="Q413" s="67"/>
      <c r="R413" s="67"/>
      <c r="S413" s="67"/>
      <c r="T413" s="67"/>
      <c r="U413" s="67"/>
      <c r="V413" s="67"/>
      <c r="W413" s="67"/>
      <c r="X413" s="67"/>
      <c r="Y413" s="67"/>
      <c r="Z413" s="67"/>
      <c r="AA413" s="67"/>
      <c r="AB413" s="67"/>
      <c r="AC413" s="67"/>
      <c r="AD413" s="67"/>
      <c r="AE413" s="67"/>
      <c r="AF413" s="67"/>
      <c r="AG413" s="67"/>
      <c r="AH413" s="67"/>
      <c r="AI413" s="67"/>
      <c r="AJ413" s="67"/>
      <c r="AK413" s="67"/>
      <c r="AL413" s="67"/>
      <c r="AM413" s="67"/>
      <c r="AN413" s="67"/>
      <c r="AO413" s="67"/>
      <c r="AP413" s="67"/>
    </row>
    <row r="414" customFormat="false" ht="12.75" hidden="false" customHeight="false" outlineLevel="0" collapsed="false">
      <c r="E414" s="67"/>
      <c r="F414" s="67"/>
      <c r="G414" s="67"/>
      <c r="H414" s="67"/>
      <c r="I414" s="67"/>
      <c r="J414" s="67"/>
      <c r="K414" s="67"/>
      <c r="L414" s="67"/>
      <c r="M414" s="67"/>
      <c r="N414" s="67"/>
      <c r="O414" s="67"/>
      <c r="P414" s="67"/>
      <c r="Q414" s="67"/>
      <c r="R414" s="67"/>
      <c r="S414" s="67"/>
      <c r="T414" s="67"/>
      <c r="U414" s="67"/>
      <c r="V414" s="67"/>
      <c r="W414" s="67"/>
      <c r="X414" s="67"/>
      <c r="Y414" s="67"/>
      <c r="Z414" s="67"/>
      <c r="AA414" s="67"/>
      <c r="AB414" s="67"/>
      <c r="AC414" s="67"/>
      <c r="AD414" s="67"/>
      <c r="AE414" s="67"/>
      <c r="AF414" s="67"/>
      <c r="AG414" s="67"/>
      <c r="AH414" s="67"/>
      <c r="AI414" s="67"/>
      <c r="AJ414" s="67"/>
      <c r="AK414" s="67"/>
      <c r="AL414" s="67"/>
      <c r="AM414" s="67"/>
      <c r="AN414" s="67"/>
      <c r="AO414" s="67"/>
      <c r="AP414" s="67"/>
    </row>
    <row r="415" customFormat="false" ht="12.75" hidden="false" customHeight="false" outlineLevel="0" collapsed="false">
      <c r="E415" s="67"/>
      <c r="F415" s="67"/>
      <c r="G415" s="67"/>
      <c r="H415" s="67"/>
      <c r="I415" s="67"/>
      <c r="J415" s="67"/>
      <c r="K415" s="67"/>
      <c r="L415" s="67"/>
      <c r="M415" s="67"/>
      <c r="N415" s="67"/>
      <c r="O415" s="67"/>
      <c r="P415" s="67"/>
      <c r="Q415" s="67"/>
      <c r="R415" s="67"/>
      <c r="S415" s="67"/>
      <c r="T415" s="67"/>
      <c r="U415" s="67"/>
      <c r="V415" s="67"/>
      <c r="W415" s="67"/>
      <c r="X415" s="67"/>
      <c r="Y415" s="67"/>
      <c r="Z415" s="67"/>
      <c r="AA415" s="67"/>
      <c r="AB415" s="67"/>
      <c r="AC415" s="67"/>
      <c r="AD415" s="67"/>
      <c r="AE415" s="67"/>
      <c r="AF415" s="67"/>
      <c r="AG415" s="67"/>
      <c r="AH415" s="67"/>
      <c r="AI415" s="67"/>
      <c r="AJ415" s="67"/>
      <c r="AK415" s="67"/>
      <c r="AL415" s="67"/>
      <c r="AM415" s="67"/>
      <c r="AN415" s="67"/>
      <c r="AO415" s="67"/>
      <c r="AP415" s="67"/>
    </row>
    <row r="416" customFormat="false" ht="12.75" hidden="false" customHeight="false" outlineLevel="0" collapsed="false">
      <c r="E416" s="67"/>
      <c r="F416" s="67"/>
      <c r="G416" s="67"/>
      <c r="H416" s="67"/>
      <c r="I416" s="67"/>
      <c r="J416" s="67"/>
      <c r="K416" s="67"/>
      <c r="L416" s="67"/>
      <c r="M416" s="67"/>
      <c r="N416" s="67"/>
      <c r="O416" s="67"/>
      <c r="P416" s="67"/>
      <c r="Q416" s="67"/>
      <c r="R416" s="67"/>
      <c r="S416" s="67"/>
      <c r="T416" s="67"/>
      <c r="U416" s="67"/>
      <c r="V416" s="67"/>
      <c r="W416" s="67"/>
      <c r="X416" s="67"/>
      <c r="Y416" s="67"/>
      <c r="Z416" s="67"/>
      <c r="AA416" s="67"/>
      <c r="AB416" s="67"/>
      <c r="AC416" s="67"/>
      <c r="AD416" s="67"/>
      <c r="AE416" s="67"/>
      <c r="AF416" s="67"/>
      <c r="AG416" s="67"/>
      <c r="AH416" s="67"/>
      <c r="AI416" s="67"/>
      <c r="AJ416" s="67"/>
      <c r="AK416" s="67"/>
      <c r="AL416" s="67"/>
      <c r="AM416" s="67"/>
      <c r="AN416" s="67"/>
      <c r="AO416" s="67"/>
      <c r="AP416" s="67"/>
    </row>
    <row r="417" customFormat="false" ht="12.75" hidden="false" customHeight="false" outlineLevel="0" collapsed="false">
      <c r="E417" s="67"/>
      <c r="F417" s="67"/>
      <c r="G417" s="67"/>
      <c r="H417" s="67"/>
      <c r="I417" s="67"/>
      <c r="J417" s="67"/>
      <c r="K417" s="67"/>
      <c r="L417" s="67"/>
      <c r="M417" s="67"/>
      <c r="N417" s="67"/>
      <c r="O417" s="67"/>
      <c r="P417" s="67"/>
      <c r="Q417" s="67"/>
      <c r="R417" s="67"/>
      <c r="S417" s="67"/>
      <c r="T417" s="67"/>
      <c r="U417" s="67"/>
      <c r="V417" s="67"/>
      <c r="W417" s="67"/>
      <c r="X417" s="67"/>
      <c r="Y417" s="67"/>
      <c r="Z417" s="67"/>
      <c r="AA417" s="67"/>
      <c r="AB417" s="67"/>
      <c r="AC417" s="67"/>
      <c r="AD417" s="67"/>
      <c r="AE417" s="67"/>
      <c r="AF417" s="67"/>
      <c r="AG417" s="67"/>
      <c r="AH417" s="67"/>
      <c r="AI417" s="67"/>
      <c r="AJ417" s="67"/>
      <c r="AK417" s="67"/>
      <c r="AL417" s="67"/>
      <c r="AM417" s="67"/>
      <c r="AN417" s="67"/>
      <c r="AO417" s="67"/>
      <c r="AP417" s="67"/>
    </row>
    <row r="418" customFormat="false" ht="12.75" hidden="false" customHeight="false" outlineLevel="0" collapsed="false">
      <c r="E418" s="67"/>
      <c r="F418" s="67"/>
      <c r="G418" s="67"/>
      <c r="H418" s="67"/>
      <c r="I418" s="67"/>
      <c r="J418" s="67"/>
      <c r="K418" s="67"/>
      <c r="L418" s="67"/>
      <c r="M418" s="67"/>
      <c r="N418" s="67"/>
      <c r="O418" s="67"/>
      <c r="P418" s="67"/>
      <c r="Q418" s="67"/>
      <c r="R418" s="67"/>
      <c r="S418" s="67"/>
      <c r="T418" s="67"/>
      <c r="U418" s="67"/>
      <c r="V418" s="67"/>
      <c r="W418" s="67"/>
      <c r="X418" s="67"/>
      <c r="Y418" s="67"/>
      <c r="Z418" s="67"/>
      <c r="AA418" s="67"/>
      <c r="AB418" s="67"/>
      <c r="AC418" s="67"/>
      <c r="AD418" s="67"/>
      <c r="AE418" s="67"/>
      <c r="AF418" s="67"/>
      <c r="AG418" s="67"/>
      <c r="AH418" s="67"/>
      <c r="AI418" s="67"/>
      <c r="AJ418" s="67"/>
      <c r="AK418" s="67"/>
      <c r="AL418" s="67"/>
      <c r="AM418" s="67"/>
      <c r="AN418" s="67"/>
      <c r="AO418" s="67"/>
      <c r="AP418" s="67"/>
    </row>
    <row r="419" customFormat="false" ht="12.75" hidden="false" customHeight="false" outlineLevel="0" collapsed="false">
      <c r="E419" s="67"/>
      <c r="F419" s="67"/>
      <c r="G419" s="67"/>
      <c r="H419" s="67"/>
      <c r="I419" s="67"/>
      <c r="J419" s="67"/>
      <c r="K419" s="67"/>
      <c r="L419" s="67"/>
      <c r="M419" s="67"/>
      <c r="N419" s="67"/>
      <c r="O419" s="67"/>
      <c r="P419" s="67"/>
      <c r="Q419" s="67"/>
      <c r="R419" s="67"/>
      <c r="S419" s="67"/>
      <c r="T419" s="67"/>
      <c r="U419" s="67"/>
      <c r="V419" s="67"/>
      <c r="W419" s="67"/>
      <c r="X419" s="67"/>
      <c r="Y419" s="67"/>
      <c r="Z419" s="67"/>
      <c r="AA419" s="67"/>
      <c r="AB419" s="67"/>
      <c r="AC419" s="67"/>
      <c r="AD419" s="67"/>
      <c r="AE419" s="67"/>
      <c r="AF419" s="67"/>
      <c r="AG419" s="67"/>
      <c r="AH419" s="67"/>
      <c r="AI419" s="67"/>
      <c r="AJ419" s="67"/>
      <c r="AK419" s="67"/>
      <c r="AL419" s="67"/>
      <c r="AM419" s="67"/>
      <c r="AN419" s="67"/>
      <c r="AO419" s="67"/>
      <c r="AP419" s="67"/>
    </row>
    <row r="420" customFormat="false" ht="12.75" hidden="false" customHeight="false" outlineLevel="0" collapsed="false">
      <c r="E420" s="67"/>
      <c r="F420" s="67"/>
      <c r="G420" s="67"/>
      <c r="H420" s="67"/>
      <c r="I420" s="67"/>
      <c r="J420" s="67"/>
      <c r="K420" s="67"/>
      <c r="L420" s="67"/>
      <c r="M420" s="67"/>
      <c r="N420" s="67"/>
      <c r="O420" s="67"/>
      <c r="P420" s="67"/>
      <c r="Q420" s="67"/>
      <c r="R420" s="67"/>
      <c r="S420" s="67"/>
      <c r="T420" s="67"/>
      <c r="U420" s="67"/>
      <c r="V420" s="67"/>
      <c r="W420" s="67"/>
      <c r="X420" s="67"/>
      <c r="Y420" s="67"/>
      <c r="Z420" s="67"/>
      <c r="AA420" s="67"/>
      <c r="AB420" s="67"/>
      <c r="AC420" s="67"/>
      <c r="AD420" s="67"/>
      <c r="AE420" s="67"/>
      <c r="AF420" s="67"/>
      <c r="AG420" s="67"/>
      <c r="AH420" s="67"/>
      <c r="AI420" s="67"/>
      <c r="AJ420" s="67"/>
      <c r="AK420" s="67"/>
      <c r="AL420" s="67"/>
      <c r="AM420" s="67"/>
      <c r="AN420" s="67"/>
      <c r="AO420" s="67"/>
      <c r="AP420" s="67"/>
    </row>
    <row r="421" customFormat="false" ht="12.75" hidden="false" customHeight="false" outlineLevel="0" collapsed="false">
      <c r="E421" s="67"/>
      <c r="F421" s="67"/>
      <c r="G421" s="67"/>
      <c r="H421" s="67"/>
      <c r="I421" s="67"/>
      <c r="J421" s="67"/>
      <c r="K421" s="67"/>
      <c r="L421" s="67"/>
      <c r="M421" s="67"/>
      <c r="N421" s="67"/>
      <c r="O421" s="67"/>
      <c r="P421" s="67"/>
      <c r="Q421" s="67"/>
      <c r="R421" s="67"/>
      <c r="S421" s="67"/>
      <c r="T421" s="67"/>
      <c r="U421" s="67"/>
      <c r="V421" s="67"/>
      <c r="W421" s="67"/>
      <c r="X421" s="67"/>
      <c r="Y421" s="67"/>
      <c r="Z421" s="67"/>
      <c r="AA421" s="67"/>
      <c r="AB421" s="67"/>
      <c r="AC421" s="67"/>
      <c r="AD421" s="67"/>
      <c r="AE421" s="67"/>
      <c r="AF421" s="67"/>
      <c r="AG421" s="67"/>
      <c r="AH421" s="67"/>
      <c r="AI421" s="67"/>
      <c r="AJ421" s="67"/>
      <c r="AK421" s="67"/>
      <c r="AL421" s="67"/>
      <c r="AM421" s="67"/>
      <c r="AN421" s="67"/>
      <c r="AO421" s="67"/>
      <c r="AP421" s="67"/>
    </row>
    <row r="422" customFormat="false" ht="12.75" hidden="false" customHeight="false" outlineLevel="0" collapsed="false">
      <c r="E422" s="67"/>
      <c r="F422" s="67"/>
      <c r="G422" s="67"/>
      <c r="H422" s="67"/>
      <c r="I422" s="67"/>
      <c r="J422" s="67"/>
      <c r="K422" s="67"/>
      <c r="L422" s="67"/>
      <c r="M422" s="67"/>
      <c r="N422" s="67"/>
      <c r="O422" s="67"/>
      <c r="P422" s="67"/>
      <c r="Q422" s="67"/>
      <c r="R422" s="67"/>
      <c r="S422" s="67"/>
      <c r="T422" s="67"/>
      <c r="U422" s="67"/>
      <c r="V422" s="67"/>
      <c r="W422" s="67"/>
      <c r="X422" s="67"/>
      <c r="Y422" s="67"/>
      <c r="Z422" s="67"/>
      <c r="AA422" s="67"/>
      <c r="AB422" s="67"/>
      <c r="AC422" s="67"/>
      <c r="AD422" s="67"/>
      <c r="AE422" s="67"/>
      <c r="AF422" s="67"/>
      <c r="AG422" s="67"/>
      <c r="AH422" s="67"/>
      <c r="AI422" s="67"/>
      <c r="AJ422" s="67"/>
      <c r="AK422" s="67"/>
      <c r="AL422" s="67"/>
      <c r="AM422" s="67"/>
      <c r="AN422" s="67"/>
      <c r="AO422" s="67"/>
      <c r="AP422" s="67"/>
    </row>
    <row r="423" customFormat="false" ht="12.75" hidden="false" customHeight="false" outlineLevel="0" collapsed="false">
      <c r="E423" s="67"/>
      <c r="F423" s="67"/>
      <c r="G423" s="67"/>
      <c r="H423" s="67"/>
      <c r="I423" s="67"/>
      <c r="J423" s="67"/>
      <c r="K423" s="67"/>
      <c r="L423" s="67"/>
      <c r="M423" s="67"/>
      <c r="N423" s="67"/>
      <c r="O423" s="67"/>
      <c r="P423" s="67"/>
      <c r="Q423" s="67"/>
      <c r="R423" s="67"/>
      <c r="S423" s="67"/>
      <c r="T423" s="67"/>
      <c r="U423" s="67"/>
      <c r="V423" s="67"/>
      <c r="W423" s="67"/>
      <c r="X423" s="67"/>
      <c r="Y423" s="67"/>
      <c r="Z423" s="67"/>
      <c r="AA423" s="67"/>
      <c r="AB423" s="67"/>
      <c r="AC423" s="67"/>
      <c r="AD423" s="67"/>
      <c r="AE423" s="67"/>
      <c r="AF423" s="67"/>
      <c r="AG423" s="67"/>
      <c r="AH423" s="67"/>
      <c r="AI423" s="67"/>
      <c r="AJ423" s="67"/>
      <c r="AK423" s="67"/>
      <c r="AL423" s="67"/>
      <c r="AM423" s="67"/>
      <c r="AN423" s="67"/>
      <c r="AO423" s="67"/>
      <c r="AP423" s="67"/>
    </row>
    <row r="424" customFormat="false" ht="12.75" hidden="false" customHeight="false" outlineLevel="0" collapsed="false">
      <c r="E424" s="67"/>
      <c r="F424" s="67"/>
      <c r="G424" s="67"/>
      <c r="H424" s="67"/>
      <c r="I424" s="67"/>
      <c r="J424" s="67"/>
      <c r="K424" s="67"/>
      <c r="L424" s="67"/>
      <c r="M424" s="67"/>
      <c r="N424" s="67"/>
      <c r="O424" s="67"/>
      <c r="P424" s="67"/>
      <c r="Q424" s="67"/>
      <c r="R424" s="67"/>
      <c r="S424" s="67"/>
      <c r="T424" s="67"/>
      <c r="U424" s="67"/>
      <c r="V424" s="67"/>
      <c r="W424" s="67"/>
      <c r="X424" s="67"/>
      <c r="Y424" s="67"/>
      <c r="Z424" s="67"/>
      <c r="AA424" s="67"/>
      <c r="AB424" s="67"/>
      <c r="AC424" s="67"/>
      <c r="AD424" s="67"/>
      <c r="AE424" s="67"/>
      <c r="AF424" s="67"/>
      <c r="AG424" s="67"/>
      <c r="AH424" s="67"/>
      <c r="AI424" s="67"/>
      <c r="AJ424" s="67"/>
      <c r="AK424" s="67"/>
      <c r="AL424" s="67"/>
      <c r="AM424" s="67"/>
      <c r="AN424" s="67"/>
      <c r="AO424" s="67"/>
      <c r="AP424" s="67"/>
    </row>
    <row r="425" customFormat="false" ht="12.75" hidden="false" customHeight="false" outlineLevel="0" collapsed="false">
      <c r="E425" s="67"/>
      <c r="F425" s="67"/>
      <c r="G425" s="67"/>
      <c r="H425" s="67"/>
      <c r="I425" s="67"/>
      <c r="J425" s="67"/>
      <c r="K425" s="67"/>
      <c r="L425" s="67"/>
      <c r="M425" s="67"/>
      <c r="N425" s="67"/>
      <c r="O425" s="67"/>
      <c r="P425" s="67"/>
      <c r="Q425" s="67"/>
      <c r="R425" s="67"/>
      <c r="S425" s="67"/>
      <c r="T425" s="67"/>
      <c r="U425" s="67"/>
      <c r="V425" s="67"/>
      <c r="W425" s="67"/>
      <c r="X425" s="67"/>
      <c r="Y425" s="67"/>
      <c r="Z425" s="67"/>
      <c r="AA425" s="67"/>
      <c r="AB425" s="67"/>
      <c r="AC425" s="67"/>
      <c r="AD425" s="67"/>
      <c r="AE425" s="67"/>
      <c r="AF425" s="67"/>
      <c r="AG425" s="67"/>
      <c r="AH425" s="67"/>
      <c r="AI425" s="67"/>
      <c r="AJ425" s="67"/>
      <c r="AK425" s="67"/>
      <c r="AL425" s="67"/>
      <c r="AM425" s="67"/>
      <c r="AN425" s="67"/>
      <c r="AO425" s="67"/>
      <c r="AP425" s="67"/>
    </row>
    <row r="426" customFormat="false" ht="12.75" hidden="false" customHeight="false" outlineLevel="0" collapsed="false">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row>
    <row r="427" customFormat="false" ht="12.75" hidden="false" customHeight="false" outlineLevel="0" collapsed="false">
      <c r="E427" s="67"/>
      <c r="F427" s="67"/>
      <c r="G427" s="67"/>
      <c r="H427" s="67"/>
      <c r="I427" s="67"/>
      <c r="J427" s="67"/>
      <c r="K427" s="67"/>
      <c r="L427" s="67"/>
      <c r="M427" s="67"/>
      <c r="N427" s="67"/>
      <c r="O427" s="67"/>
      <c r="P427" s="67"/>
      <c r="Q427" s="67"/>
      <c r="R427" s="67"/>
      <c r="S427" s="67"/>
      <c r="T427" s="67"/>
      <c r="U427" s="67"/>
      <c r="V427" s="67"/>
      <c r="W427" s="67"/>
      <c r="X427" s="67"/>
      <c r="Y427" s="67"/>
      <c r="Z427" s="67"/>
      <c r="AA427" s="67"/>
      <c r="AB427" s="67"/>
      <c r="AC427" s="67"/>
      <c r="AD427" s="67"/>
      <c r="AE427" s="67"/>
      <c r="AF427" s="67"/>
      <c r="AG427" s="67"/>
      <c r="AH427" s="67"/>
      <c r="AI427" s="67"/>
      <c r="AJ427" s="67"/>
      <c r="AK427" s="67"/>
      <c r="AL427" s="67"/>
      <c r="AM427" s="67"/>
      <c r="AN427" s="67"/>
      <c r="AO427" s="67"/>
      <c r="AP427" s="67"/>
    </row>
    <row r="428" customFormat="false" ht="12.75" hidden="false" customHeight="false" outlineLevel="0" collapsed="false">
      <c r="E428" s="67"/>
      <c r="F428" s="67"/>
      <c r="G428" s="67"/>
      <c r="H428" s="67"/>
      <c r="I428" s="67"/>
      <c r="J428" s="67"/>
      <c r="K428" s="67"/>
      <c r="L428" s="67"/>
      <c r="M428" s="67"/>
      <c r="N428" s="67"/>
      <c r="O428" s="67"/>
      <c r="P428" s="67"/>
      <c r="Q428" s="67"/>
      <c r="R428" s="67"/>
      <c r="S428" s="67"/>
      <c r="T428" s="67"/>
      <c r="U428" s="67"/>
      <c r="V428" s="67"/>
      <c r="W428" s="67"/>
      <c r="X428" s="67"/>
      <c r="Y428" s="67"/>
      <c r="Z428" s="67"/>
      <c r="AA428" s="67"/>
      <c r="AB428" s="67"/>
      <c r="AC428" s="67"/>
      <c r="AD428" s="67"/>
      <c r="AE428" s="67"/>
      <c r="AF428" s="67"/>
      <c r="AG428" s="67"/>
      <c r="AH428" s="67"/>
      <c r="AI428" s="67"/>
      <c r="AJ428" s="67"/>
      <c r="AK428" s="67"/>
      <c r="AL428" s="67"/>
      <c r="AM428" s="67"/>
      <c r="AN428" s="67"/>
      <c r="AO428" s="67"/>
      <c r="AP428" s="67"/>
    </row>
    <row r="429" customFormat="false" ht="12.75" hidden="false" customHeight="false" outlineLevel="0" collapsed="false">
      <c r="E429" s="67"/>
      <c r="F429" s="67"/>
      <c r="G429" s="67"/>
      <c r="H429" s="67"/>
      <c r="I429" s="67"/>
      <c r="J429" s="67"/>
      <c r="K429" s="67"/>
      <c r="L429" s="67"/>
      <c r="M429" s="67"/>
      <c r="N429" s="67"/>
      <c r="O429" s="67"/>
      <c r="P429" s="67"/>
      <c r="Q429" s="67"/>
      <c r="R429" s="67"/>
      <c r="S429" s="67"/>
      <c r="T429" s="67"/>
      <c r="U429" s="67"/>
      <c r="V429" s="67"/>
      <c r="W429" s="67"/>
      <c r="X429" s="67"/>
      <c r="Y429" s="67"/>
      <c r="Z429" s="67"/>
      <c r="AA429" s="67"/>
      <c r="AB429" s="67"/>
      <c r="AC429" s="67"/>
      <c r="AD429" s="67"/>
      <c r="AE429" s="67"/>
      <c r="AF429" s="67"/>
      <c r="AG429" s="67"/>
      <c r="AH429" s="67"/>
      <c r="AI429" s="67"/>
      <c r="AJ429" s="67"/>
      <c r="AK429" s="67"/>
      <c r="AL429" s="67"/>
      <c r="AM429" s="67"/>
      <c r="AN429" s="67"/>
      <c r="AO429" s="67"/>
      <c r="AP429" s="67"/>
    </row>
    <row r="430" customFormat="false" ht="12.75" hidden="false" customHeight="false" outlineLevel="0" collapsed="false">
      <c r="E430" s="67"/>
      <c r="F430" s="67"/>
      <c r="G430" s="67"/>
      <c r="H430" s="67"/>
      <c r="I430" s="67"/>
      <c r="J430" s="67"/>
      <c r="K430" s="67"/>
      <c r="L430" s="67"/>
      <c r="M430" s="67"/>
      <c r="N430" s="67"/>
      <c r="O430" s="67"/>
      <c r="P430" s="67"/>
      <c r="Q430" s="67"/>
      <c r="R430" s="67"/>
      <c r="S430" s="67"/>
      <c r="T430" s="67"/>
      <c r="U430" s="67"/>
      <c r="V430" s="67"/>
      <c r="W430" s="67"/>
      <c r="X430" s="67"/>
      <c r="Y430" s="67"/>
      <c r="Z430" s="67"/>
      <c r="AA430" s="67"/>
      <c r="AB430" s="67"/>
      <c r="AC430" s="67"/>
      <c r="AD430" s="67"/>
      <c r="AE430" s="67"/>
      <c r="AF430" s="67"/>
      <c r="AG430" s="67"/>
      <c r="AH430" s="67"/>
      <c r="AI430" s="67"/>
      <c r="AJ430" s="67"/>
      <c r="AK430" s="67"/>
      <c r="AL430" s="67"/>
      <c r="AM430" s="67"/>
      <c r="AN430" s="67"/>
      <c r="AO430" s="67"/>
      <c r="AP430" s="67"/>
    </row>
    <row r="431" customFormat="false" ht="12.75" hidden="false" customHeight="false" outlineLevel="0" collapsed="false">
      <c r="E431" s="67"/>
      <c r="F431" s="67"/>
      <c r="G431" s="67"/>
      <c r="H431" s="67"/>
      <c r="I431" s="67"/>
      <c r="J431" s="67"/>
      <c r="K431" s="67"/>
      <c r="L431" s="67"/>
      <c r="M431" s="67"/>
      <c r="N431" s="67"/>
      <c r="O431" s="67"/>
      <c r="P431" s="67"/>
      <c r="Q431" s="67"/>
      <c r="R431" s="67"/>
      <c r="S431" s="67"/>
      <c r="T431" s="67"/>
      <c r="U431" s="67"/>
      <c r="V431" s="67"/>
      <c r="W431" s="67"/>
      <c r="X431" s="67"/>
      <c r="Y431" s="67"/>
      <c r="Z431" s="67"/>
      <c r="AA431" s="67"/>
      <c r="AB431" s="67"/>
      <c r="AC431" s="67"/>
      <c r="AD431" s="67"/>
      <c r="AE431" s="67"/>
      <c r="AF431" s="67"/>
      <c r="AG431" s="67"/>
      <c r="AH431" s="67"/>
      <c r="AI431" s="67"/>
      <c r="AJ431" s="67"/>
      <c r="AK431" s="67"/>
      <c r="AL431" s="67"/>
      <c r="AM431" s="67"/>
      <c r="AN431" s="67"/>
      <c r="AO431" s="67"/>
      <c r="AP431" s="67"/>
    </row>
    <row r="432" customFormat="false" ht="12.75" hidden="false" customHeight="false" outlineLevel="0" collapsed="false">
      <c r="E432" s="67"/>
      <c r="F432" s="67"/>
      <c r="G432" s="67"/>
      <c r="H432" s="67"/>
      <c r="I432" s="67"/>
      <c r="J432" s="67"/>
      <c r="K432" s="67"/>
      <c r="L432" s="67"/>
      <c r="M432" s="67"/>
      <c r="N432" s="67"/>
      <c r="O432" s="67"/>
      <c r="P432" s="67"/>
      <c r="Q432" s="67"/>
      <c r="R432" s="67"/>
      <c r="S432" s="67"/>
      <c r="T432" s="67"/>
      <c r="U432" s="67"/>
      <c r="V432" s="67"/>
      <c r="W432" s="67"/>
      <c r="X432" s="67"/>
      <c r="Y432" s="67"/>
      <c r="Z432" s="67"/>
      <c r="AA432" s="67"/>
      <c r="AB432" s="67"/>
      <c r="AC432" s="67"/>
      <c r="AD432" s="67"/>
      <c r="AE432" s="67"/>
      <c r="AF432" s="67"/>
      <c r="AG432" s="67"/>
      <c r="AH432" s="67"/>
      <c r="AI432" s="67"/>
      <c r="AJ432" s="67"/>
      <c r="AK432" s="67"/>
      <c r="AL432" s="67"/>
      <c r="AM432" s="67"/>
      <c r="AN432" s="67"/>
      <c r="AO432" s="67"/>
      <c r="AP432" s="67"/>
    </row>
    <row r="433" customFormat="false" ht="12.75" hidden="false" customHeight="false" outlineLevel="0" collapsed="false">
      <c r="E433" s="67"/>
      <c r="F433" s="67"/>
      <c r="G433" s="67"/>
      <c r="H433" s="67"/>
      <c r="I433" s="67"/>
      <c r="J433" s="67"/>
      <c r="K433" s="67"/>
      <c r="L433" s="67"/>
      <c r="M433" s="67"/>
      <c r="N433" s="67"/>
      <c r="O433" s="67"/>
      <c r="P433" s="67"/>
      <c r="Q433" s="67"/>
      <c r="R433" s="67"/>
      <c r="S433" s="67"/>
      <c r="T433" s="67"/>
      <c r="U433" s="67"/>
      <c r="V433" s="67"/>
      <c r="W433" s="67"/>
      <c r="X433" s="67"/>
      <c r="Y433" s="67"/>
      <c r="Z433" s="67"/>
      <c r="AA433" s="67"/>
      <c r="AB433" s="67"/>
      <c r="AC433" s="67"/>
      <c r="AD433" s="67"/>
      <c r="AE433" s="67"/>
      <c r="AF433" s="67"/>
      <c r="AG433" s="67"/>
      <c r="AH433" s="67"/>
      <c r="AI433" s="67"/>
      <c r="AJ433" s="67"/>
      <c r="AK433" s="67"/>
      <c r="AL433" s="67"/>
      <c r="AM433" s="67"/>
      <c r="AN433" s="67"/>
      <c r="AO433" s="67"/>
      <c r="AP433" s="67"/>
    </row>
    <row r="434" customFormat="false" ht="12.75" hidden="false" customHeight="false" outlineLevel="0" collapsed="false">
      <c r="E434" s="67"/>
      <c r="F434" s="67"/>
      <c r="G434" s="67"/>
      <c r="H434" s="67"/>
      <c r="I434" s="67"/>
      <c r="J434" s="67"/>
      <c r="K434" s="67"/>
      <c r="L434" s="67"/>
      <c r="M434" s="67"/>
      <c r="N434" s="67"/>
      <c r="O434" s="67"/>
      <c r="P434" s="67"/>
      <c r="Q434" s="67"/>
      <c r="R434" s="67"/>
      <c r="S434" s="67"/>
      <c r="T434" s="67"/>
      <c r="U434" s="67"/>
      <c r="V434" s="67"/>
      <c r="W434" s="67"/>
      <c r="X434" s="67"/>
      <c r="Y434" s="67"/>
      <c r="Z434" s="67"/>
      <c r="AA434" s="67"/>
      <c r="AB434" s="67"/>
      <c r="AC434" s="67"/>
      <c r="AD434" s="67"/>
      <c r="AE434" s="67"/>
      <c r="AF434" s="67"/>
      <c r="AG434" s="67"/>
      <c r="AH434" s="67"/>
      <c r="AI434" s="67"/>
      <c r="AJ434" s="67"/>
      <c r="AK434" s="67"/>
      <c r="AL434" s="67"/>
      <c r="AM434" s="67"/>
      <c r="AN434" s="67"/>
      <c r="AO434" s="67"/>
      <c r="AP434" s="67"/>
    </row>
    <row r="435" customFormat="false" ht="12.75" hidden="false" customHeight="false" outlineLevel="0" collapsed="false">
      <c r="E435" s="67"/>
      <c r="F435" s="67"/>
      <c r="G435" s="67"/>
      <c r="H435" s="67"/>
      <c r="I435" s="67"/>
      <c r="J435" s="67"/>
      <c r="K435" s="67"/>
      <c r="L435" s="67"/>
      <c r="M435" s="67"/>
      <c r="N435" s="67"/>
      <c r="O435" s="67"/>
      <c r="P435" s="67"/>
      <c r="Q435" s="67"/>
      <c r="R435" s="67"/>
      <c r="S435" s="67"/>
      <c r="T435" s="67"/>
      <c r="U435" s="67"/>
      <c r="V435" s="67"/>
      <c r="W435" s="67"/>
      <c r="X435" s="67"/>
      <c r="Y435" s="67"/>
      <c r="Z435" s="67"/>
      <c r="AA435" s="67"/>
      <c r="AB435" s="67"/>
      <c r="AC435" s="67"/>
      <c r="AD435" s="67"/>
      <c r="AE435" s="67"/>
      <c r="AF435" s="67"/>
      <c r="AG435" s="67"/>
      <c r="AH435" s="67"/>
      <c r="AI435" s="67"/>
      <c r="AJ435" s="67"/>
      <c r="AK435" s="67"/>
      <c r="AL435" s="67"/>
      <c r="AM435" s="67"/>
      <c r="AN435" s="67"/>
      <c r="AO435" s="67"/>
      <c r="AP435" s="67"/>
    </row>
    <row r="436" customFormat="false" ht="12.75" hidden="false" customHeight="false" outlineLevel="0" collapsed="false">
      <c r="E436" s="67"/>
      <c r="F436" s="67"/>
      <c r="G436" s="67"/>
      <c r="H436" s="67"/>
      <c r="I436" s="67"/>
      <c r="J436" s="67"/>
      <c r="K436" s="67"/>
      <c r="L436" s="67"/>
      <c r="M436" s="67"/>
      <c r="N436" s="67"/>
      <c r="O436" s="67"/>
      <c r="P436" s="67"/>
      <c r="Q436" s="67"/>
      <c r="R436" s="67"/>
      <c r="S436" s="67"/>
      <c r="T436" s="67"/>
      <c r="U436" s="67"/>
      <c r="V436" s="67"/>
      <c r="W436" s="67"/>
      <c r="X436" s="67"/>
      <c r="Y436" s="67"/>
      <c r="Z436" s="67"/>
      <c r="AA436" s="67"/>
      <c r="AB436" s="67"/>
      <c r="AC436" s="67"/>
      <c r="AD436" s="67"/>
      <c r="AE436" s="67"/>
      <c r="AF436" s="67"/>
      <c r="AG436" s="67"/>
      <c r="AH436" s="67"/>
      <c r="AI436" s="67"/>
      <c r="AJ436" s="67"/>
      <c r="AK436" s="67"/>
      <c r="AL436" s="67"/>
      <c r="AM436" s="67"/>
      <c r="AN436" s="67"/>
      <c r="AO436" s="67"/>
      <c r="AP436" s="67"/>
    </row>
    <row r="437" customFormat="false" ht="12.75" hidden="false" customHeight="false" outlineLevel="0" collapsed="false">
      <c r="E437" s="67"/>
      <c r="F437" s="67"/>
      <c r="G437" s="67"/>
      <c r="H437" s="67"/>
      <c r="I437" s="67"/>
      <c r="J437" s="67"/>
      <c r="K437" s="67"/>
      <c r="L437" s="67"/>
      <c r="M437" s="67"/>
      <c r="N437" s="67"/>
      <c r="O437" s="67"/>
      <c r="P437" s="67"/>
      <c r="Q437" s="67"/>
      <c r="R437" s="67"/>
      <c r="S437" s="67"/>
      <c r="T437" s="67"/>
      <c r="U437" s="67"/>
      <c r="V437" s="67"/>
      <c r="W437" s="67"/>
      <c r="X437" s="67"/>
      <c r="Y437" s="67"/>
      <c r="Z437" s="67"/>
      <c r="AA437" s="67"/>
      <c r="AB437" s="67"/>
      <c r="AC437" s="67"/>
      <c r="AD437" s="67"/>
      <c r="AE437" s="67"/>
      <c r="AF437" s="67"/>
      <c r="AG437" s="67"/>
      <c r="AH437" s="67"/>
      <c r="AI437" s="67"/>
      <c r="AJ437" s="67"/>
      <c r="AK437" s="67"/>
      <c r="AL437" s="67"/>
      <c r="AM437" s="67"/>
      <c r="AN437" s="67"/>
      <c r="AO437" s="67"/>
      <c r="AP437" s="67"/>
    </row>
    <row r="438" customFormat="false" ht="12.75" hidden="false" customHeight="false" outlineLevel="0" collapsed="false">
      <c r="E438" s="67"/>
      <c r="F438" s="67"/>
      <c r="G438" s="67"/>
      <c r="H438" s="67"/>
      <c r="I438" s="67"/>
      <c r="J438" s="67"/>
      <c r="K438" s="67"/>
      <c r="L438" s="67"/>
      <c r="M438" s="67"/>
      <c r="N438" s="67"/>
      <c r="O438" s="67"/>
      <c r="P438" s="67"/>
      <c r="Q438" s="67"/>
      <c r="R438" s="67"/>
      <c r="S438" s="67"/>
      <c r="T438" s="67"/>
      <c r="U438" s="67"/>
      <c r="V438" s="67"/>
      <c r="W438" s="67"/>
      <c r="X438" s="67"/>
      <c r="Y438" s="67"/>
      <c r="Z438" s="67"/>
      <c r="AA438" s="67"/>
      <c r="AB438" s="67"/>
      <c r="AC438" s="67"/>
      <c r="AD438" s="67"/>
      <c r="AE438" s="67"/>
      <c r="AF438" s="67"/>
      <c r="AG438" s="67"/>
      <c r="AH438" s="67"/>
      <c r="AI438" s="67"/>
      <c r="AJ438" s="67"/>
      <c r="AK438" s="67"/>
      <c r="AL438" s="67"/>
      <c r="AM438" s="67"/>
      <c r="AN438" s="67"/>
      <c r="AO438" s="67"/>
      <c r="AP438" s="67"/>
    </row>
    <row r="439" customFormat="false" ht="12.75" hidden="false" customHeight="false" outlineLevel="0" collapsed="false">
      <c r="E439" s="67"/>
      <c r="F439" s="67"/>
      <c r="G439" s="67"/>
      <c r="H439" s="67"/>
      <c r="I439" s="67"/>
      <c r="J439" s="67"/>
      <c r="K439" s="67"/>
      <c r="L439" s="67"/>
      <c r="M439" s="67"/>
      <c r="N439" s="67"/>
      <c r="O439" s="67"/>
      <c r="P439" s="67"/>
      <c r="Q439" s="67"/>
      <c r="R439" s="67"/>
      <c r="S439" s="67"/>
      <c r="T439" s="67"/>
      <c r="U439" s="67"/>
      <c r="V439" s="67"/>
      <c r="W439" s="67"/>
      <c r="X439" s="67"/>
      <c r="Y439" s="67"/>
      <c r="Z439" s="67"/>
      <c r="AA439" s="67"/>
      <c r="AB439" s="67"/>
      <c r="AC439" s="67"/>
      <c r="AD439" s="67"/>
      <c r="AE439" s="67"/>
      <c r="AF439" s="67"/>
      <c r="AG439" s="67"/>
      <c r="AH439" s="67"/>
      <c r="AI439" s="67"/>
      <c r="AJ439" s="67"/>
      <c r="AK439" s="67"/>
      <c r="AL439" s="67"/>
      <c r="AM439" s="67"/>
      <c r="AN439" s="67"/>
      <c r="AO439" s="67"/>
      <c r="AP439" s="67"/>
    </row>
    <row r="440" customFormat="false" ht="12.75" hidden="false" customHeight="false" outlineLevel="0" collapsed="false">
      <c r="E440" s="67"/>
      <c r="F440" s="67"/>
      <c r="G440" s="67"/>
      <c r="H440" s="67"/>
      <c r="I440" s="67"/>
      <c r="J440" s="67"/>
      <c r="K440" s="67"/>
      <c r="L440" s="67"/>
      <c r="M440" s="67"/>
      <c r="N440" s="67"/>
      <c r="O440" s="67"/>
      <c r="P440" s="67"/>
      <c r="Q440" s="67"/>
      <c r="R440" s="67"/>
      <c r="S440" s="67"/>
      <c r="T440" s="67"/>
      <c r="U440" s="67"/>
      <c r="V440" s="67"/>
      <c r="W440" s="67"/>
      <c r="X440" s="67"/>
      <c r="Y440" s="67"/>
      <c r="Z440" s="67"/>
      <c r="AA440" s="67"/>
      <c r="AB440" s="67"/>
      <c r="AC440" s="67"/>
      <c r="AD440" s="67"/>
      <c r="AE440" s="67"/>
      <c r="AF440" s="67"/>
      <c r="AG440" s="67"/>
      <c r="AH440" s="67"/>
      <c r="AI440" s="67"/>
      <c r="AJ440" s="67"/>
      <c r="AK440" s="67"/>
      <c r="AL440" s="67"/>
      <c r="AM440" s="67"/>
      <c r="AN440" s="67"/>
      <c r="AO440" s="67"/>
      <c r="AP440" s="67"/>
    </row>
    <row r="441" customFormat="false" ht="12.75" hidden="false" customHeight="false" outlineLevel="0" collapsed="false">
      <c r="E441" s="67"/>
      <c r="F441" s="67"/>
      <c r="G441" s="67"/>
      <c r="H441" s="67"/>
      <c r="I441" s="67"/>
      <c r="J441" s="67"/>
      <c r="K441" s="67"/>
      <c r="L441" s="67"/>
      <c r="M441" s="67"/>
      <c r="N441" s="67"/>
      <c r="O441" s="67"/>
      <c r="P441" s="67"/>
      <c r="Q441" s="67"/>
      <c r="R441" s="67"/>
      <c r="S441" s="67"/>
      <c r="T441" s="67"/>
      <c r="U441" s="67"/>
      <c r="V441" s="67"/>
      <c r="W441" s="67"/>
      <c r="X441" s="67"/>
      <c r="Y441" s="67"/>
      <c r="Z441" s="67"/>
      <c r="AA441" s="67"/>
      <c r="AB441" s="67"/>
      <c r="AC441" s="67"/>
      <c r="AD441" s="67"/>
      <c r="AE441" s="67"/>
      <c r="AF441" s="67"/>
      <c r="AG441" s="67"/>
      <c r="AH441" s="67"/>
      <c r="AI441" s="67"/>
      <c r="AJ441" s="67"/>
      <c r="AK441" s="67"/>
      <c r="AL441" s="67"/>
      <c r="AM441" s="67"/>
      <c r="AN441" s="67"/>
      <c r="AO441" s="67"/>
      <c r="AP441" s="67"/>
    </row>
    <row r="442" customFormat="false" ht="12.75" hidden="false" customHeight="false" outlineLevel="0" collapsed="false">
      <c r="E442" s="67"/>
      <c r="F442" s="67"/>
      <c r="G442" s="67"/>
      <c r="H442" s="67"/>
      <c r="I442" s="67"/>
      <c r="J442" s="67"/>
      <c r="K442" s="67"/>
      <c r="L442" s="67"/>
      <c r="M442" s="67"/>
      <c r="N442" s="67"/>
      <c r="O442" s="67"/>
      <c r="P442" s="67"/>
      <c r="Q442" s="67"/>
      <c r="R442" s="67"/>
      <c r="S442" s="67"/>
      <c r="T442" s="67"/>
      <c r="U442" s="67"/>
      <c r="V442" s="67"/>
      <c r="W442" s="67"/>
      <c r="X442" s="67"/>
      <c r="Y442" s="67"/>
      <c r="Z442" s="67"/>
      <c r="AA442" s="67"/>
      <c r="AB442" s="67"/>
      <c r="AC442" s="67"/>
      <c r="AD442" s="67"/>
      <c r="AE442" s="67"/>
      <c r="AF442" s="67"/>
      <c r="AG442" s="67"/>
      <c r="AH442" s="67"/>
      <c r="AI442" s="67"/>
      <c r="AJ442" s="67"/>
      <c r="AK442" s="67"/>
      <c r="AL442" s="67"/>
      <c r="AM442" s="67"/>
      <c r="AN442" s="67"/>
      <c r="AO442" s="67"/>
      <c r="AP442" s="67"/>
    </row>
    <row r="443" customFormat="false" ht="12.75" hidden="false" customHeight="false" outlineLevel="0" collapsed="false">
      <c r="E443" s="67"/>
      <c r="F443" s="67"/>
      <c r="G443" s="67"/>
      <c r="H443" s="67"/>
      <c r="I443" s="67"/>
      <c r="J443" s="67"/>
      <c r="K443" s="67"/>
      <c r="L443" s="67"/>
      <c r="M443" s="67"/>
      <c r="N443" s="67"/>
      <c r="O443" s="67"/>
      <c r="P443" s="67"/>
      <c r="Q443" s="67"/>
      <c r="R443" s="67"/>
      <c r="S443" s="67"/>
      <c r="T443" s="67"/>
      <c r="U443" s="67"/>
      <c r="V443" s="67"/>
      <c r="W443" s="67"/>
      <c r="X443" s="67"/>
      <c r="Y443" s="67"/>
      <c r="Z443" s="67"/>
      <c r="AA443" s="67"/>
      <c r="AB443" s="67"/>
      <c r="AC443" s="67"/>
      <c r="AD443" s="67"/>
      <c r="AE443" s="67"/>
      <c r="AF443" s="67"/>
      <c r="AG443" s="67"/>
      <c r="AH443" s="67"/>
      <c r="AI443" s="67"/>
      <c r="AJ443" s="67"/>
      <c r="AK443" s="67"/>
      <c r="AL443" s="67"/>
      <c r="AM443" s="67"/>
      <c r="AN443" s="67"/>
      <c r="AO443" s="67"/>
      <c r="AP443" s="67"/>
    </row>
    <row r="444" customFormat="false" ht="12.75" hidden="false" customHeight="false" outlineLevel="0" collapsed="false">
      <c r="E444" s="67"/>
      <c r="F444" s="67"/>
      <c r="G444" s="67"/>
      <c r="H444" s="67"/>
      <c r="I444" s="67"/>
      <c r="J444" s="67"/>
      <c r="K444" s="67"/>
      <c r="L444" s="67"/>
      <c r="M444" s="67"/>
      <c r="N444" s="67"/>
      <c r="O444" s="67"/>
      <c r="P444" s="67"/>
      <c r="Q444" s="67"/>
      <c r="R444" s="67"/>
      <c r="S444" s="67"/>
      <c r="T444" s="67"/>
      <c r="U444" s="67"/>
      <c r="V444" s="67"/>
      <c r="W444" s="67"/>
      <c r="X444" s="67"/>
      <c r="Y444" s="67"/>
      <c r="Z444" s="67"/>
      <c r="AA444" s="67"/>
      <c r="AB444" s="67"/>
      <c r="AC444" s="67"/>
      <c r="AD444" s="67"/>
      <c r="AE444" s="67"/>
      <c r="AF444" s="67"/>
      <c r="AG444" s="67"/>
      <c r="AH444" s="67"/>
      <c r="AI444" s="67"/>
      <c r="AJ444" s="67"/>
      <c r="AK444" s="67"/>
      <c r="AL444" s="67"/>
      <c r="AM444" s="67"/>
      <c r="AN444" s="67"/>
      <c r="AO444" s="67"/>
      <c r="AP444" s="67"/>
    </row>
    <row r="445" customFormat="false" ht="12.75" hidden="false" customHeight="false" outlineLevel="0" collapsed="false">
      <c r="E445" s="67"/>
      <c r="F445" s="67"/>
      <c r="G445" s="67"/>
      <c r="H445" s="67"/>
      <c r="I445" s="67"/>
      <c r="J445" s="67"/>
      <c r="K445" s="67"/>
      <c r="L445" s="67"/>
      <c r="M445" s="67"/>
      <c r="N445" s="67"/>
      <c r="O445" s="67"/>
      <c r="P445" s="67"/>
      <c r="Q445" s="67"/>
      <c r="R445" s="67"/>
      <c r="S445" s="67"/>
      <c r="T445" s="67"/>
      <c r="U445" s="67"/>
      <c r="V445" s="67"/>
      <c r="W445" s="67"/>
      <c r="X445" s="67"/>
      <c r="Y445" s="67"/>
      <c r="Z445" s="67"/>
      <c r="AA445" s="67"/>
      <c r="AB445" s="67"/>
      <c r="AC445" s="67"/>
      <c r="AD445" s="67"/>
      <c r="AE445" s="67"/>
      <c r="AF445" s="67"/>
      <c r="AG445" s="67"/>
      <c r="AH445" s="67"/>
      <c r="AI445" s="67"/>
      <c r="AJ445" s="67"/>
      <c r="AK445" s="67"/>
      <c r="AL445" s="67"/>
      <c r="AM445" s="67"/>
      <c r="AN445" s="67"/>
      <c r="AO445" s="67"/>
      <c r="AP445" s="67"/>
    </row>
    <row r="446" customFormat="false" ht="12.75" hidden="false" customHeight="false" outlineLevel="0" collapsed="false">
      <c r="E446" s="67"/>
      <c r="F446" s="67"/>
      <c r="G446" s="67"/>
      <c r="H446" s="67"/>
      <c r="I446" s="67"/>
      <c r="J446" s="67"/>
      <c r="K446" s="67"/>
      <c r="L446" s="67"/>
      <c r="M446" s="67"/>
      <c r="N446" s="67"/>
      <c r="O446" s="67"/>
      <c r="P446" s="67"/>
      <c r="Q446" s="67"/>
      <c r="R446" s="67"/>
      <c r="S446" s="67"/>
      <c r="T446" s="67"/>
      <c r="U446" s="67"/>
      <c r="V446" s="67"/>
      <c r="W446" s="67"/>
      <c r="X446" s="67"/>
      <c r="Y446" s="67"/>
      <c r="Z446" s="67"/>
      <c r="AA446" s="67"/>
      <c r="AB446" s="67"/>
      <c r="AC446" s="67"/>
      <c r="AD446" s="67"/>
      <c r="AE446" s="67"/>
      <c r="AF446" s="67"/>
      <c r="AG446" s="67"/>
      <c r="AH446" s="67"/>
      <c r="AI446" s="67"/>
      <c r="AJ446" s="67"/>
      <c r="AK446" s="67"/>
      <c r="AL446" s="67"/>
      <c r="AM446" s="67"/>
      <c r="AN446" s="67"/>
      <c r="AO446" s="67"/>
      <c r="AP446" s="67"/>
    </row>
    <row r="447" customFormat="false" ht="12.75" hidden="false" customHeight="false" outlineLevel="0" collapsed="false">
      <c r="E447" s="67"/>
      <c r="F447" s="67"/>
      <c r="G447" s="67"/>
      <c r="H447" s="67"/>
      <c r="I447" s="67"/>
      <c r="J447" s="67"/>
      <c r="K447" s="67"/>
      <c r="L447" s="67"/>
      <c r="M447" s="67"/>
      <c r="N447" s="67"/>
      <c r="O447" s="67"/>
      <c r="P447" s="67"/>
      <c r="Q447" s="67"/>
      <c r="R447" s="67"/>
      <c r="S447" s="67"/>
      <c r="T447" s="67"/>
      <c r="U447" s="67"/>
      <c r="V447" s="67"/>
      <c r="W447" s="67"/>
      <c r="X447" s="67"/>
      <c r="Y447" s="67"/>
      <c r="Z447" s="67"/>
      <c r="AA447" s="67"/>
      <c r="AB447" s="67"/>
      <c r="AC447" s="67"/>
      <c r="AD447" s="67"/>
      <c r="AE447" s="67"/>
      <c r="AF447" s="67"/>
      <c r="AG447" s="67"/>
      <c r="AH447" s="67"/>
      <c r="AI447" s="67"/>
      <c r="AJ447" s="67"/>
      <c r="AK447" s="67"/>
      <c r="AL447" s="67"/>
      <c r="AM447" s="67"/>
      <c r="AN447" s="67"/>
      <c r="AO447" s="67"/>
      <c r="AP447" s="67"/>
    </row>
    <row r="448" customFormat="false" ht="12.75" hidden="false" customHeight="false" outlineLevel="0" collapsed="false">
      <c r="E448" s="67"/>
      <c r="F448" s="67"/>
      <c r="G448" s="67"/>
      <c r="H448" s="67"/>
      <c r="I448" s="67"/>
      <c r="J448" s="67"/>
      <c r="K448" s="67"/>
      <c r="L448" s="67"/>
      <c r="M448" s="67"/>
      <c r="N448" s="67"/>
      <c r="O448" s="67"/>
      <c r="P448" s="67"/>
      <c r="Q448" s="67"/>
      <c r="R448" s="67"/>
      <c r="S448" s="67"/>
      <c r="T448" s="67"/>
      <c r="U448" s="67"/>
      <c r="V448" s="67"/>
      <c r="W448" s="67"/>
      <c r="X448" s="67"/>
      <c r="Y448" s="67"/>
      <c r="Z448" s="67"/>
      <c r="AA448" s="67"/>
      <c r="AB448" s="67"/>
      <c r="AC448" s="67"/>
      <c r="AD448" s="67"/>
      <c r="AE448" s="67"/>
      <c r="AF448" s="67"/>
      <c r="AG448" s="67"/>
      <c r="AH448" s="67"/>
      <c r="AI448" s="67"/>
      <c r="AJ448" s="67"/>
      <c r="AK448" s="67"/>
      <c r="AL448" s="67"/>
      <c r="AM448" s="67"/>
      <c r="AN448" s="67"/>
      <c r="AO448" s="67"/>
      <c r="AP448" s="67"/>
    </row>
    <row r="449" customFormat="false" ht="12.75" hidden="false" customHeight="false" outlineLevel="0" collapsed="false">
      <c r="E449" s="67"/>
      <c r="F449" s="67"/>
      <c r="G449" s="67"/>
      <c r="H449" s="67"/>
      <c r="I449" s="67"/>
      <c r="J449" s="67"/>
      <c r="K449" s="67"/>
      <c r="L449" s="67"/>
      <c r="M449" s="67"/>
      <c r="N449" s="67"/>
      <c r="O449" s="67"/>
      <c r="P449" s="67"/>
      <c r="Q449" s="67"/>
      <c r="R449" s="67"/>
      <c r="S449" s="67"/>
      <c r="T449" s="67"/>
      <c r="U449" s="67"/>
      <c r="V449" s="67"/>
      <c r="W449" s="67"/>
      <c r="X449" s="67"/>
      <c r="Y449" s="67"/>
      <c r="Z449" s="67"/>
      <c r="AA449" s="67"/>
      <c r="AB449" s="67"/>
      <c r="AC449" s="67"/>
      <c r="AD449" s="67"/>
      <c r="AE449" s="67"/>
      <c r="AF449" s="67"/>
      <c r="AG449" s="67"/>
      <c r="AH449" s="67"/>
      <c r="AI449" s="67"/>
      <c r="AJ449" s="67"/>
      <c r="AK449" s="67"/>
      <c r="AL449" s="67"/>
      <c r="AM449" s="67"/>
      <c r="AN449" s="67"/>
      <c r="AO449" s="67"/>
      <c r="AP449" s="67"/>
    </row>
    <row r="450" customFormat="false" ht="12.75" hidden="false" customHeight="false" outlineLevel="0" collapsed="false">
      <c r="E450" s="67"/>
      <c r="F450" s="67"/>
      <c r="G450" s="67"/>
      <c r="H450" s="67"/>
      <c r="I450" s="67"/>
      <c r="J450" s="67"/>
      <c r="K450" s="67"/>
      <c r="L450" s="67"/>
      <c r="M450" s="67"/>
      <c r="N450" s="67"/>
      <c r="O450" s="67"/>
      <c r="P450" s="67"/>
      <c r="Q450" s="67"/>
      <c r="R450" s="67"/>
      <c r="S450" s="67"/>
      <c r="T450" s="67"/>
      <c r="U450" s="67"/>
      <c r="V450" s="67"/>
      <c r="W450" s="67"/>
      <c r="X450" s="67"/>
      <c r="Y450" s="67"/>
      <c r="Z450" s="67"/>
      <c r="AA450" s="67"/>
      <c r="AB450" s="67"/>
      <c r="AC450" s="67"/>
      <c r="AD450" s="67"/>
      <c r="AE450" s="67"/>
      <c r="AF450" s="67"/>
      <c r="AG450" s="67"/>
      <c r="AH450" s="67"/>
      <c r="AI450" s="67"/>
      <c r="AJ450" s="67"/>
      <c r="AK450" s="67"/>
      <c r="AL450" s="67"/>
      <c r="AM450" s="67"/>
      <c r="AN450" s="67"/>
      <c r="AO450" s="67"/>
      <c r="AP450" s="67"/>
    </row>
    <row r="451" customFormat="false" ht="12.75" hidden="false" customHeight="false" outlineLevel="0" collapsed="false">
      <c r="E451" s="67"/>
      <c r="F451" s="67"/>
      <c r="G451" s="67"/>
      <c r="H451" s="67"/>
      <c r="I451" s="67"/>
      <c r="J451" s="67"/>
      <c r="K451" s="67"/>
      <c r="L451" s="67"/>
      <c r="M451" s="67"/>
      <c r="N451" s="67"/>
      <c r="O451" s="67"/>
      <c r="P451" s="67"/>
      <c r="Q451" s="67"/>
      <c r="R451" s="67"/>
      <c r="S451" s="67"/>
      <c r="T451" s="67"/>
      <c r="U451" s="67"/>
      <c r="V451" s="67"/>
      <c r="W451" s="67"/>
      <c r="X451" s="67"/>
      <c r="Y451" s="67"/>
      <c r="Z451" s="67"/>
      <c r="AA451" s="67"/>
      <c r="AB451" s="67"/>
      <c r="AC451" s="67"/>
      <c r="AD451" s="67"/>
      <c r="AE451" s="67"/>
      <c r="AF451" s="67"/>
      <c r="AG451" s="67"/>
      <c r="AH451" s="67"/>
      <c r="AI451" s="67"/>
      <c r="AJ451" s="67"/>
      <c r="AK451" s="67"/>
      <c r="AL451" s="67"/>
      <c r="AM451" s="67"/>
      <c r="AN451" s="67"/>
      <c r="AO451" s="67"/>
      <c r="AP451" s="67"/>
    </row>
    <row r="452" customFormat="false" ht="12.75" hidden="false" customHeight="false" outlineLevel="0" collapsed="false">
      <c r="E452" s="67"/>
      <c r="F452" s="67"/>
      <c r="G452" s="67"/>
      <c r="H452" s="67"/>
      <c r="I452" s="67"/>
      <c r="J452" s="67"/>
      <c r="K452" s="67"/>
      <c r="L452" s="67"/>
      <c r="M452" s="67"/>
      <c r="N452" s="67"/>
      <c r="O452" s="67"/>
      <c r="P452" s="67"/>
      <c r="Q452" s="67"/>
      <c r="R452" s="67"/>
      <c r="S452" s="67"/>
      <c r="T452" s="67"/>
      <c r="U452" s="67"/>
      <c r="V452" s="67"/>
      <c r="W452" s="67"/>
      <c r="X452" s="67"/>
      <c r="Y452" s="67"/>
      <c r="Z452" s="67"/>
      <c r="AA452" s="67"/>
      <c r="AB452" s="67"/>
      <c r="AC452" s="67"/>
      <c r="AD452" s="67"/>
      <c r="AE452" s="67"/>
      <c r="AF452" s="67"/>
      <c r="AG452" s="67"/>
      <c r="AH452" s="67"/>
      <c r="AI452" s="67"/>
      <c r="AJ452" s="67"/>
      <c r="AK452" s="67"/>
      <c r="AL452" s="67"/>
      <c r="AM452" s="67"/>
      <c r="AN452" s="67"/>
      <c r="AO452" s="67"/>
      <c r="AP452" s="67"/>
    </row>
    <row r="453" customFormat="false" ht="12.75" hidden="false" customHeight="false" outlineLevel="0" collapsed="false">
      <c r="E453" s="67"/>
      <c r="F453" s="67"/>
      <c r="G453" s="67"/>
      <c r="H453" s="67"/>
      <c r="I453" s="67"/>
      <c r="J453" s="67"/>
      <c r="K453" s="67"/>
      <c r="L453" s="67"/>
      <c r="M453" s="67"/>
      <c r="N453" s="67"/>
      <c r="O453" s="67"/>
      <c r="P453" s="67"/>
      <c r="Q453" s="67"/>
      <c r="R453" s="67"/>
      <c r="S453" s="67"/>
      <c r="T453" s="67"/>
      <c r="U453" s="67"/>
      <c r="V453" s="67"/>
      <c r="W453" s="67"/>
      <c r="X453" s="67"/>
      <c r="Y453" s="67"/>
      <c r="Z453" s="67"/>
      <c r="AA453" s="67"/>
      <c r="AB453" s="67"/>
      <c r="AC453" s="67"/>
      <c r="AD453" s="67"/>
      <c r="AE453" s="67"/>
      <c r="AF453" s="67"/>
      <c r="AG453" s="67"/>
      <c r="AH453" s="67"/>
      <c r="AI453" s="67"/>
      <c r="AJ453" s="67"/>
      <c r="AK453" s="67"/>
      <c r="AL453" s="67"/>
      <c r="AM453" s="67"/>
      <c r="AN453" s="67"/>
      <c r="AO453" s="67"/>
      <c r="AP453" s="67"/>
    </row>
    <row r="454" customFormat="false" ht="12.75" hidden="false" customHeight="false" outlineLevel="0" collapsed="false">
      <c r="E454" s="67"/>
      <c r="F454" s="67"/>
      <c r="G454" s="67"/>
      <c r="H454" s="67"/>
      <c r="I454" s="67"/>
      <c r="J454" s="67"/>
      <c r="K454" s="67"/>
      <c r="L454" s="67"/>
      <c r="M454" s="67"/>
      <c r="N454" s="67"/>
      <c r="O454" s="67"/>
      <c r="P454" s="67"/>
      <c r="Q454" s="67"/>
      <c r="R454" s="67"/>
      <c r="S454" s="67"/>
      <c r="T454" s="67"/>
      <c r="U454" s="67"/>
      <c r="V454" s="67"/>
      <c r="W454" s="67"/>
      <c r="X454" s="67"/>
      <c r="Y454" s="67"/>
      <c r="Z454" s="67"/>
      <c r="AA454" s="67"/>
      <c r="AB454" s="67"/>
      <c r="AC454" s="67"/>
      <c r="AD454" s="67"/>
      <c r="AE454" s="67"/>
      <c r="AF454" s="67"/>
      <c r="AG454" s="67"/>
      <c r="AH454" s="67"/>
      <c r="AI454" s="67"/>
      <c r="AJ454" s="67"/>
      <c r="AK454" s="67"/>
      <c r="AL454" s="67"/>
      <c r="AM454" s="67"/>
      <c r="AN454" s="67"/>
      <c r="AO454" s="67"/>
      <c r="AP454" s="67"/>
    </row>
    <row r="455" customFormat="false" ht="12.75" hidden="false" customHeight="false" outlineLevel="0" collapsed="false">
      <c r="E455" s="67"/>
      <c r="F455" s="67"/>
      <c r="G455" s="67"/>
      <c r="H455" s="67"/>
      <c r="I455" s="67"/>
      <c r="J455" s="67"/>
      <c r="K455" s="67"/>
      <c r="L455" s="67"/>
      <c r="M455" s="67"/>
      <c r="N455" s="67"/>
      <c r="O455" s="67"/>
      <c r="P455" s="67"/>
      <c r="Q455" s="67"/>
      <c r="R455" s="67"/>
      <c r="S455" s="67"/>
      <c r="T455" s="67"/>
      <c r="U455" s="67"/>
      <c r="V455" s="67"/>
      <c r="W455" s="67"/>
      <c r="X455" s="67"/>
      <c r="Y455" s="67"/>
      <c r="Z455" s="67"/>
      <c r="AA455" s="67"/>
      <c r="AB455" s="67"/>
      <c r="AC455" s="67"/>
      <c r="AD455" s="67"/>
      <c r="AE455" s="67"/>
      <c r="AF455" s="67"/>
      <c r="AG455" s="67"/>
      <c r="AH455" s="67"/>
      <c r="AI455" s="67"/>
      <c r="AJ455" s="67"/>
      <c r="AK455" s="67"/>
      <c r="AL455" s="67"/>
      <c r="AM455" s="67"/>
      <c r="AN455" s="67"/>
      <c r="AO455" s="67"/>
      <c r="AP455" s="67"/>
    </row>
    <row r="456" customFormat="false" ht="12.75" hidden="false" customHeight="false" outlineLevel="0" collapsed="false">
      <c r="E456" s="67"/>
      <c r="F456" s="67"/>
      <c r="G456" s="67"/>
      <c r="H456" s="67"/>
      <c r="I456" s="67"/>
      <c r="J456" s="67"/>
      <c r="K456" s="67"/>
      <c r="L456" s="67"/>
      <c r="M456" s="67"/>
      <c r="N456" s="67"/>
      <c r="O456" s="67"/>
      <c r="P456" s="67"/>
      <c r="Q456" s="67"/>
      <c r="R456" s="67"/>
      <c r="S456" s="67"/>
      <c r="T456" s="67"/>
      <c r="U456" s="67"/>
      <c r="V456" s="67"/>
      <c r="W456" s="67"/>
      <c r="X456" s="67"/>
      <c r="Y456" s="67"/>
      <c r="Z456" s="67"/>
      <c r="AA456" s="67"/>
      <c r="AB456" s="67"/>
      <c r="AC456" s="67"/>
      <c r="AD456" s="67"/>
      <c r="AE456" s="67"/>
      <c r="AF456" s="67"/>
      <c r="AG456" s="67"/>
      <c r="AH456" s="67"/>
      <c r="AI456" s="67"/>
      <c r="AJ456" s="67"/>
      <c r="AK456" s="67"/>
      <c r="AL456" s="67"/>
      <c r="AM456" s="67"/>
      <c r="AN456" s="67"/>
      <c r="AO456" s="67"/>
      <c r="AP456" s="67"/>
    </row>
    <row r="457" customFormat="false" ht="12.75" hidden="false" customHeight="false" outlineLevel="0" collapsed="false">
      <c r="E457" s="67"/>
      <c r="F457" s="67"/>
      <c r="G457" s="67"/>
      <c r="H457" s="67"/>
      <c r="I457" s="67"/>
      <c r="J457" s="67"/>
      <c r="K457" s="67"/>
      <c r="L457" s="67"/>
      <c r="M457" s="67"/>
      <c r="N457" s="67"/>
      <c r="O457" s="67"/>
      <c r="P457" s="67"/>
      <c r="Q457" s="67"/>
      <c r="R457" s="67"/>
      <c r="S457" s="67"/>
      <c r="T457" s="67"/>
      <c r="U457" s="67"/>
      <c r="V457" s="67"/>
      <c r="W457" s="67"/>
      <c r="X457" s="67"/>
      <c r="Y457" s="67"/>
      <c r="Z457" s="67"/>
      <c r="AA457" s="67"/>
      <c r="AB457" s="67"/>
      <c r="AC457" s="67"/>
      <c r="AD457" s="67"/>
      <c r="AE457" s="67"/>
      <c r="AF457" s="67"/>
      <c r="AG457" s="67"/>
      <c r="AH457" s="67"/>
      <c r="AI457" s="67"/>
      <c r="AJ457" s="67"/>
      <c r="AK457" s="67"/>
      <c r="AL457" s="67"/>
      <c r="AM457" s="67"/>
      <c r="AN457" s="67"/>
      <c r="AO457" s="67"/>
      <c r="AP457" s="67"/>
    </row>
    <row r="458" customFormat="false" ht="12.75" hidden="false" customHeight="false" outlineLevel="0" collapsed="false">
      <c r="E458" s="67"/>
      <c r="F458" s="67"/>
      <c r="G458" s="67"/>
      <c r="H458" s="67"/>
      <c r="I458" s="67"/>
      <c r="J458" s="67"/>
      <c r="K458" s="67"/>
      <c r="L458" s="67"/>
      <c r="M458" s="67"/>
      <c r="N458" s="67"/>
      <c r="O458" s="67"/>
      <c r="P458" s="67"/>
      <c r="Q458" s="67"/>
      <c r="R458" s="67"/>
      <c r="S458" s="67"/>
      <c r="T458" s="67"/>
      <c r="U458" s="67"/>
      <c r="V458" s="67"/>
      <c r="W458" s="67"/>
      <c r="X458" s="67"/>
      <c r="Y458" s="67"/>
      <c r="Z458" s="67"/>
      <c r="AA458" s="67"/>
      <c r="AB458" s="67"/>
      <c r="AC458" s="67"/>
      <c r="AD458" s="67"/>
      <c r="AE458" s="67"/>
      <c r="AF458" s="67"/>
      <c r="AG458" s="67"/>
      <c r="AH458" s="67"/>
      <c r="AI458" s="67"/>
      <c r="AJ458" s="67"/>
      <c r="AK458" s="67"/>
      <c r="AL458" s="67"/>
      <c r="AM458" s="67"/>
      <c r="AN458" s="67"/>
      <c r="AO458" s="67"/>
      <c r="AP458" s="67"/>
    </row>
    <row r="459" customFormat="false" ht="12.75" hidden="false" customHeight="false" outlineLevel="0" collapsed="false">
      <c r="E459" s="67"/>
      <c r="F459" s="67"/>
      <c r="G459" s="67"/>
      <c r="H459" s="67"/>
      <c r="I459" s="67"/>
      <c r="J459" s="67"/>
      <c r="K459" s="67"/>
      <c r="L459" s="67"/>
      <c r="M459" s="67"/>
      <c r="N459" s="67"/>
      <c r="O459" s="67"/>
      <c r="P459" s="67"/>
      <c r="Q459" s="67"/>
      <c r="R459" s="67"/>
      <c r="S459" s="67"/>
      <c r="T459" s="67"/>
      <c r="U459" s="67"/>
      <c r="V459" s="67"/>
      <c r="W459" s="67"/>
      <c r="X459" s="67"/>
      <c r="Y459" s="67"/>
      <c r="Z459" s="67"/>
      <c r="AA459" s="67"/>
      <c r="AB459" s="67"/>
      <c r="AC459" s="67"/>
      <c r="AD459" s="67"/>
      <c r="AE459" s="67"/>
      <c r="AF459" s="67"/>
      <c r="AG459" s="67"/>
      <c r="AH459" s="67"/>
      <c r="AI459" s="67"/>
      <c r="AJ459" s="67"/>
      <c r="AK459" s="67"/>
      <c r="AL459" s="67"/>
      <c r="AM459" s="67"/>
      <c r="AN459" s="67"/>
      <c r="AO459" s="67"/>
      <c r="AP459" s="67"/>
    </row>
    <row r="460" customFormat="false" ht="12.75" hidden="false" customHeight="false" outlineLevel="0" collapsed="false">
      <c r="E460" s="67"/>
      <c r="F460" s="67"/>
      <c r="G460" s="67"/>
      <c r="H460" s="67"/>
      <c r="I460" s="67"/>
      <c r="J460" s="67"/>
      <c r="K460" s="67"/>
      <c r="L460" s="67"/>
      <c r="M460" s="67"/>
      <c r="N460" s="67"/>
      <c r="O460" s="67"/>
      <c r="P460" s="67"/>
      <c r="Q460" s="67"/>
      <c r="R460" s="67"/>
      <c r="S460" s="67"/>
      <c r="T460" s="67"/>
      <c r="U460" s="67"/>
      <c r="V460" s="67"/>
      <c r="W460" s="67"/>
      <c r="X460" s="67"/>
      <c r="Y460" s="67"/>
      <c r="Z460" s="67"/>
      <c r="AA460" s="67"/>
      <c r="AB460" s="67"/>
      <c r="AC460" s="67"/>
      <c r="AD460" s="67"/>
      <c r="AE460" s="67"/>
      <c r="AF460" s="67"/>
      <c r="AG460" s="67"/>
      <c r="AH460" s="67"/>
      <c r="AI460" s="67"/>
      <c r="AJ460" s="67"/>
      <c r="AK460" s="67"/>
      <c r="AL460" s="67"/>
      <c r="AM460" s="67"/>
      <c r="AN460" s="67"/>
      <c r="AO460" s="67"/>
      <c r="AP460" s="67"/>
    </row>
    <row r="461" customFormat="false" ht="12.75" hidden="false" customHeight="false" outlineLevel="0" collapsed="false">
      <c r="E461" s="67"/>
      <c r="F461" s="67"/>
      <c r="G461" s="67"/>
      <c r="H461" s="67"/>
      <c r="I461" s="67"/>
      <c r="J461" s="67"/>
      <c r="K461" s="67"/>
      <c r="L461" s="67"/>
      <c r="M461" s="67"/>
      <c r="N461" s="67"/>
      <c r="O461" s="67"/>
      <c r="P461" s="67"/>
      <c r="Q461" s="67"/>
      <c r="R461" s="67"/>
      <c r="S461" s="67"/>
      <c r="T461" s="67"/>
      <c r="U461" s="67"/>
      <c r="V461" s="67"/>
      <c r="W461" s="67"/>
      <c r="X461" s="67"/>
      <c r="Y461" s="67"/>
      <c r="Z461" s="67"/>
      <c r="AA461" s="67"/>
      <c r="AB461" s="67"/>
      <c r="AC461" s="67"/>
      <c r="AD461" s="67"/>
      <c r="AE461" s="67"/>
      <c r="AF461" s="67"/>
      <c r="AG461" s="67"/>
      <c r="AH461" s="67"/>
      <c r="AI461" s="67"/>
      <c r="AJ461" s="67"/>
      <c r="AK461" s="67"/>
      <c r="AL461" s="67"/>
      <c r="AM461" s="67"/>
      <c r="AN461" s="67"/>
      <c r="AO461" s="67"/>
      <c r="AP461" s="67"/>
    </row>
    <row r="462" customFormat="false" ht="12.75" hidden="false" customHeight="false" outlineLevel="0" collapsed="false">
      <c r="E462" s="67"/>
      <c r="F462" s="67"/>
      <c r="G462" s="67"/>
      <c r="H462" s="67"/>
      <c r="I462" s="67"/>
      <c r="J462" s="67"/>
      <c r="K462" s="67"/>
      <c r="L462" s="67"/>
      <c r="M462" s="67"/>
      <c r="N462" s="67"/>
      <c r="O462" s="67"/>
      <c r="P462" s="67"/>
      <c r="Q462" s="67"/>
      <c r="R462" s="67"/>
      <c r="S462" s="67"/>
      <c r="T462" s="67"/>
      <c r="U462" s="67"/>
      <c r="V462" s="67"/>
      <c r="W462" s="67"/>
      <c r="X462" s="67"/>
      <c r="Y462" s="67"/>
      <c r="Z462" s="67"/>
      <c r="AA462" s="67"/>
      <c r="AB462" s="67"/>
      <c r="AC462" s="67"/>
      <c r="AD462" s="67"/>
      <c r="AE462" s="67"/>
      <c r="AF462" s="67"/>
      <c r="AG462" s="67"/>
      <c r="AH462" s="67"/>
      <c r="AI462" s="67"/>
      <c r="AJ462" s="67"/>
      <c r="AK462" s="67"/>
      <c r="AL462" s="67"/>
      <c r="AM462" s="67"/>
      <c r="AN462" s="67"/>
      <c r="AO462" s="67"/>
      <c r="AP462" s="67"/>
    </row>
    <row r="463" customFormat="false" ht="12.75" hidden="false" customHeight="false" outlineLevel="0" collapsed="false">
      <c r="E463" s="67"/>
      <c r="F463" s="67"/>
      <c r="G463" s="67"/>
      <c r="H463" s="67"/>
      <c r="I463" s="67"/>
      <c r="J463" s="67"/>
      <c r="K463" s="67"/>
      <c r="L463" s="67"/>
      <c r="M463" s="67"/>
      <c r="N463" s="67"/>
      <c r="O463" s="67"/>
      <c r="P463" s="67"/>
      <c r="Q463" s="67"/>
      <c r="R463" s="67"/>
      <c r="S463" s="67"/>
      <c r="T463" s="67"/>
      <c r="U463" s="67"/>
      <c r="V463" s="67"/>
      <c r="W463" s="67"/>
      <c r="X463" s="67"/>
      <c r="Y463" s="67"/>
      <c r="Z463" s="67"/>
      <c r="AA463" s="67"/>
      <c r="AB463" s="67"/>
      <c r="AC463" s="67"/>
      <c r="AD463" s="67"/>
      <c r="AE463" s="67"/>
      <c r="AF463" s="67"/>
      <c r="AG463" s="67"/>
      <c r="AH463" s="67"/>
      <c r="AI463" s="67"/>
      <c r="AJ463" s="67"/>
      <c r="AK463" s="67"/>
      <c r="AL463" s="67"/>
      <c r="AM463" s="67"/>
      <c r="AN463" s="67"/>
      <c r="AO463" s="67"/>
      <c r="AP463" s="67"/>
    </row>
    <row r="464" customFormat="false" ht="12.75" hidden="false" customHeight="false" outlineLevel="0" collapsed="false">
      <c r="E464" s="67"/>
      <c r="F464" s="67"/>
      <c r="G464" s="67"/>
      <c r="H464" s="67"/>
      <c r="I464" s="67"/>
      <c r="J464" s="67"/>
      <c r="K464" s="67"/>
      <c r="L464" s="67"/>
      <c r="M464" s="67"/>
      <c r="N464" s="67"/>
      <c r="O464" s="67"/>
      <c r="P464" s="67"/>
      <c r="Q464" s="67"/>
      <c r="R464" s="67"/>
      <c r="S464" s="67"/>
      <c r="T464" s="67"/>
      <c r="U464" s="67"/>
      <c r="V464" s="67"/>
      <c r="W464" s="67"/>
      <c r="X464" s="67"/>
      <c r="Y464" s="67"/>
      <c r="Z464" s="67"/>
      <c r="AA464" s="67"/>
      <c r="AB464" s="67"/>
      <c r="AC464" s="67"/>
      <c r="AD464" s="67"/>
      <c r="AE464" s="67"/>
      <c r="AF464" s="67"/>
      <c r="AG464" s="67"/>
      <c r="AH464" s="67"/>
      <c r="AI464" s="67"/>
      <c r="AJ464" s="67"/>
      <c r="AK464" s="67"/>
      <c r="AL464" s="67"/>
      <c r="AM464" s="67"/>
      <c r="AN464" s="67"/>
      <c r="AO464" s="67"/>
      <c r="AP464" s="67"/>
    </row>
    <row r="465" customFormat="false" ht="12.75" hidden="false" customHeight="false" outlineLevel="0" collapsed="false">
      <c r="E465" s="67"/>
      <c r="F465" s="67"/>
      <c r="G465" s="67"/>
      <c r="H465" s="67"/>
      <c r="I465" s="67"/>
      <c r="J465" s="67"/>
      <c r="K465" s="67"/>
      <c r="L465" s="67"/>
      <c r="M465" s="67"/>
      <c r="N465" s="67"/>
      <c r="O465" s="67"/>
      <c r="P465" s="67"/>
      <c r="Q465" s="67"/>
      <c r="R465" s="67"/>
      <c r="S465" s="67"/>
      <c r="T465" s="67"/>
      <c r="U465" s="67"/>
      <c r="V465" s="67"/>
      <c r="W465" s="67"/>
      <c r="X465" s="67"/>
      <c r="Y465" s="67"/>
      <c r="Z465" s="67"/>
      <c r="AA465" s="67"/>
      <c r="AB465" s="67"/>
      <c r="AC465" s="67"/>
      <c r="AD465" s="67"/>
      <c r="AE465" s="67"/>
      <c r="AF465" s="67"/>
      <c r="AG465" s="67"/>
      <c r="AH465" s="67"/>
      <c r="AI465" s="67"/>
      <c r="AJ465" s="67"/>
      <c r="AK465" s="67"/>
      <c r="AL465" s="67"/>
      <c r="AM465" s="67"/>
      <c r="AN465" s="67"/>
      <c r="AO465" s="67"/>
      <c r="AP465" s="67"/>
    </row>
    <row r="466" customFormat="false" ht="12.75" hidden="false" customHeight="false" outlineLevel="0" collapsed="false">
      <c r="E466" s="67"/>
      <c r="F466" s="67"/>
      <c r="G466" s="67"/>
      <c r="H466" s="67"/>
      <c r="I466" s="67"/>
      <c r="J466" s="67"/>
      <c r="K466" s="67"/>
      <c r="L466" s="67"/>
      <c r="M466" s="67"/>
      <c r="N466" s="67"/>
      <c r="O466" s="67"/>
      <c r="P466" s="67"/>
      <c r="Q466" s="67"/>
      <c r="R466" s="67"/>
      <c r="S466" s="67"/>
      <c r="T466" s="67"/>
      <c r="U466" s="67"/>
      <c r="V466" s="67"/>
      <c r="W466" s="67"/>
      <c r="X466" s="67"/>
      <c r="Y466" s="67"/>
      <c r="Z466" s="67"/>
      <c r="AA466" s="67"/>
      <c r="AB466" s="67"/>
      <c r="AC466" s="67"/>
      <c r="AD466" s="67"/>
      <c r="AE466" s="67"/>
      <c r="AF466" s="67"/>
      <c r="AG466" s="67"/>
      <c r="AH466" s="67"/>
      <c r="AI466" s="67"/>
      <c r="AJ466" s="67"/>
      <c r="AK466" s="67"/>
      <c r="AL466" s="67"/>
      <c r="AM466" s="67"/>
      <c r="AN466" s="67"/>
      <c r="AO466" s="67"/>
      <c r="AP466" s="67"/>
    </row>
    <row r="467" customFormat="false" ht="12.75" hidden="false" customHeight="false" outlineLevel="0" collapsed="false">
      <c r="E467" s="67"/>
      <c r="F467" s="67"/>
      <c r="G467" s="67"/>
      <c r="H467" s="67"/>
      <c r="I467" s="67"/>
      <c r="J467" s="67"/>
      <c r="K467" s="67"/>
      <c r="L467" s="67"/>
      <c r="M467" s="67"/>
      <c r="N467" s="67"/>
      <c r="O467" s="67"/>
      <c r="P467" s="67"/>
      <c r="Q467" s="67"/>
      <c r="R467" s="67"/>
      <c r="S467" s="67"/>
      <c r="T467" s="67"/>
      <c r="U467" s="67"/>
      <c r="V467" s="67"/>
      <c r="W467" s="67"/>
      <c r="X467" s="67"/>
      <c r="Y467" s="67"/>
      <c r="Z467" s="67"/>
      <c r="AA467" s="67"/>
      <c r="AB467" s="67"/>
      <c r="AC467" s="67"/>
      <c r="AD467" s="67"/>
      <c r="AE467" s="67"/>
      <c r="AF467" s="67"/>
      <c r="AG467" s="67"/>
      <c r="AH467" s="67"/>
      <c r="AI467" s="67"/>
      <c r="AJ467" s="67"/>
      <c r="AK467" s="67"/>
      <c r="AL467" s="67"/>
      <c r="AM467" s="67"/>
      <c r="AN467" s="67"/>
      <c r="AO467" s="67"/>
      <c r="AP467" s="67"/>
    </row>
    <row r="468" customFormat="false" ht="12.75" hidden="false" customHeight="false" outlineLevel="0" collapsed="false">
      <c r="E468" s="67"/>
      <c r="F468" s="67"/>
      <c r="G468" s="67"/>
      <c r="H468" s="67"/>
      <c r="I468" s="67"/>
      <c r="J468" s="67"/>
      <c r="K468" s="67"/>
      <c r="L468" s="67"/>
      <c r="M468" s="67"/>
      <c r="N468" s="67"/>
      <c r="O468" s="67"/>
      <c r="P468" s="67"/>
      <c r="Q468" s="67"/>
      <c r="R468" s="67"/>
      <c r="S468" s="67"/>
      <c r="T468" s="67"/>
      <c r="U468" s="67"/>
      <c r="V468" s="67"/>
      <c r="W468" s="67"/>
      <c r="X468" s="67"/>
      <c r="Y468" s="67"/>
      <c r="Z468" s="67"/>
      <c r="AA468" s="67"/>
      <c r="AB468" s="67"/>
      <c r="AC468" s="67"/>
      <c r="AD468" s="67"/>
      <c r="AE468" s="67"/>
      <c r="AF468" s="67"/>
      <c r="AG468" s="67"/>
      <c r="AH468" s="67"/>
      <c r="AI468" s="67"/>
      <c r="AJ468" s="67"/>
      <c r="AK468" s="67"/>
      <c r="AL468" s="67"/>
      <c r="AM468" s="67"/>
      <c r="AN468" s="67"/>
      <c r="AO468" s="67"/>
      <c r="AP468" s="67"/>
    </row>
    <row r="469" customFormat="false" ht="12.75" hidden="false" customHeight="false" outlineLevel="0" collapsed="false">
      <c r="E469" s="67"/>
      <c r="F469" s="67"/>
      <c r="G469" s="67"/>
      <c r="H469" s="67"/>
      <c r="I469" s="67"/>
      <c r="J469" s="67"/>
      <c r="K469" s="67"/>
      <c r="L469" s="67"/>
      <c r="M469" s="67"/>
      <c r="N469" s="67"/>
      <c r="O469" s="67"/>
      <c r="P469" s="67"/>
      <c r="Q469" s="67"/>
      <c r="R469" s="67"/>
      <c r="S469" s="67"/>
      <c r="T469" s="67"/>
      <c r="U469" s="67"/>
      <c r="V469" s="67"/>
      <c r="W469" s="67"/>
      <c r="X469" s="67"/>
      <c r="Y469" s="67"/>
      <c r="Z469" s="67"/>
      <c r="AA469" s="67"/>
      <c r="AB469" s="67"/>
      <c r="AC469" s="67"/>
      <c r="AD469" s="67"/>
      <c r="AE469" s="67"/>
      <c r="AF469" s="67"/>
      <c r="AG469" s="67"/>
      <c r="AH469" s="67"/>
      <c r="AI469" s="67"/>
      <c r="AJ469" s="67"/>
      <c r="AK469" s="67"/>
      <c r="AL469" s="67"/>
      <c r="AM469" s="67"/>
      <c r="AN469" s="67"/>
      <c r="AO469" s="67"/>
      <c r="AP469" s="67"/>
    </row>
    <row r="470" customFormat="false" ht="12.75" hidden="false" customHeight="false" outlineLevel="0" collapsed="false">
      <c r="E470" s="67"/>
      <c r="F470" s="67"/>
      <c r="G470" s="67"/>
      <c r="H470" s="67"/>
      <c r="I470" s="67"/>
      <c r="J470" s="67"/>
      <c r="K470" s="67"/>
      <c r="L470" s="67"/>
      <c r="M470" s="67"/>
      <c r="N470" s="67"/>
      <c r="O470" s="67"/>
      <c r="P470" s="67"/>
      <c r="Q470" s="67"/>
      <c r="R470" s="67"/>
      <c r="S470" s="67"/>
      <c r="T470" s="67"/>
      <c r="U470" s="67"/>
      <c r="V470" s="67"/>
      <c r="W470" s="67"/>
      <c r="X470" s="67"/>
      <c r="Y470" s="67"/>
      <c r="Z470" s="67"/>
      <c r="AA470" s="67"/>
      <c r="AB470" s="67"/>
      <c r="AC470" s="67"/>
      <c r="AD470" s="67"/>
      <c r="AE470" s="67"/>
      <c r="AF470" s="67"/>
      <c r="AG470" s="67"/>
      <c r="AH470" s="67"/>
      <c r="AI470" s="67"/>
      <c r="AJ470" s="67"/>
      <c r="AK470" s="67"/>
      <c r="AL470" s="67"/>
      <c r="AM470" s="67"/>
      <c r="AN470" s="67"/>
      <c r="AO470" s="67"/>
      <c r="AP470" s="67"/>
    </row>
    <row r="471" customFormat="false" ht="12.75" hidden="false" customHeight="false" outlineLevel="0" collapsed="false">
      <c r="E471" s="67"/>
      <c r="F471" s="67"/>
      <c r="G471" s="67"/>
      <c r="H471" s="67"/>
      <c r="I471" s="67"/>
      <c r="J471" s="67"/>
      <c r="K471" s="67"/>
      <c r="L471" s="67"/>
      <c r="M471" s="67"/>
      <c r="N471" s="67"/>
      <c r="O471" s="67"/>
      <c r="P471" s="67"/>
      <c r="Q471" s="67"/>
      <c r="R471" s="67"/>
      <c r="S471" s="67"/>
      <c r="T471" s="67"/>
      <c r="U471" s="67"/>
      <c r="V471" s="67"/>
      <c r="W471" s="67"/>
      <c r="X471" s="67"/>
      <c r="Y471" s="67"/>
      <c r="Z471" s="67"/>
      <c r="AA471" s="67"/>
      <c r="AB471" s="67"/>
      <c r="AC471" s="67"/>
      <c r="AD471" s="67"/>
      <c r="AE471" s="67"/>
      <c r="AF471" s="67"/>
      <c r="AG471" s="67"/>
      <c r="AH471" s="67"/>
      <c r="AI471" s="67"/>
      <c r="AJ471" s="67"/>
      <c r="AK471" s="67"/>
      <c r="AL471" s="67"/>
      <c r="AM471" s="67"/>
      <c r="AN471" s="67"/>
      <c r="AO471" s="67"/>
      <c r="AP471" s="67"/>
    </row>
    <row r="472" customFormat="false" ht="12.75" hidden="false" customHeight="false" outlineLevel="0" collapsed="false">
      <c r="E472" s="67"/>
      <c r="F472" s="67"/>
      <c r="G472" s="67"/>
      <c r="H472" s="67"/>
      <c r="I472" s="67"/>
      <c r="J472" s="67"/>
      <c r="K472" s="67"/>
      <c r="L472" s="67"/>
      <c r="M472" s="67"/>
      <c r="N472" s="67"/>
      <c r="O472" s="67"/>
      <c r="P472" s="67"/>
      <c r="Q472" s="67"/>
      <c r="R472" s="67"/>
      <c r="S472" s="67"/>
      <c r="T472" s="67"/>
      <c r="U472" s="67"/>
      <c r="V472" s="67"/>
      <c r="W472" s="67"/>
      <c r="X472" s="67"/>
      <c r="Y472" s="67"/>
      <c r="Z472" s="67"/>
      <c r="AA472" s="67"/>
      <c r="AB472" s="67"/>
      <c r="AC472" s="67"/>
      <c r="AD472" s="67"/>
      <c r="AE472" s="67"/>
      <c r="AF472" s="67"/>
      <c r="AG472" s="67"/>
      <c r="AH472" s="67"/>
      <c r="AI472" s="67"/>
      <c r="AJ472" s="67"/>
      <c r="AK472" s="67"/>
      <c r="AL472" s="67"/>
      <c r="AM472" s="67"/>
      <c r="AN472" s="67"/>
      <c r="AO472" s="67"/>
      <c r="AP472" s="67"/>
    </row>
    <row r="473" customFormat="false" ht="12.75" hidden="false" customHeight="false" outlineLevel="0" collapsed="false">
      <c r="E473" s="67"/>
      <c r="F473" s="67"/>
      <c r="G473" s="67"/>
      <c r="H473" s="67"/>
      <c r="I473" s="67"/>
      <c r="J473" s="67"/>
      <c r="K473" s="67"/>
      <c r="L473" s="67"/>
      <c r="M473" s="67"/>
      <c r="N473" s="67"/>
      <c r="O473" s="67"/>
      <c r="P473" s="67"/>
      <c r="Q473" s="67"/>
      <c r="R473" s="67"/>
      <c r="S473" s="67"/>
      <c r="T473" s="67"/>
      <c r="U473" s="67"/>
      <c r="V473" s="67"/>
      <c r="W473" s="67"/>
      <c r="X473" s="67"/>
      <c r="Y473" s="67"/>
      <c r="Z473" s="67"/>
      <c r="AA473" s="67"/>
      <c r="AB473" s="67"/>
      <c r="AC473" s="67"/>
      <c r="AD473" s="67"/>
      <c r="AE473" s="67"/>
      <c r="AF473" s="67"/>
      <c r="AG473" s="67"/>
      <c r="AH473" s="67"/>
      <c r="AI473" s="67"/>
      <c r="AJ473" s="67"/>
      <c r="AK473" s="67"/>
      <c r="AL473" s="67"/>
      <c r="AM473" s="67"/>
      <c r="AN473" s="67"/>
      <c r="AO473" s="67"/>
      <c r="AP473" s="67"/>
    </row>
    <row r="474" customFormat="false" ht="12.75" hidden="false" customHeight="false" outlineLevel="0" collapsed="false">
      <c r="E474" s="67"/>
      <c r="F474" s="67"/>
      <c r="G474" s="67"/>
      <c r="H474" s="67"/>
      <c r="I474" s="67"/>
      <c r="J474" s="67"/>
      <c r="K474" s="67"/>
      <c r="L474" s="67"/>
      <c r="M474" s="67"/>
      <c r="N474" s="67"/>
      <c r="O474" s="67"/>
      <c r="P474" s="67"/>
      <c r="Q474" s="67"/>
      <c r="R474" s="67"/>
      <c r="S474" s="67"/>
      <c r="T474" s="67"/>
      <c r="U474" s="67"/>
      <c r="V474" s="67"/>
      <c r="W474" s="67"/>
      <c r="X474" s="67"/>
      <c r="Y474" s="67"/>
      <c r="Z474" s="67"/>
      <c r="AA474" s="67"/>
      <c r="AB474" s="67"/>
      <c r="AC474" s="67"/>
      <c r="AD474" s="67"/>
      <c r="AE474" s="67"/>
      <c r="AF474" s="67"/>
      <c r="AG474" s="67"/>
      <c r="AH474" s="67"/>
      <c r="AI474" s="67"/>
      <c r="AJ474" s="67"/>
      <c r="AK474" s="67"/>
      <c r="AL474" s="67"/>
      <c r="AM474" s="67"/>
      <c r="AN474" s="67"/>
      <c r="AO474" s="67"/>
      <c r="AP474" s="67"/>
    </row>
    <row r="475" customFormat="false" ht="12.75" hidden="false" customHeight="false" outlineLevel="0" collapsed="false">
      <c r="E475" s="67"/>
      <c r="F475" s="67"/>
      <c r="G475" s="67"/>
      <c r="H475" s="67"/>
      <c r="I475" s="67"/>
      <c r="J475" s="67"/>
      <c r="K475" s="67"/>
      <c r="L475" s="67"/>
      <c r="M475" s="67"/>
      <c r="N475" s="67"/>
      <c r="O475" s="67"/>
      <c r="P475" s="67"/>
      <c r="Q475" s="67"/>
      <c r="R475" s="67"/>
      <c r="S475" s="67"/>
      <c r="T475" s="67"/>
      <c r="U475" s="67"/>
      <c r="V475" s="67"/>
      <c r="W475" s="67"/>
      <c r="X475" s="67"/>
      <c r="Y475" s="67"/>
      <c r="Z475" s="67"/>
      <c r="AA475" s="67"/>
      <c r="AB475" s="67"/>
      <c r="AC475" s="67"/>
      <c r="AD475" s="67"/>
      <c r="AE475" s="67"/>
      <c r="AF475" s="67"/>
      <c r="AG475" s="67"/>
      <c r="AH475" s="67"/>
      <c r="AI475" s="67"/>
      <c r="AJ475" s="67"/>
      <c r="AK475" s="67"/>
      <c r="AL475" s="67"/>
      <c r="AM475" s="67"/>
      <c r="AN475" s="67"/>
      <c r="AO475" s="67"/>
      <c r="AP475" s="67"/>
    </row>
    <row r="476" customFormat="false" ht="12.75" hidden="false" customHeight="false" outlineLevel="0" collapsed="false">
      <c r="E476" s="67"/>
      <c r="F476" s="67"/>
      <c r="G476" s="67"/>
      <c r="H476" s="67"/>
      <c r="I476" s="67"/>
      <c r="J476" s="67"/>
      <c r="K476" s="67"/>
      <c r="L476" s="67"/>
      <c r="M476" s="67"/>
      <c r="N476" s="67"/>
      <c r="O476" s="67"/>
      <c r="P476" s="67"/>
      <c r="Q476" s="67"/>
      <c r="R476" s="67"/>
      <c r="S476" s="67"/>
      <c r="T476" s="67"/>
      <c r="U476" s="67"/>
      <c r="V476" s="67"/>
      <c r="W476" s="67"/>
      <c r="X476" s="67"/>
      <c r="Y476" s="67"/>
      <c r="Z476" s="67"/>
      <c r="AA476" s="67"/>
      <c r="AB476" s="67"/>
      <c r="AC476" s="67"/>
      <c r="AD476" s="67"/>
      <c r="AE476" s="67"/>
      <c r="AF476" s="67"/>
      <c r="AG476" s="67"/>
      <c r="AH476" s="67"/>
      <c r="AI476" s="67"/>
      <c r="AJ476" s="67"/>
      <c r="AK476" s="67"/>
      <c r="AL476" s="67"/>
      <c r="AM476" s="67"/>
      <c r="AN476" s="67"/>
      <c r="AO476" s="67"/>
      <c r="AP476" s="67"/>
    </row>
    <row r="477" customFormat="false" ht="12.75" hidden="false" customHeight="false" outlineLevel="0" collapsed="false">
      <c r="E477" s="67"/>
      <c r="F477" s="67"/>
      <c r="G477" s="67"/>
      <c r="H477" s="67"/>
      <c r="I477" s="67"/>
      <c r="J477" s="67"/>
      <c r="K477" s="67"/>
      <c r="L477" s="67"/>
      <c r="M477" s="67"/>
      <c r="N477" s="67"/>
      <c r="O477" s="67"/>
      <c r="P477" s="67"/>
      <c r="Q477" s="67"/>
      <c r="R477" s="67"/>
      <c r="S477" s="67"/>
      <c r="T477" s="67"/>
      <c r="U477" s="67"/>
      <c r="V477" s="67"/>
      <c r="W477" s="67"/>
      <c r="X477" s="67"/>
      <c r="Y477" s="67"/>
      <c r="Z477" s="67"/>
      <c r="AA477" s="67"/>
      <c r="AB477" s="67"/>
      <c r="AC477" s="67"/>
      <c r="AD477" s="67"/>
      <c r="AE477" s="67"/>
      <c r="AF477" s="67"/>
      <c r="AG477" s="67"/>
      <c r="AH477" s="67"/>
      <c r="AI477" s="67"/>
      <c r="AJ477" s="67"/>
      <c r="AK477" s="67"/>
      <c r="AL477" s="67"/>
      <c r="AM477" s="67"/>
      <c r="AN477" s="67"/>
      <c r="AO477" s="67"/>
      <c r="AP477" s="67"/>
    </row>
    <row r="478" customFormat="false" ht="12.75" hidden="false" customHeight="false" outlineLevel="0" collapsed="false">
      <c r="E478" s="67"/>
      <c r="F478" s="67"/>
      <c r="G478" s="67"/>
      <c r="H478" s="67"/>
      <c r="I478" s="67"/>
      <c r="J478" s="67"/>
      <c r="K478" s="67"/>
      <c r="L478" s="67"/>
      <c r="M478" s="67"/>
      <c r="N478" s="67"/>
      <c r="O478" s="67"/>
      <c r="P478" s="67"/>
      <c r="Q478" s="67"/>
      <c r="R478" s="67"/>
      <c r="S478" s="67"/>
      <c r="T478" s="67"/>
      <c r="U478" s="67"/>
      <c r="V478" s="67"/>
      <c r="W478" s="67"/>
      <c r="X478" s="67"/>
      <c r="Y478" s="67"/>
      <c r="Z478" s="67"/>
      <c r="AA478" s="67"/>
      <c r="AB478" s="67"/>
      <c r="AC478" s="67"/>
      <c r="AD478" s="67"/>
      <c r="AE478" s="67"/>
      <c r="AF478" s="67"/>
      <c r="AG478" s="67"/>
      <c r="AH478" s="67"/>
      <c r="AI478" s="67"/>
      <c r="AJ478" s="67"/>
      <c r="AK478" s="67"/>
      <c r="AL478" s="67"/>
      <c r="AM478" s="67"/>
      <c r="AN478" s="67"/>
      <c r="AO478" s="67"/>
      <c r="AP478" s="67"/>
    </row>
    <row r="479" customFormat="false" ht="12.75" hidden="false" customHeight="false" outlineLevel="0" collapsed="false">
      <c r="E479" s="67"/>
      <c r="F479" s="67"/>
      <c r="G479" s="67"/>
      <c r="H479" s="67"/>
      <c r="I479" s="67"/>
      <c r="J479" s="67"/>
      <c r="K479" s="67"/>
      <c r="L479" s="67"/>
      <c r="M479" s="67"/>
      <c r="N479" s="67"/>
      <c r="O479" s="67"/>
      <c r="P479" s="67"/>
      <c r="Q479" s="67"/>
      <c r="R479" s="67"/>
      <c r="S479" s="67"/>
      <c r="T479" s="67"/>
      <c r="U479" s="67"/>
      <c r="V479" s="67"/>
      <c r="W479" s="67"/>
      <c r="X479" s="67"/>
      <c r="Y479" s="67"/>
      <c r="Z479" s="67"/>
      <c r="AA479" s="67"/>
      <c r="AB479" s="67"/>
      <c r="AC479" s="67"/>
      <c r="AD479" s="67"/>
      <c r="AE479" s="67"/>
      <c r="AF479" s="67"/>
      <c r="AG479" s="67"/>
      <c r="AH479" s="67"/>
      <c r="AI479" s="67"/>
      <c r="AJ479" s="67"/>
      <c r="AK479" s="67"/>
      <c r="AL479" s="67"/>
      <c r="AM479" s="67"/>
      <c r="AN479" s="67"/>
      <c r="AO479" s="67"/>
      <c r="AP479" s="67"/>
    </row>
    <row r="480" customFormat="false" ht="12.75" hidden="false" customHeight="false" outlineLevel="0" collapsed="false">
      <c r="E480" s="67"/>
      <c r="F480" s="67"/>
      <c r="G480" s="67"/>
      <c r="H480" s="67"/>
      <c r="I480" s="67"/>
      <c r="J480" s="67"/>
      <c r="K480" s="67"/>
      <c r="L480" s="67"/>
      <c r="M480" s="67"/>
      <c r="N480" s="67"/>
      <c r="O480" s="67"/>
      <c r="P480" s="67"/>
      <c r="Q480" s="67"/>
      <c r="R480" s="67"/>
      <c r="S480" s="67"/>
      <c r="T480" s="67"/>
      <c r="U480" s="67"/>
      <c r="V480" s="67"/>
      <c r="W480" s="67"/>
      <c r="X480" s="67"/>
      <c r="Y480" s="67"/>
      <c r="Z480" s="67"/>
      <c r="AA480" s="67"/>
      <c r="AB480" s="67"/>
      <c r="AC480" s="67"/>
      <c r="AD480" s="67"/>
      <c r="AE480" s="67"/>
      <c r="AF480" s="67"/>
      <c r="AG480" s="67"/>
      <c r="AH480" s="67"/>
      <c r="AI480" s="67"/>
      <c r="AJ480" s="67"/>
      <c r="AK480" s="67"/>
      <c r="AL480" s="67"/>
      <c r="AM480" s="67"/>
      <c r="AN480" s="67"/>
      <c r="AO480" s="67"/>
      <c r="AP480" s="67"/>
    </row>
    <row r="481" customFormat="false" ht="12.75" hidden="false" customHeight="false" outlineLevel="0" collapsed="false">
      <c r="E481" s="67"/>
      <c r="F481" s="67"/>
      <c r="G481" s="67"/>
      <c r="H481" s="67"/>
      <c r="I481" s="67"/>
      <c r="J481" s="67"/>
      <c r="K481" s="67"/>
      <c r="L481" s="67"/>
      <c r="M481" s="67"/>
      <c r="N481" s="67"/>
      <c r="O481" s="67"/>
      <c r="P481" s="67"/>
      <c r="Q481" s="67"/>
      <c r="R481" s="67"/>
      <c r="S481" s="67"/>
      <c r="T481" s="67"/>
      <c r="U481" s="67"/>
      <c r="V481" s="67"/>
      <c r="W481" s="67"/>
      <c r="X481" s="67"/>
      <c r="Y481" s="67"/>
      <c r="Z481" s="67"/>
      <c r="AA481" s="67"/>
      <c r="AB481" s="67"/>
      <c r="AC481" s="67"/>
      <c r="AD481" s="67"/>
      <c r="AE481" s="67"/>
      <c r="AF481" s="67"/>
      <c r="AG481" s="67"/>
      <c r="AH481" s="67"/>
      <c r="AI481" s="67"/>
      <c r="AJ481" s="67"/>
      <c r="AK481" s="67"/>
      <c r="AL481" s="67"/>
      <c r="AM481" s="67"/>
      <c r="AN481" s="67"/>
      <c r="AO481" s="67"/>
      <c r="AP481" s="67"/>
    </row>
    <row r="482" customFormat="false" ht="12.75" hidden="false" customHeight="false" outlineLevel="0" collapsed="false">
      <c r="E482" s="67"/>
      <c r="F482" s="67"/>
      <c r="G482" s="67"/>
      <c r="H482" s="67"/>
      <c r="I482" s="67"/>
      <c r="J482" s="67"/>
      <c r="K482" s="67"/>
      <c r="L482" s="67"/>
      <c r="M482" s="67"/>
      <c r="N482" s="67"/>
      <c r="O482" s="67"/>
      <c r="P482" s="67"/>
      <c r="Q482" s="67"/>
      <c r="R482" s="67"/>
      <c r="S482" s="67"/>
      <c r="T482" s="67"/>
      <c r="U482" s="67"/>
      <c r="V482" s="67"/>
      <c r="W482" s="67"/>
      <c r="X482" s="67"/>
      <c r="Y482" s="67"/>
      <c r="Z482" s="67"/>
      <c r="AA482" s="67"/>
      <c r="AB482" s="67"/>
      <c r="AC482" s="67"/>
      <c r="AD482" s="67"/>
      <c r="AE482" s="67"/>
      <c r="AF482" s="67"/>
      <c r="AG482" s="67"/>
      <c r="AH482" s="67"/>
      <c r="AI482" s="67"/>
      <c r="AJ482" s="67"/>
      <c r="AK482" s="67"/>
      <c r="AL482" s="67"/>
      <c r="AM482" s="67"/>
      <c r="AN482" s="67"/>
      <c r="AO482" s="67"/>
      <c r="AP482" s="67"/>
    </row>
    <row r="483" customFormat="false" ht="12.75" hidden="false" customHeight="false" outlineLevel="0" collapsed="false">
      <c r="E483" s="67"/>
      <c r="F483" s="67"/>
      <c r="G483" s="67"/>
      <c r="H483" s="67"/>
      <c r="I483" s="67"/>
      <c r="J483" s="67"/>
      <c r="K483" s="67"/>
      <c r="L483" s="67"/>
      <c r="M483" s="67"/>
      <c r="N483" s="67"/>
      <c r="O483" s="67"/>
      <c r="P483" s="67"/>
      <c r="Q483" s="67"/>
      <c r="R483" s="67"/>
      <c r="S483" s="67"/>
      <c r="T483" s="67"/>
      <c r="U483" s="67"/>
      <c r="V483" s="67"/>
      <c r="W483" s="67"/>
      <c r="X483" s="67"/>
      <c r="Y483" s="67"/>
      <c r="Z483" s="67"/>
      <c r="AA483" s="67"/>
      <c r="AB483" s="67"/>
      <c r="AC483" s="67"/>
      <c r="AD483" s="67"/>
      <c r="AE483" s="67"/>
      <c r="AF483" s="67"/>
      <c r="AG483" s="67"/>
      <c r="AH483" s="67"/>
      <c r="AI483" s="67"/>
      <c r="AJ483" s="67"/>
      <c r="AK483" s="67"/>
      <c r="AL483" s="67"/>
      <c r="AM483" s="67"/>
      <c r="AN483" s="67"/>
      <c r="AO483" s="67"/>
      <c r="AP483" s="67"/>
    </row>
    <row r="484" customFormat="false" ht="12.75" hidden="false" customHeight="false" outlineLevel="0" collapsed="false">
      <c r="E484" s="67"/>
      <c r="F484" s="67"/>
      <c r="G484" s="67"/>
      <c r="H484" s="67"/>
      <c r="I484" s="67"/>
      <c r="J484" s="67"/>
      <c r="K484" s="67"/>
      <c r="L484" s="67"/>
      <c r="M484" s="67"/>
      <c r="N484" s="67"/>
      <c r="O484" s="67"/>
      <c r="P484" s="67"/>
      <c r="Q484" s="67"/>
      <c r="R484" s="67"/>
      <c r="S484" s="67"/>
      <c r="T484" s="67"/>
      <c r="U484" s="67"/>
      <c r="V484" s="67"/>
      <c r="W484" s="67"/>
      <c r="X484" s="67"/>
      <c r="Y484" s="67"/>
      <c r="Z484" s="67"/>
      <c r="AA484" s="67"/>
      <c r="AB484" s="67"/>
      <c r="AC484" s="67"/>
      <c r="AD484" s="67"/>
      <c r="AE484" s="67"/>
      <c r="AF484" s="67"/>
      <c r="AG484" s="67"/>
      <c r="AH484" s="67"/>
      <c r="AI484" s="67"/>
      <c r="AJ484" s="67"/>
      <c r="AK484" s="67"/>
      <c r="AL484" s="67"/>
      <c r="AM484" s="67"/>
      <c r="AN484" s="67"/>
      <c r="AO484" s="67"/>
      <c r="AP484" s="67"/>
    </row>
    <row r="485" customFormat="false" ht="12.75" hidden="false" customHeight="false" outlineLevel="0" collapsed="false">
      <c r="E485" s="67"/>
      <c r="F485" s="67"/>
      <c r="G485" s="67"/>
      <c r="H485" s="67"/>
      <c r="I485" s="67"/>
      <c r="J485" s="67"/>
      <c r="K485" s="67"/>
      <c r="L485" s="67"/>
      <c r="M485" s="67"/>
      <c r="N485" s="67"/>
      <c r="O485" s="67"/>
      <c r="P485" s="67"/>
      <c r="Q485" s="67"/>
      <c r="R485" s="67"/>
      <c r="S485" s="67"/>
      <c r="T485" s="67"/>
      <c r="U485" s="67"/>
      <c r="V485" s="67"/>
      <c r="W485" s="67"/>
      <c r="X485" s="67"/>
      <c r="Y485" s="67"/>
      <c r="Z485" s="67"/>
      <c r="AA485" s="67"/>
      <c r="AB485" s="67"/>
      <c r="AC485" s="67"/>
      <c r="AD485" s="67"/>
      <c r="AE485" s="67"/>
      <c r="AF485" s="67"/>
      <c r="AG485" s="67"/>
      <c r="AH485" s="67"/>
      <c r="AI485" s="67"/>
      <c r="AJ485" s="67"/>
      <c r="AK485" s="67"/>
      <c r="AL485" s="67"/>
      <c r="AM485" s="67"/>
      <c r="AN485" s="67"/>
      <c r="AO485" s="67"/>
      <c r="AP485" s="67"/>
    </row>
    <row r="486" customFormat="false" ht="12.75" hidden="false" customHeight="false" outlineLevel="0" collapsed="false">
      <c r="E486" s="67"/>
      <c r="F486" s="67"/>
      <c r="G486" s="67"/>
      <c r="H486" s="67"/>
      <c r="I486" s="67"/>
      <c r="J486" s="67"/>
      <c r="K486" s="67"/>
      <c r="L486" s="67"/>
      <c r="M486" s="67"/>
      <c r="N486" s="67"/>
      <c r="O486" s="67"/>
      <c r="P486" s="67"/>
      <c r="Q486" s="67"/>
      <c r="R486" s="67"/>
      <c r="S486" s="67"/>
      <c r="T486" s="67"/>
      <c r="U486" s="67"/>
      <c r="V486" s="67"/>
      <c r="W486" s="67"/>
      <c r="X486" s="67"/>
      <c r="Y486" s="67"/>
      <c r="Z486" s="67"/>
      <c r="AA486" s="67"/>
      <c r="AB486" s="67"/>
      <c r="AC486" s="67"/>
      <c r="AD486" s="67"/>
      <c r="AE486" s="67"/>
      <c r="AF486" s="67"/>
      <c r="AG486" s="67"/>
      <c r="AH486" s="67"/>
      <c r="AI486" s="67"/>
      <c r="AJ486" s="67"/>
      <c r="AK486" s="67"/>
      <c r="AL486" s="67"/>
      <c r="AM486" s="67"/>
      <c r="AN486" s="67"/>
      <c r="AO486" s="67"/>
      <c r="AP486" s="67"/>
    </row>
    <row r="487" customFormat="false" ht="12.75" hidden="false" customHeight="false" outlineLevel="0" collapsed="false">
      <c r="E487" s="67"/>
      <c r="F487" s="67"/>
      <c r="G487" s="67"/>
      <c r="H487" s="67"/>
      <c r="I487" s="67"/>
      <c r="J487" s="67"/>
      <c r="K487" s="67"/>
      <c r="L487" s="67"/>
      <c r="M487" s="67"/>
      <c r="N487" s="67"/>
      <c r="O487" s="67"/>
      <c r="P487" s="67"/>
      <c r="Q487" s="67"/>
      <c r="R487" s="67"/>
      <c r="S487" s="67"/>
      <c r="T487" s="67"/>
      <c r="U487" s="67"/>
      <c r="V487" s="67"/>
      <c r="W487" s="67"/>
      <c r="X487" s="67"/>
      <c r="Y487" s="67"/>
      <c r="Z487" s="67"/>
      <c r="AA487" s="67"/>
      <c r="AB487" s="67"/>
      <c r="AC487" s="67"/>
      <c r="AD487" s="67"/>
      <c r="AE487" s="67"/>
      <c r="AF487" s="67"/>
      <c r="AG487" s="67"/>
      <c r="AH487" s="67"/>
      <c r="AI487" s="67"/>
      <c r="AJ487" s="67"/>
      <c r="AK487" s="67"/>
      <c r="AL487" s="67"/>
      <c r="AM487" s="67"/>
      <c r="AN487" s="67"/>
      <c r="AO487" s="67"/>
      <c r="AP487" s="67"/>
    </row>
    <row r="488" customFormat="false" ht="12.75" hidden="false" customHeight="false" outlineLevel="0" collapsed="false">
      <c r="E488" s="67"/>
      <c r="F488" s="67"/>
      <c r="G488" s="67"/>
      <c r="H488" s="67"/>
      <c r="I488" s="67"/>
      <c r="J488" s="67"/>
      <c r="K488" s="67"/>
      <c r="L488" s="67"/>
      <c r="M488" s="67"/>
      <c r="N488" s="67"/>
      <c r="O488" s="67"/>
      <c r="P488" s="67"/>
      <c r="Q488" s="67"/>
      <c r="R488" s="67"/>
      <c r="S488" s="67"/>
      <c r="T488" s="67"/>
      <c r="U488" s="67"/>
      <c r="V488" s="67"/>
      <c r="W488" s="67"/>
      <c r="X488" s="67"/>
      <c r="Y488" s="67"/>
      <c r="Z488" s="67"/>
      <c r="AA488" s="67"/>
      <c r="AB488" s="67"/>
      <c r="AC488" s="67"/>
      <c r="AD488" s="67"/>
      <c r="AE488" s="67"/>
      <c r="AF488" s="67"/>
      <c r="AG488" s="67"/>
      <c r="AH488" s="67"/>
      <c r="AI488" s="67"/>
      <c r="AJ488" s="67"/>
      <c r="AK488" s="67"/>
      <c r="AL488" s="67"/>
      <c r="AM488" s="67"/>
      <c r="AN488" s="67"/>
      <c r="AO488" s="67"/>
      <c r="AP488" s="67"/>
    </row>
    <row r="489" customFormat="false" ht="12.75" hidden="false" customHeight="false" outlineLevel="0" collapsed="false">
      <c r="E489" s="67"/>
      <c r="F489" s="67"/>
      <c r="G489" s="67"/>
      <c r="H489" s="67"/>
      <c r="I489" s="67"/>
      <c r="J489" s="67"/>
      <c r="K489" s="67"/>
      <c r="L489" s="67"/>
      <c r="M489" s="67"/>
      <c r="N489" s="67"/>
      <c r="O489" s="67"/>
      <c r="P489" s="67"/>
      <c r="Q489" s="67"/>
      <c r="R489" s="67"/>
      <c r="S489" s="67"/>
      <c r="T489" s="67"/>
      <c r="U489" s="67"/>
      <c r="V489" s="67"/>
      <c r="W489" s="67"/>
      <c r="X489" s="67"/>
      <c r="Y489" s="67"/>
      <c r="Z489" s="67"/>
      <c r="AA489" s="67"/>
      <c r="AB489" s="67"/>
      <c r="AC489" s="67"/>
      <c r="AD489" s="67"/>
      <c r="AE489" s="67"/>
      <c r="AF489" s="67"/>
      <c r="AG489" s="67"/>
      <c r="AH489" s="67"/>
      <c r="AI489" s="67"/>
      <c r="AJ489" s="67"/>
      <c r="AK489" s="67"/>
      <c r="AL489" s="67"/>
      <c r="AM489" s="67"/>
      <c r="AN489" s="67"/>
      <c r="AO489" s="67"/>
      <c r="AP489" s="67"/>
    </row>
    <row r="490" customFormat="false" ht="12.75" hidden="false" customHeight="false" outlineLevel="0" collapsed="false">
      <c r="E490" s="67"/>
      <c r="F490" s="67"/>
      <c r="G490" s="67"/>
      <c r="H490" s="67"/>
      <c r="I490" s="67"/>
      <c r="J490" s="67"/>
      <c r="K490" s="67"/>
      <c r="L490" s="67"/>
      <c r="M490" s="67"/>
      <c r="N490" s="67"/>
      <c r="O490" s="67"/>
      <c r="P490" s="67"/>
      <c r="Q490" s="67"/>
      <c r="R490" s="67"/>
      <c r="S490" s="67"/>
      <c r="T490" s="67"/>
      <c r="U490" s="67"/>
      <c r="V490" s="67"/>
      <c r="W490" s="67"/>
      <c r="X490" s="67"/>
      <c r="Y490" s="67"/>
      <c r="Z490" s="67"/>
      <c r="AA490" s="67"/>
      <c r="AB490" s="67"/>
      <c r="AC490" s="67"/>
      <c r="AD490" s="67"/>
      <c r="AE490" s="67"/>
      <c r="AF490" s="67"/>
      <c r="AG490" s="67"/>
      <c r="AH490" s="67"/>
      <c r="AI490" s="67"/>
      <c r="AJ490" s="67"/>
      <c r="AK490" s="67"/>
      <c r="AL490" s="67"/>
      <c r="AM490" s="67"/>
      <c r="AN490" s="67"/>
      <c r="AO490" s="67"/>
      <c r="AP490" s="67"/>
    </row>
    <row r="491" customFormat="false" ht="12.75" hidden="false" customHeight="false" outlineLevel="0" collapsed="false">
      <c r="E491" s="67"/>
      <c r="F491" s="67"/>
      <c r="G491" s="67"/>
      <c r="H491" s="67"/>
      <c r="I491" s="67"/>
      <c r="J491" s="67"/>
      <c r="K491" s="67"/>
      <c r="L491" s="67"/>
      <c r="M491" s="67"/>
      <c r="N491" s="67"/>
      <c r="O491" s="67"/>
      <c r="P491" s="67"/>
      <c r="Q491" s="67"/>
      <c r="R491" s="67"/>
      <c r="S491" s="67"/>
      <c r="T491" s="67"/>
      <c r="U491" s="67"/>
      <c r="V491" s="67"/>
      <c r="W491" s="67"/>
      <c r="X491" s="67"/>
      <c r="Y491" s="67"/>
      <c r="Z491" s="67"/>
      <c r="AA491" s="67"/>
      <c r="AB491" s="67"/>
      <c r="AC491" s="67"/>
      <c r="AD491" s="67"/>
      <c r="AE491" s="67"/>
      <c r="AF491" s="67"/>
      <c r="AG491" s="67"/>
      <c r="AH491" s="67"/>
      <c r="AI491" s="67"/>
      <c r="AJ491" s="67"/>
      <c r="AK491" s="67"/>
      <c r="AL491" s="67"/>
      <c r="AM491" s="67"/>
      <c r="AN491" s="67"/>
      <c r="AO491" s="67"/>
      <c r="AP491" s="67"/>
    </row>
    <row r="492" customFormat="false" ht="12.75" hidden="false" customHeight="false" outlineLevel="0" collapsed="false">
      <c r="E492" s="67"/>
      <c r="F492" s="67"/>
      <c r="G492" s="67"/>
      <c r="H492" s="67"/>
      <c r="I492" s="67"/>
      <c r="J492" s="67"/>
      <c r="K492" s="67"/>
      <c r="L492" s="67"/>
      <c r="M492" s="67"/>
      <c r="N492" s="67"/>
      <c r="O492" s="67"/>
      <c r="P492" s="67"/>
      <c r="Q492" s="67"/>
      <c r="R492" s="67"/>
      <c r="S492" s="67"/>
      <c r="T492" s="67"/>
      <c r="U492" s="67"/>
      <c r="V492" s="67"/>
      <c r="W492" s="67"/>
      <c r="X492" s="67"/>
      <c r="Y492" s="67"/>
      <c r="Z492" s="67"/>
      <c r="AA492" s="67"/>
      <c r="AB492" s="67"/>
      <c r="AC492" s="67"/>
      <c r="AD492" s="67"/>
      <c r="AE492" s="67"/>
      <c r="AF492" s="67"/>
      <c r="AG492" s="67"/>
      <c r="AH492" s="67"/>
      <c r="AI492" s="67"/>
      <c r="AJ492" s="67"/>
      <c r="AK492" s="67"/>
      <c r="AL492" s="67"/>
      <c r="AM492" s="67"/>
      <c r="AN492" s="67"/>
      <c r="AO492" s="67"/>
      <c r="AP492" s="67"/>
    </row>
    <row r="493" customFormat="false" ht="12.75" hidden="false" customHeight="false" outlineLevel="0" collapsed="false">
      <c r="E493" s="67"/>
      <c r="F493" s="67"/>
      <c r="G493" s="67"/>
      <c r="H493" s="67"/>
      <c r="I493" s="67"/>
      <c r="J493" s="67"/>
      <c r="K493" s="67"/>
      <c r="L493" s="67"/>
      <c r="M493" s="67"/>
      <c r="N493" s="67"/>
      <c r="O493" s="67"/>
      <c r="P493" s="67"/>
      <c r="Q493" s="67"/>
      <c r="R493" s="67"/>
      <c r="S493" s="67"/>
      <c r="T493" s="67"/>
      <c r="U493" s="67"/>
      <c r="V493" s="67"/>
      <c r="W493" s="67"/>
      <c r="X493" s="67"/>
      <c r="Y493" s="67"/>
      <c r="Z493" s="67"/>
      <c r="AA493" s="67"/>
      <c r="AB493" s="67"/>
      <c r="AC493" s="67"/>
      <c r="AD493" s="67"/>
      <c r="AE493" s="67"/>
      <c r="AF493" s="67"/>
      <c r="AG493" s="67"/>
      <c r="AH493" s="67"/>
      <c r="AI493" s="67"/>
      <c r="AJ493" s="67"/>
      <c r="AK493" s="67"/>
      <c r="AL493" s="67"/>
      <c r="AM493" s="67"/>
      <c r="AN493" s="67"/>
      <c r="AO493" s="67"/>
      <c r="AP493" s="67"/>
    </row>
    <row r="494" customFormat="false" ht="12.75" hidden="false" customHeight="false" outlineLevel="0" collapsed="false">
      <c r="E494" s="67"/>
      <c r="F494" s="67"/>
      <c r="G494" s="67"/>
      <c r="H494" s="67"/>
      <c r="I494" s="67"/>
      <c r="J494" s="67"/>
      <c r="K494" s="67"/>
      <c r="L494" s="67"/>
      <c r="M494" s="67"/>
      <c r="N494" s="67"/>
      <c r="O494" s="67"/>
      <c r="P494" s="67"/>
      <c r="Q494" s="67"/>
      <c r="R494" s="67"/>
      <c r="S494" s="67"/>
      <c r="T494" s="67"/>
      <c r="U494" s="67"/>
      <c r="V494" s="67"/>
      <c r="W494" s="67"/>
      <c r="X494" s="67"/>
      <c r="Y494" s="67"/>
      <c r="Z494" s="67"/>
      <c r="AA494" s="67"/>
      <c r="AB494" s="67"/>
      <c r="AC494" s="67"/>
      <c r="AD494" s="67"/>
      <c r="AE494" s="67"/>
      <c r="AF494" s="67"/>
      <c r="AG494" s="67"/>
      <c r="AH494" s="67"/>
      <c r="AI494" s="67"/>
      <c r="AJ494" s="67"/>
      <c r="AK494" s="67"/>
      <c r="AL494" s="67"/>
      <c r="AM494" s="67"/>
      <c r="AN494" s="67"/>
      <c r="AO494" s="67"/>
      <c r="AP494" s="67"/>
    </row>
    <row r="495" customFormat="false" ht="12.75" hidden="false" customHeight="false" outlineLevel="0" collapsed="false">
      <c r="E495" s="67"/>
      <c r="F495" s="67"/>
      <c r="G495" s="67"/>
      <c r="H495" s="67"/>
      <c r="I495" s="67"/>
      <c r="J495" s="67"/>
      <c r="K495" s="67"/>
      <c r="L495" s="67"/>
      <c r="M495" s="67"/>
      <c r="N495" s="67"/>
      <c r="O495" s="67"/>
      <c r="P495" s="67"/>
      <c r="Q495" s="67"/>
      <c r="R495" s="67"/>
      <c r="S495" s="67"/>
      <c r="T495" s="67"/>
      <c r="U495" s="67"/>
      <c r="V495" s="67"/>
      <c r="W495" s="67"/>
      <c r="X495" s="67"/>
      <c r="Y495" s="67"/>
      <c r="Z495" s="67"/>
      <c r="AA495" s="67"/>
      <c r="AB495" s="67"/>
      <c r="AC495" s="67"/>
      <c r="AD495" s="67"/>
      <c r="AE495" s="67"/>
      <c r="AF495" s="67"/>
      <c r="AG495" s="67"/>
      <c r="AH495" s="67"/>
      <c r="AI495" s="67"/>
      <c r="AJ495" s="67"/>
      <c r="AK495" s="67"/>
      <c r="AL495" s="67"/>
      <c r="AM495" s="67"/>
      <c r="AN495" s="67"/>
      <c r="AO495" s="67"/>
      <c r="AP495" s="67"/>
    </row>
    <row r="496" customFormat="false" ht="12.75" hidden="false" customHeight="false" outlineLevel="0" collapsed="false">
      <c r="E496" s="67"/>
      <c r="F496" s="67"/>
      <c r="G496" s="67"/>
      <c r="H496" s="67"/>
      <c r="I496" s="67"/>
      <c r="J496" s="67"/>
      <c r="K496" s="67"/>
      <c r="L496" s="67"/>
      <c r="M496" s="67"/>
      <c r="N496" s="67"/>
      <c r="O496" s="67"/>
      <c r="P496" s="67"/>
      <c r="Q496" s="67"/>
      <c r="R496" s="67"/>
      <c r="S496" s="67"/>
      <c r="T496" s="67"/>
      <c r="U496" s="67"/>
      <c r="V496" s="67"/>
      <c r="W496" s="67"/>
      <c r="X496" s="67"/>
      <c r="Y496" s="67"/>
      <c r="Z496" s="67"/>
      <c r="AA496" s="67"/>
      <c r="AB496" s="67"/>
      <c r="AC496" s="67"/>
      <c r="AD496" s="67"/>
      <c r="AE496" s="67"/>
      <c r="AF496" s="67"/>
      <c r="AG496" s="67"/>
      <c r="AH496" s="67"/>
      <c r="AI496" s="67"/>
      <c r="AJ496" s="67"/>
      <c r="AK496" s="67"/>
      <c r="AL496" s="67"/>
      <c r="AM496" s="67"/>
      <c r="AN496" s="67"/>
      <c r="AO496" s="67"/>
      <c r="AP496" s="67"/>
    </row>
    <row r="497" customFormat="false" ht="12.75" hidden="false" customHeight="false" outlineLevel="0" collapsed="false">
      <c r="E497" s="67"/>
      <c r="F497" s="67"/>
      <c r="G497" s="67"/>
      <c r="H497" s="67"/>
      <c r="I497" s="67"/>
      <c r="J497" s="67"/>
      <c r="K497" s="67"/>
      <c r="L497" s="67"/>
      <c r="M497" s="67"/>
      <c r="N497" s="67"/>
      <c r="O497" s="67"/>
      <c r="P497" s="67"/>
      <c r="Q497" s="67"/>
      <c r="R497" s="67"/>
      <c r="S497" s="67"/>
      <c r="T497" s="67"/>
      <c r="U497" s="67"/>
      <c r="V497" s="67"/>
      <c r="W497" s="67"/>
      <c r="X497" s="67"/>
      <c r="Y497" s="67"/>
      <c r="Z497" s="67"/>
      <c r="AA497" s="67"/>
      <c r="AB497" s="67"/>
      <c r="AC497" s="67"/>
      <c r="AD497" s="67"/>
      <c r="AE497" s="67"/>
      <c r="AF497" s="67"/>
      <c r="AG497" s="67"/>
      <c r="AH497" s="67"/>
      <c r="AI497" s="67"/>
      <c r="AJ497" s="67"/>
      <c r="AK497" s="67"/>
      <c r="AL497" s="67"/>
      <c r="AM497" s="67"/>
      <c r="AN497" s="67"/>
      <c r="AO497" s="67"/>
      <c r="AP497" s="67"/>
    </row>
    <row r="498" customFormat="false" ht="12.75" hidden="false" customHeight="false" outlineLevel="0" collapsed="false">
      <c r="E498" s="67"/>
      <c r="F498" s="67"/>
      <c r="G498" s="67"/>
      <c r="H498" s="67"/>
      <c r="I498" s="67"/>
      <c r="J498" s="67"/>
      <c r="K498" s="67"/>
      <c r="L498" s="67"/>
      <c r="M498" s="67"/>
      <c r="N498" s="67"/>
      <c r="O498" s="67"/>
      <c r="P498" s="67"/>
      <c r="Q498" s="67"/>
      <c r="R498" s="67"/>
      <c r="S498" s="67"/>
      <c r="T498" s="67"/>
      <c r="U498" s="67"/>
      <c r="V498" s="67"/>
      <c r="W498" s="67"/>
      <c r="X498" s="67"/>
      <c r="Y498" s="67"/>
      <c r="Z498" s="67"/>
      <c r="AA498" s="67"/>
      <c r="AB498" s="67"/>
      <c r="AC498" s="67"/>
      <c r="AD498" s="67"/>
      <c r="AE498" s="67"/>
      <c r="AF498" s="67"/>
      <c r="AG498" s="67"/>
      <c r="AH498" s="67"/>
      <c r="AI498" s="67"/>
      <c r="AJ498" s="67"/>
      <c r="AK498" s="67"/>
      <c r="AL498" s="67"/>
      <c r="AM498" s="67"/>
      <c r="AN498" s="67"/>
      <c r="AO498" s="67"/>
      <c r="AP498" s="67"/>
    </row>
    <row r="499" customFormat="false" ht="12.75" hidden="false" customHeight="false" outlineLevel="0" collapsed="false">
      <c r="E499" s="67"/>
      <c r="F499" s="67"/>
      <c r="G499" s="67"/>
      <c r="H499" s="67"/>
      <c r="I499" s="67"/>
      <c r="J499" s="67"/>
      <c r="K499" s="67"/>
      <c r="L499" s="67"/>
      <c r="M499" s="67"/>
      <c r="N499" s="67"/>
      <c r="O499" s="67"/>
      <c r="P499" s="67"/>
      <c r="Q499" s="67"/>
      <c r="R499" s="67"/>
      <c r="S499" s="67"/>
      <c r="T499" s="67"/>
      <c r="U499" s="67"/>
      <c r="V499" s="67"/>
      <c r="W499" s="67"/>
      <c r="X499" s="67"/>
      <c r="Y499" s="67"/>
      <c r="Z499" s="67"/>
      <c r="AA499" s="67"/>
      <c r="AB499" s="67"/>
      <c r="AC499" s="67"/>
      <c r="AD499" s="67"/>
      <c r="AE499" s="67"/>
      <c r="AF499" s="67"/>
      <c r="AG499" s="67"/>
      <c r="AH499" s="67"/>
      <c r="AI499" s="67"/>
      <c r="AJ499" s="67"/>
      <c r="AK499" s="67"/>
      <c r="AL499" s="67"/>
      <c r="AM499" s="67"/>
      <c r="AN499" s="67"/>
      <c r="AO499" s="67"/>
      <c r="AP499" s="67"/>
    </row>
    <row r="500" customFormat="false" ht="12.75" hidden="false" customHeight="false" outlineLevel="0" collapsed="false">
      <c r="E500" s="67"/>
      <c r="F500" s="67"/>
      <c r="G500" s="67"/>
      <c r="H500" s="67"/>
      <c r="I500" s="67"/>
      <c r="J500" s="67"/>
      <c r="K500" s="67"/>
      <c r="L500" s="67"/>
      <c r="M500" s="67"/>
      <c r="N500" s="67"/>
      <c r="O500" s="67"/>
      <c r="P500" s="67"/>
      <c r="Q500" s="67"/>
      <c r="R500" s="67"/>
      <c r="S500" s="67"/>
      <c r="T500" s="67"/>
      <c r="U500" s="67"/>
      <c r="V500" s="67"/>
      <c r="W500" s="67"/>
      <c r="X500" s="67"/>
      <c r="Y500" s="67"/>
      <c r="Z500" s="67"/>
      <c r="AA500" s="67"/>
      <c r="AB500" s="67"/>
      <c r="AC500" s="67"/>
      <c r="AD500" s="67"/>
      <c r="AE500" s="67"/>
      <c r="AF500" s="67"/>
      <c r="AG500" s="67"/>
      <c r="AH500" s="67"/>
      <c r="AI500" s="67"/>
      <c r="AJ500" s="67"/>
      <c r="AK500" s="67"/>
      <c r="AL500" s="67"/>
      <c r="AM500" s="67"/>
      <c r="AN500" s="67"/>
      <c r="AO500" s="67"/>
      <c r="AP500" s="67"/>
    </row>
    <row r="501" customFormat="false" ht="12.75" hidden="false" customHeight="false" outlineLevel="0" collapsed="false">
      <c r="E501" s="67"/>
      <c r="F501" s="67"/>
      <c r="G501" s="67"/>
      <c r="H501" s="67"/>
      <c r="I501" s="67"/>
      <c r="J501" s="67"/>
      <c r="K501" s="67"/>
      <c r="L501" s="67"/>
      <c r="M501" s="67"/>
      <c r="N501" s="67"/>
      <c r="O501" s="67"/>
      <c r="P501" s="67"/>
      <c r="Q501" s="67"/>
      <c r="R501" s="67"/>
      <c r="S501" s="67"/>
      <c r="T501" s="67"/>
      <c r="U501" s="67"/>
      <c r="V501" s="67"/>
      <c r="W501" s="67"/>
      <c r="X501" s="67"/>
      <c r="Y501" s="67"/>
      <c r="Z501" s="67"/>
      <c r="AA501" s="67"/>
      <c r="AB501" s="67"/>
      <c r="AC501" s="67"/>
      <c r="AD501" s="67"/>
      <c r="AE501" s="67"/>
      <c r="AF501" s="67"/>
      <c r="AG501" s="67"/>
      <c r="AH501" s="67"/>
      <c r="AI501" s="67"/>
      <c r="AJ501" s="67"/>
      <c r="AK501" s="67"/>
      <c r="AL501" s="67"/>
      <c r="AM501" s="67"/>
      <c r="AN501" s="67"/>
      <c r="AO501" s="67"/>
      <c r="AP501" s="67"/>
    </row>
    <row r="502" customFormat="false" ht="12.75" hidden="false" customHeight="false" outlineLevel="0" collapsed="false">
      <c r="E502" s="67"/>
      <c r="F502" s="67"/>
      <c r="G502" s="67"/>
      <c r="H502" s="67"/>
      <c r="I502" s="67"/>
      <c r="J502" s="67"/>
      <c r="K502" s="67"/>
      <c r="L502" s="67"/>
      <c r="M502" s="67"/>
      <c r="N502" s="67"/>
      <c r="O502" s="67"/>
      <c r="P502" s="67"/>
      <c r="Q502" s="67"/>
      <c r="R502" s="67"/>
      <c r="S502" s="67"/>
      <c r="T502" s="67"/>
      <c r="U502" s="67"/>
      <c r="V502" s="67"/>
      <c r="W502" s="67"/>
      <c r="X502" s="67"/>
      <c r="Y502" s="67"/>
      <c r="Z502" s="67"/>
      <c r="AA502" s="67"/>
      <c r="AB502" s="67"/>
      <c r="AC502" s="67"/>
      <c r="AD502" s="67"/>
      <c r="AE502" s="67"/>
      <c r="AF502" s="67"/>
      <c r="AG502" s="67"/>
      <c r="AH502" s="67"/>
      <c r="AI502" s="67"/>
      <c r="AJ502" s="67"/>
      <c r="AK502" s="67"/>
      <c r="AL502" s="67"/>
      <c r="AM502" s="67"/>
      <c r="AN502" s="67"/>
      <c r="AO502" s="67"/>
      <c r="AP502" s="67"/>
    </row>
    <row r="503" customFormat="false" ht="12.75" hidden="false" customHeight="false" outlineLevel="0" collapsed="false">
      <c r="E503" s="67"/>
      <c r="F503" s="67"/>
      <c r="G503" s="67"/>
      <c r="H503" s="67"/>
      <c r="I503" s="67"/>
      <c r="J503" s="67"/>
      <c r="K503" s="67"/>
      <c r="L503" s="67"/>
      <c r="M503" s="67"/>
      <c r="N503" s="67"/>
      <c r="O503" s="67"/>
      <c r="P503" s="67"/>
      <c r="Q503" s="67"/>
      <c r="R503" s="67"/>
      <c r="S503" s="67"/>
      <c r="T503" s="67"/>
      <c r="U503" s="67"/>
      <c r="V503" s="67"/>
      <c r="W503" s="67"/>
      <c r="X503" s="67"/>
      <c r="Y503" s="67"/>
      <c r="Z503" s="67"/>
      <c r="AA503" s="67"/>
      <c r="AB503" s="67"/>
      <c r="AC503" s="67"/>
      <c r="AD503" s="67"/>
      <c r="AE503" s="67"/>
      <c r="AF503" s="67"/>
      <c r="AG503" s="67"/>
      <c r="AH503" s="67"/>
      <c r="AI503" s="67"/>
      <c r="AJ503" s="67"/>
      <c r="AK503" s="67"/>
      <c r="AL503" s="67"/>
      <c r="AM503" s="67"/>
      <c r="AN503" s="67"/>
      <c r="AO503" s="67"/>
      <c r="AP503" s="67"/>
    </row>
    <row r="504" customFormat="false" ht="12.75" hidden="false" customHeight="false" outlineLevel="0" collapsed="false">
      <c r="E504" s="67"/>
      <c r="F504" s="67"/>
      <c r="G504" s="67"/>
      <c r="H504" s="67"/>
      <c r="I504" s="67"/>
      <c r="J504" s="67"/>
      <c r="K504" s="67"/>
      <c r="L504" s="67"/>
      <c r="M504" s="67"/>
      <c r="N504" s="67"/>
      <c r="O504" s="67"/>
      <c r="P504" s="67"/>
      <c r="Q504" s="67"/>
      <c r="R504" s="67"/>
      <c r="S504" s="67"/>
      <c r="T504" s="67"/>
      <c r="U504" s="67"/>
      <c r="V504" s="67"/>
      <c r="W504" s="67"/>
      <c r="X504" s="67"/>
      <c r="Y504" s="67"/>
      <c r="Z504" s="67"/>
      <c r="AA504" s="67"/>
      <c r="AB504" s="67"/>
      <c r="AC504" s="67"/>
      <c r="AD504" s="67"/>
      <c r="AE504" s="67"/>
      <c r="AF504" s="67"/>
      <c r="AG504" s="67"/>
      <c r="AH504" s="67"/>
      <c r="AI504" s="67"/>
      <c r="AJ504" s="67"/>
      <c r="AK504" s="67"/>
      <c r="AL504" s="67"/>
      <c r="AM504" s="67"/>
      <c r="AN504" s="67"/>
      <c r="AO504" s="67"/>
      <c r="AP504" s="67"/>
    </row>
    <row r="505" customFormat="false" ht="12.75" hidden="false" customHeight="false" outlineLevel="0" collapsed="false">
      <c r="E505" s="67"/>
      <c r="F505" s="67"/>
      <c r="G505" s="67"/>
      <c r="H505" s="67"/>
      <c r="I505" s="67"/>
      <c r="J505" s="67"/>
      <c r="K505" s="67"/>
      <c r="L505" s="67"/>
      <c r="M505" s="67"/>
      <c r="N505" s="67"/>
      <c r="O505" s="67"/>
      <c r="P505" s="67"/>
      <c r="Q505" s="67"/>
      <c r="R505" s="67"/>
      <c r="S505" s="67"/>
      <c r="T505" s="67"/>
      <c r="U505" s="67"/>
      <c r="V505" s="67"/>
      <c r="W505" s="67"/>
      <c r="X505" s="67"/>
      <c r="Y505" s="67"/>
      <c r="Z505" s="67"/>
      <c r="AA505" s="67"/>
      <c r="AB505" s="67"/>
      <c r="AC505" s="67"/>
      <c r="AD505" s="67"/>
      <c r="AE505" s="67"/>
      <c r="AF505" s="67"/>
      <c r="AG505" s="67"/>
      <c r="AH505" s="67"/>
      <c r="AI505" s="67"/>
      <c r="AJ505" s="67"/>
      <c r="AK505" s="67"/>
      <c r="AL505" s="67"/>
      <c r="AM505" s="67"/>
      <c r="AN505" s="67"/>
      <c r="AO505" s="67"/>
      <c r="AP505" s="67"/>
    </row>
    <row r="506" customFormat="false" ht="12.75" hidden="false" customHeight="false" outlineLevel="0" collapsed="false">
      <c r="E506" s="67"/>
      <c r="F506" s="67"/>
      <c r="G506" s="67"/>
      <c r="H506" s="67"/>
      <c r="I506" s="67"/>
      <c r="J506" s="67"/>
      <c r="K506" s="67"/>
      <c r="L506" s="67"/>
      <c r="M506" s="67"/>
      <c r="N506" s="67"/>
      <c r="O506" s="67"/>
      <c r="P506" s="67"/>
      <c r="Q506" s="67"/>
      <c r="R506" s="67"/>
      <c r="S506" s="67"/>
      <c r="T506" s="67"/>
      <c r="U506" s="67"/>
      <c r="V506" s="67"/>
      <c r="W506" s="67"/>
      <c r="X506" s="67"/>
      <c r="Y506" s="67"/>
      <c r="Z506" s="67"/>
      <c r="AA506" s="67"/>
      <c r="AB506" s="67"/>
      <c r="AC506" s="67"/>
      <c r="AD506" s="67"/>
      <c r="AE506" s="67"/>
      <c r="AF506" s="67"/>
      <c r="AG506" s="67"/>
      <c r="AH506" s="67"/>
      <c r="AI506" s="67"/>
      <c r="AJ506" s="67"/>
      <c r="AK506" s="67"/>
      <c r="AL506" s="67"/>
      <c r="AM506" s="67"/>
      <c r="AN506" s="67"/>
      <c r="AO506" s="67"/>
      <c r="AP506" s="67"/>
    </row>
    <row r="507" customFormat="false" ht="12.75" hidden="false" customHeight="false" outlineLevel="0" collapsed="false">
      <c r="E507" s="67"/>
      <c r="F507" s="67"/>
      <c r="G507" s="67"/>
      <c r="H507" s="67"/>
      <c r="I507" s="67"/>
      <c r="J507" s="67"/>
      <c r="K507" s="67"/>
      <c r="L507" s="67"/>
      <c r="M507" s="67"/>
      <c r="N507" s="67"/>
      <c r="O507" s="67"/>
      <c r="P507" s="67"/>
      <c r="Q507" s="67"/>
      <c r="R507" s="67"/>
      <c r="S507" s="67"/>
      <c r="T507" s="67"/>
      <c r="U507" s="67"/>
      <c r="V507" s="67"/>
      <c r="W507" s="67"/>
      <c r="X507" s="67"/>
      <c r="Y507" s="67"/>
      <c r="Z507" s="67"/>
      <c r="AA507" s="67"/>
      <c r="AB507" s="67"/>
      <c r="AC507" s="67"/>
      <c r="AD507" s="67"/>
      <c r="AE507" s="67"/>
      <c r="AF507" s="67"/>
      <c r="AG507" s="67"/>
      <c r="AH507" s="67"/>
      <c r="AI507" s="67"/>
      <c r="AJ507" s="67"/>
      <c r="AK507" s="67"/>
      <c r="AL507" s="67"/>
      <c r="AM507" s="67"/>
      <c r="AN507" s="67"/>
      <c r="AO507" s="67"/>
      <c r="AP507" s="67"/>
    </row>
    <row r="508" customFormat="false" ht="12.75" hidden="false" customHeight="false" outlineLevel="0" collapsed="false">
      <c r="E508" s="67"/>
      <c r="F508" s="67"/>
      <c r="G508" s="67"/>
      <c r="H508" s="67"/>
      <c r="I508" s="67"/>
      <c r="J508" s="67"/>
      <c r="K508" s="67"/>
      <c r="L508" s="67"/>
      <c r="M508" s="67"/>
      <c r="N508" s="67"/>
      <c r="O508" s="67"/>
      <c r="P508" s="67"/>
      <c r="Q508" s="67"/>
      <c r="R508" s="67"/>
      <c r="S508" s="67"/>
      <c r="T508" s="67"/>
      <c r="U508" s="67"/>
      <c r="V508" s="67"/>
      <c r="W508" s="67"/>
      <c r="X508" s="67"/>
      <c r="Y508" s="67"/>
      <c r="Z508" s="67"/>
      <c r="AA508" s="67"/>
      <c r="AB508" s="67"/>
      <c r="AC508" s="67"/>
      <c r="AD508" s="67"/>
      <c r="AE508" s="67"/>
      <c r="AF508" s="67"/>
      <c r="AG508" s="67"/>
      <c r="AH508" s="67"/>
      <c r="AI508" s="67"/>
      <c r="AJ508" s="67"/>
      <c r="AK508" s="67"/>
      <c r="AL508" s="67"/>
      <c r="AM508" s="67"/>
      <c r="AN508" s="67"/>
      <c r="AO508" s="67"/>
      <c r="AP508" s="67"/>
    </row>
  </sheetData>
  <printOptions headings="false" gridLines="false" gridLinesSet="true" horizontalCentered="true" verticalCentered="false"/>
  <pageMargins left="0.25" right="0.25" top="0.490277777777778" bottom="0.5" header="0.511811023622047" footer="0.5"/>
  <pageSetup paperSize="1" scale="75" fitToWidth="1" fitToHeight="1" pageOrder="downThenOver" orientation="landscape" blackAndWhite="false" draft="false" cellComments="none" horizontalDpi="300" verticalDpi="300" copies="1"/>
  <headerFooter differentFirst="false" differentOddEven="false">
    <oddHeader/>
    <oddFooter>&amp;L&amp;D&amp;T&amp;C&amp;P&amp;Ro:/Corpdev/North America/Raul/Ammonia/&amp;F</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V68"/>
  <sheetViews>
    <sheetView showFormulas="false" showGridLines="false" showRowColHeaders="true" showZeros="true" rightToLeft="false" tabSelected="false" showOutlineSymbols="true" defaultGridColor="true" view="pageBreakPreview" topLeftCell="A1" colorId="64" zoomScale="100" zoomScaleNormal="85" zoomScalePageLayoutView="100" workbookViewId="0">
      <selection pane="topLeft" activeCell="B33" activeCellId="0" sqref="B33"/>
    </sheetView>
  </sheetViews>
  <sheetFormatPr defaultColWidth="9.13671875" defaultRowHeight="12.75" customHeight="true" zeroHeight="false" outlineLevelRow="0" outlineLevelCol="1"/>
  <cols>
    <col collapsed="false" customWidth="false" hidden="false" outlineLevel="0" max="2" min="1" style="14" width="9.14"/>
    <col collapsed="false" customWidth="true" hidden="false" outlineLevel="0" max="3" min="3" style="14" width="11.13"/>
    <col collapsed="false" customWidth="false" hidden="false" outlineLevel="0" max="4" min="4" style="15" width="9.14"/>
    <col collapsed="false" customWidth="false" hidden="false" outlineLevel="0" max="5" min="5" style="14" width="9.14"/>
    <col collapsed="false" customWidth="true" hidden="false" outlineLevel="0" max="6" min="6" style="14" width="9.85"/>
    <col collapsed="false" customWidth="true" hidden="false" outlineLevel="0" max="7" min="7" style="14" width="5.41"/>
    <col collapsed="false" customWidth="true" hidden="false" outlineLevel="0" max="8" min="8" style="14" width="9.28"/>
    <col collapsed="false" customWidth="true" hidden="false" outlineLevel="0" max="9" min="9" style="14" width="26.84"/>
    <col collapsed="false" customWidth="true" hidden="false" outlineLevel="0" max="10" min="10" style="14" width="9.85"/>
    <col collapsed="false" customWidth="true" hidden="false" outlineLevel="0" max="11" min="11" style="14" width="2.99"/>
    <col collapsed="false" customWidth="false" hidden="false" outlineLevel="0" max="12" min="12" style="14" width="9.14"/>
    <col collapsed="false" customWidth="true" hidden="false" outlineLevel="0" max="13" min="13" style="14" width="16.28"/>
    <col collapsed="false" customWidth="true" hidden="false" outlineLevel="0" max="14" min="14" style="14" width="12.14"/>
    <col collapsed="false" customWidth="true" hidden="false" outlineLevel="0" max="15" min="15" style="14" width="11.56"/>
    <col collapsed="false" customWidth="false" hidden="false" outlineLevel="0" max="16" min="16" style="14" width="9.14"/>
    <col collapsed="false" customWidth="true" hidden="true" outlineLevel="1" max="22" min="17" style="14" width="9.06"/>
    <col collapsed="false" customWidth="false" hidden="false" outlineLevel="0" max="257" min="23" style="14" width="9.14"/>
  </cols>
  <sheetData>
    <row r="2" customFormat="false" ht="21" hidden="false" customHeight="false" outlineLevel="0" collapsed="false">
      <c r="A2" s="1" t="s">
        <v>0</v>
      </c>
      <c r="B2" s="2"/>
      <c r="C2" s="2"/>
      <c r="D2" s="3"/>
      <c r="E2" s="3"/>
      <c r="F2" s="3"/>
      <c r="G2" s="3"/>
      <c r="H2" s="4"/>
      <c r="I2" s="3"/>
      <c r="J2" s="4"/>
      <c r="K2" s="16" t="s">
        <v>3</v>
      </c>
      <c r="L2" s="16"/>
      <c r="M2" s="16"/>
    </row>
    <row r="3" customFormat="false" ht="18" hidden="false" customHeight="false" outlineLevel="0" collapsed="false">
      <c r="B3" s="17"/>
      <c r="D3" s="18"/>
    </row>
    <row r="4" customFormat="false" ht="20.25" hidden="false" customHeight="false" outlineLevel="0" collapsed="false">
      <c r="B4" s="19"/>
      <c r="C4" s="20"/>
      <c r="D4" s="21"/>
      <c r="E4" s="22"/>
      <c r="F4" s="22"/>
      <c r="G4" s="22"/>
      <c r="H4" s="23"/>
      <c r="M4" s="5" t="s">
        <v>4</v>
      </c>
      <c r="U4" s="24" t="n">
        <v>2001</v>
      </c>
      <c r="V4" s="25" t="n">
        <v>2002</v>
      </c>
    </row>
    <row r="5" customFormat="false" ht="12.75" hidden="false" customHeight="false" outlineLevel="0" collapsed="false">
      <c r="B5" s="23"/>
      <c r="C5" s="23"/>
      <c r="D5" s="26"/>
      <c r="E5" s="23"/>
      <c r="F5" s="23"/>
      <c r="G5" s="23"/>
      <c r="H5" s="23"/>
    </row>
    <row r="6" customFormat="false" ht="12.75" hidden="false" customHeight="false" outlineLevel="0" collapsed="false">
      <c r="I6" s="23"/>
      <c r="P6" s="23"/>
      <c r="Q6" s="23" t="s">
        <v>5</v>
      </c>
      <c r="R6" s="23"/>
      <c r="S6" s="23"/>
      <c r="T6" s="23"/>
      <c r="U6" s="26" t="n">
        <f aca="false">1.71*885</f>
        <v>1513.35</v>
      </c>
      <c r="V6" s="26" t="n">
        <f aca="false">2.05*900</f>
        <v>1845</v>
      </c>
    </row>
    <row r="7" customFormat="false" ht="12.75" hidden="false" customHeight="false" outlineLevel="0" collapsed="false">
      <c r="I7" s="23"/>
      <c r="P7" s="23"/>
      <c r="Q7" s="23" t="s">
        <v>6</v>
      </c>
      <c r="R7" s="23"/>
      <c r="S7" s="23"/>
      <c r="T7" s="23"/>
      <c r="U7" s="27" t="n">
        <f aca="false">+'Income Statement'!H35/1000</f>
        <v>5.30030457057506</v>
      </c>
      <c r="V7" s="27" t="n">
        <f aca="false">+'Income Statement'!J35/1000</f>
        <v>16.8138216878168</v>
      </c>
    </row>
    <row r="8" customFormat="false" ht="12.75" hidden="false" customHeight="false" outlineLevel="0" collapsed="false">
      <c r="I8" s="23"/>
      <c r="P8" s="23"/>
      <c r="Q8" s="23"/>
      <c r="R8" s="23"/>
      <c r="S8" s="23"/>
      <c r="T8" s="23"/>
      <c r="U8" s="27"/>
      <c r="V8" s="27"/>
    </row>
    <row r="9" customFormat="false" ht="12.75" hidden="false" customHeight="false" outlineLevel="0" collapsed="false">
      <c r="I9" s="23"/>
      <c r="P9" s="23"/>
      <c r="Q9" s="23" t="s">
        <v>7</v>
      </c>
      <c r="R9" s="23"/>
      <c r="S9" s="23"/>
      <c r="T9" s="23"/>
      <c r="U9" s="26" t="n">
        <f aca="false">SUM(U6:U7)</f>
        <v>1518.65030457058</v>
      </c>
      <c r="V9" s="26" t="n">
        <f aca="false">SUM(V6:V7)</f>
        <v>1861.81382168782</v>
      </c>
    </row>
    <row r="10" customFormat="false" ht="12.75" hidden="false" customHeight="false" outlineLevel="0" collapsed="false">
      <c r="I10" s="23"/>
      <c r="P10" s="23"/>
      <c r="Q10" s="23"/>
      <c r="R10" s="23"/>
      <c r="S10" s="23"/>
      <c r="T10" s="23"/>
      <c r="U10" s="26"/>
      <c r="V10" s="26"/>
    </row>
    <row r="11" customFormat="false" ht="18" hidden="false" customHeight="false" outlineLevel="0" collapsed="false">
      <c r="D11" s="28" t="s">
        <v>8</v>
      </c>
      <c r="E11" s="17"/>
      <c r="F11" s="29"/>
      <c r="G11" s="17"/>
      <c r="H11" s="28" t="s">
        <v>9</v>
      </c>
      <c r="I11" s="17"/>
      <c r="J11" s="17"/>
      <c r="K11" s="23"/>
      <c r="P11" s="23"/>
      <c r="Q11" s="23" t="s">
        <v>10</v>
      </c>
      <c r="R11" s="23"/>
      <c r="S11" s="23"/>
      <c r="T11" s="23"/>
      <c r="U11" s="26" t="n">
        <f aca="false">-Dep!F68/1000</f>
        <v>-1.02421643024578</v>
      </c>
      <c r="V11" s="26" t="n">
        <f aca="false">-Dep!G68/1000</f>
        <v>-1.02421643024578</v>
      </c>
    </row>
    <row r="12" customFormat="false" ht="12.75" hidden="false" customHeight="false" outlineLevel="0" collapsed="false">
      <c r="D12" s="23"/>
      <c r="E12" s="23"/>
      <c r="F12" s="26"/>
      <c r="G12" s="23"/>
      <c r="H12" s="23"/>
      <c r="I12" s="23"/>
      <c r="J12" s="23"/>
      <c r="K12" s="23"/>
      <c r="P12" s="23"/>
      <c r="Q12" s="23" t="s">
        <v>11</v>
      </c>
      <c r="R12" s="23"/>
      <c r="S12" s="23"/>
      <c r="T12" s="23"/>
      <c r="U12" s="26" t="n">
        <v>0</v>
      </c>
      <c r="V12" s="26" t="n">
        <f aca="false">+U12</f>
        <v>0</v>
      </c>
    </row>
    <row r="13" customFormat="false" ht="18" hidden="false" customHeight="false" outlineLevel="0" collapsed="false">
      <c r="D13" s="17" t="s">
        <v>12</v>
      </c>
      <c r="E13" s="17"/>
      <c r="F13" s="30" t="n">
        <f aca="false">F19-F14</f>
        <v>220.380206386085</v>
      </c>
      <c r="G13" s="23"/>
      <c r="H13" s="17" t="s">
        <v>13</v>
      </c>
      <c r="I13" s="17"/>
      <c r="J13" s="30" t="n">
        <f aca="false">+Assumptions!B24</f>
        <v>200</v>
      </c>
      <c r="K13" s="23"/>
      <c r="P13" s="23"/>
      <c r="Q13" s="23"/>
      <c r="R13" s="23"/>
      <c r="S13" s="23"/>
      <c r="T13" s="23"/>
      <c r="U13" s="26"/>
      <c r="V13" s="26"/>
    </row>
    <row r="14" customFormat="false" ht="18" hidden="false" customHeight="false" outlineLevel="0" collapsed="false">
      <c r="D14" s="17" t="s">
        <v>14</v>
      </c>
      <c r="E14" s="17"/>
      <c r="F14" s="30" t="n">
        <f aca="false">+J14</f>
        <v>180.4</v>
      </c>
      <c r="G14" s="17"/>
      <c r="H14" s="17" t="s">
        <v>14</v>
      </c>
      <c r="I14" s="17"/>
      <c r="J14" s="30" t="n">
        <f aca="false">('Balance Sheet'!F27+'Balance Sheet'!F33)/1000</f>
        <v>180.4</v>
      </c>
      <c r="K14" s="23"/>
      <c r="P14" s="23"/>
      <c r="Q14" s="23" t="s">
        <v>15</v>
      </c>
      <c r="R14" s="23"/>
      <c r="S14" s="23"/>
      <c r="T14" s="23"/>
      <c r="U14" s="31" t="n">
        <f aca="false">SUM(U11:U12)</f>
        <v>-1.02421643024578</v>
      </c>
      <c r="V14" s="31" t="n">
        <f aca="false">SUM(V11:V12)</f>
        <v>-1.02421643024578</v>
      </c>
    </row>
    <row r="15" customFormat="false" ht="18" hidden="false" customHeight="false" outlineLevel="0" collapsed="false">
      <c r="D15" s="14"/>
      <c r="F15" s="30"/>
      <c r="G15" s="17"/>
      <c r="H15" s="17" t="s">
        <v>16</v>
      </c>
      <c r="I15" s="17"/>
      <c r="J15" s="30" t="n">
        <f aca="false">-'Balance Sheet'!G48/1000</f>
        <v>10.3802063860846</v>
      </c>
      <c r="K15" s="23"/>
      <c r="P15" s="23"/>
      <c r="Q15" s="23"/>
      <c r="R15" s="23"/>
      <c r="S15" s="23"/>
      <c r="T15" s="23"/>
      <c r="U15" s="23"/>
      <c r="V15" s="23"/>
    </row>
    <row r="16" customFormat="false" ht="18" hidden="false" customHeight="false" outlineLevel="0" collapsed="false">
      <c r="D16" s="14"/>
      <c r="F16" s="30"/>
      <c r="G16" s="17"/>
      <c r="H16" s="17" t="s">
        <v>17</v>
      </c>
      <c r="I16" s="17"/>
      <c r="J16" s="30" t="n">
        <f aca="false">Assumptions!B47</f>
        <v>10</v>
      </c>
      <c r="K16" s="23"/>
      <c r="P16" s="23"/>
      <c r="Q16" s="23" t="s">
        <v>18</v>
      </c>
      <c r="R16" s="23"/>
      <c r="S16" s="23"/>
      <c r="T16" s="23"/>
      <c r="U16" s="31" t="n">
        <f aca="false">+U9+U14</f>
        <v>1517.62608814033</v>
      </c>
      <c r="V16" s="31" t="n">
        <f aca="false">+V9+V14</f>
        <v>1860.78960525757</v>
      </c>
    </row>
    <row r="17" customFormat="false" ht="18" hidden="false" customHeight="false" outlineLevel="0" collapsed="false">
      <c r="D17" s="17"/>
      <c r="E17" s="17"/>
      <c r="F17" s="30"/>
      <c r="G17" s="17"/>
      <c r="J17" s="30"/>
      <c r="K17" s="23"/>
      <c r="P17" s="23"/>
      <c r="Q17" s="23"/>
      <c r="R17" s="23"/>
      <c r="S17" s="23"/>
      <c r="T17" s="23"/>
      <c r="U17" s="23"/>
      <c r="V17" s="23"/>
    </row>
    <row r="18" customFormat="false" ht="18" hidden="false" customHeight="false" outlineLevel="0" collapsed="false">
      <c r="D18" s="17"/>
      <c r="E18" s="17"/>
      <c r="F18" s="30"/>
      <c r="G18" s="17"/>
      <c r="H18" s="17"/>
      <c r="I18" s="17"/>
      <c r="J18" s="30"/>
      <c r="K18" s="23"/>
      <c r="P18" s="23"/>
      <c r="Q18" s="32"/>
      <c r="R18" s="32"/>
      <c r="S18" s="32"/>
      <c r="T18" s="32"/>
      <c r="U18" s="33"/>
      <c r="V18" s="33"/>
    </row>
    <row r="19" customFormat="false" ht="18" hidden="false" customHeight="false" outlineLevel="0" collapsed="false">
      <c r="D19" s="17" t="s">
        <v>19</v>
      </c>
      <c r="E19" s="17"/>
      <c r="F19" s="30" t="n">
        <f aca="false">J19</f>
        <v>400.780206386085</v>
      </c>
      <c r="G19" s="17"/>
      <c r="H19" s="17" t="s">
        <v>20</v>
      </c>
      <c r="I19" s="17"/>
      <c r="J19" s="30" t="n">
        <f aca="false">SUM(J13:J16)</f>
        <v>400.780206386085</v>
      </c>
      <c r="K19" s="23"/>
      <c r="P19" s="23"/>
      <c r="Q19" s="34"/>
      <c r="R19" s="23"/>
      <c r="S19" s="23"/>
      <c r="T19" s="23"/>
      <c r="U19" s="35"/>
      <c r="V19" s="35"/>
    </row>
    <row r="20" customFormat="false" ht="19.5" hidden="false" customHeight="false" outlineLevel="0" collapsed="false">
      <c r="D20" s="17"/>
      <c r="E20" s="17"/>
      <c r="F20" s="36"/>
      <c r="G20" s="17"/>
      <c r="H20" s="17"/>
      <c r="I20" s="17"/>
      <c r="J20" s="36"/>
      <c r="K20" s="23"/>
      <c r="P20" s="23"/>
      <c r="Q20" s="23"/>
      <c r="R20" s="23"/>
      <c r="S20" s="23"/>
      <c r="T20" s="23"/>
      <c r="U20" s="37"/>
      <c r="V20" s="37"/>
    </row>
    <row r="21" customFormat="false" ht="18" hidden="false" customHeight="false" outlineLevel="0" collapsed="false">
      <c r="B21" s="17"/>
      <c r="C21" s="17"/>
      <c r="D21" s="29"/>
      <c r="E21" s="17"/>
      <c r="F21" s="17"/>
      <c r="G21" s="17"/>
      <c r="H21" s="29"/>
      <c r="I21" s="23"/>
      <c r="P21" s="23"/>
      <c r="Q21" s="23"/>
      <c r="R21" s="23"/>
      <c r="S21" s="23"/>
      <c r="T21" s="23"/>
      <c r="U21" s="26"/>
      <c r="V21" s="26"/>
    </row>
    <row r="22" customFormat="false" ht="18" hidden="false" customHeight="false" outlineLevel="0" collapsed="false">
      <c r="D22" s="14"/>
      <c r="E22" s="17"/>
      <c r="F22" s="17"/>
      <c r="G22" s="17"/>
      <c r="H22" s="29"/>
      <c r="I22" s="23"/>
      <c r="P22" s="23"/>
      <c r="Q22" s="23"/>
      <c r="R22" s="23"/>
      <c r="S22" s="23"/>
      <c r="T22" s="23"/>
      <c r="U22" s="26"/>
      <c r="V22" s="26"/>
    </row>
    <row r="23" customFormat="false" ht="18" hidden="false" customHeight="false" outlineLevel="0" collapsed="false">
      <c r="B23" s="17"/>
      <c r="C23" s="17"/>
      <c r="D23" s="29"/>
      <c r="E23" s="17"/>
      <c r="F23" s="17"/>
      <c r="G23" s="17"/>
      <c r="H23" s="29"/>
      <c r="I23" s="23"/>
      <c r="P23" s="23"/>
      <c r="Q23" s="23"/>
      <c r="R23" s="23"/>
      <c r="S23" s="23"/>
      <c r="T23" s="23"/>
      <c r="U23" s="38"/>
      <c r="V23" s="38"/>
    </row>
    <row r="24" customFormat="false" ht="18" hidden="false" customHeight="false" outlineLevel="0" collapsed="false">
      <c r="B24" s="17"/>
      <c r="C24" s="17"/>
      <c r="D24" s="29"/>
      <c r="E24" s="17"/>
      <c r="F24" s="17"/>
      <c r="G24" s="17"/>
      <c r="H24" s="29"/>
      <c r="I24" s="23"/>
      <c r="P24" s="23"/>
      <c r="Q24" s="23"/>
      <c r="R24" s="23"/>
      <c r="S24" s="23"/>
      <c r="T24" s="23"/>
      <c r="U24" s="39"/>
      <c r="V24" s="39"/>
    </row>
    <row r="25" customFormat="false" ht="18" hidden="false" customHeight="false" outlineLevel="0" collapsed="false">
      <c r="B25" s="17"/>
      <c r="C25" s="17"/>
      <c r="D25" s="29"/>
      <c r="E25" s="17"/>
      <c r="F25" s="17"/>
      <c r="G25" s="17"/>
      <c r="H25" s="40"/>
      <c r="I25" s="23"/>
      <c r="P25" s="23"/>
      <c r="Q25" s="23"/>
      <c r="R25" s="23"/>
      <c r="S25" s="23"/>
      <c r="T25" s="23"/>
      <c r="U25" s="41"/>
      <c r="V25" s="41"/>
    </row>
    <row r="26" customFormat="false" ht="18" hidden="false" customHeight="false" outlineLevel="0" collapsed="false">
      <c r="B26" s="17"/>
      <c r="C26" s="29"/>
      <c r="D26" s="17"/>
      <c r="E26" s="17"/>
      <c r="F26" s="17"/>
      <c r="G26" s="17"/>
      <c r="H26" s="17"/>
      <c r="I26" s="23"/>
      <c r="P26" s="23"/>
      <c r="Q26" s="23" t="s">
        <v>21</v>
      </c>
      <c r="R26" s="23"/>
      <c r="S26" s="23"/>
      <c r="T26" s="23"/>
      <c r="U26" s="42" t="n">
        <f aca="false">U25*(U21)*U27</f>
        <v>0</v>
      </c>
      <c r="V26" s="42"/>
    </row>
    <row r="27" customFormat="false" ht="18" hidden="false" customHeight="false" outlineLevel="0" collapsed="false">
      <c r="B27" s="17"/>
      <c r="C27" s="29"/>
      <c r="D27" s="17"/>
      <c r="E27" s="17"/>
      <c r="F27" s="17"/>
      <c r="G27" s="17"/>
      <c r="H27" s="17"/>
      <c r="I27" s="23"/>
      <c r="P27" s="23"/>
      <c r="Q27" s="23"/>
      <c r="R27" s="23" t="s">
        <v>22</v>
      </c>
      <c r="S27" s="23"/>
      <c r="T27" s="23"/>
      <c r="U27" s="43" t="n">
        <v>45</v>
      </c>
      <c r="V27" s="26"/>
    </row>
    <row r="28" customFormat="false" ht="14.25" hidden="false" customHeight="false" outlineLevel="0" collapsed="false">
      <c r="C28" s="33"/>
      <c r="D28" s="32"/>
      <c r="E28" s="32"/>
      <c r="F28" s="32"/>
      <c r="G28" s="32"/>
      <c r="H28" s="32"/>
      <c r="I28" s="32"/>
      <c r="P28" s="32"/>
    </row>
    <row r="29" customFormat="false" ht="12.75" hidden="false" customHeight="false" outlineLevel="0" collapsed="false">
      <c r="B29" s="23"/>
      <c r="C29" s="23"/>
      <c r="D29" s="26"/>
      <c r="E29" s="23"/>
      <c r="F29" s="23"/>
      <c r="G29" s="23"/>
      <c r="H29" s="23"/>
      <c r="I29" s="23"/>
      <c r="P29" s="23"/>
      <c r="R29" s="44" t="n">
        <v>1</v>
      </c>
    </row>
    <row r="31" customFormat="false" ht="12.75" hidden="false" customHeight="false" outlineLevel="0" collapsed="false">
      <c r="R31" s="14" t="s">
        <v>23</v>
      </c>
      <c r="U31" s="44" t="n">
        <v>1</v>
      </c>
    </row>
    <row r="32" customFormat="false" ht="12.75" hidden="false" customHeight="false" outlineLevel="0" collapsed="false">
      <c r="R32" s="14" t="s">
        <v>24</v>
      </c>
    </row>
    <row r="33" customFormat="false" ht="12.75" hidden="false" customHeight="false" outlineLevel="0" collapsed="false">
      <c r="U33" s="14" t="s">
        <v>25</v>
      </c>
    </row>
    <row r="34" customFormat="false" ht="12.75" hidden="false" customHeight="false" outlineLevel="0" collapsed="false">
      <c r="B34" s="23" t="s">
        <v>26</v>
      </c>
      <c r="U34" s="14" t="s">
        <v>27</v>
      </c>
    </row>
    <row r="36" customFormat="false" ht="12.75" hidden="false" customHeight="false" outlineLevel="0" collapsed="false">
      <c r="D36" s="14"/>
    </row>
    <row r="37" customFormat="false" ht="12.75" hidden="false" customHeight="false" outlineLevel="0" collapsed="false">
      <c r="D37" s="14"/>
    </row>
    <row r="38" customFormat="false" ht="12.75" hidden="false" customHeight="false" outlineLevel="0" collapsed="false">
      <c r="N38" s="45"/>
      <c r="O38" s="45"/>
    </row>
    <row r="39" customFormat="false" ht="12.75" hidden="false" customHeight="false" outlineLevel="0" collapsed="false">
      <c r="C39" s="15"/>
      <c r="O39" s="15"/>
    </row>
    <row r="40" customFormat="false" ht="12.75" hidden="false" customHeight="false" outlineLevel="0" collapsed="false">
      <c r="C40" s="15"/>
      <c r="N40" s="45"/>
      <c r="O40" s="15"/>
    </row>
    <row r="41" customFormat="false" ht="12.75" hidden="false" customHeight="false" outlineLevel="0" collapsed="false">
      <c r="C41" s="46"/>
      <c r="D41" s="46"/>
    </row>
    <row r="42" customFormat="false" ht="12.75" hidden="false" customHeight="false" outlineLevel="0" collapsed="false">
      <c r="C42" s="15"/>
    </row>
    <row r="46" customFormat="false" ht="12.75" hidden="false" customHeight="false" outlineLevel="0" collapsed="false">
      <c r="C46" s="47"/>
    </row>
    <row r="47" customFormat="false" ht="12.75" hidden="false" customHeight="false" outlineLevel="0" collapsed="false">
      <c r="C47" s="47"/>
    </row>
    <row r="48" customFormat="false" ht="12.75" hidden="false" customHeight="false" outlineLevel="0" collapsed="false">
      <c r="C48" s="47"/>
    </row>
    <row r="49" customFormat="false" ht="12.75" hidden="false" customHeight="false" outlineLevel="0" collapsed="false">
      <c r="C49" s="47"/>
      <c r="N49" s="15"/>
      <c r="O49" s="15"/>
    </row>
    <row r="50" customFormat="false" ht="12.75" hidden="false" customHeight="false" outlineLevel="0" collapsed="false">
      <c r="N50" s="15"/>
      <c r="O50" s="15"/>
    </row>
    <row r="51" customFormat="false" ht="12.75" hidden="false" customHeight="false" outlineLevel="0" collapsed="false">
      <c r="N51" s="15"/>
      <c r="O51" s="15"/>
    </row>
    <row r="52" customFormat="false" ht="12.75" hidden="false" customHeight="false" outlineLevel="0" collapsed="false">
      <c r="N52" s="15"/>
      <c r="O52" s="15"/>
    </row>
    <row r="53" customFormat="false" ht="12.75" hidden="false" customHeight="false" outlineLevel="0" collapsed="false">
      <c r="N53" s="15"/>
      <c r="O53" s="15"/>
    </row>
    <row r="54" customFormat="false" ht="12.75" hidden="false" customHeight="false" outlineLevel="0" collapsed="false">
      <c r="N54" s="15"/>
      <c r="O54" s="15"/>
    </row>
    <row r="55" customFormat="false" ht="12.75" hidden="false" customHeight="false" outlineLevel="0" collapsed="false">
      <c r="N55" s="15"/>
      <c r="O55" s="15"/>
    </row>
    <row r="56" customFormat="false" ht="12.75" hidden="false" customHeight="false" outlineLevel="0" collapsed="false">
      <c r="N56" s="15"/>
      <c r="O56" s="15"/>
    </row>
    <row r="57" customFormat="false" ht="12.75" hidden="false" customHeight="false" outlineLevel="0" collapsed="false">
      <c r="N57" s="15"/>
      <c r="O57" s="15"/>
    </row>
    <row r="58" customFormat="false" ht="12.75" hidden="false" customHeight="false" outlineLevel="0" collapsed="false">
      <c r="N58" s="15"/>
      <c r="O58" s="15"/>
    </row>
    <row r="59" customFormat="false" ht="12.75" hidden="false" customHeight="false" outlineLevel="0" collapsed="false">
      <c r="N59" s="15"/>
      <c r="O59" s="15"/>
    </row>
    <row r="60" customFormat="false" ht="12.75" hidden="false" customHeight="false" outlineLevel="0" collapsed="false">
      <c r="N60" s="15"/>
      <c r="O60" s="15"/>
    </row>
    <row r="61" customFormat="false" ht="12.75" hidden="false" customHeight="false" outlineLevel="0" collapsed="false">
      <c r="N61" s="15"/>
      <c r="O61" s="15"/>
    </row>
    <row r="62" customFormat="false" ht="12.75" hidden="false" customHeight="false" outlineLevel="0" collapsed="false">
      <c r="N62" s="15"/>
      <c r="O62" s="15"/>
    </row>
    <row r="63" customFormat="false" ht="12.75" hidden="false" customHeight="false" outlineLevel="0" collapsed="false">
      <c r="N63" s="15"/>
      <c r="O63" s="15"/>
    </row>
    <row r="64" customFormat="false" ht="12.75" hidden="false" customHeight="false" outlineLevel="0" collapsed="false">
      <c r="N64" s="15"/>
      <c r="O64" s="15"/>
    </row>
    <row r="65" customFormat="false" ht="12.75" hidden="false" customHeight="false" outlineLevel="0" collapsed="false">
      <c r="N65" s="15"/>
      <c r="O65" s="15"/>
    </row>
    <row r="66" customFormat="false" ht="12.75" hidden="false" customHeight="false" outlineLevel="0" collapsed="false">
      <c r="N66" s="15"/>
      <c r="O66" s="15"/>
    </row>
    <row r="67" customFormat="false" ht="12.75" hidden="false" customHeight="false" outlineLevel="0" collapsed="false">
      <c r="N67" s="15"/>
      <c r="O67" s="15"/>
    </row>
    <row r="68" customFormat="false" ht="12.75" hidden="false" customHeight="false" outlineLevel="0" collapsed="false">
      <c r="N68" s="15"/>
      <c r="O68" s="15"/>
    </row>
  </sheetData>
  <mergeCells count="1">
    <mergeCell ref="K2:M2"/>
  </mergeCells>
  <printOptions headings="false" gridLines="false" gridLinesSet="true" horizontalCentered="true" verticalCentered="false"/>
  <pageMargins left="0.747916666666667" right="0.747916666666667" top="0.5"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56"/>
  <sheetViews>
    <sheetView showFormulas="false" showGridLines="true" showRowColHeaders="true" showZeros="true" rightToLeft="false" tabSelected="false" showOutlineSymbols="true" defaultGridColor="true" view="normal" topLeftCell="A2" colorId="64" zoomScale="100" zoomScaleNormal="100" zoomScalePageLayoutView="100" workbookViewId="0">
      <selection pane="topLeft" activeCell="B12" activeCellId="0" sqref="B12"/>
    </sheetView>
  </sheetViews>
  <sheetFormatPr defaultColWidth="9.0546875" defaultRowHeight="12.75" customHeight="true" zeroHeight="false" outlineLevelRow="0" outlineLevelCol="0"/>
  <cols>
    <col collapsed="false" customWidth="true" hidden="false" outlineLevel="0" max="3" min="3" style="0" width="3.56"/>
    <col collapsed="false" customWidth="true" hidden="false" outlineLevel="0" max="5" min="5" style="0" width="10.99"/>
    <col collapsed="false" customWidth="true" hidden="false" outlineLevel="0" max="10" min="6" style="0" width="10.28"/>
  </cols>
  <sheetData>
    <row r="1" customFormat="false" ht="27" hidden="false" customHeight="false" outlineLevel="0" collapsed="false">
      <c r="A1" s="1" t="s">
        <v>0</v>
      </c>
      <c r="B1" s="112"/>
      <c r="C1" s="112"/>
      <c r="D1" s="113"/>
      <c r="E1" s="113"/>
      <c r="F1" s="113"/>
      <c r="G1" s="140"/>
      <c r="H1" s="4"/>
      <c r="I1" s="4"/>
      <c r="J1" s="4"/>
      <c r="K1" s="4"/>
      <c r="L1" s="4"/>
      <c r="M1" s="4"/>
      <c r="N1" s="16" t="s">
        <v>390</v>
      </c>
    </row>
    <row r="2" customFormat="false" ht="26.25" hidden="false" customHeight="false" outlineLevel="0" collapsed="false">
      <c r="A2" s="269"/>
      <c r="B2" s="270"/>
      <c r="C2" s="270"/>
      <c r="D2" s="271"/>
      <c r="E2" s="271"/>
      <c r="F2" s="271"/>
      <c r="G2" s="272"/>
    </row>
    <row r="3" customFormat="false" ht="26.25" hidden="false" customHeight="false" outlineLevel="0" collapsed="false">
      <c r="A3" s="269"/>
      <c r="B3" s="270"/>
      <c r="C3" s="270"/>
      <c r="D3" s="271"/>
      <c r="E3" s="271"/>
      <c r="F3" s="271"/>
      <c r="G3" s="272"/>
    </row>
    <row r="5" customFormat="false" ht="12.75" hidden="false" customHeight="false" outlineLevel="0" collapsed="false">
      <c r="B5" s="53" t="s">
        <v>391</v>
      </c>
    </row>
    <row r="6" customFormat="false" ht="12.75" hidden="false" customHeight="false" outlineLevel="0" collapsed="false">
      <c r="B6" s="347" t="n">
        <v>0.11</v>
      </c>
      <c r="C6" s="0" t="s">
        <v>392</v>
      </c>
      <c r="D6" s="0" t="s">
        <v>393</v>
      </c>
    </row>
    <row r="7" customFormat="false" ht="12.75" hidden="false" customHeight="false" outlineLevel="0" collapsed="false">
      <c r="B7" s="348" t="n">
        <v>6</v>
      </c>
      <c r="C7" s="0" t="s">
        <v>394</v>
      </c>
      <c r="D7" s="0" t="s">
        <v>395</v>
      </c>
    </row>
    <row r="8" customFormat="false" ht="12.75" hidden="false" customHeight="false" outlineLevel="0" collapsed="false">
      <c r="B8" s="347" t="n">
        <v>0.35</v>
      </c>
      <c r="C8" s="0" t="s">
        <v>396</v>
      </c>
      <c r="D8" s="0" t="s">
        <v>397</v>
      </c>
    </row>
    <row r="9" customFormat="false" ht="12.75" hidden="false" customHeight="false" outlineLevel="0" collapsed="false">
      <c r="B9" s="53"/>
      <c r="C9" s="0" t="s">
        <v>398</v>
      </c>
      <c r="D9" s="0" t="s">
        <v>399</v>
      </c>
    </row>
    <row r="10" customFormat="false" ht="12.75" hidden="false" customHeight="false" outlineLevel="0" collapsed="false">
      <c r="B10" s="349" t="n">
        <v>0.075</v>
      </c>
      <c r="C10" s="0" t="s">
        <v>400</v>
      </c>
      <c r="D10" s="0" t="s">
        <v>401</v>
      </c>
    </row>
    <row r="11" customFormat="false" ht="12.75" hidden="false" customHeight="false" outlineLevel="0" collapsed="false">
      <c r="B11" s="347" t="n">
        <v>0.05</v>
      </c>
      <c r="C11" s="0" t="s">
        <v>402</v>
      </c>
      <c r="D11" s="0" t="s">
        <v>403</v>
      </c>
    </row>
    <row r="12" customFormat="false" ht="12.75" hidden="false" customHeight="false" outlineLevel="0" collapsed="false">
      <c r="B12" s="350" t="n">
        <v>10</v>
      </c>
      <c r="C12" s="0" t="s">
        <v>404</v>
      </c>
      <c r="D12" s="0" t="s">
        <v>405</v>
      </c>
    </row>
    <row r="13" customFormat="false" ht="12.75" hidden="false" customHeight="false" outlineLevel="0" collapsed="false">
      <c r="B13" s="351"/>
      <c r="C13" s="0" t="s">
        <v>406</v>
      </c>
      <c r="D13" s="0" t="s">
        <v>407</v>
      </c>
    </row>
    <row r="14" customFormat="false" ht="12.75" hidden="false" customHeight="false" outlineLevel="0" collapsed="false">
      <c r="B14" s="351"/>
      <c r="D14" s="124" t="n">
        <v>2001</v>
      </c>
      <c r="E14" s="124" t="n">
        <v>2002</v>
      </c>
      <c r="F14" s="124" t="n">
        <v>2003</v>
      </c>
      <c r="G14" s="124" t="n">
        <v>2004</v>
      </c>
      <c r="H14" s="124" t="n">
        <v>2005</v>
      </c>
    </row>
    <row r="15" customFormat="false" ht="12.75" hidden="false" customHeight="false" outlineLevel="0" collapsed="false">
      <c r="B15" s="351"/>
      <c r="D15" s="352" t="n">
        <v>0</v>
      </c>
      <c r="E15" s="352" t="n">
        <v>0.05</v>
      </c>
      <c r="F15" s="352" t="n">
        <v>0.1</v>
      </c>
      <c r="G15" s="352" t="n">
        <v>0.15</v>
      </c>
      <c r="H15" s="352" t="n">
        <v>0.2</v>
      </c>
    </row>
    <row r="16" customFormat="false" ht="12.75" hidden="false" customHeight="false" outlineLevel="0" collapsed="false">
      <c r="B16" s="350" t="n">
        <v>1E-006</v>
      </c>
      <c r="C16" s="0" t="s">
        <v>408</v>
      </c>
      <c r="D16" s="130" t="s">
        <v>409</v>
      </c>
      <c r="E16" s="352"/>
      <c r="F16" s="352"/>
      <c r="G16" s="352"/>
    </row>
    <row r="17" customFormat="false" ht="12.75" hidden="false" customHeight="false" outlineLevel="0" collapsed="false">
      <c r="B17" s="353" t="n">
        <v>0.04</v>
      </c>
      <c r="C17" s="0" t="s">
        <v>410</v>
      </c>
      <c r="D17" s="0" t="s">
        <v>411</v>
      </c>
    </row>
    <row r="18" customFormat="false" ht="12.75" hidden="false" customHeight="false" outlineLevel="0" collapsed="false">
      <c r="B18" s="353" t="n">
        <v>0.06</v>
      </c>
      <c r="C18" s="0" t="s">
        <v>412</v>
      </c>
      <c r="D18" s="0" t="s">
        <v>413</v>
      </c>
    </row>
    <row r="19" customFormat="false" ht="12.75" hidden="false" customHeight="false" outlineLevel="0" collapsed="false">
      <c r="B19" s="347" t="n">
        <v>0.2</v>
      </c>
      <c r="C19" s="0" t="s">
        <v>414</v>
      </c>
      <c r="D19" s="0" t="s">
        <v>415</v>
      </c>
    </row>
    <row r="20" customFormat="false" ht="12.75" hidden="false" customHeight="false" outlineLevel="0" collapsed="false">
      <c r="B20" s="354" t="n">
        <v>37072</v>
      </c>
      <c r="C20" s="0" t="s">
        <v>416</v>
      </c>
      <c r="D20" s="0" t="s">
        <v>417</v>
      </c>
      <c r="K20" s="355"/>
    </row>
    <row r="21" customFormat="false" ht="12.75" hidden="false" customHeight="false" outlineLevel="0" collapsed="false">
      <c r="B21" s="350" t="n">
        <v>500</v>
      </c>
      <c r="C21" s="0" t="s">
        <v>418</v>
      </c>
      <c r="D21" s="0" t="s">
        <v>419</v>
      </c>
    </row>
    <row r="22" customFormat="false" ht="12.75" hidden="false" customHeight="false" outlineLevel="0" collapsed="false">
      <c r="B22" s="350" t="n">
        <v>5</v>
      </c>
      <c r="C22" s="0" t="s">
        <v>420</v>
      </c>
      <c r="D22" s="0" t="s">
        <v>421</v>
      </c>
    </row>
    <row r="23" customFormat="false" ht="12.75" hidden="false" customHeight="false" outlineLevel="0" collapsed="false">
      <c r="B23" s="356" t="n">
        <v>1</v>
      </c>
      <c r="C23" s="0" t="s">
        <v>422</v>
      </c>
      <c r="D23" s="0" t="s">
        <v>423</v>
      </c>
    </row>
    <row r="24" customFormat="false" ht="12.75" hidden="false" customHeight="false" outlineLevel="0" collapsed="false">
      <c r="B24" s="350" t="n">
        <v>200</v>
      </c>
      <c r="C24" s="0" t="s">
        <v>424</v>
      </c>
      <c r="D24" s="0" t="s">
        <v>425</v>
      </c>
    </row>
    <row r="26" customFormat="false" ht="12.75" hidden="false" customHeight="false" outlineLevel="0" collapsed="false">
      <c r="B26" s="53" t="s">
        <v>426</v>
      </c>
    </row>
    <row r="27" customFormat="false" ht="12.75" hidden="false" customHeight="false" outlineLevel="0" collapsed="false">
      <c r="B27" s="53"/>
      <c r="C27" s="0" t="s">
        <v>392</v>
      </c>
      <c r="D27" s="0" t="s">
        <v>427</v>
      </c>
    </row>
    <row r="28" customFormat="false" ht="12.75" hidden="false" customHeight="false" outlineLevel="0" collapsed="false">
      <c r="C28" s="0" t="s">
        <v>394</v>
      </c>
      <c r="D28" s="0" t="s">
        <v>428</v>
      </c>
    </row>
    <row r="29" customFormat="false" ht="12.75" hidden="false" customHeight="false" outlineLevel="0" collapsed="false">
      <c r="C29" s="0" t="s">
        <v>396</v>
      </c>
      <c r="D29" s="0" t="s">
        <v>429</v>
      </c>
    </row>
    <row r="30" customFormat="false" ht="12.75" hidden="false" customHeight="false" outlineLevel="0" collapsed="false">
      <c r="C30" s="0" t="s">
        <v>398</v>
      </c>
      <c r="D30" s="0" t="s">
        <v>430</v>
      </c>
    </row>
    <row r="41" customFormat="false" ht="12.75" hidden="false" customHeight="false" outlineLevel="0" collapsed="false">
      <c r="B41" s="53"/>
    </row>
    <row r="46" customFormat="false" ht="12.75" hidden="false" customHeight="false" outlineLevel="0" collapsed="false">
      <c r="B46" s="350" t="n">
        <f aca="false">('Balance Sheet'!G10)/1000</f>
        <v>37.9553195594923</v>
      </c>
      <c r="C46" s="0" t="s">
        <v>431</v>
      </c>
      <c r="D46" s="0" t="s">
        <v>432</v>
      </c>
    </row>
    <row r="47" customFormat="false" ht="12.75" hidden="false" customHeight="false" outlineLevel="0" collapsed="false">
      <c r="B47" s="350" t="n">
        <v>10</v>
      </c>
      <c r="C47" s="0" t="s">
        <v>433</v>
      </c>
      <c r="D47" s="0" t="s">
        <v>434</v>
      </c>
    </row>
    <row r="48" customFormat="false" ht="12.75" hidden="false" customHeight="false" outlineLevel="0" collapsed="false">
      <c r="B48" s="357" t="n">
        <v>40</v>
      </c>
      <c r="D48" s="0" t="s">
        <v>435</v>
      </c>
    </row>
    <row r="49" customFormat="false" ht="12.75" hidden="false" customHeight="false" outlineLevel="0" collapsed="false">
      <c r="B49" s="357" t="n">
        <v>30</v>
      </c>
      <c r="D49" s="0" t="s">
        <v>436</v>
      </c>
    </row>
    <row r="52" customFormat="false" ht="12.75" hidden="false" customHeight="false" outlineLevel="0" collapsed="false">
      <c r="B52" s="53" t="s">
        <v>437</v>
      </c>
    </row>
    <row r="53" customFormat="false" ht="12.75" hidden="false" customHeight="false" outlineLevel="0" collapsed="false">
      <c r="C53" s="0" t="s">
        <v>392</v>
      </c>
      <c r="D53" s="0" t="s">
        <v>438</v>
      </c>
    </row>
    <row r="54" customFormat="false" ht="12.75" hidden="false" customHeight="false" outlineLevel="0" collapsed="false">
      <c r="C54" s="0" t="s">
        <v>394</v>
      </c>
      <c r="D54" s="0" t="s">
        <v>439</v>
      </c>
    </row>
    <row r="55" customFormat="false" ht="12.75" hidden="false" customHeight="false" outlineLevel="0" collapsed="false">
      <c r="C55" s="0" t="s">
        <v>396</v>
      </c>
      <c r="D55" s="0" t="s">
        <v>440</v>
      </c>
    </row>
    <row r="56" customFormat="false" ht="12.75" hidden="false" customHeight="false" outlineLevel="0" collapsed="false">
      <c r="C56" s="0" t="s">
        <v>398</v>
      </c>
      <c r="D56" s="0" t="s">
        <v>441</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C72"/>
  <sheetViews>
    <sheetView showFormulas="false" showGridLines="false" showRowColHeaders="true" showZeros="true" rightToLeft="false" tabSelected="false" showOutlineSymbols="true" defaultGridColor="true" view="normal" topLeftCell="A4" colorId="64" zoomScale="85" zoomScaleNormal="85" zoomScalePageLayoutView="75" workbookViewId="0">
      <selection pane="topLeft" activeCell="B33" activeCellId="0" sqref="B33"/>
    </sheetView>
  </sheetViews>
  <sheetFormatPr defaultColWidth="9.0546875" defaultRowHeight="12.75" customHeight="true" zeroHeight="false" outlineLevelRow="0" outlineLevelCol="1"/>
  <cols>
    <col collapsed="false" customWidth="true" hidden="false" outlineLevel="0" max="1" min="1" style="0" width="1.85"/>
    <col collapsed="false" customWidth="true" hidden="false" outlineLevel="0" max="2" min="2" style="0" width="8.14"/>
    <col collapsed="false" customWidth="true" hidden="false" outlineLevel="0" max="3" min="3" style="0" width="21.99"/>
    <col collapsed="false" customWidth="true" hidden="false" outlineLevel="0" max="4" min="4" style="0" width="24.28"/>
    <col collapsed="false" customWidth="true" hidden="false" outlineLevel="0" max="5" min="5" style="58" width="2.42"/>
    <col collapsed="false" customWidth="true" hidden="false" outlineLevel="0" max="6" min="6" style="58" width="11.7"/>
    <col collapsed="false" customWidth="true" hidden="false" outlineLevel="0" max="7" min="7" style="58" width="18.14"/>
    <col collapsed="false" customWidth="true" hidden="false" outlineLevel="0" max="8" min="8" style="58" width="13.14"/>
    <col collapsed="false" customWidth="true" hidden="false" outlineLevel="0" max="9" min="9" style="58" width="12.42"/>
    <col collapsed="false" customWidth="true" hidden="false" outlineLevel="0" max="10" min="10" style="58" width="10.56"/>
    <col collapsed="false" customWidth="true" hidden="false" outlineLevel="0" max="11" min="11" style="58" width="11.13"/>
    <col collapsed="false" customWidth="true" hidden="false" outlineLevel="0" max="12" min="12" style="0" width="15.85"/>
    <col collapsed="false" customWidth="true" hidden="true" outlineLevel="1" max="15" min="14" style="0" width="9.14"/>
    <col collapsed="false" customWidth="true" hidden="false" outlineLevel="0" max="16" min="16" style="0" width="11.85"/>
    <col collapsed="false" customWidth="true" hidden="true" outlineLevel="1" max="17" min="17" style="0" width="12.85"/>
    <col collapsed="false" customWidth="true" hidden="false" outlineLevel="0" max="18" min="18" style="0" width="15.7"/>
    <col collapsed="false" customWidth="true" hidden="false" outlineLevel="0" max="19" min="19" style="0" width="16.28"/>
    <col collapsed="false" customWidth="true" hidden="true" outlineLevel="0" max="20" min="20" style="0" width="16.28"/>
    <col collapsed="false" customWidth="true" hidden="true" outlineLevel="0" max="21" min="21" style="0" width="13.41"/>
    <col collapsed="false" customWidth="true" hidden="false" outlineLevel="0" max="22" min="22" style="0" width="10.28"/>
    <col collapsed="false" customWidth="true" hidden="false" outlineLevel="0" max="24" min="23" style="0" width="8.56"/>
    <col collapsed="false" customWidth="true" hidden="false" outlineLevel="0" max="26" min="26" style="0" width="9.56"/>
    <col collapsed="false" customWidth="true" hidden="false" outlineLevel="0" max="27" min="27" style="58" width="7.56"/>
    <col collapsed="false" customWidth="true" hidden="false" outlineLevel="0" max="29" min="29" style="0" width="8.56"/>
  </cols>
  <sheetData>
    <row r="1" customFormat="false" ht="27" hidden="false" customHeight="false" outlineLevel="0" collapsed="false">
      <c r="A1" s="358" t="s">
        <v>0</v>
      </c>
      <c r="B1" s="359"/>
      <c r="C1" s="359"/>
      <c r="D1" s="360"/>
      <c r="E1" s="360"/>
      <c r="F1" s="360"/>
      <c r="G1" s="361" t="s">
        <v>108</v>
      </c>
      <c r="H1" s="361"/>
      <c r="I1" s="361"/>
      <c r="J1" s="361"/>
      <c r="K1" s="361"/>
      <c r="L1" s="361"/>
      <c r="M1" s="361"/>
      <c r="N1" s="361"/>
      <c r="O1" s="362"/>
      <c r="P1" s="362"/>
      <c r="Q1" s="362"/>
      <c r="R1" s="363" t="s">
        <v>442</v>
      </c>
      <c r="S1" s="362"/>
      <c r="T1" s="362"/>
      <c r="U1" s="362"/>
      <c r="V1" s="362"/>
      <c r="AA1" s="364"/>
    </row>
    <row r="2" customFormat="false" ht="21.75" hidden="false" customHeight="false" outlineLevel="0" collapsed="false">
      <c r="A2" s="365"/>
      <c r="B2" s="366"/>
      <c r="C2" s="366"/>
      <c r="D2" s="366"/>
      <c r="E2" s="367"/>
      <c r="F2" s="367"/>
      <c r="G2" s="367"/>
      <c r="H2" s="367"/>
      <c r="I2" s="367"/>
      <c r="J2" s="367"/>
      <c r="K2" s="367"/>
      <c r="L2" s="367"/>
      <c r="M2" s="366"/>
      <c r="N2" s="366"/>
      <c r="O2" s="364"/>
      <c r="P2" s="364"/>
      <c r="Q2" s="364"/>
      <c r="R2" s="364"/>
      <c r="S2" s="364"/>
      <c r="T2" s="364"/>
      <c r="U2" s="368"/>
      <c r="V2" s="368"/>
      <c r="AA2" s="364"/>
    </row>
    <row r="3" customFormat="false" ht="21.75" hidden="false" customHeight="false" outlineLevel="0" collapsed="false">
      <c r="A3" s="365"/>
      <c r="B3" s="366"/>
      <c r="C3" s="366"/>
      <c r="D3" s="366"/>
      <c r="E3" s="367"/>
      <c r="F3" s="367"/>
      <c r="G3" s="367"/>
      <c r="H3" s="367"/>
      <c r="I3" s="367"/>
      <c r="J3" s="367"/>
      <c r="K3" s="367"/>
      <c r="L3" s="367"/>
      <c r="M3" s="366"/>
      <c r="N3" s="366"/>
      <c r="O3" s="364"/>
      <c r="P3" s="364"/>
      <c r="Q3" s="364"/>
      <c r="R3" s="364"/>
      <c r="S3" s="364"/>
      <c r="T3" s="364"/>
      <c r="U3" s="368"/>
      <c r="V3" s="368"/>
      <c r="AA3" s="364"/>
    </row>
    <row r="4" customFormat="false" ht="21.75" hidden="false" customHeight="false" outlineLevel="0" collapsed="false">
      <c r="A4" s="365"/>
      <c r="B4" s="366"/>
      <c r="C4" s="366"/>
      <c r="D4" s="366"/>
      <c r="E4" s="367"/>
      <c r="F4" s="367"/>
      <c r="G4" s="367"/>
      <c r="H4" s="367"/>
      <c r="I4" s="367"/>
      <c r="J4" s="367"/>
      <c r="K4" s="367"/>
      <c r="L4" s="367"/>
      <c r="M4" s="366"/>
      <c r="N4" s="366"/>
      <c r="O4" s="364"/>
      <c r="P4" s="364"/>
      <c r="Q4" s="364"/>
      <c r="R4" s="364"/>
      <c r="S4" s="364"/>
      <c r="T4" s="364"/>
      <c r="U4" s="368"/>
      <c r="V4" s="368"/>
      <c r="AA4" s="364"/>
    </row>
    <row r="5" customFormat="false" ht="21.75" hidden="false" customHeight="false" outlineLevel="0" collapsed="false">
      <c r="A5" s="365"/>
      <c r="B5" s="369" t="s">
        <v>443</v>
      </c>
      <c r="C5" s="368"/>
      <c r="D5" s="368"/>
      <c r="E5" s="364"/>
      <c r="F5" s="364"/>
      <c r="G5" s="364"/>
      <c r="H5" s="364"/>
      <c r="I5" s="364"/>
      <c r="J5" s="364"/>
      <c r="K5" s="364"/>
      <c r="L5" s="364"/>
      <c r="M5" s="368"/>
      <c r="N5" s="368"/>
      <c r="O5" s="368"/>
      <c r="P5" s="368"/>
      <c r="Q5" s="368"/>
      <c r="R5" s="368"/>
      <c r="S5" s="368"/>
      <c r="T5" s="368"/>
      <c r="U5" s="368"/>
      <c r="V5" s="368"/>
      <c r="W5" s="370" t="s">
        <v>444</v>
      </c>
      <c r="X5" s="370" t="s">
        <v>445</v>
      </c>
      <c r="Y5" s="0" t="s">
        <v>66</v>
      </c>
      <c r="Z5" s="370" t="s">
        <v>446</v>
      </c>
      <c r="AA5" s="371"/>
      <c r="AB5" s="0" t="s">
        <v>162</v>
      </c>
      <c r="AC5" s="370" t="s">
        <v>14</v>
      </c>
    </row>
    <row r="6" customFormat="false" ht="15" hidden="false" customHeight="true" outlineLevel="0" collapsed="false">
      <c r="A6" s="365"/>
      <c r="B6" s="368"/>
      <c r="C6" s="368"/>
      <c r="D6" s="372" t="s">
        <v>447</v>
      </c>
      <c r="E6" s="372"/>
      <c r="F6" s="373" t="s">
        <v>448</v>
      </c>
      <c r="G6" s="374" t="s">
        <v>449</v>
      </c>
      <c r="H6" s="372" t="s">
        <v>450</v>
      </c>
      <c r="I6" s="372" t="s">
        <v>451</v>
      </c>
      <c r="J6" s="372" t="s">
        <v>452</v>
      </c>
      <c r="K6" s="372" t="s">
        <v>453</v>
      </c>
      <c r="L6" s="372" t="s">
        <v>454</v>
      </c>
      <c r="M6" s="372" t="s">
        <v>455</v>
      </c>
      <c r="N6" s="372" t="s">
        <v>456</v>
      </c>
      <c r="O6" s="368"/>
      <c r="P6" s="372" t="s">
        <v>457</v>
      </c>
      <c r="Q6" s="372" t="s">
        <v>458</v>
      </c>
      <c r="R6" s="372" t="s">
        <v>459</v>
      </c>
      <c r="T6" s="372" t="s">
        <v>460</v>
      </c>
      <c r="U6" s="372" t="s">
        <v>461</v>
      </c>
      <c r="V6" s="368"/>
      <c r="W6" s="370"/>
      <c r="X6" s="370"/>
      <c r="Z6" s="370"/>
      <c r="AA6" s="375" t="s">
        <v>68</v>
      </c>
      <c r="AC6" s="370"/>
    </row>
    <row r="7" customFormat="false" ht="15" hidden="false" customHeight="true" outlineLevel="0" collapsed="false">
      <c r="A7" s="365"/>
      <c r="B7" s="368" t="s">
        <v>462</v>
      </c>
      <c r="C7" s="368" t="s">
        <v>463</v>
      </c>
      <c r="D7" s="376" t="n">
        <v>87.3</v>
      </c>
      <c r="F7" s="377" t="n">
        <f aca="false">D7*Z7</f>
        <v>39651.66</v>
      </c>
      <c r="G7" s="377" t="n">
        <f aca="false">F7+AC7</f>
        <v>110617.66</v>
      </c>
      <c r="H7" s="378" t="n">
        <f aca="false">F7/G7</f>
        <v>0.358456868460244</v>
      </c>
      <c r="I7" s="379" t="n">
        <v>27.94</v>
      </c>
      <c r="J7" s="379" t="n">
        <v>6</v>
      </c>
      <c r="K7" s="380" t="n">
        <f aca="false">D7/J7</f>
        <v>14.55</v>
      </c>
      <c r="L7" s="380" t="n">
        <f aca="false">D7/I7</f>
        <v>3.12455261274159</v>
      </c>
      <c r="M7" s="380" t="n">
        <f aca="false">D7/X7</f>
        <v>2.64545454545455</v>
      </c>
      <c r="N7" s="381"/>
      <c r="O7" s="368"/>
      <c r="P7" s="381" t="n">
        <f aca="false">(G7)/(X7*Z7)</f>
        <v>7.38011955753039</v>
      </c>
      <c r="Q7" s="381" t="str">
        <f aca="false">IF(ISERROR(G7/AA7),"N/A",(G7/AA7))</f>
        <v>N/A</v>
      </c>
      <c r="R7" s="381" t="n">
        <f aca="false">G7/F7</f>
        <v>2.78973591521767</v>
      </c>
      <c r="T7" s="381" t="e">
        <f aca="false">F7/(Z7*AB7)</f>
        <v>#DIV/0!</v>
      </c>
      <c r="U7" s="381" t="e">
        <f aca="false">F7/(Y7*Z7)</f>
        <v>#DIV/0!</v>
      </c>
      <c r="V7" s="368"/>
      <c r="W7" s="370" t="n">
        <v>1000</v>
      </c>
      <c r="X7" s="370" t="n">
        <v>33</v>
      </c>
      <c r="Z7" s="382" t="n">
        <v>454.2</v>
      </c>
      <c r="AA7" s="370" t="n">
        <v>0</v>
      </c>
      <c r="AC7" s="370" t="n">
        <f aca="false">33049+37917</f>
        <v>70966</v>
      </c>
    </row>
    <row r="8" customFormat="false" ht="15" hidden="false" customHeight="true" outlineLevel="0" collapsed="false">
      <c r="A8" s="365"/>
      <c r="B8" s="368" t="s">
        <v>464</v>
      </c>
      <c r="C8" s="368" t="s">
        <v>465</v>
      </c>
      <c r="D8" s="383" t="n">
        <v>58.67</v>
      </c>
      <c r="F8" s="384" t="n">
        <f aca="false">D8*Z8</f>
        <v>65769.07</v>
      </c>
      <c r="G8" s="385" t="n">
        <f aca="false">F8+AC8</f>
        <v>131385.07</v>
      </c>
      <c r="H8" s="378" t="n">
        <f aca="false">F8/G8</f>
        <v>0.500582524330961</v>
      </c>
      <c r="I8" s="386" t="n">
        <v>16.16</v>
      </c>
      <c r="J8" s="386" t="n">
        <v>5.11</v>
      </c>
      <c r="K8" s="380" t="n">
        <f aca="false">D8/J8</f>
        <v>11.4814090019569</v>
      </c>
      <c r="L8" s="380" t="n">
        <f aca="false">D8/I8</f>
        <v>3.63056930693069</v>
      </c>
      <c r="M8" s="380" t="n">
        <f aca="false">D8/X8</f>
        <v>1.40291726446676</v>
      </c>
      <c r="N8" s="381"/>
      <c r="O8" s="368"/>
      <c r="P8" s="381" t="n">
        <f aca="false">(G8)/(X8*Z8)</f>
        <v>2.80256939920504</v>
      </c>
      <c r="Q8" s="381" t="str">
        <f aca="false">IF(ISERROR(G8/AA8),"N/A",(G8/AA8))</f>
        <v>N/A</v>
      </c>
      <c r="R8" s="381" t="n">
        <f aca="false">G8/F8</f>
        <v>1.99767261419388</v>
      </c>
      <c r="T8" s="381" t="e">
        <f aca="false">F8/(Z8*AB8)</f>
        <v>#DIV/0!</v>
      </c>
      <c r="U8" s="381" t="e">
        <f aca="false">F8/(Y8*Z8)</f>
        <v>#DIV/0!</v>
      </c>
      <c r="V8" s="368"/>
      <c r="W8" s="370" t="n">
        <v>1000</v>
      </c>
      <c r="X8" s="370" t="n">
        <v>41.82</v>
      </c>
      <c r="Z8" s="382" t="n">
        <v>1121</v>
      </c>
      <c r="AA8" s="370" t="n">
        <v>0</v>
      </c>
      <c r="AC8" s="370" t="n">
        <f aca="false">42833+22783</f>
        <v>65616</v>
      </c>
    </row>
    <row r="9" customFormat="false" ht="15" hidden="false" customHeight="true" outlineLevel="0" collapsed="false">
      <c r="A9" s="365"/>
      <c r="B9" s="368" t="s">
        <v>466</v>
      </c>
      <c r="C9" s="368" t="s">
        <v>467</v>
      </c>
      <c r="D9" s="383" t="n">
        <v>77.7</v>
      </c>
      <c r="F9" s="384" t="n">
        <f aca="false">D9*Z9</f>
        <v>179953.2</v>
      </c>
      <c r="G9" s="385" t="n">
        <f aca="false">F9+AC9</f>
        <v>217864.2</v>
      </c>
      <c r="H9" s="378" t="n">
        <f aca="false">F9/G9</f>
        <v>0.82598793193191</v>
      </c>
      <c r="I9" s="386" t="n">
        <v>15.79</v>
      </c>
      <c r="J9" s="386" t="n">
        <v>2.33</v>
      </c>
      <c r="K9" s="380" t="n">
        <f aca="false">D9/J9</f>
        <v>33.3476394849785</v>
      </c>
      <c r="L9" s="380" t="n">
        <f aca="false">D9/I9</f>
        <v>4.92083597213426</v>
      </c>
      <c r="M9" s="380" t="n">
        <f aca="false">D9/X9</f>
        <v>1.90674846625767</v>
      </c>
      <c r="N9" s="381"/>
      <c r="O9" s="368"/>
      <c r="P9" s="381" t="n">
        <f aca="false">(G9)/(X9*Z9)</f>
        <v>2.30844591372898</v>
      </c>
      <c r="Q9" s="381" t="str">
        <f aca="false">IF(ISERROR(G9/AA9),"N/A",(G9/AA9))</f>
        <v>N/A</v>
      </c>
      <c r="R9" s="381" t="n">
        <f aca="false">G9/F9</f>
        <v>1.21067144124139</v>
      </c>
      <c r="T9" s="381" t="e">
        <f aca="false">F9/(Z9*AB9)</f>
        <v>#DIV/0!</v>
      </c>
      <c r="U9" s="381" t="e">
        <f aca="false">F9/(Y9*Z9)</f>
        <v>#DIV/0!</v>
      </c>
      <c r="V9" s="368"/>
      <c r="W9" s="370" t="n">
        <v>1000</v>
      </c>
      <c r="X9" s="370" t="n">
        <v>40.75</v>
      </c>
      <c r="Z9" s="382" t="n">
        <v>2316</v>
      </c>
      <c r="AA9" s="370" t="n">
        <v>0</v>
      </c>
      <c r="AC9" s="370" t="n">
        <f aca="false">31913+5998</f>
        <v>37911</v>
      </c>
    </row>
    <row r="10" customFormat="false" ht="15" hidden="false" customHeight="true" outlineLevel="0" collapsed="false">
      <c r="A10" s="365"/>
      <c r="B10" s="368" t="s">
        <v>468</v>
      </c>
      <c r="C10" s="368" t="s">
        <v>469</v>
      </c>
      <c r="D10" s="383" t="n">
        <v>63.96</v>
      </c>
      <c r="F10" s="384" t="n">
        <f aca="false">D10*Z10</f>
        <v>15254.46</v>
      </c>
      <c r="G10" s="385" t="n">
        <f aca="false">F10+AC10</f>
        <v>56328.46</v>
      </c>
      <c r="H10" s="378" t="n">
        <f aca="false">F10/G10</f>
        <v>0.270812658467851</v>
      </c>
      <c r="I10" s="386" t="n">
        <v>28.05</v>
      </c>
      <c r="J10" s="386" t="n">
        <v>6.38</v>
      </c>
      <c r="K10" s="380" t="n">
        <f aca="false">D10/J10</f>
        <v>10.025078369906</v>
      </c>
      <c r="L10" s="380" t="n">
        <f aca="false">D10/I10</f>
        <v>2.28021390374332</v>
      </c>
      <c r="M10" s="380" t="n">
        <f aca="false">D10/X10</f>
        <v>8.29894900739587</v>
      </c>
      <c r="N10" s="381"/>
      <c r="O10" s="368"/>
      <c r="P10" s="381" t="n">
        <f aca="false">(G10)/(X10*Z10)</f>
        <v>30.6446126054372</v>
      </c>
      <c r="Q10" s="381" t="str">
        <f aca="false">IF(ISERROR(G10/AA10),"N/A",(G10/AA10))</f>
        <v>N/A</v>
      </c>
      <c r="R10" s="381" t="n">
        <f aca="false">G10/F10</f>
        <v>3.69258957708106</v>
      </c>
      <c r="T10" s="381" t="e">
        <f aca="false">F10/(Z10*AB10)</f>
        <v>#DIV/0!</v>
      </c>
      <c r="U10" s="381" t="e">
        <f aca="false">F10/(Y10*Z10)</f>
        <v>#DIV/0!</v>
      </c>
      <c r="V10" s="368"/>
      <c r="W10" s="370" t="n">
        <v>1000</v>
      </c>
      <c r="X10" s="370" t="n">
        <v>7.707</v>
      </c>
      <c r="Z10" s="382" t="n">
        <v>238.5</v>
      </c>
      <c r="AA10" s="370" t="n">
        <v>0</v>
      </c>
      <c r="AC10" s="370" t="n">
        <f aca="false">35407+5667</f>
        <v>41074</v>
      </c>
    </row>
    <row r="11" customFormat="false" ht="15" hidden="false" customHeight="true" outlineLevel="0" collapsed="false">
      <c r="A11" s="365"/>
      <c r="B11" s="368" t="s">
        <v>470</v>
      </c>
      <c r="C11" s="368" t="s">
        <v>471</v>
      </c>
      <c r="D11" s="387" t="n">
        <v>48.02</v>
      </c>
      <c r="E11" s="388"/>
      <c r="F11" s="389" t="n">
        <f aca="false">D11*Z11</f>
        <v>5123.734</v>
      </c>
      <c r="G11" s="389" t="n">
        <f aca="false">F11+AC11</f>
        <v>42685.734</v>
      </c>
      <c r="H11" s="390" t="n">
        <f aca="false">F11/G11</f>
        <v>0.1200338736122</v>
      </c>
      <c r="I11" s="388" t="n">
        <v>38.53</v>
      </c>
      <c r="J11" s="388" t="n">
        <v>5.36</v>
      </c>
      <c r="K11" s="391" t="n">
        <f aca="false">D11/J11</f>
        <v>8.9589552238806</v>
      </c>
      <c r="L11" s="391" t="n">
        <f aca="false">D11/I11</f>
        <v>1.24630158318194</v>
      </c>
      <c r="M11" s="391" t="n">
        <f aca="false">D11/X11</f>
        <v>4.67120622568093</v>
      </c>
      <c r="N11" s="381"/>
      <c r="O11" s="368"/>
      <c r="P11" s="381" t="n">
        <f aca="false">(G11)/(X11*Z11)</f>
        <v>38.9157334101576</v>
      </c>
      <c r="Q11" s="381" t="str">
        <f aca="false">IF(ISERROR(G11/AA11),"N/A",(G11/AA11))</f>
        <v>N/A</v>
      </c>
      <c r="R11" s="381" t="n">
        <f aca="false">G11/F11</f>
        <v>8.3309816629825</v>
      </c>
      <c r="T11" s="381" t="e">
        <f aca="false">F11/(Z11*AB11)</f>
        <v>#DIV/0!</v>
      </c>
      <c r="U11" s="381" t="e">
        <f aca="false">F11/(Y11*Z11)</f>
        <v>#DIV/0!</v>
      </c>
      <c r="V11" s="368"/>
      <c r="W11" s="370" t="n">
        <v>1000</v>
      </c>
      <c r="X11" s="370" t="n">
        <v>10.28</v>
      </c>
      <c r="Z11" s="382" t="n">
        <v>106.7</v>
      </c>
      <c r="AA11" s="370" t="n">
        <v>0</v>
      </c>
      <c r="AC11" s="370" t="n">
        <f aca="false">19356+18206</f>
        <v>37562</v>
      </c>
    </row>
    <row r="12" customFormat="false" ht="15" hidden="false" customHeight="true" outlineLevel="0" collapsed="false">
      <c r="A12" s="365"/>
      <c r="B12" s="368"/>
      <c r="C12" s="392" t="s">
        <v>472</v>
      </c>
      <c r="D12" s="393"/>
      <c r="F12" s="394"/>
      <c r="G12" s="395"/>
      <c r="H12" s="380" t="n">
        <f aca="false">AVERAGE(H7:H11)</f>
        <v>0.415174771360633</v>
      </c>
      <c r="I12" s="393"/>
      <c r="J12" s="393"/>
      <c r="K12" s="380" t="n">
        <f aca="false">AVERAGE(K7:K11)</f>
        <v>15.6726164161444</v>
      </c>
      <c r="L12" s="380" t="n">
        <f aca="false">AVERAGE(L7:L11)</f>
        <v>3.04049467574636</v>
      </c>
      <c r="M12" s="380" t="n">
        <f aca="false">AVERAGE(M7:M11)</f>
        <v>3.78505510185116</v>
      </c>
      <c r="N12" s="396"/>
      <c r="O12" s="368"/>
      <c r="P12" s="396" t="n">
        <f aca="false">AVERAGE(P7:P11)</f>
        <v>16.4102961772118</v>
      </c>
      <c r="Q12" s="396" t="str">
        <f aca="false">IF(ISERROR(AVERAGE(Q7:Q11)),"N/A",(Q7:Q11))</f>
        <v>N/A</v>
      </c>
      <c r="R12" s="396" t="n">
        <f aca="false">AVERAGE(R7:R11)</f>
        <v>3.6043302421433</v>
      </c>
      <c r="T12" s="396" t="e">
        <f aca="false">AVERAGE(T8:T11)</f>
        <v>#DIV/0!</v>
      </c>
      <c r="U12" s="396" t="e">
        <f aca="false">AVERAGE(U8:U11)</f>
        <v>#DIV/0!</v>
      </c>
      <c r="V12" s="368"/>
      <c r="W12" s="370" t="n">
        <v>1000</v>
      </c>
      <c r="X12" s="370"/>
      <c r="Z12" s="382"/>
      <c r="AA12" s="370"/>
      <c r="AC12" s="370"/>
    </row>
    <row r="13" customFormat="false" ht="15" hidden="false" customHeight="true" outlineLevel="0" collapsed="false">
      <c r="A13" s="365"/>
      <c r="B13" s="368"/>
      <c r="C13" s="392" t="s">
        <v>473</v>
      </c>
      <c r="D13" s="393"/>
      <c r="F13" s="384"/>
      <c r="G13" s="395"/>
      <c r="H13" s="380" t="n">
        <f aca="false">MEDIAN(H7:H11)</f>
        <v>0.358456868460244</v>
      </c>
      <c r="I13" s="393"/>
      <c r="J13" s="393"/>
      <c r="K13" s="380" t="n">
        <f aca="false">MEDIAN(K7:K11)</f>
        <v>11.4814090019569</v>
      </c>
      <c r="L13" s="380" t="n">
        <f aca="false">MEDIAN(L7:L11)</f>
        <v>3.12455261274159</v>
      </c>
      <c r="M13" s="380" t="n">
        <f aca="false">MEDIAN(M7:M11)</f>
        <v>2.64545454545455</v>
      </c>
      <c r="N13" s="397"/>
      <c r="O13" s="368"/>
      <c r="P13" s="397" t="n">
        <f aca="false">MEDIAN(P7:P11)</f>
        <v>7.38011955753039</v>
      </c>
      <c r="Q13" s="397" t="str">
        <f aca="false">IF(ISERROR(MEDIAN(Q7:Q11)),"N/A",(MEDIAN(Q7:Q11)))</f>
        <v>N/A</v>
      </c>
      <c r="R13" s="397" t="n">
        <f aca="false">MEDIAN(R7:R11)</f>
        <v>2.78973591521767</v>
      </c>
      <c r="T13" s="397" t="e">
        <f aca="false">MEDIAN(T7:T11)</f>
        <v>#DIV/0!</v>
      </c>
      <c r="U13" s="397" t="e">
        <f aca="false">MEDIAN(U7:U11)</f>
        <v>#DIV/0!</v>
      </c>
      <c r="V13" s="368"/>
      <c r="W13" s="370"/>
      <c r="X13" s="370"/>
      <c r="Z13" s="382"/>
      <c r="AA13" s="370"/>
      <c r="AC13" s="370"/>
    </row>
    <row r="14" customFormat="false" ht="15" hidden="false" customHeight="true" outlineLevel="0" collapsed="false">
      <c r="A14" s="365"/>
      <c r="B14" s="366"/>
      <c r="C14" s="366"/>
      <c r="D14" s="366"/>
      <c r="E14" s="367"/>
      <c r="F14" s="367"/>
      <c r="G14" s="367"/>
      <c r="H14" s="367"/>
      <c r="I14" s="367"/>
      <c r="J14" s="367"/>
      <c r="K14" s="367"/>
      <c r="L14" s="367"/>
      <c r="M14" s="366"/>
      <c r="N14" s="366"/>
      <c r="O14" s="364"/>
      <c r="P14" s="364"/>
      <c r="Q14" s="364"/>
      <c r="R14" s="364"/>
      <c r="S14" s="364"/>
      <c r="T14" s="364"/>
      <c r="U14" s="368"/>
      <c r="V14" s="368"/>
      <c r="AA14" s="364"/>
    </row>
    <row r="15" customFormat="false" ht="15" hidden="false" customHeight="true" outlineLevel="0" collapsed="false">
      <c r="A15" s="368"/>
      <c r="C15" s="368"/>
      <c r="D15" s="368"/>
      <c r="E15" s="364"/>
      <c r="F15" s="364"/>
      <c r="G15" s="364"/>
      <c r="H15" s="364"/>
      <c r="I15" s="364"/>
      <c r="J15" s="364"/>
      <c r="K15" s="364"/>
      <c r="L15" s="364"/>
      <c r="M15" s="368"/>
      <c r="N15" s="368"/>
      <c r="O15" s="368"/>
      <c r="P15" s="368"/>
      <c r="Q15" s="368"/>
      <c r="R15" s="368"/>
      <c r="S15" s="368"/>
      <c r="T15" s="368"/>
      <c r="U15" s="368"/>
      <c r="V15" s="368"/>
      <c r="Y15" s="0" t="s">
        <v>474</v>
      </c>
      <c r="AA15" s="364"/>
      <c r="AB15" s="0" t="s">
        <v>474</v>
      </c>
    </row>
    <row r="16" customFormat="false" ht="11.25" hidden="false" customHeight="true" outlineLevel="0" collapsed="false">
      <c r="A16" s="368"/>
      <c r="B16" s="369" t="s">
        <v>475</v>
      </c>
      <c r="C16" s="368"/>
      <c r="D16" s="368"/>
      <c r="E16" s="364"/>
      <c r="F16" s="364"/>
      <c r="G16" s="364"/>
      <c r="H16" s="364"/>
      <c r="I16" s="364"/>
      <c r="J16" s="364"/>
      <c r="K16" s="364"/>
      <c r="L16" s="364"/>
      <c r="M16" s="368"/>
      <c r="N16" s="368"/>
      <c r="O16" s="368"/>
      <c r="P16" s="368"/>
      <c r="Q16" s="368"/>
      <c r="R16" s="368"/>
      <c r="S16" s="368"/>
      <c r="T16" s="368"/>
      <c r="U16" s="368"/>
      <c r="V16" s="368"/>
      <c r="W16" s="370" t="s">
        <v>444</v>
      </c>
      <c r="X16" s="370" t="s">
        <v>445</v>
      </c>
      <c r="Y16" s="0" t="s">
        <v>66</v>
      </c>
      <c r="Z16" s="370" t="s">
        <v>446</v>
      </c>
      <c r="AA16" s="371" t="s">
        <v>68</v>
      </c>
      <c r="AB16" s="0" t="s">
        <v>162</v>
      </c>
      <c r="AC16" s="370" t="s">
        <v>14</v>
      </c>
    </row>
    <row r="17" customFormat="false" ht="12.75" hidden="false" customHeight="false" outlineLevel="0" collapsed="false">
      <c r="A17" s="368"/>
      <c r="B17" s="368"/>
      <c r="C17" s="368"/>
      <c r="D17" s="368"/>
      <c r="E17" s="398"/>
      <c r="F17" s="399"/>
      <c r="G17" s="399"/>
      <c r="H17" s="368"/>
      <c r="I17" s="368"/>
      <c r="J17" s="364"/>
      <c r="K17" s="368"/>
      <c r="L17" s="368"/>
      <c r="M17" s="368"/>
      <c r="N17" s="368"/>
      <c r="O17" s="368"/>
      <c r="P17" s="368"/>
      <c r="Q17" s="400" t="s">
        <v>476</v>
      </c>
      <c r="R17" s="400"/>
      <c r="T17" s="368"/>
      <c r="U17" s="368"/>
      <c r="V17" s="368"/>
      <c r="W17" s="370"/>
      <c r="X17" s="370"/>
      <c r="Z17" s="382"/>
      <c r="AA17" s="370"/>
      <c r="AC17" s="370"/>
    </row>
    <row r="18" customFormat="false" ht="13.5" hidden="false" customHeight="false" outlineLevel="0" collapsed="false">
      <c r="A18" s="368"/>
      <c r="B18" s="368"/>
      <c r="C18" s="401"/>
      <c r="D18" s="372" t="s">
        <v>447</v>
      </c>
      <c r="E18" s="402"/>
      <c r="F18" s="373" t="s">
        <v>448</v>
      </c>
      <c r="G18" s="374" t="s">
        <v>449</v>
      </c>
      <c r="H18" s="372" t="s">
        <v>450</v>
      </c>
      <c r="I18" s="372" t="s">
        <v>451</v>
      </c>
      <c r="J18" s="372" t="s">
        <v>452</v>
      </c>
      <c r="K18" s="372" t="s">
        <v>453</v>
      </c>
      <c r="L18" s="372" t="s">
        <v>454</v>
      </c>
      <c r="M18" s="372" t="s">
        <v>455</v>
      </c>
      <c r="N18" s="372" t="s">
        <v>456</v>
      </c>
      <c r="O18" s="403"/>
      <c r="P18" s="372" t="s">
        <v>457</v>
      </c>
      <c r="Q18" s="372" t="s">
        <v>458</v>
      </c>
      <c r="R18" s="372" t="s">
        <v>459</v>
      </c>
      <c r="T18" s="372" t="s">
        <v>460</v>
      </c>
      <c r="U18" s="372" t="s">
        <v>461</v>
      </c>
      <c r="V18" s="404"/>
      <c r="W18" s="370"/>
      <c r="X18" s="370"/>
      <c r="Z18" s="382"/>
      <c r="AA18" s="370"/>
      <c r="AC18" s="370"/>
    </row>
    <row r="19" customFormat="false" ht="13.5" hidden="false" customHeight="false" outlineLevel="0" collapsed="false">
      <c r="A19" s="368"/>
      <c r="B19" s="368" t="s">
        <v>477</v>
      </c>
      <c r="C19" s="368" t="s">
        <v>478</v>
      </c>
      <c r="D19" s="405" t="n">
        <v>33.73</v>
      </c>
      <c r="F19" s="406" t="n">
        <f aca="false">D19*Z19</f>
        <v>617.5963</v>
      </c>
      <c r="G19" s="406" t="n">
        <f aca="false">F19+AC19</f>
        <v>776.5963</v>
      </c>
      <c r="H19" s="407" t="n">
        <f aca="false">F19/G19</f>
        <v>0.795260420375425</v>
      </c>
      <c r="I19" s="408" t="n">
        <f aca="false">W19/Z19</f>
        <v>8.91316220644457</v>
      </c>
      <c r="J19" s="409" t="n">
        <v>2.55</v>
      </c>
      <c r="K19" s="410" t="n">
        <f aca="false">D19/J19</f>
        <v>13.2274509803922</v>
      </c>
      <c r="L19" s="410" t="n">
        <f aca="false">D19/I19</f>
        <v>3.78429105392157</v>
      </c>
      <c r="M19" s="410" t="n">
        <f aca="false">D19/(X19/Z19)</f>
        <v>3.94378224776501</v>
      </c>
      <c r="N19" s="381" t="e">
        <f aca="false">D19/Y19</f>
        <v>#DIV/0!</v>
      </c>
      <c r="O19" s="366"/>
      <c r="P19" s="381" t="n">
        <f aca="false">(G19)/(X19*Z19)</f>
        <v>0.270841502908962</v>
      </c>
      <c r="Q19" s="381" t="n">
        <f aca="false">G19/AA19</f>
        <v>10.0335439276486</v>
      </c>
      <c r="R19" s="381" t="n">
        <f aca="false">G19/F19</f>
        <v>1.25744972889248</v>
      </c>
      <c r="T19" s="381" t="e">
        <f aca="false">F19/(Z19*AB19)</f>
        <v>#DIV/0!</v>
      </c>
      <c r="U19" s="381" t="e">
        <f aca="false">F19/(Y19*Z19)</f>
        <v>#DIV/0!</v>
      </c>
      <c r="V19" s="411"/>
      <c r="W19" s="412" t="n">
        <v>163.2</v>
      </c>
      <c r="X19" s="412" t="n">
        <f aca="false">41.1+38.4+36.7+40.4</f>
        <v>156.6</v>
      </c>
      <c r="Z19" s="382" t="n">
        <v>18.31</v>
      </c>
      <c r="AA19" s="412" t="n">
        <f aca="false">21.6+18.6+16.9+20.3</f>
        <v>77.4</v>
      </c>
      <c r="AB19" s="299"/>
      <c r="AC19" s="412" t="n">
        <f aca="false">48+117.1-6.1</f>
        <v>159</v>
      </c>
    </row>
    <row r="20" customFormat="false" ht="12.75" hidden="false" customHeight="false" outlineLevel="0" collapsed="false">
      <c r="A20" s="368"/>
      <c r="B20" s="368" t="s">
        <v>479</v>
      </c>
      <c r="C20" s="368" t="s">
        <v>480</v>
      </c>
      <c r="D20" s="413" t="n">
        <v>57.81</v>
      </c>
      <c r="F20" s="414" t="n">
        <f aca="false">D20*Z20</f>
        <v>3712.5582</v>
      </c>
      <c r="G20" s="414" t="n">
        <f aca="false">F20+AC20</f>
        <v>5029.8582</v>
      </c>
      <c r="H20" s="407" t="n">
        <f aca="false">F20/G20</f>
        <v>0.738103948934385</v>
      </c>
      <c r="I20" s="407" t="n">
        <f aca="false">W20/Z20</f>
        <v>21.0977888508253</v>
      </c>
      <c r="J20" s="415" t="n">
        <v>2.67</v>
      </c>
      <c r="K20" s="410" t="n">
        <f aca="false">D20/J20</f>
        <v>21.6516853932584</v>
      </c>
      <c r="L20" s="410" t="n">
        <f aca="false">D20/I20</f>
        <v>2.74009757177652</v>
      </c>
      <c r="M20" s="410" t="n">
        <f aca="false">D20/(X20/Z20)</f>
        <v>5.49927151533106</v>
      </c>
      <c r="N20" s="381" t="e">
        <f aca="false">D20/Y20</f>
        <v>#DIV/0!</v>
      </c>
      <c r="O20" s="366"/>
      <c r="P20" s="381" t="n">
        <f aca="false">(G20)/(X20*Z20)</f>
        <v>0.116015851671928</v>
      </c>
      <c r="Q20" s="381" t="n">
        <f aca="false">G20/AA20</f>
        <v>14.8724370195151</v>
      </c>
      <c r="R20" s="381" t="n">
        <f aca="false">G20/F20</f>
        <v>1.35482272035493</v>
      </c>
      <c r="T20" s="381"/>
      <c r="U20" s="381"/>
      <c r="V20" s="411"/>
      <c r="W20" s="412" t="n">
        <v>1354.9</v>
      </c>
      <c r="X20" s="412" t="n">
        <f aca="false">121.3+157.4+193.8+202.6</f>
        <v>675.1</v>
      </c>
      <c r="Z20" s="382" t="n">
        <v>64.22</v>
      </c>
      <c r="AA20" s="412" t="n">
        <f aca="false">100.8+99.9+82+55.5</f>
        <v>338.2</v>
      </c>
      <c r="AB20" s="299"/>
      <c r="AC20" s="412" t="n">
        <f aca="false">1354.9-37.6</f>
        <v>1317.3</v>
      </c>
    </row>
    <row r="21" customFormat="false" ht="12.75" hidden="false" customHeight="false" outlineLevel="0" collapsed="false">
      <c r="A21" s="368"/>
      <c r="B21" s="368" t="s">
        <v>481</v>
      </c>
      <c r="C21" s="368" t="s">
        <v>482</v>
      </c>
      <c r="D21" s="413" t="n">
        <v>9.4</v>
      </c>
      <c r="F21" s="414" t="n">
        <f aca="false">D21*Z21</f>
        <v>61.5136</v>
      </c>
      <c r="G21" s="414" t="n">
        <f aca="false">F21+AC21</f>
        <v>154.3136</v>
      </c>
      <c r="H21" s="407" t="n">
        <f aca="false">F21/G21</f>
        <v>0.398627211081849</v>
      </c>
      <c r="I21" s="407" t="n">
        <f aca="false">W21/Z21</f>
        <v>16.1522004889976</v>
      </c>
      <c r="J21" s="415" t="n">
        <v>0.57</v>
      </c>
      <c r="K21" s="410" t="n">
        <f aca="false">D21/J21</f>
        <v>16.4912280701754</v>
      </c>
      <c r="L21" s="410" t="n">
        <f aca="false">D21/I21</f>
        <v>0.581964049195837</v>
      </c>
      <c r="M21" s="410" t="n">
        <f aca="false">D21/(X21/Z21)</f>
        <v>0.308648268941295</v>
      </c>
      <c r="N21" s="381" t="e">
        <f aca="false">D21/Y21</f>
        <v>#DIV/0!</v>
      </c>
      <c r="O21" s="366"/>
      <c r="P21" s="381" t="n">
        <f aca="false">(G21)/(X21*Z21)</f>
        <v>0.118318761140765</v>
      </c>
      <c r="Q21" s="381" t="n">
        <f aca="false">G21/AA21</f>
        <v>5.14378666666667</v>
      </c>
      <c r="R21" s="381" t="n">
        <f aca="false">G21/F21</f>
        <v>2.50860947822921</v>
      </c>
      <c r="T21" s="381" t="e">
        <f aca="false">F21/(Z21*AB21)</f>
        <v>#DIV/0!</v>
      </c>
      <c r="U21" s="381" t="e">
        <f aca="false">F21/(Y21*Z21)</f>
        <v>#DIV/0!</v>
      </c>
      <c r="V21" s="411"/>
      <c r="W21" s="412" t="n">
        <v>105.7</v>
      </c>
      <c r="X21" s="412" t="n">
        <f aca="false">57.5+54.2+42.3+45.3</f>
        <v>199.3</v>
      </c>
      <c r="Z21" s="382" t="n">
        <v>6.544</v>
      </c>
      <c r="AA21" s="412" t="n">
        <f aca="false">9.9+6.9+5.5+7.7</f>
        <v>30</v>
      </c>
      <c r="AB21" s="299"/>
      <c r="AC21" s="412" t="n">
        <f aca="false">101-8.2</f>
        <v>92.8</v>
      </c>
    </row>
    <row r="22" customFormat="false" ht="12.75" hidden="false" customHeight="false" outlineLevel="0" collapsed="false">
      <c r="A22" s="368"/>
      <c r="B22" s="368" t="s">
        <v>483</v>
      </c>
      <c r="C22" s="368" t="s">
        <v>484</v>
      </c>
      <c r="D22" s="413" t="n">
        <v>16.25</v>
      </c>
      <c r="F22" s="414" t="n">
        <f aca="false">D22*Z22</f>
        <v>886.7625</v>
      </c>
      <c r="G22" s="414" t="n">
        <f aca="false">F22+AC22</f>
        <v>2236.3175</v>
      </c>
      <c r="H22" s="407" t="n">
        <f aca="false">F22/G22</f>
        <v>0.396527997477997</v>
      </c>
      <c r="I22" s="407" t="n">
        <f aca="false">W22/Z22</f>
        <v>20.3239508887667</v>
      </c>
      <c r="J22" s="415" t="n">
        <v>0.48</v>
      </c>
      <c r="K22" s="410" t="n">
        <f aca="false">IF(ISERROR(D22/J22)=TRUE(),"N/A",D22/J22)</f>
        <v>33.8541666666667</v>
      </c>
      <c r="L22" s="410" t="n">
        <f aca="false">D22/I22</f>
        <v>0.799549265245546</v>
      </c>
      <c r="M22" s="410" t="n">
        <f aca="false">IF(ISERROR(D22/(X22/Z22))=TRUE(),"N/A",D22/(X22/Z22))</f>
        <v>0.39496082961316</v>
      </c>
      <c r="N22" s="381" t="e">
        <f aca="false">D22/Y22</f>
        <v>#DIV/0!</v>
      </c>
      <c r="O22" s="366"/>
      <c r="P22" s="381" t="n">
        <f aca="false">IF(ISERROR((G22)/(X22*Z22))=TRUE(),"N/A",(G22)/(X22*Z22))</f>
        <v>0.0182526621770201</v>
      </c>
      <c r="Q22" s="381" t="n">
        <f aca="false">G22/AA22</f>
        <v>7.59131366072732</v>
      </c>
      <c r="R22" s="381" t="n">
        <f aca="false">G22/F22</f>
        <v>2.52189002128529</v>
      </c>
      <c r="T22" s="381" t="e">
        <f aca="false">F22/(Z22*AB22)</f>
        <v>#DIV/0!</v>
      </c>
      <c r="U22" s="381" t="e">
        <f aca="false">F22/(Y22*Z22)</f>
        <v>#DIV/0!</v>
      </c>
      <c r="V22" s="411"/>
      <c r="W22" s="412" t="n">
        <v>1109.078</v>
      </c>
      <c r="X22" s="412" t="n">
        <f aca="false">1637.374+607.817</f>
        <v>2245.191</v>
      </c>
      <c r="Z22" s="382" t="n">
        <v>54.57</v>
      </c>
      <c r="AA22" s="412" t="n">
        <f aca="false">64.893+145.786+44.485+39.425</f>
        <v>294.589</v>
      </c>
      <c r="AB22" s="299"/>
      <c r="AC22" s="412" t="n">
        <f aca="false">1317.309+95.084-62.838</f>
        <v>1349.555</v>
      </c>
    </row>
    <row r="23" customFormat="false" ht="12.75" hidden="false" customHeight="false" outlineLevel="0" collapsed="false">
      <c r="A23" s="368"/>
      <c r="B23" s="368" t="s">
        <v>485</v>
      </c>
      <c r="C23" s="368" t="s">
        <v>486</v>
      </c>
      <c r="D23" s="413" t="n">
        <v>25.99</v>
      </c>
      <c r="F23" s="414" t="n">
        <f aca="false">D23*Z23</f>
        <v>855.5908</v>
      </c>
      <c r="G23" s="414" t="n">
        <f aca="false">F23+AC23</f>
        <v>1653.3908</v>
      </c>
      <c r="H23" s="407" t="n">
        <f aca="false">F23/G23</f>
        <v>0.517476449004071</v>
      </c>
      <c r="I23" s="407" t="n">
        <f aca="false">W23/Z23</f>
        <v>6.8955042527339</v>
      </c>
      <c r="J23" s="415" t="n">
        <v>1.89</v>
      </c>
      <c r="K23" s="410" t="n">
        <f aca="false">D23/J23</f>
        <v>13.7513227513228</v>
      </c>
      <c r="L23" s="410" t="n">
        <f aca="false">D23/I23</f>
        <v>3.76912246696035</v>
      </c>
      <c r="M23" s="410" t="n">
        <f aca="false">D23/(X23/Z23)</f>
        <v>0.295367418096455</v>
      </c>
      <c r="N23" s="381" t="e">
        <f aca="false">D23/Y23</f>
        <v>#DIV/0!</v>
      </c>
      <c r="O23" s="366"/>
      <c r="P23" s="381" t="n">
        <f aca="false">(G23)/(X23*Z23)</f>
        <v>0.0173385258735576</v>
      </c>
      <c r="Q23" s="381" t="n">
        <f aca="false">G23/AA23</f>
        <v>11.4659556171983</v>
      </c>
      <c r="R23" s="381" t="n">
        <f aca="false">G23/F23</f>
        <v>1.93245509418755</v>
      </c>
      <c r="T23" s="381" t="e">
        <f aca="false">F23/(Z23*AB23)</f>
        <v>#DIV/0!</v>
      </c>
      <c r="U23" s="381" t="e">
        <f aca="false">F23/(Y23*Z23)</f>
        <v>#DIV/0!</v>
      </c>
      <c r="V23" s="411"/>
      <c r="W23" s="412" t="n">
        <v>227</v>
      </c>
      <c r="X23" s="412" t="n">
        <f aca="false">759.2+747.7+750.7+639.1</f>
        <v>2896.7</v>
      </c>
      <c r="Z23" s="382" t="n">
        <v>32.92</v>
      </c>
      <c r="AA23" s="412" t="n">
        <f aca="false">40.4+28.4+39+36.4</f>
        <v>144.2</v>
      </c>
      <c r="AB23" s="299"/>
      <c r="AC23" s="412" t="n">
        <f aca="false">822.8-25</f>
        <v>797.8</v>
      </c>
    </row>
    <row r="24" customFormat="false" ht="12.75" hidden="false" customHeight="false" outlineLevel="0" collapsed="false">
      <c r="A24" s="368"/>
      <c r="B24" s="368" t="s">
        <v>487</v>
      </c>
      <c r="C24" s="368" t="s">
        <v>488</v>
      </c>
      <c r="D24" s="413" t="n">
        <v>4</v>
      </c>
      <c r="F24" s="414" t="n">
        <f aca="false">D24*Z24</f>
        <v>127</v>
      </c>
      <c r="G24" s="414" t="n">
        <f aca="false">F24+AC24</f>
        <v>315.1</v>
      </c>
      <c r="H24" s="407" t="n">
        <f aca="false">F24/G24</f>
        <v>0.403046651856554</v>
      </c>
      <c r="I24" s="407" t="n">
        <f aca="false">W24/Z24</f>
        <v>10.4566929133858</v>
      </c>
      <c r="J24" s="415" t="n">
        <v>-0.07</v>
      </c>
      <c r="K24" s="410" t="n">
        <f aca="false">D24/J24</f>
        <v>-57.1428571428571</v>
      </c>
      <c r="L24" s="410" t="n">
        <f aca="false">D24/I24</f>
        <v>0.382530120481928</v>
      </c>
      <c r="M24" s="410" t="n">
        <f aca="false">D24/(X24/Z24)</f>
        <v>0.0248829326593389</v>
      </c>
      <c r="N24" s="381" t="e">
        <f aca="false">D24/Y24</f>
        <v>#DIV/0!</v>
      </c>
      <c r="O24" s="366"/>
      <c r="P24" s="381" t="n">
        <f aca="false">(G24)/(X24*Z24)</f>
        <v>0.00194447568502888</v>
      </c>
      <c r="Q24" s="381" t="n">
        <f aca="false">IF(G24/AA24&lt;0,"N/A",G24/AA24)</f>
        <v>5.0335463258786</v>
      </c>
      <c r="R24" s="381" t="n">
        <f aca="false">G24/F24</f>
        <v>2.48110236220473</v>
      </c>
      <c r="T24" s="381" t="e">
        <f aca="false">F24/(Z24*AB24)</f>
        <v>#DIV/0!</v>
      </c>
      <c r="U24" s="381" t="e">
        <f aca="false">F24/(Y24*Z24)</f>
        <v>#DIV/0!</v>
      </c>
      <c r="V24" s="411"/>
      <c r="W24" s="412" t="n">
        <v>332</v>
      </c>
      <c r="X24" s="412" t="n">
        <f aca="false">1290.4+1214.1+1389.9+1209.5</f>
        <v>5103.9</v>
      </c>
      <c r="Z24" s="382" t="n">
        <v>31.75</v>
      </c>
      <c r="AA24" s="412" t="n">
        <f aca="false">12.7+9.1+16.9+23.9</f>
        <v>62.6</v>
      </c>
      <c r="AB24" s="299"/>
      <c r="AC24" s="412" t="n">
        <f aca="false">2.4+209.4-23.7</f>
        <v>188.1</v>
      </c>
    </row>
    <row r="25" customFormat="false" ht="12.75" hidden="false" customHeight="false" outlineLevel="0" collapsed="false">
      <c r="A25" s="368"/>
      <c r="B25" s="368" t="s">
        <v>489</v>
      </c>
      <c r="C25" s="416" t="s">
        <v>490</v>
      </c>
      <c r="D25" s="417" t="n">
        <v>29.2</v>
      </c>
      <c r="E25" s="418"/>
      <c r="F25" s="419" t="n">
        <f aca="false">D25*Z25</f>
        <v>339.7775072</v>
      </c>
      <c r="G25" s="419" t="n">
        <f aca="false">F25+AC25</f>
        <v>429.8775072</v>
      </c>
      <c r="H25" s="420" t="n">
        <f aca="false">F25/G25</f>
        <v>0.79040540970179</v>
      </c>
      <c r="I25" s="420" t="n">
        <f aca="false">W25/Z25</f>
        <v>18.7209484595336</v>
      </c>
      <c r="J25" s="390" t="n">
        <f aca="false">(16.057*1.333333)/Z25</f>
        <v>1.83988746693942</v>
      </c>
      <c r="K25" s="421" t="n">
        <f aca="false">D25/J25</f>
        <v>15.8705358478108</v>
      </c>
      <c r="L25" s="421" t="n">
        <f aca="false">D25/I25</f>
        <v>1.55975003419926</v>
      </c>
      <c r="M25" s="421" t="n">
        <f aca="false">D25/(X25/Z25)</f>
        <v>4.34306645791156</v>
      </c>
      <c r="N25" s="422" t="e">
        <f aca="false">D25/Y25</f>
        <v>#DIV/0!</v>
      </c>
      <c r="O25" s="423"/>
      <c r="P25" s="422" t="n">
        <f aca="false">(G25)/(X25*Z25)</f>
        <v>0.472209583322749</v>
      </c>
      <c r="Q25" s="422" t="n">
        <f aca="false">IF(G25/AA25&lt;0,"N/A",G25/AA25)</f>
        <v>11.508850447003</v>
      </c>
      <c r="R25" s="422" t="n">
        <f aca="false">G25/F25</f>
        <v>1.26517352706036</v>
      </c>
      <c r="T25" s="381"/>
      <c r="U25" s="381"/>
      <c r="V25" s="411"/>
      <c r="W25" s="412" t="n">
        <v>217.841</v>
      </c>
      <c r="X25" s="412" t="n">
        <f aca="false">58.676*1.33333</f>
        <v>78.23447108</v>
      </c>
      <c r="Z25" s="382" t="n">
        <f aca="false">5.679698+5.679694+0.231824+0.045</f>
        <v>11.636216</v>
      </c>
      <c r="AA25" s="412" t="n">
        <f aca="false">28.014*1.33333</f>
        <v>37.35190662</v>
      </c>
      <c r="AB25" s="299"/>
      <c r="AC25" s="412" t="n">
        <v>90.1</v>
      </c>
    </row>
    <row r="26" customFormat="false" ht="12.75" hidden="false" customHeight="false" outlineLevel="0" collapsed="false">
      <c r="A26" s="368"/>
      <c r="B26" s="368"/>
      <c r="C26" s="368"/>
      <c r="D26" s="424"/>
      <c r="F26" s="414"/>
      <c r="G26" s="414"/>
      <c r="H26" s="407"/>
      <c r="I26" s="407"/>
      <c r="J26" s="407"/>
      <c r="K26" s="410"/>
      <c r="L26" s="410"/>
      <c r="M26" s="410"/>
      <c r="N26" s="397"/>
      <c r="O26" s="367"/>
      <c r="P26" s="397"/>
      <c r="Q26" s="397"/>
      <c r="R26" s="397"/>
      <c r="T26" s="381"/>
      <c r="U26" s="381"/>
      <c r="V26" s="411"/>
      <c r="W26" s="412"/>
      <c r="X26" s="412"/>
      <c r="Z26" s="382"/>
      <c r="AA26" s="412"/>
      <c r="AB26" s="299"/>
      <c r="AC26" s="412"/>
    </row>
    <row r="27" customFormat="false" ht="12.75" hidden="false" customHeight="false" outlineLevel="0" collapsed="false">
      <c r="A27" s="368"/>
      <c r="B27" s="368"/>
      <c r="C27" s="400" t="s">
        <v>491</v>
      </c>
      <c r="D27" s="415"/>
      <c r="F27" s="384"/>
      <c r="G27" s="395"/>
      <c r="H27" s="425" t="n">
        <f aca="false">AVERAGE(H19:H25)</f>
        <v>0.577064012633153</v>
      </c>
      <c r="I27" s="415"/>
      <c r="J27" s="415"/>
      <c r="K27" s="426" t="n">
        <f aca="false">AVERAGE(K19:K25)</f>
        <v>8.24336179525274</v>
      </c>
      <c r="L27" s="427" t="n">
        <f aca="false">AVERAGE(L19:L25)</f>
        <v>1.94532922311157</v>
      </c>
      <c r="M27" s="427" t="n">
        <f aca="false">AVERAGE(M19:M25)</f>
        <v>2.11571138147398</v>
      </c>
      <c r="N27" s="428" t="e">
        <f aca="false">AVERAGE(N19:N25)</f>
        <v>#DIV/0!</v>
      </c>
      <c r="O27" s="429"/>
      <c r="P27" s="428" t="n">
        <f aca="false">AVERAGE(P19:P25)</f>
        <v>0.14498876611143</v>
      </c>
      <c r="Q27" s="428" t="n">
        <f aca="false">AVERAGE(Q19:Q25)</f>
        <v>9.37849052351965</v>
      </c>
      <c r="R27" s="430" t="n">
        <f aca="false">AVERAGE(R19:R25)</f>
        <v>1.90307184745922</v>
      </c>
      <c r="T27" s="428" t="e">
        <f aca="false">AVERAGE(T19:T25)</f>
        <v>#DIV/0!</v>
      </c>
      <c r="U27" s="428" t="e">
        <f aca="false">AVERAGE(U19,U20:U25)</f>
        <v>#DIV/0!</v>
      </c>
      <c r="V27" s="411"/>
      <c r="AA27" s="364"/>
    </row>
    <row r="28" customFormat="false" ht="12.75" hidden="false" customHeight="false" outlineLevel="0" collapsed="false">
      <c r="A28" s="368"/>
      <c r="B28" s="368"/>
      <c r="C28" s="400" t="s">
        <v>473</v>
      </c>
      <c r="D28" s="415"/>
      <c r="F28" s="384"/>
      <c r="G28" s="415"/>
      <c r="H28" s="431" t="n">
        <f aca="false">MEDIAN(H19:H25)</f>
        <v>0.517476449004071</v>
      </c>
      <c r="I28" s="415"/>
      <c r="J28" s="415"/>
      <c r="K28" s="432" t="n">
        <f aca="false">MEDIAN(K19:K25)</f>
        <v>15.8705358478108</v>
      </c>
      <c r="L28" s="421" t="n">
        <f aca="false">MEDIAN(L19:L25)</f>
        <v>1.55975003419926</v>
      </c>
      <c r="M28" s="421" t="n">
        <f aca="false">MEDIAN(M19:M25)</f>
        <v>0.39496082961316</v>
      </c>
      <c r="N28" s="422" t="e">
        <f aca="false">MEDIAN(N19,N20:N25)</f>
        <v>#DIV/0!</v>
      </c>
      <c r="O28" s="423"/>
      <c r="P28" s="422" t="n">
        <f aca="false">MEDIAN(P19:P25)</f>
        <v>0.116015851671928</v>
      </c>
      <c r="Q28" s="422" t="n">
        <f aca="false">MEDIAN(Q19:Q25)</f>
        <v>10.0335439276486</v>
      </c>
      <c r="R28" s="433" t="n">
        <f aca="false">MEDIAN(R19:R25)</f>
        <v>1.93245509418755</v>
      </c>
      <c r="T28" s="397" t="e">
        <f aca="false">MEDIAN(T19,T20:T25)</f>
        <v>#DIV/0!</v>
      </c>
      <c r="U28" s="397" t="e">
        <f aca="false">MEDIAN(U19,U20:U25)</f>
        <v>#DIV/0!</v>
      </c>
      <c r="V28" s="397"/>
      <c r="AA28" s="364"/>
    </row>
    <row r="29" customFormat="false" ht="12.75" hidden="false" customHeight="false" outlineLevel="0" collapsed="false">
      <c r="A29" s="368"/>
      <c r="B29" s="368"/>
      <c r="C29" s="368"/>
      <c r="D29" s="364"/>
      <c r="E29" s="364"/>
      <c r="F29" s="364"/>
      <c r="G29" s="364"/>
      <c r="H29" s="364"/>
      <c r="I29" s="364"/>
      <c r="J29" s="364"/>
      <c r="K29" s="368"/>
      <c r="L29" s="368"/>
      <c r="M29" s="368"/>
      <c r="N29" s="368"/>
      <c r="O29" s="368"/>
      <c r="P29" s="368"/>
      <c r="Q29" s="368"/>
      <c r="T29" s="368"/>
      <c r="U29" s="368"/>
      <c r="V29" s="368"/>
      <c r="AA29" s="364"/>
    </row>
    <row r="30" customFormat="false" ht="12.75" hidden="false" customHeight="false" outlineLevel="0" collapsed="false">
      <c r="A30" s="368"/>
      <c r="B30" s="368" t="s">
        <v>492</v>
      </c>
      <c r="C30" s="368"/>
      <c r="D30" s="368"/>
      <c r="E30" s="364"/>
      <c r="F30" s="364"/>
      <c r="G30" s="364"/>
      <c r="H30" s="364"/>
      <c r="I30" s="364"/>
      <c r="J30" s="364"/>
      <c r="K30" s="364"/>
      <c r="L30" s="364"/>
      <c r="M30" s="368"/>
      <c r="N30" s="368"/>
      <c r="O30" s="368"/>
      <c r="P30" s="368"/>
      <c r="Q30" s="368"/>
      <c r="R30" s="368"/>
      <c r="S30" s="368"/>
      <c r="T30" s="368"/>
      <c r="U30" s="368"/>
      <c r="V30" s="368"/>
      <c r="AA30" s="364"/>
    </row>
    <row r="31" customFormat="false" ht="12.75" hidden="false" customHeight="false" outlineLevel="0" collapsed="false">
      <c r="A31" s="368"/>
      <c r="B31" s="368" t="s">
        <v>493</v>
      </c>
      <c r="C31" s="368"/>
      <c r="D31" s="368"/>
      <c r="E31" s="364"/>
      <c r="F31" s="364"/>
      <c r="G31" s="364"/>
      <c r="H31" s="364"/>
      <c r="I31" s="364"/>
      <c r="J31" s="364"/>
      <c r="K31" s="364"/>
      <c r="L31" s="364"/>
      <c r="M31" s="368"/>
      <c r="N31" s="368"/>
      <c r="O31" s="368"/>
      <c r="P31" s="368"/>
      <c r="Q31" s="368"/>
      <c r="R31" s="368"/>
      <c r="S31" s="368"/>
      <c r="T31" s="368"/>
      <c r="U31" s="368"/>
      <c r="V31" s="368"/>
      <c r="AA31" s="364"/>
    </row>
    <row r="32" customFormat="false" ht="12.75" hidden="false" customHeight="false" outlineLevel="0" collapsed="false">
      <c r="A32" s="368"/>
      <c r="B32" s="368"/>
      <c r="C32" s="368"/>
      <c r="D32" s="368"/>
      <c r="E32" s="364"/>
      <c r="F32" s="364"/>
      <c r="G32" s="364"/>
      <c r="H32" s="364"/>
      <c r="I32" s="364"/>
      <c r="J32" s="364"/>
      <c r="K32" s="364"/>
      <c r="L32" s="364"/>
      <c r="M32" s="368"/>
      <c r="N32" s="368"/>
      <c r="O32" s="368"/>
      <c r="P32" s="368"/>
      <c r="Q32" s="368"/>
      <c r="R32" s="368"/>
      <c r="S32" s="368"/>
      <c r="T32" s="368"/>
      <c r="U32" s="368"/>
      <c r="V32" s="368"/>
      <c r="AA32" s="364"/>
    </row>
    <row r="33" customFormat="false" ht="12.75" hidden="false" customHeight="false" outlineLevel="0" collapsed="false">
      <c r="A33" s="368"/>
      <c r="B33" s="368"/>
      <c r="C33" s="368"/>
      <c r="D33" s="368"/>
      <c r="E33" s="364"/>
      <c r="F33" s="364"/>
      <c r="G33" s="364"/>
      <c r="H33" s="364"/>
      <c r="I33" s="364"/>
      <c r="J33" s="364"/>
      <c r="K33" s="364"/>
      <c r="L33" s="364"/>
      <c r="M33" s="368"/>
      <c r="N33" s="368"/>
      <c r="O33" s="368"/>
      <c r="P33" s="368"/>
      <c r="Q33" s="368"/>
      <c r="R33" s="368"/>
      <c r="S33" s="368"/>
      <c r="T33" s="368"/>
      <c r="U33" s="368"/>
      <c r="V33" s="368"/>
      <c r="AA33" s="364"/>
    </row>
    <row r="34" customFormat="false" ht="12.75" hidden="false" customHeight="false" outlineLevel="0" collapsed="false">
      <c r="A34" s="368"/>
      <c r="B34" s="368"/>
      <c r="C34" s="368"/>
      <c r="D34" s="368"/>
      <c r="E34" s="364"/>
      <c r="F34" s="364"/>
      <c r="G34" s="364"/>
      <c r="H34" s="364"/>
      <c r="I34" s="364"/>
      <c r="J34" s="364"/>
      <c r="K34" s="364"/>
      <c r="L34" s="364"/>
      <c r="M34" s="368"/>
      <c r="N34" s="368"/>
      <c r="O34" s="368"/>
      <c r="P34" s="368"/>
      <c r="Q34" s="368"/>
      <c r="R34" s="368"/>
      <c r="S34" s="368"/>
      <c r="T34" s="368"/>
      <c r="U34" s="368"/>
      <c r="V34" s="368"/>
      <c r="AA34" s="364"/>
    </row>
    <row r="35" customFormat="false" ht="12.75" hidden="false" customHeight="false" outlineLevel="0" collapsed="false">
      <c r="F35" s="364"/>
    </row>
    <row r="36" customFormat="false" ht="13.5" hidden="false" customHeight="false" outlineLevel="0" collapsed="false">
      <c r="A36" s="4"/>
      <c r="B36" s="4"/>
      <c r="C36" s="4"/>
      <c r="D36" s="4"/>
      <c r="E36" s="4"/>
      <c r="F36" s="362"/>
      <c r="G36" s="4"/>
      <c r="H36" s="4"/>
      <c r="I36" s="4"/>
      <c r="J36" s="4"/>
      <c r="K36" s="4"/>
      <c r="L36" s="4"/>
      <c r="M36" s="4"/>
      <c r="N36" s="4"/>
      <c r="O36" s="4"/>
      <c r="P36" s="4"/>
      <c r="Q36" s="4"/>
      <c r="R36" s="4"/>
      <c r="S36" s="4"/>
      <c r="T36" s="4"/>
      <c r="U36" s="4"/>
      <c r="V36" s="4"/>
      <c r="W36" s="4"/>
      <c r="X36" s="4"/>
      <c r="Y36" s="4"/>
      <c r="Z36" s="4"/>
      <c r="AA36" s="4"/>
      <c r="AB36" s="4"/>
      <c r="AC36" s="4"/>
    </row>
    <row r="37" customFormat="false" ht="12.75" hidden="false" customHeight="false" outlineLevel="0" collapsed="false">
      <c r="A37" s="58"/>
      <c r="B37" s="58"/>
      <c r="C37" s="58"/>
      <c r="D37" s="58"/>
      <c r="F37" s="364"/>
      <c r="L37" s="58"/>
      <c r="M37" s="58"/>
      <c r="N37" s="58"/>
      <c r="O37" s="58"/>
      <c r="P37" s="58"/>
      <c r="Q37" s="58"/>
      <c r="R37" s="58"/>
      <c r="S37" s="58"/>
      <c r="T37" s="58"/>
      <c r="U37" s="58"/>
      <c r="V37" s="58"/>
      <c r="W37" s="58"/>
      <c r="X37" s="58"/>
      <c r="Y37" s="58"/>
      <c r="Z37" s="58"/>
      <c r="AB37" s="58"/>
      <c r="AC37" s="58"/>
    </row>
    <row r="38" customFormat="false" ht="12.75" hidden="false" customHeight="false" outlineLevel="0" collapsed="false">
      <c r="A38" s="58"/>
      <c r="B38" s="58"/>
      <c r="C38" s="58"/>
      <c r="D38" s="58"/>
      <c r="F38" s="364"/>
      <c r="L38" s="58"/>
      <c r="M38" s="58"/>
      <c r="N38" s="58"/>
      <c r="O38" s="58"/>
      <c r="P38" s="58"/>
      <c r="Q38" s="58"/>
      <c r="R38" s="58"/>
      <c r="S38" s="58"/>
      <c r="T38" s="58"/>
      <c r="U38" s="58"/>
      <c r="V38" s="58"/>
      <c r="W38" s="58"/>
      <c r="X38" s="58"/>
      <c r="Y38" s="58"/>
      <c r="Z38" s="58"/>
      <c r="AB38" s="58"/>
      <c r="AC38" s="58"/>
    </row>
    <row r="39" customFormat="false" ht="12.75" hidden="false" customHeight="false" outlineLevel="0" collapsed="false">
      <c r="A39" s="58"/>
      <c r="B39" s="58"/>
      <c r="C39" s="58"/>
      <c r="D39" s="58"/>
      <c r="F39" s="364"/>
      <c r="L39" s="58"/>
      <c r="M39" s="58"/>
      <c r="N39" s="58"/>
      <c r="O39" s="58"/>
      <c r="P39" s="58"/>
      <c r="Q39" s="58"/>
      <c r="R39" s="58"/>
      <c r="S39" s="58"/>
      <c r="T39" s="58"/>
      <c r="U39" s="58"/>
      <c r="V39" s="58"/>
      <c r="W39" s="58"/>
      <c r="X39" s="58"/>
      <c r="Y39" s="58"/>
      <c r="Z39" s="58"/>
      <c r="AB39" s="58"/>
      <c r="AC39" s="58"/>
    </row>
    <row r="40" customFormat="false" ht="12.75" hidden="false" customHeight="false" outlineLevel="0" collapsed="false">
      <c r="A40" s="58"/>
      <c r="B40" s="58"/>
      <c r="C40" s="58"/>
      <c r="D40" s="58"/>
      <c r="F40" s="364"/>
      <c r="L40" s="58"/>
      <c r="M40" s="58"/>
      <c r="N40" s="58"/>
      <c r="O40" s="58"/>
      <c r="P40" s="58"/>
      <c r="Q40" s="58"/>
      <c r="R40" s="58"/>
      <c r="S40" s="58"/>
      <c r="T40" s="58"/>
      <c r="U40" s="58"/>
      <c r="V40" s="58"/>
      <c r="W40" s="58"/>
      <c r="X40" s="58"/>
      <c r="Y40" s="58"/>
      <c r="Z40" s="58"/>
      <c r="AB40" s="58"/>
      <c r="AC40" s="58"/>
    </row>
    <row r="41" customFormat="false" ht="12.75" hidden="false" customHeight="false" outlineLevel="0" collapsed="false">
      <c r="A41" s="58"/>
      <c r="B41" s="58"/>
      <c r="C41" s="58"/>
      <c r="D41" s="58"/>
      <c r="F41" s="364"/>
      <c r="L41" s="58"/>
      <c r="M41" s="58"/>
      <c r="N41" s="58"/>
      <c r="O41" s="58"/>
      <c r="P41" s="58"/>
      <c r="Q41" s="58"/>
      <c r="R41" s="58"/>
      <c r="S41" s="58"/>
      <c r="T41" s="58"/>
      <c r="U41" s="58"/>
      <c r="V41" s="58"/>
      <c r="W41" s="58"/>
      <c r="X41" s="58"/>
      <c r="Y41" s="58"/>
      <c r="Z41" s="58"/>
      <c r="AB41" s="58"/>
      <c r="AC41" s="58"/>
    </row>
    <row r="42" customFormat="false" ht="15.75" hidden="false" customHeight="false" outlineLevel="0" collapsed="false">
      <c r="B42" s="139" t="s">
        <v>494</v>
      </c>
      <c r="F42" s="364"/>
    </row>
    <row r="43" customFormat="false" ht="12.75" hidden="false" customHeight="false" outlineLevel="0" collapsed="false">
      <c r="F43" s="364"/>
    </row>
    <row r="45" customFormat="false" ht="12.75" hidden="false" customHeight="false" outlineLevel="0" collapsed="false">
      <c r="B45" s="434" t="s">
        <v>495</v>
      </c>
      <c r="C45" s="7"/>
      <c r="D45" s="7"/>
      <c r="E45" s="0"/>
      <c r="F45" s="7"/>
      <c r="G45" s="7"/>
      <c r="H45" s="7"/>
      <c r="I45" s="7"/>
      <c r="J45" s="7"/>
      <c r="K45" s="7"/>
    </row>
    <row r="46" customFormat="false" ht="12.75" hidden="false" customHeight="false" outlineLevel="0" collapsed="false">
      <c r="B46" s="7"/>
      <c r="C46" s="7"/>
      <c r="D46" s="7"/>
      <c r="E46" s="0"/>
      <c r="F46" s="7"/>
      <c r="G46" s="7"/>
      <c r="H46" s="7"/>
      <c r="I46" s="7"/>
      <c r="J46" s="7"/>
      <c r="K46" s="7"/>
    </row>
    <row r="47" customFormat="false" ht="13.5" hidden="false" customHeight="false" outlineLevel="0" collapsed="false">
      <c r="B47" s="435"/>
      <c r="C47" s="436" t="s">
        <v>496</v>
      </c>
      <c r="D47" s="436" t="s">
        <v>497</v>
      </c>
      <c r="E47" s="402"/>
      <c r="F47" s="436" t="s">
        <v>498</v>
      </c>
      <c r="G47" s="436" t="s">
        <v>499</v>
      </c>
      <c r="H47" s="436" t="s">
        <v>63</v>
      </c>
      <c r="I47" s="436" t="s">
        <v>500</v>
      </c>
      <c r="J47" s="436" t="s">
        <v>501</v>
      </c>
      <c r="K47" s="436" t="s">
        <v>502</v>
      </c>
      <c r="L47" s="436" t="s">
        <v>503</v>
      </c>
      <c r="M47" s="58"/>
    </row>
    <row r="48" customFormat="false" ht="13.5" hidden="false" customHeight="false" outlineLevel="0" collapsed="false">
      <c r="B48" s="7"/>
      <c r="C48" s="7"/>
      <c r="D48" s="7"/>
      <c r="F48" s="7"/>
      <c r="G48" s="7"/>
      <c r="H48" s="7"/>
      <c r="I48" s="7"/>
      <c r="J48" s="7"/>
      <c r="K48" s="7"/>
      <c r="L48" s="7"/>
    </row>
    <row r="49" customFormat="false" ht="12.75" hidden="false" customHeight="false" outlineLevel="0" collapsed="false">
      <c r="B49" s="7"/>
      <c r="C49" s="77" t="s">
        <v>504</v>
      </c>
      <c r="D49" s="7" t="s">
        <v>505</v>
      </c>
      <c r="F49" s="7" t="s">
        <v>506</v>
      </c>
      <c r="G49" s="437" t="n">
        <v>1150</v>
      </c>
      <c r="H49" s="437" t="n">
        <v>515.789</v>
      </c>
      <c r="I49" s="437" t="n">
        <v>131.705</v>
      </c>
      <c r="J49" s="437" t="n">
        <v>83.592</v>
      </c>
      <c r="K49" s="438" t="n">
        <f aca="false">G49/I49</f>
        <v>8.73163509358035</v>
      </c>
      <c r="L49" s="438" t="n">
        <f aca="false">G49/H49</f>
        <v>2.22959388432091</v>
      </c>
    </row>
    <row r="50" customFormat="false" ht="14.25" hidden="false" customHeight="false" outlineLevel="0" collapsed="false">
      <c r="B50" s="7"/>
      <c r="C50" s="77" t="s">
        <v>507</v>
      </c>
      <c r="D50" s="7" t="s">
        <v>508</v>
      </c>
      <c r="F50" s="439" t="n">
        <v>36899</v>
      </c>
      <c r="G50" s="437" t="n">
        <v>490</v>
      </c>
      <c r="H50" s="437" t="n">
        <v>122.435</v>
      </c>
      <c r="I50" s="437" t="n">
        <v>82</v>
      </c>
      <c r="J50" s="7" t="s">
        <v>509</v>
      </c>
      <c r="K50" s="438" t="n">
        <f aca="false">G50/I50</f>
        <v>5.97560975609756</v>
      </c>
      <c r="L50" s="438" t="n">
        <f aca="false">G50/H50</f>
        <v>4.0021235757749</v>
      </c>
    </row>
    <row r="51" customFormat="false" ht="12.75" hidden="false" customHeight="false" outlineLevel="0" collapsed="false">
      <c r="B51" s="7"/>
      <c r="C51" s="440" t="s">
        <v>510</v>
      </c>
      <c r="D51" s="441" t="s">
        <v>511</v>
      </c>
      <c r="E51" s="418"/>
      <c r="F51" s="442" t="n">
        <v>36526</v>
      </c>
      <c r="G51" s="443" t="n">
        <v>131.2</v>
      </c>
      <c r="H51" s="443" t="s">
        <v>509</v>
      </c>
      <c r="I51" s="443" t="n">
        <v>10.881</v>
      </c>
      <c r="J51" s="441" t="s">
        <v>509</v>
      </c>
      <c r="K51" s="444" t="n">
        <f aca="false">G51/I51</f>
        <v>12.0577152835217</v>
      </c>
      <c r="L51" s="444" t="s">
        <v>509</v>
      </c>
      <c r="M51" s="58"/>
    </row>
    <row r="52" customFormat="false" ht="12.75" hidden="false" customHeight="false" outlineLevel="0" collapsed="false">
      <c r="B52" s="7"/>
      <c r="C52" s="7"/>
      <c r="D52" s="7"/>
      <c r="E52" s="439"/>
      <c r="F52" s="437"/>
      <c r="G52" s="437"/>
      <c r="H52" s="437"/>
      <c r="I52" s="437"/>
      <c r="J52" s="7"/>
      <c r="K52" s="437"/>
    </row>
    <row r="53" customFormat="false" ht="12.75" hidden="false" customHeight="false" outlineLevel="0" collapsed="false">
      <c r="B53" s="7"/>
      <c r="C53" s="7"/>
      <c r="D53" s="7"/>
      <c r="E53" s="439"/>
      <c r="F53" s="437"/>
      <c r="G53" s="437"/>
      <c r="H53" s="437"/>
      <c r="I53" s="437"/>
      <c r="J53" s="7"/>
      <c r="K53" s="437"/>
    </row>
    <row r="54" customFormat="false" ht="12.75" hidden="false" customHeight="false" outlineLevel="0" collapsed="false">
      <c r="B54" s="434" t="s">
        <v>512</v>
      </c>
      <c r="C54" s="7"/>
      <c r="D54" s="7"/>
      <c r="E54" s="439"/>
      <c r="F54" s="437"/>
      <c r="G54" s="437"/>
      <c r="H54" s="437"/>
      <c r="I54" s="437"/>
      <c r="J54" s="7"/>
      <c r="K54" s="437"/>
    </row>
    <row r="55" customFormat="false" ht="12.75" hidden="false" customHeight="false" outlineLevel="0" collapsed="false">
      <c r="B55" s="434"/>
      <c r="C55" s="7"/>
      <c r="D55" s="7"/>
      <c r="E55" s="439"/>
      <c r="F55" s="437"/>
      <c r="G55" s="437"/>
      <c r="H55" s="437"/>
      <c r="I55" s="437"/>
      <c r="J55" s="7"/>
      <c r="K55" s="437"/>
    </row>
    <row r="56" customFormat="false" ht="13.5" hidden="false" customHeight="false" outlineLevel="0" collapsed="false">
      <c r="B56" s="7"/>
      <c r="C56" s="436" t="s">
        <v>496</v>
      </c>
      <c r="D56" s="436" t="s">
        <v>497</v>
      </c>
      <c r="E56" s="445"/>
      <c r="F56" s="436" t="s">
        <v>498</v>
      </c>
      <c r="G56" s="436" t="s">
        <v>499</v>
      </c>
      <c r="H56" s="436" t="s">
        <v>63</v>
      </c>
      <c r="I56" s="436" t="s">
        <v>500</v>
      </c>
      <c r="J56" s="436" t="s">
        <v>501</v>
      </c>
      <c r="K56" s="436" t="s">
        <v>502</v>
      </c>
      <c r="L56" s="436" t="s">
        <v>503</v>
      </c>
      <c r="M56" s="89"/>
    </row>
    <row r="57" customFormat="false" ht="13.5" hidden="false" customHeight="false" outlineLevel="0" collapsed="false">
      <c r="B57" s="7"/>
      <c r="C57" s="446"/>
      <c r="D57" s="446"/>
      <c r="E57" s="89"/>
      <c r="F57" s="446"/>
      <c r="G57" s="446"/>
      <c r="H57" s="446"/>
      <c r="I57" s="446"/>
      <c r="J57" s="446"/>
      <c r="K57" s="446"/>
      <c r="L57" s="446"/>
      <c r="M57" s="89"/>
    </row>
    <row r="58" customFormat="false" ht="12.75" hidden="false" customHeight="false" outlineLevel="0" collapsed="false">
      <c r="B58" s="7"/>
      <c r="C58" s="7" t="s">
        <v>513</v>
      </c>
      <c r="D58" s="7" t="s">
        <v>514</v>
      </c>
      <c r="F58" s="447" t="n">
        <v>36678</v>
      </c>
      <c r="G58" s="437" t="n">
        <v>529</v>
      </c>
      <c r="H58" s="437" t="n">
        <f aca="false">263.9+8</f>
        <v>271.9</v>
      </c>
      <c r="I58" s="437" t="n">
        <v>55.1</v>
      </c>
      <c r="J58" s="7" t="n">
        <v>222.39</v>
      </c>
      <c r="K58" s="438" t="n">
        <f aca="false">G58/I58</f>
        <v>9.60072595281307</v>
      </c>
      <c r="L58" s="438" t="n">
        <f aca="false">G58/H58</f>
        <v>1.94556822361162</v>
      </c>
    </row>
    <row r="59" customFormat="false" ht="12.75" hidden="false" customHeight="false" outlineLevel="0" collapsed="false">
      <c r="B59" s="7"/>
      <c r="C59" s="7" t="s">
        <v>515</v>
      </c>
      <c r="D59" s="7" t="s">
        <v>516</v>
      </c>
      <c r="F59" s="439" t="n">
        <v>36831</v>
      </c>
      <c r="G59" s="437" t="n">
        <v>8126</v>
      </c>
      <c r="H59" s="437" t="n">
        <v>3703</v>
      </c>
      <c r="I59" s="437" t="n">
        <v>877.4</v>
      </c>
      <c r="J59" s="7" t="n">
        <v>523.3</v>
      </c>
      <c r="K59" s="438" t="n">
        <f aca="false">G59/I59</f>
        <v>9.26145429678596</v>
      </c>
      <c r="L59" s="438" t="n">
        <f aca="false">G59/H59</f>
        <v>2.19443694301917</v>
      </c>
    </row>
    <row r="60" customFormat="false" ht="12.75" hidden="false" customHeight="false" outlineLevel="0" collapsed="false">
      <c r="B60" s="7"/>
      <c r="C60" s="7" t="s">
        <v>517</v>
      </c>
      <c r="D60" s="7" t="s">
        <v>518</v>
      </c>
      <c r="F60" s="439" t="s">
        <v>519</v>
      </c>
      <c r="G60" s="437" t="n">
        <v>45.3</v>
      </c>
      <c r="H60" s="437" t="n">
        <v>33</v>
      </c>
      <c r="I60" s="437" t="n">
        <v>4.3</v>
      </c>
      <c r="J60" s="7" t="n">
        <v>2.1</v>
      </c>
      <c r="K60" s="438" t="n">
        <v>10.6</v>
      </c>
      <c r="L60" s="438" t="n">
        <v>1.4</v>
      </c>
    </row>
    <row r="61" customFormat="false" ht="12.75" hidden="false" customHeight="false" outlineLevel="0" collapsed="false">
      <c r="B61" s="7"/>
      <c r="C61" s="441" t="s">
        <v>520</v>
      </c>
      <c r="D61" s="441" t="s">
        <v>521</v>
      </c>
      <c r="E61" s="418"/>
      <c r="F61" s="442" t="n">
        <v>36920</v>
      </c>
      <c r="G61" s="443" t="n">
        <v>16028</v>
      </c>
      <c r="H61" s="441" t="n">
        <v>4687.8</v>
      </c>
      <c r="I61" s="443" t="n">
        <v>1475</v>
      </c>
      <c r="J61" s="443" t="n">
        <v>1094.3</v>
      </c>
      <c r="K61" s="444" t="n">
        <f aca="false">G61/I61</f>
        <v>10.8664406779661</v>
      </c>
      <c r="L61" s="444" t="n">
        <f aca="false">G61/H61</f>
        <v>3.41908784504458</v>
      </c>
    </row>
    <row r="62" customFormat="false" ht="12.75" hidden="false" customHeight="false" outlineLevel="0" collapsed="false">
      <c r="B62" s="7"/>
      <c r="C62" s="448"/>
      <c r="D62" s="7"/>
      <c r="F62" s="0"/>
      <c r="G62" s="437"/>
      <c r="H62" s="7"/>
      <c r="I62" s="7"/>
      <c r="J62" s="7"/>
      <c r="K62" s="438"/>
      <c r="L62" s="7"/>
    </row>
    <row r="63" customFormat="false" ht="12.75" hidden="false" customHeight="false" outlineLevel="0" collapsed="false">
      <c r="B63" s="7"/>
      <c r="C63" s="435" t="s">
        <v>491</v>
      </c>
      <c r="D63" s="7"/>
      <c r="F63" s="0"/>
      <c r="G63" s="437"/>
      <c r="H63" s="7"/>
      <c r="I63" s="437"/>
      <c r="J63" s="437"/>
      <c r="K63" s="449" t="n">
        <f aca="false">AVERAGE(K49:K51,K58:K61)</f>
        <v>9.58479729439497</v>
      </c>
      <c r="L63" s="450" t="n">
        <f aca="false">AVERAGE(L49:L50,L58:L61)</f>
        <v>2.5318017452952</v>
      </c>
    </row>
    <row r="64" customFormat="false" ht="12.75" hidden="false" customHeight="false" outlineLevel="0" collapsed="false">
      <c r="B64" s="7"/>
      <c r="C64" s="435" t="s">
        <v>473</v>
      </c>
      <c r="D64" s="7"/>
      <c r="F64" s="0"/>
      <c r="G64" s="437"/>
      <c r="H64" s="7"/>
      <c r="I64" s="437"/>
      <c r="J64" s="437"/>
      <c r="K64" s="451" t="n">
        <f aca="false">MEDIAN(K49:K51,K58:K61)</f>
        <v>9.60072595281307</v>
      </c>
      <c r="L64" s="452" t="n">
        <f aca="false">MEDIAN(L49:L50,L58:L61)</f>
        <v>2.21201541367004</v>
      </c>
    </row>
    <row r="65" customFormat="false" ht="12.75" hidden="false" customHeight="false" outlineLevel="0" collapsed="false">
      <c r="B65" s="7"/>
      <c r="C65" s="7"/>
      <c r="D65" s="7"/>
      <c r="E65" s="0"/>
      <c r="F65" s="437"/>
      <c r="G65" s="7"/>
      <c r="H65" s="437"/>
      <c r="I65" s="437"/>
      <c r="J65" s="7"/>
      <c r="K65" s="7"/>
    </row>
    <row r="66" customFormat="false" ht="12.75" hidden="false" customHeight="false" outlineLevel="0" collapsed="false">
      <c r="B66" s="7"/>
      <c r="C66" s="7"/>
      <c r="D66" s="7"/>
      <c r="E66" s="0"/>
      <c r="F66" s="437"/>
      <c r="G66" s="7"/>
      <c r="H66" s="437"/>
      <c r="I66" s="437"/>
      <c r="J66" s="7"/>
      <c r="K66" s="7"/>
    </row>
    <row r="67" customFormat="false" ht="12.75" hidden="false" customHeight="false" outlineLevel="0" collapsed="false">
      <c r="B67" s="7"/>
      <c r="C67" s="7"/>
      <c r="D67" s="7"/>
      <c r="E67" s="0"/>
      <c r="F67" s="437"/>
      <c r="G67" s="7"/>
      <c r="H67" s="437"/>
      <c r="I67" s="437"/>
      <c r="J67" s="7"/>
      <c r="K67" s="7"/>
    </row>
    <row r="68" customFormat="false" ht="12.75" hidden="false" customHeight="false" outlineLevel="0" collapsed="false">
      <c r="B68" s="453" t="s">
        <v>522</v>
      </c>
      <c r="D68" s="7"/>
      <c r="E68" s="0"/>
      <c r="F68" s="437"/>
      <c r="G68" s="7"/>
      <c r="H68" s="437"/>
      <c r="I68" s="437"/>
      <c r="J68" s="7"/>
      <c r="K68" s="7"/>
    </row>
    <row r="69" customFormat="false" ht="12.75" hidden="false" customHeight="false" outlineLevel="0" collapsed="false">
      <c r="B69" s="453" t="s">
        <v>523</v>
      </c>
      <c r="D69" s="7"/>
      <c r="E69" s="0"/>
      <c r="F69" s="437"/>
      <c r="G69" s="7"/>
      <c r="H69" s="437"/>
      <c r="I69" s="437"/>
      <c r="J69" s="7"/>
      <c r="K69" s="7"/>
    </row>
    <row r="70" customFormat="false" ht="12.75" hidden="false" customHeight="false" outlineLevel="0" collapsed="false">
      <c r="B70" s="454" t="s">
        <v>524</v>
      </c>
      <c r="D70" s="7"/>
      <c r="E70" s="0"/>
      <c r="F70" s="437"/>
      <c r="G70" s="7"/>
      <c r="H70" s="437"/>
      <c r="I70" s="437"/>
      <c r="J70" s="7"/>
      <c r="K70" s="7"/>
    </row>
    <row r="71" customFormat="false" ht="12.75" hidden="false" customHeight="false" outlineLevel="0" collapsed="false">
      <c r="B71" s="454" t="s">
        <v>525</v>
      </c>
      <c r="D71" s="7"/>
      <c r="E71" s="0"/>
      <c r="F71" s="437"/>
      <c r="G71" s="7"/>
      <c r="H71" s="437"/>
      <c r="I71" s="437"/>
      <c r="J71" s="7"/>
      <c r="K71" s="7"/>
    </row>
    <row r="72" customFormat="false" ht="12.75" hidden="false" customHeight="false" outlineLevel="0" collapsed="false">
      <c r="B72" s="454" t="s">
        <v>526</v>
      </c>
      <c r="C72" s="7"/>
      <c r="D72" s="7"/>
      <c r="E72" s="7"/>
      <c r="F72" s="0"/>
      <c r="G72" s="7"/>
      <c r="H72" s="437"/>
      <c r="I72" s="437"/>
      <c r="J72" s="7"/>
      <c r="K72" s="7"/>
    </row>
  </sheetData>
  <mergeCells count="1">
    <mergeCell ref="G1:N1"/>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G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28" activeCellId="0" sqref="K28"/>
    </sheetView>
  </sheetViews>
  <sheetFormatPr defaultColWidth="9.0546875" defaultRowHeight="12.75" customHeight="true" zeroHeight="false" outlineLevelRow="0" outlineLevelCol="0"/>
  <sheetData>
    <row r="1" customFormat="false" ht="27" hidden="false" customHeight="false" outlineLevel="0" collapsed="false">
      <c r="A1" s="455" t="s">
        <v>0</v>
      </c>
      <c r="B1" s="112"/>
      <c r="C1" s="112"/>
      <c r="D1" s="113"/>
      <c r="E1" s="113"/>
      <c r="F1" s="113"/>
      <c r="G1" s="140" t="s">
        <v>527</v>
      </c>
    </row>
    <row r="12" customFormat="false" ht="23.25" hidden="false" customHeight="false" outlineLevel="0" collapsed="false">
      <c r="B12" s="456" t="s">
        <v>528</v>
      </c>
    </row>
  </sheetData>
  <printOptions headings="false" gridLines="false" gridLinesSet="true" horizontalCentered="true" verticalCentered="false"/>
  <pageMargins left="0.747916666666667" right="0.747916666666667" top="1.3"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C125"/>
  <sheetViews>
    <sheetView showFormulas="false" showGridLines="false" showRowColHeaders="true" showZeros="true" rightToLeft="false" tabSelected="false" showOutlineSymbols="true" defaultGridColor="true" view="normal" topLeftCell="A54" colorId="64" zoomScale="75" zoomScaleNormal="75" zoomScalePageLayoutView="100" workbookViewId="0">
      <selection pane="topLeft" activeCell="G105" activeCellId="0" sqref="G105"/>
    </sheetView>
  </sheetViews>
  <sheetFormatPr defaultColWidth="9.0546875" defaultRowHeight="12.75" customHeight="true" zeroHeight="false" outlineLevelRow="1" outlineLevelCol="0"/>
  <cols>
    <col collapsed="false" customWidth="true" hidden="false" outlineLevel="0" max="1" min="1" style="346" width="10.41"/>
    <col collapsed="false" customWidth="true" hidden="false" outlineLevel="0" max="4" min="4" style="0" width="15.85"/>
    <col collapsed="false" customWidth="true" hidden="false" outlineLevel="0" max="5" min="5" style="0" width="12.14"/>
    <col collapsed="false" customWidth="true" hidden="false" outlineLevel="0" max="6" min="6" style="0" width="14.41"/>
    <col collapsed="false" customWidth="true" hidden="false" outlineLevel="0" max="9" min="7" style="0" width="10.56"/>
    <col collapsed="false" customWidth="true" hidden="false" outlineLevel="0" max="10" min="10" style="0" width="10.85"/>
    <col collapsed="false" customWidth="true" hidden="false" outlineLevel="0" max="11" min="11" style="0" width="10.56"/>
    <col collapsed="false" customWidth="true" hidden="false" outlineLevel="0" max="12" min="12" style="0" width="10.85"/>
    <col collapsed="false" customWidth="true" hidden="false" outlineLevel="0" max="14" min="13" style="0" width="10.56"/>
    <col collapsed="false" customWidth="true" hidden="false" outlineLevel="0" max="15" min="15" style="0" width="10.13"/>
    <col collapsed="false" customWidth="true" hidden="false" outlineLevel="0" max="16" min="16" style="0" width="11.13"/>
    <col collapsed="false" customWidth="true" hidden="false" outlineLevel="0" max="17" min="17" style="0" width="10.28"/>
    <col collapsed="false" customWidth="true" hidden="false" outlineLevel="0" max="18" min="18" style="0" width="9.28"/>
    <col collapsed="false" customWidth="true" hidden="false" outlineLevel="0" max="19" min="19" style="0" width="10.28"/>
  </cols>
  <sheetData>
    <row r="1" customFormat="false" ht="12.75" hidden="false" customHeight="false" outlineLevel="0" collapsed="false">
      <c r="A1" s="0"/>
      <c r="D1" s="457"/>
      <c r="E1" s="458" t="n">
        <v>1999</v>
      </c>
      <c r="F1" s="459"/>
      <c r="G1" s="58"/>
      <c r="H1" s="58"/>
      <c r="J1" s="457"/>
      <c r="K1" s="458" t="n">
        <v>2000</v>
      </c>
      <c r="L1" s="459"/>
      <c r="N1" s="7"/>
    </row>
    <row r="2" customFormat="false" ht="12.75" hidden="false" customHeight="false" outlineLevel="0" collapsed="false">
      <c r="A2" s="0"/>
      <c r="D2" s="460" t="s">
        <v>529</v>
      </c>
      <c r="E2" s="441" t="s">
        <v>530</v>
      </c>
      <c r="F2" s="461" t="s">
        <v>531</v>
      </c>
      <c r="G2" s="89"/>
      <c r="H2" s="89" t="s">
        <v>315</v>
      </c>
      <c r="J2" s="460" t="s">
        <v>529</v>
      </c>
      <c r="K2" s="441" t="s">
        <v>530</v>
      </c>
      <c r="L2" s="461" t="s">
        <v>531</v>
      </c>
      <c r="N2" s="7"/>
    </row>
    <row r="3" customFormat="false" ht="12.75" hidden="false" customHeight="false" outlineLevel="0" collapsed="false">
      <c r="A3" s="0"/>
      <c r="D3" s="7"/>
      <c r="E3" s="7"/>
      <c r="F3" s="7"/>
      <c r="G3" s="7"/>
      <c r="H3" s="7"/>
    </row>
    <row r="4" customFormat="false" ht="12.75" hidden="false" customHeight="false" outlineLevel="0" collapsed="false">
      <c r="A4" s="0" t="s">
        <v>385</v>
      </c>
      <c r="D4" s="462" t="n">
        <v>2382.46</v>
      </c>
      <c r="E4" s="462" t="n">
        <v>2037.562</v>
      </c>
      <c r="F4" s="462" t="n">
        <f aca="false">D4-E4</f>
        <v>344.898</v>
      </c>
      <c r="G4" s="463"/>
      <c r="H4" s="463" t="n">
        <f aca="false">E20-H6-H10-H12</f>
        <v>-239.464312357473</v>
      </c>
      <c r="I4" s="464"/>
      <c r="J4" s="462" t="n">
        <v>2382.46</v>
      </c>
      <c r="K4" s="462" t="n">
        <f aca="false">E4-H4</f>
        <v>2277.02631235747</v>
      </c>
      <c r="L4" s="462" t="n">
        <f aca="false">J4-K4</f>
        <v>105.433687642528</v>
      </c>
      <c r="N4" s="67"/>
    </row>
    <row r="5" customFormat="false" ht="12.75" hidden="false" customHeight="false" outlineLevel="0" collapsed="false">
      <c r="A5" s="0"/>
      <c r="D5" s="462"/>
      <c r="E5" s="462"/>
      <c r="F5" s="462"/>
      <c r="G5" s="463"/>
      <c r="H5" s="463"/>
      <c r="I5" s="464"/>
      <c r="J5" s="462"/>
      <c r="K5" s="462"/>
      <c r="L5" s="462"/>
      <c r="N5" s="67"/>
    </row>
    <row r="6" customFormat="false" ht="12.75" hidden="false" customHeight="false" outlineLevel="0" collapsed="false">
      <c r="A6" s="0" t="s">
        <v>260</v>
      </c>
      <c r="D6" s="462" t="n">
        <v>15280.619</v>
      </c>
      <c r="E6" s="462" t="n">
        <v>7289.75</v>
      </c>
      <c r="F6" s="462" t="n">
        <f aca="false">D6-E6</f>
        <v>7990.869</v>
      </c>
      <c r="G6" s="463"/>
      <c r="H6" s="462" t="n">
        <v>-1000</v>
      </c>
      <c r="I6" s="464"/>
      <c r="J6" s="462" t="n">
        <v>15280.619</v>
      </c>
      <c r="K6" s="462" t="n">
        <f aca="false">E6-H6</f>
        <v>8289.75</v>
      </c>
      <c r="L6" s="462" t="n">
        <f aca="false">J6-K6</f>
        <v>6990.869</v>
      </c>
      <c r="N6" s="67"/>
    </row>
    <row r="7" customFormat="false" ht="12.75" hidden="false" customHeight="false" outlineLevel="0" collapsed="false">
      <c r="A7" s="0"/>
      <c r="D7" s="346"/>
      <c r="E7" s="346"/>
      <c r="F7" s="462"/>
      <c r="G7" s="463"/>
      <c r="H7" s="463"/>
      <c r="I7" s="464"/>
      <c r="J7" s="462"/>
      <c r="K7" s="462"/>
      <c r="L7" s="462"/>
      <c r="N7" s="67"/>
    </row>
    <row r="8" customFormat="false" ht="12.75" hidden="false" customHeight="false" outlineLevel="0" collapsed="false">
      <c r="A8" s="0" t="s">
        <v>532</v>
      </c>
      <c r="D8" s="462" t="n">
        <v>12559.386</v>
      </c>
      <c r="E8" s="462" t="n">
        <v>0</v>
      </c>
      <c r="F8" s="462" t="n">
        <f aca="false">D8-E8</f>
        <v>12559.386</v>
      </c>
      <c r="G8" s="463"/>
      <c r="H8" s="463" t="n">
        <v>8441</v>
      </c>
      <c r="I8" s="464"/>
      <c r="J8" s="462" t="n">
        <f aca="false">H8+D8</f>
        <v>21000.386</v>
      </c>
      <c r="K8" s="462" t="n">
        <v>0</v>
      </c>
      <c r="L8" s="462" t="n">
        <f aca="false">J8-K8</f>
        <v>21000.386</v>
      </c>
      <c r="N8" s="67"/>
    </row>
    <row r="9" customFormat="false" ht="12.75" hidden="false" customHeight="false" outlineLevel="0" collapsed="false">
      <c r="A9" s="0"/>
      <c r="D9" s="462"/>
      <c r="E9" s="462"/>
      <c r="F9" s="462"/>
      <c r="G9" s="463"/>
      <c r="H9" s="463"/>
      <c r="I9" s="464"/>
      <c r="J9" s="462"/>
      <c r="K9" s="462"/>
      <c r="L9" s="462"/>
      <c r="N9" s="67"/>
    </row>
    <row r="10" customFormat="false" ht="12.75" hidden="false" customHeight="false" outlineLevel="0" collapsed="false">
      <c r="A10" s="0" t="s">
        <v>533</v>
      </c>
      <c r="D10" s="462" t="n">
        <v>1534.14</v>
      </c>
      <c r="E10" s="462" t="n">
        <v>1010.12</v>
      </c>
      <c r="F10" s="462" t="n">
        <f aca="false">D10-E10</f>
        <v>524.02</v>
      </c>
      <c r="G10" s="463"/>
      <c r="H10" s="463" t="n">
        <f aca="false">D10*($E$20/($D$4+$D$10+$D$12))</f>
        <v>-287.181720975861</v>
      </c>
      <c r="I10" s="464"/>
      <c r="J10" s="462" t="n">
        <v>1534.14</v>
      </c>
      <c r="K10" s="462" t="n">
        <f aca="false">E10-H10</f>
        <v>1297.30172097586</v>
      </c>
      <c r="L10" s="462" t="n">
        <f aca="false">J10-K10</f>
        <v>236.838279024139</v>
      </c>
      <c r="N10" s="67"/>
    </row>
    <row r="11" customFormat="false" ht="12.75" hidden="false" customHeight="false" outlineLevel="0" collapsed="false">
      <c r="A11" s="0"/>
      <c r="D11" s="462"/>
      <c r="E11" s="462"/>
      <c r="F11" s="462"/>
      <c r="G11" s="463"/>
      <c r="H11" s="463"/>
      <c r="I11" s="464"/>
      <c r="J11" s="462"/>
      <c r="K11" s="462"/>
      <c r="L11" s="462"/>
      <c r="N11" s="67"/>
    </row>
    <row r="12" customFormat="false" ht="12.75" hidden="false" customHeight="false" outlineLevel="0" collapsed="false">
      <c r="A12" s="0" t="s">
        <v>534</v>
      </c>
      <c r="D12" s="462" t="n">
        <v>4826.45</v>
      </c>
      <c r="E12" s="462" t="n">
        <v>4256.623</v>
      </c>
      <c r="F12" s="462" t="n">
        <f aca="false">D12-E12</f>
        <v>569.827</v>
      </c>
      <c r="G12" s="463"/>
      <c r="H12" s="463" t="n">
        <v>-110</v>
      </c>
      <c r="I12" s="464"/>
      <c r="J12" s="462" t="n">
        <v>4826.45</v>
      </c>
      <c r="K12" s="462" t="n">
        <f aca="false">E12-H12</f>
        <v>4366.623</v>
      </c>
      <c r="L12" s="462" t="n">
        <f aca="false">J12-K12</f>
        <v>459.827</v>
      </c>
      <c r="N12" s="67"/>
    </row>
    <row r="13" customFormat="false" ht="12.75" hidden="false" customHeight="false" outlineLevel="0" collapsed="false">
      <c r="A13" s="0"/>
      <c r="D13" s="462"/>
      <c r="E13" s="462"/>
      <c r="F13" s="462"/>
      <c r="G13" s="463"/>
      <c r="H13" s="463"/>
      <c r="I13" s="464"/>
      <c r="J13" s="462"/>
      <c r="K13" s="462"/>
      <c r="L13" s="462"/>
      <c r="N13" s="67"/>
    </row>
    <row r="14" customFormat="false" ht="12.75" hidden="false" customHeight="false" outlineLevel="0" collapsed="false">
      <c r="A14" s="0" t="s">
        <v>535</v>
      </c>
      <c r="D14" s="462" t="n">
        <f aca="false">SUM(D4:D12)</f>
        <v>36583.055</v>
      </c>
      <c r="E14" s="462" t="n">
        <f aca="false">SUM(E4:E12)</f>
        <v>14594.055</v>
      </c>
      <c r="F14" s="462" t="n">
        <f aca="false">SUM(F4:F12)</f>
        <v>21989</v>
      </c>
      <c r="G14" s="463"/>
      <c r="I14" s="464"/>
      <c r="J14" s="462" t="n">
        <f aca="false">SUM(J4:J12)</f>
        <v>45024.055</v>
      </c>
      <c r="K14" s="462" t="n">
        <f aca="false">SUM(K4:K12)</f>
        <v>16230.7010333333</v>
      </c>
      <c r="L14" s="462" t="n">
        <f aca="false">SUM(L4:L12)</f>
        <v>28793.3539666667</v>
      </c>
      <c r="N14" s="67"/>
    </row>
    <row r="15" customFormat="false" ht="12.75" hidden="false" customHeight="false" outlineLevel="0" collapsed="false">
      <c r="A15" s="0"/>
      <c r="D15" s="464"/>
      <c r="E15" s="464"/>
      <c r="F15" s="464"/>
      <c r="G15" s="464"/>
      <c r="I15" s="464"/>
      <c r="J15" s="464"/>
      <c r="K15" s="464"/>
      <c r="L15" s="464"/>
    </row>
    <row r="16" customFormat="false" ht="12.75" hidden="false" customHeight="false" outlineLevel="0" collapsed="false">
      <c r="A16" s="0" t="s">
        <v>536</v>
      </c>
      <c r="E16" s="463" t="n">
        <v>-2146</v>
      </c>
      <c r="F16" s="464"/>
      <c r="G16" s="464"/>
      <c r="H16" s="464"/>
      <c r="I16" s="464"/>
      <c r="J16" s="464"/>
      <c r="K16" s="464"/>
      <c r="L16" s="464"/>
    </row>
    <row r="17" customFormat="false" ht="12.75" hidden="false" customHeight="false" outlineLevel="0" collapsed="false">
      <c r="A17" s="0" t="s">
        <v>537</v>
      </c>
      <c r="E17" s="355" t="s">
        <v>538</v>
      </c>
      <c r="F17" s="464"/>
      <c r="G17" s="464"/>
      <c r="H17" s="464"/>
      <c r="I17" s="464"/>
      <c r="J17" s="464"/>
      <c r="K17" s="464"/>
      <c r="L17" s="464"/>
    </row>
    <row r="18" customFormat="false" ht="12.75" hidden="false" customHeight="false" outlineLevel="0" collapsed="false">
      <c r="A18" s="0" t="s">
        <v>539</v>
      </c>
      <c r="E18" s="463" t="n">
        <f aca="false">D6/30</f>
        <v>509.353966666667</v>
      </c>
      <c r="F18" s="464"/>
      <c r="G18" s="464"/>
      <c r="H18" s="464"/>
      <c r="I18" s="464"/>
      <c r="J18" s="464"/>
      <c r="K18" s="464"/>
      <c r="L18" s="464"/>
      <c r="AC18" s="465" t="str">
        <f aca="false">IF(SUM(F74:P74)=100%," ",SUM(F74:P74))</f>
        <v> </v>
      </c>
    </row>
    <row r="19" customFormat="false" ht="12.75" hidden="false" customHeight="false" outlineLevel="0" collapsed="false">
      <c r="A19" s="0" t="s">
        <v>540</v>
      </c>
      <c r="E19" s="463" t="n">
        <f aca="false">E18*15</f>
        <v>7640.3095</v>
      </c>
      <c r="F19" s="464"/>
      <c r="G19" s="464"/>
      <c r="H19" s="464"/>
      <c r="I19" s="464"/>
      <c r="J19" s="464"/>
      <c r="K19" s="464"/>
      <c r="L19" s="464"/>
    </row>
    <row r="20" customFormat="false" ht="12.75" hidden="false" customHeight="false" outlineLevel="0" collapsed="false">
      <c r="A20" s="0" t="s">
        <v>541</v>
      </c>
      <c r="E20" s="466" t="n">
        <f aca="false">E16+E18</f>
        <v>-1636.64603333333</v>
      </c>
      <c r="F20" s="464"/>
      <c r="G20" s="464"/>
      <c r="H20" s="464"/>
      <c r="I20" s="464"/>
      <c r="J20" s="464"/>
      <c r="K20" s="464"/>
      <c r="L20" s="464"/>
    </row>
    <row r="21" customFormat="false" ht="12.75" hidden="false" customHeight="false" outlineLevel="0" collapsed="false">
      <c r="A21" s="0" t="s">
        <v>542</v>
      </c>
      <c r="E21" s="464" t="n">
        <f aca="false">(D4+D10+D12)/(2100-510)</f>
        <v>5.49877358490566</v>
      </c>
      <c r="F21" s="464"/>
      <c r="G21" s="464"/>
      <c r="H21" s="464"/>
      <c r="I21" s="464"/>
      <c r="J21" s="464"/>
      <c r="K21" s="464"/>
      <c r="L21" s="464"/>
    </row>
    <row r="22" customFormat="false" ht="12.75" hidden="false" customHeight="false" outlineLevel="0" collapsed="false">
      <c r="A22" s="0"/>
      <c r="E22" s="464"/>
      <c r="F22" s="464"/>
      <c r="G22" s="464"/>
      <c r="H22" s="464"/>
      <c r="I22" s="464"/>
      <c r="J22" s="464"/>
      <c r="K22" s="464"/>
      <c r="L22" s="464"/>
    </row>
    <row r="23" customFormat="false" ht="27" hidden="false" customHeight="false" outlineLevel="0" collapsed="false">
      <c r="A23" s="146" t="s">
        <v>0</v>
      </c>
      <c r="B23" s="147"/>
      <c r="C23" s="147"/>
      <c r="D23" s="219"/>
      <c r="E23" s="219"/>
      <c r="F23" s="219"/>
      <c r="G23" s="219"/>
      <c r="H23" s="219"/>
      <c r="I23" s="219"/>
      <c r="J23" s="219"/>
      <c r="K23" s="219"/>
      <c r="L23" s="219"/>
      <c r="M23" s="219"/>
      <c r="N23" s="219"/>
      <c r="O23" s="219"/>
      <c r="P23" s="219"/>
      <c r="Q23" s="219"/>
      <c r="R23" s="219"/>
      <c r="S23" s="219"/>
      <c r="T23" s="221" t="s">
        <v>543</v>
      </c>
    </row>
    <row r="24" customFormat="false" ht="25.5" hidden="false" customHeight="false" outlineLevel="0" collapsed="false">
      <c r="A24" s="150"/>
      <c r="B24" s="151"/>
      <c r="C24" s="151"/>
      <c r="D24" s="145"/>
      <c r="E24" s="145"/>
      <c r="F24" s="145"/>
      <c r="G24" s="145"/>
      <c r="H24" s="222"/>
      <c r="I24" s="222"/>
      <c r="J24" s="14"/>
      <c r="K24" s="223"/>
      <c r="L24" s="14"/>
      <c r="M24" s="14"/>
      <c r="T24" s="224" t="s">
        <v>110</v>
      </c>
    </row>
    <row r="25" customFormat="false" ht="12.75" hidden="false" customHeight="false" outlineLevel="0" collapsed="false">
      <c r="A25" s="0"/>
      <c r="E25" s="464"/>
      <c r="F25" s="464"/>
      <c r="G25" s="464"/>
      <c r="H25" s="464"/>
      <c r="I25" s="464"/>
      <c r="J25" s="464"/>
      <c r="K25" s="464"/>
      <c r="L25" s="464"/>
    </row>
    <row r="26" customFormat="false" ht="12.75" hidden="false" customHeight="false" outlineLevel="0" collapsed="false">
      <c r="A26" s="58"/>
      <c r="B26" s="58"/>
      <c r="F26" s="457"/>
      <c r="G26" s="467"/>
      <c r="H26" s="467"/>
      <c r="I26" s="467"/>
      <c r="J26" s="467"/>
      <c r="K26" s="467" t="s">
        <v>544</v>
      </c>
      <c r="L26" s="467"/>
      <c r="M26" s="467"/>
      <c r="N26" s="467"/>
      <c r="O26" s="467"/>
      <c r="P26" s="467"/>
      <c r="Q26" s="467"/>
      <c r="R26" s="467"/>
      <c r="S26" s="467"/>
      <c r="T26" s="459"/>
    </row>
    <row r="27" customFormat="false" ht="12.75" hidden="false" customHeight="false" outlineLevel="0" collapsed="false">
      <c r="A27" s="89"/>
      <c r="B27" s="89"/>
      <c r="F27" s="468" t="n">
        <v>2001</v>
      </c>
      <c r="G27" s="418" t="n">
        <f aca="false">F27+1</f>
        <v>2002</v>
      </c>
      <c r="H27" s="418" t="n">
        <f aca="false">G27+1</f>
        <v>2003</v>
      </c>
      <c r="I27" s="418" t="n">
        <f aca="false">H27+1</f>
        <v>2004</v>
      </c>
      <c r="J27" s="418" t="n">
        <f aca="false">I27+1</f>
        <v>2005</v>
      </c>
      <c r="K27" s="418" t="n">
        <f aca="false">J27+1</f>
        <v>2006</v>
      </c>
      <c r="L27" s="418" t="n">
        <f aca="false">K27+1</f>
        <v>2007</v>
      </c>
      <c r="M27" s="418" t="n">
        <f aca="false">L27+1</f>
        <v>2008</v>
      </c>
      <c r="N27" s="418" t="n">
        <f aca="false">M27+1</f>
        <v>2009</v>
      </c>
      <c r="O27" s="418" t="n">
        <f aca="false">N27+1</f>
        <v>2010</v>
      </c>
      <c r="P27" s="418" t="n">
        <v>2011</v>
      </c>
      <c r="Q27" s="418" t="n">
        <v>2012</v>
      </c>
      <c r="R27" s="418" t="n">
        <v>2013</v>
      </c>
      <c r="S27" s="418" t="n">
        <v>2014</v>
      </c>
      <c r="T27" s="469" t="n">
        <v>2015</v>
      </c>
    </row>
    <row r="28" customFormat="false" ht="25.5" hidden="false" customHeight="false" outlineLevel="0" collapsed="false">
      <c r="A28" s="0"/>
      <c r="E28" s="470" t="s">
        <v>545</v>
      </c>
    </row>
    <row r="29" customFormat="false" ht="12.75" hidden="false" customHeight="false" outlineLevel="0" collapsed="false">
      <c r="A29" s="463"/>
      <c r="B29" s="0" t="s">
        <v>385</v>
      </c>
      <c r="C29" s="464"/>
      <c r="D29" s="464" t="s">
        <v>546</v>
      </c>
      <c r="E29" s="67" t="n">
        <f aca="false">L4</f>
        <v>105.433687642528</v>
      </c>
      <c r="F29" s="67" t="n">
        <f aca="false">$E29/$E30</f>
        <v>3.51445625475092</v>
      </c>
      <c r="G29" s="67" t="n">
        <f aca="false">$E29/$E30</f>
        <v>3.51445625475092</v>
      </c>
      <c r="H29" s="67" t="n">
        <f aca="false">$E29/$E30</f>
        <v>3.51445625475092</v>
      </c>
      <c r="I29" s="67" t="n">
        <f aca="false">$E29/$E30</f>
        <v>3.51445625475092</v>
      </c>
      <c r="J29" s="67" t="n">
        <f aca="false">$E29/$E30</f>
        <v>3.51445625475092</v>
      </c>
      <c r="K29" s="67" t="n">
        <f aca="false">$E29/$E30</f>
        <v>3.51445625475092</v>
      </c>
      <c r="L29" s="67" t="n">
        <f aca="false">$E29/$E30</f>
        <v>3.51445625475092</v>
      </c>
      <c r="M29" s="67" t="n">
        <f aca="false">$E29/$E30</f>
        <v>3.51445625475092</v>
      </c>
      <c r="N29" s="67" t="n">
        <f aca="false">$E29/$E30</f>
        <v>3.51445625475092</v>
      </c>
      <c r="O29" s="67" t="n">
        <f aca="false">$E29/$E30</f>
        <v>3.51445625475092</v>
      </c>
      <c r="P29" s="67" t="n">
        <f aca="false">$E29/$E30</f>
        <v>3.51445625475092</v>
      </c>
      <c r="Q29" s="67" t="n">
        <f aca="false">$E29/$E30</f>
        <v>3.51445625475092</v>
      </c>
      <c r="R29" s="67" t="n">
        <f aca="false">$E29/$E30</f>
        <v>3.51445625475092</v>
      </c>
      <c r="S29" s="67" t="n">
        <f aca="false">$E29/$E30</f>
        <v>3.51445625475092</v>
      </c>
      <c r="T29" s="67" t="n">
        <f aca="false">$E29/$E30</f>
        <v>3.51445625475092</v>
      </c>
    </row>
    <row r="30" customFormat="false" ht="12.75" hidden="false" customHeight="false" outlineLevel="0" collapsed="false">
      <c r="A30" s="463"/>
      <c r="C30" s="464"/>
      <c r="D30" s="67" t="s">
        <v>547</v>
      </c>
      <c r="E30" s="346" t="n">
        <f aca="false">Assumptions!$B$49</f>
        <v>30</v>
      </c>
      <c r="F30" s="67"/>
      <c r="G30" s="67"/>
      <c r="H30" s="67"/>
      <c r="I30" s="67"/>
      <c r="J30" s="67"/>
      <c r="K30" s="67"/>
      <c r="L30" s="67"/>
      <c r="M30" s="67"/>
      <c r="N30" s="67"/>
      <c r="O30" s="67"/>
      <c r="P30" s="67"/>
      <c r="Q30" s="67"/>
      <c r="R30" s="67"/>
      <c r="S30" s="67"/>
      <c r="T30" s="67"/>
    </row>
    <row r="31" customFormat="false" ht="12.75" hidden="false" customHeight="false" outlineLevel="0" collapsed="false">
      <c r="A31" s="463"/>
      <c r="B31" s="0" t="s">
        <v>312</v>
      </c>
      <c r="C31" s="464"/>
      <c r="D31" s="464" t="s">
        <v>546</v>
      </c>
      <c r="E31" s="67" t="n">
        <f aca="false">L6</f>
        <v>6990.869</v>
      </c>
      <c r="F31" s="67" t="n">
        <f aca="false">$E31/$E32</f>
        <v>233.028966666667</v>
      </c>
      <c r="G31" s="67" t="n">
        <f aca="false">$E31/$E32</f>
        <v>233.028966666667</v>
      </c>
      <c r="H31" s="67" t="n">
        <f aca="false">$E31/$E32</f>
        <v>233.028966666667</v>
      </c>
      <c r="I31" s="67" t="n">
        <f aca="false">$E31/$E32</f>
        <v>233.028966666667</v>
      </c>
      <c r="J31" s="67" t="n">
        <f aca="false">$E31/$E32</f>
        <v>233.028966666667</v>
      </c>
      <c r="K31" s="67" t="n">
        <f aca="false">$E31/$E32</f>
        <v>233.028966666667</v>
      </c>
      <c r="L31" s="67" t="n">
        <f aca="false">$E31/$E32</f>
        <v>233.028966666667</v>
      </c>
      <c r="M31" s="67" t="n">
        <f aca="false">$E31/$E32</f>
        <v>233.028966666667</v>
      </c>
      <c r="N31" s="67" t="n">
        <f aca="false">$E31/$E32</f>
        <v>233.028966666667</v>
      </c>
      <c r="O31" s="67" t="n">
        <f aca="false">$E31/$E32</f>
        <v>233.028966666667</v>
      </c>
      <c r="P31" s="67" t="n">
        <f aca="false">$E31/$E32</f>
        <v>233.028966666667</v>
      </c>
      <c r="Q31" s="67" t="n">
        <f aca="false">$E31/$E32</f>
        <v>233.028966666667</v>
      </c>
      <c r="R31" s="67" t="n">
        <f aca="false">$E31/$E32</f>
        <v>233.028966666667</v>
      </c>
      <c r="S31" s="67" t="n">
        <f aca="false">$E31/$E32</f>
        <v>233.028966666667</v>
      </c>
      <c r="T31" s="67" t="n">
        <f aca="false">$E31/$E32</f>
        <v>233.028966666667</v>
      </c>
    </row>
    <row r="32" customFormat="false" ht="12.75" hidden="false" customHeight="false" outlineLevel="0" collapsed="false">
      <c r="A32" s="463"/>
      <c r="C32" s="464"/>
      <c r="D32" s="67" t="s">
        <v>547</v>
      </c>
      <c r="E32" s="346" t="n">
        <f aca="false">IF($D$54=1,Assumptions!$B$49,15)</f>
        <v>30</v>
      </c>
      <c r="F32" s="67"/>
      <c r="G32" s="67"/>
      <c r="H32" s="67"/>
      <c r="I32" s="67"/>
      <c r="J32" s="67"/>
      <c r="K32" s="67"/>
      <c r="L32" s="67"/>
      <c r="M32" s="67"/>
      <c r="N32" s="67"/>
      <c r="O32" s="67"/>
      <c r="P32" s="67"/>
      <c r="Q32" s="67"/>
      <c r="R32" s="67"/>
      <c r="S32" s="67"/>
      <c r="T32" s="67"/>
    </row>
    <row r="33" customFormat="false" ht="12.75" hidden="false" customHeight="false" outlineLevel="0" collapsed="false">
      <c r="A33" s="463"/>
      <c r="B33" s="0" t="s">
        <v>532</v>
      </c>
      <c r="C33" s="464"/>
      <c r="D33" s="464" t="s">
        <v>546</v>
      </c>
      <c r="E33" s="67" t="n">
        <f aca="false">L8</f>
        <v>21000.386</v>
      </c>
      <c r="F33" s="67" t="n">
        <f aca="false">$E33/$E34</f>
        <v>700.012866666667</v>
      </c>
      <c r="G33" s="67" t="n">
        <f aca="false">$E33/$E34</f>
        <v>700.012866666667</v>
      </c>
      <c r="H33" s="67" t="n">
        <f aca="false">$E33/$E34</f>
        <v>700.012866666667</v>
      </c>
      <c r="I33" s="67" t="n">
        <f aca="false">$E33/$E34</f>
        <v>700.012866666667</v>
      </c>
      <c r="J33" s="67" t="n">
        <f aca="false">$E33/$E34</f>
        <v>700.012866666667</v>
      </c>
      <c r="K33" s="67" t="n">
        <f aca="false">$E33/$E34</f>
        <v>700.012866666667</v>
      </c>
      <c r="L33" s="67" t="n">
        <f aca="false">$E33/$E34</f>
        <v>700.012866666667</v>
      </c>
      <c r="M33" s="67" t="n">
        <f aca="false">$E33/$E34</f>
        <v>700.012866666667</v>
      </c>
      <c r="N33" s="67" t="n">
        <f aca="false">$E33/$E34</f>
        <v>700.012866666667</v>
      </c>
      <c r="O33" s="67" t="n">
        <f aca="false">$E33/$E34</f>
        <v>700.012866666667</v>
      </c>
      <c r="P33" s="67" t="n">
        <f aca="false">$E33/$E34</f>
        <v>700.012866666667</v>
      </c>
      <c r="Q33" s="67" t="n">
        <f aca="false">$E33/$E34</f>
        <v>700.012866666667</v>
      </c>
      <c r="R33" s="67" t="n">
        <f aca="false">$E33/$E34</f>
        <v>700.012866666667</v>
      </c>
      <c r="S33" s="67" t="n">
        <f aca="false">$E33/$E34</f>
        <v>700.012866666667</v>
      </c>
      <c r="T33" s="67" t="n">
        <f aca="false">$E33/$E34</f>
        <v>700.012866666667</v>
      </c>
    </row>
    <row r="34" customFormat="false" ht="12.75" hidden="false" customHeight="false" outlineLevel="0" collapsed="false">
      <c r="A34" s="463"/>
      <c r="C34" s="464"/>
      <c r="D34" s="67" t="s">
        <v>547</v>
      </c>
      <c r="E34" s="346" t="n">
        <f aca="false">IF($D$54=1,Assumptions!$B$49,15)</f>
        <v>30</v>
      </c>
      <c r="F34" s="67"/>
      <c r="G34" s="67"/>
      <c r="H34" s="67"/>
      <c r="I34" s="67"/>
      <c r="J34" s="67"/>
      <c r="K34" s="67"/>
      <c r="L34" s="67"/>
      <c r="M34" s="67"/>
      <c r="N34" s="67"/>
      <c r="O34" s="67"/>
      <c r="P34" s="67"/>
      <c r="Q34" s="67"/>
      <c r="R34" s="67"/>
      <c r="S34" s="67"/>
      <c r="T34" s="67"/>
    </row>
    <row r="35" customFormat="false" ht="12.75" hidden="false" customHeight="false" outlineLevel="0" collapsed="false">
      <c r="A35" s="463"/>
      <c r="B35" s="0" t="s">
        <v>533</v>
      </c>
      <c r="C35" s="464"/>
      <c r="D35" s="464" t="s">
        <v>546</v>
      </c>
      <c r="E35" s="67" t="n">
        <f aca="false">L10</f>
        <v>236.838279024139</v>
      </c>
      <c r="F35" s="67" t="n">
        <f aca="false">$E35/$E36</f>
        <v>7.89460930080464</v>
      </c>
      <c r="G35" s="67" t="n">
        <f aca="false">$E35/$E36</f>
        <v>7.89460930080464</v>
      </c>
      <c r="H35" s="67" t="n">
        <f aca="false">$E35/$E36</f>
        <v>7.89460930080464</v>
      </c>
      <c r="I35" s="67" t="n">
        <f aca="false">$E35/$E36</f>
        <v>7.89460930080464</v>
      </c>
      <c r="J35" s="67" t="n">
        <f aca="false">$E35/$E36</f>
        <v>7.89460930080464</v>
      </c>
      <c r="K35" s="67" t="n">
        <f aca="false">$E35/$E36</f>
        <v>7.89460930080464</v>
      </c>
      <c r="L35" s="67" t="n">
        <f aca="false">$E35/$E36</f>
        <v>7.89460930080464</v>
      </c>
      <c r="M35" s="67" t="n">
        <f aca="false">$E35/$E36</f>
        <v>7.89460930080464</v>
      </c>
      <c r="N35" s="67" t="n">
        <f aca="false">$E35/$E36</f>
        <v>7.89460930080464</v>
      </c>
      <c r="O35" s="67" t="n">
        <f aca="false">$E35/$E36</f>
        <v>7.89460930080464</v>
      </c>
      <c r="P35" s="67" t="n">
        <f aca="false">$E35/$E36</f>
        <v>7.89460930080464</v>
      </c>
      <c r="Q35" s="67" t="n">
        <f aca="false">$E35/$E36</f>
        <v>7.89460930080464</v>
      </c>
      <c r="R35" s="67" t="n">
        <f aca="false">$E35/$E36</f>
        <v>7.89460930080464</v>
      </c>
      <c r="S35" s="67" t="n">
        <f aca="false">$E35/$E36</f>
        <v>7.89460930080464</v>
      </c>
      <c r="T35" s="67" t="n">
        <f aca="false">$E35/$E36</f>
        <v>7.89460930080464</v>
      </c>
    </row>
    <row r="36" customFormat="false" ht="12.75" hidden="false" customHeight="false" outlineLevel="0" collapsed="false">
      <c r="A36" s="463"/>
      <c r="C36" s="464"/>
      <c r="D36" s="67" t="s">
        <v>547</v>
      </c>
      <c r="E36" s="346" t="n">
        <f aca="false">IF($D$54=1,Assumptions!$B$49,15)</f>
        <v>30</v>
      </c>
      <c r="F36" s="67"/>
      <c r="G36" s="67"/>
      <c r="H36" s="67"/>
      <c r="I36" s="67"/>
      <c r="J36" s="67"/>
      <c r="K36" s="67"/>
      <c r="L36" s="67"/>
      <c r="M36" s="67"/>
      <c r="N36" s="67"/>
      <c r="O36" s="67"/>
      <c r="P36" s="67"/>
      <c r="Q36" s="67"/>
      <c r="R36" s="67"/>
      <c r="S36" s="67"/>
      <c r="T36" s="67"/>
    </row>
    <row r="37" customFormat="false" ht="12.75" hidden="false" customHeight="false" outlineLevel="0" collapsed="false">
      <c r="A37" s="463"/>
      <c r="B37" s="0" t="s">
        <v>534</v>
      </c>
      <c r="C37" s="464"/>
      <c r="D37" s="464" t="s">
        <v>546</v>
      </c>
      <c r="E37" s="67" t="n">
        <f aca="false">L12</f>
        <v>459.827</v>
      </c>
      <c r="F37" s="67" t="n">
        <f aca="false">$E37/$E38</f>
        <v>15.3275666666667</v>
      </c>
      <c r="G37" s="67" t="n">
        <f aca="false">$E37/$E38</f>
        <v>15.3275666666667</v>
      </c>
      <c r="H37" s="67" t="n">
        <f aca="false">IF($D$54=1,$G$37,0)</f>
        <v>15.3275666666667</v>
      </c>
      <c r="I37" s="67" t="n">
        <f aca="false">IF($D$54=1,$G$37,0)</f>
        <v>15.3275666666667</v>
      </c>
      <c r="J37" s="67" t="n">
        <f aca="false">IF($D$54=1,$G$37,0)</f>
        <v>15.3275666666667</v>
      </c>
      <c r="K37" s="67" t="n">
        <f aca="false">IF($D$54=1,$G$37,0)</f>
        <v>15.3275666666667</v>
      </c>
      <c r="L37" s="67" t="n">
        <f aca="false">IF($D$54=1,$G$37,0)</f>
        <v>15.3275666666667</v>
      </c>
      <c r="M37" s="67" t="n">
        <f aca="false">IF($D$54=1,$G$37,0)</f>
        <v>15.3275666666667</v>
      </c>
      <c r="N37" s="67" t="n">
        <f aca="false">IF($D$54=1,$G$37,0)</f>
        <v>15.3275666666667</v>
      </c>
      <c r="O37" s="67" t="n">
        <f aca="false">IF($D$54=1,$G$37,0)</f>
        <v>15.3275666666667</v>
      </c>
      <c r="P37" s="67" t="n">
        <f aca="false">IF($D$54=1,$G$37,0)</f>
        <v>15.3275666666667</v>
      </c>
      <c r="Q37" s="67" t="n">
        <f aca="false">IF($D$54=1,$G$37,0)</f>
        <v>15.3275666666667</v>
      </c>
      <c r="R37" s="67" t="n">
        <f aca="false">IF($D$54=1,$G$37,0)</f>
        <v>15.3275666666667</v>
      </c>
      <c r="S37" s="67" t="n">
        <f aca="false">IF($D$54=1,$G$37,0)</f>
        <v>15.3275666666667</v>
      </c>
      <c r="T37" s="67" t="n">
        <f aca="false">IF($D$54=1,$G$37,0)</f>
        <v>15.3275666666667</v>
      </c>
    </row>
    <row r="38" customFormat="false" ht="12.75" hidden="false" customHeight="false" outlineLevel="0" collapsed="false">
      <c r="A38" s="463"/>
      <c r="C38" s="464"/>
      <c r="D38" s="67" t="s">
        <v>547</v>
      </c>
      <c r="E38" s="346" t="n">
        <f aca="false">IF($D$54=1,Assumptions!$B$49,2)</f>
        <v>30</v>
      </c>
      <c r="F38" s="67"/>
      <c r="G38" s="67"/>
      <c r="H38" s="67"/>
      <c r="I38" s="67"/>
      <c r="J38" s="67"/>
      <c r="K38" s="67"/>
      <c r="L38" s="67"/>
      <c r="M38" s="67"/>
      <c r="N38" s="67"/>
      <c r="O38" s="67"/>
      <c r="P38" s="67"/>
      <c r="Q38" s="67"/>
      <c r="R38" s="67"/>
      <c r="S38" s="67"/>
      <c r="T38" s="67"/>
    </row>
    <row r="39" customFormat="false" ht="12.75" hidden="false" customHeight="false" outlineLevel="0" collapsed="false">
      <c r="A39" s="463"/>
      <c r="B39" s="0" t="s">
        <v>548</v>
      </c>
      <c r="C39" s="464"/>
      <c r="D39" s="464"/>
      <c r="E39" s="346" t="n">
        <f aca="false">Assumptions!$B$49</f>
        <v>30</v>
      </c>
      <c r="F39" s="67" t="n">
        <f aca="false">SUM(F40:F51)</f>
        <v>8.33333333333333</v>
      </c>
      <c r="G39" s="67" t="n">
        <f aca="false">SUM(G40:G51)</f>
        <v>25</v>
      </c>
      <c r="H39" s="67" t="n">
        <f aca="false">SUM(H40:H51)</f>
        <v>41.6666666666667</v>
      </c>
      <c r="I39" s="67" t="n">
        <f aca="false">SUM(I40:I51)</f>
        <v>58.3333333333333</v>
      </c>
      <c r="J39" s="67" t="n">
        <f aca="false">SUM(J40:J51)</f>
        <v>75</v>
      </c>
      <c r="K39" s="67" t="n">
        <f aca="false">SUM(K40:K51)</f>
        <v>91.6666666666667</v>
      </c>
      <c r="L39" s="67" t="n">
        <f aca="false">SUM(L40:L51)</f>
        <v>108.333333333333</v>
      </c>
      <c r="M39" s="67" t="n">
        <f aca="false">SUM(M40:M51)</f>
        <v>125</v>
      </c>
      <c r="N39" s="67" t="n">
        <f aca="false">SUM(N40:N51)</f>
        <v>141.666666666667</v>
      </c>
      <c r="O39" s="67" t="n">
        <f aca="false">SUM(O40:O51)</f>
        <v>158.333333333333</v>
      </c>
      <c r="P39" s="67" t="n">
        <f aca="false">SUM(P40:P51)</f>
        <v>175</v>
      </c>
      <c r="Q39" s="67" t="n">
        <f aca="false">SUM(Q40:Q51)</f>
        <v>175</v>
      </c>
      <c r="R39" s="67" t="n">
        <f aca="false">SUM(R40:R51)</f>
        <v>175</v>
      </c>
      <c r="S39" s="67" t="n">
        <f aca="false">SUM(S40:S51)</f>
        <v>175</v>
      </c>
      <c r="T39" s="67" t="n">
        <f aca="false">SUM(T40:T51)</f>
        <v>175</v>
      </c>
    </row>
    <row r="40" customFormat="false" ht="12.75" hidden="true" customHeight="false" outlineLevel="1" collapsed="false">
      <c r="A40" s="463"/>
      <c r="C40" s="464"/>
      <c r="D40" s="464"/>
      <c r="E40" s="58" t="n">
        <v>2001</v>
      </c>
      <c r="F40" s="67" t="n">
        <f aca="false">-'Cash Flow '!$H25/$E$39</f>
        <v>8.33333333333333</v>
      </c>
      <c r="G40" s="67" t="n">
        <f aca="false">-'Cash Flow '!$H25/$E$39</f>
        <v>8.33333333333333</v>
      </c>
      <c r="H40" s="67" t="n">
        <f aca="false">-'Cash Flow '!$H25/$E$39</f>
        <v>8.33333333333333</v>
      </c>
      <c r="I40" s="67" t="n">
        <f aca="false">-'Cash Flow '!$H25/$E$39</f>
        <v>8.33333333333333</v>
      </c>
      <c r="J40" s="67" t="n">
        <f aca="false">-'Cash Flow '!$H25/$E$39</f>
        <v>8.33333333333333</v>
      </c>
      <c r="K40" s="67" t="n">
        <f aca="false">-'Cash Flow '!$H25/$E$39</f>
        <v>8.33333333333333</v>
      </c>
      <c r="L40" s="67" t="n">
        <f aca="false">-'Cash Flow '!$H25/$E$39</f>
        <v>8.33333333333333</v>
      </c>
      <c r="M40" s="67" t="n">
        <f aca="false">-'Cash Flow '!$H25/$E$39</f>
        <v>8.33333333333333</v>
      </c>
      <c r="N40" s="67" t="n">
        <f aca="false">-'Cash Flow '!$H25/$E$39</f>
        <v>8.33333333333333</v>
      </c>
      <c r="O40" s="67" t="n">
        <f aca="false">-'Cash Flow '!$H25/$E$39</f>
        <v>8.33333333333333</v>
      </c>
      <c r="P40" s="67" t="n">
        <f aca="false">-'Cash Flow '!$H25/$E$39</f>
        <v>8.33333333333333</v>
      </c>
      <c r="Q40" s="67" t="n">
        <f aca="false">-'Cash Flow '!$H25/$E$39</f>
        <v>8.33333333333333</v>
      </c>
      <c r="R40" s="67" t="n">
        <f aca="false">-'Cash Flow '!$H25/$E$39</f>
        <v>8.33333333333333</v>
      </c>
      <c r="S40" s="67" t="n">
        <f aca="false">-'Cash Flow '!$H25/$E$39</f>
        <v>8.33333333333333</v>
      </c>
      <c r="T40" s="67" t="n">
        <f aca="false">-'Cash Flow '!$H25/$E$39</f>
        <v>8.33333333333333</v>
      </c>
    </row>
    <row r="41" customFormat="false" ht="12.75" hidden="true" customHeight="false" outlineLevel="1" collapsed="false">
      <c r="A41" s="463"/>
      <c r="C41" s="464"/>
      <c r="D41" s="464"/>
      <c r="E41" s="58" t="n">
        <f aca="false">E40+1</f>
        <v>2002</v>
      </c>
      <c r="F41" s="67"/>
      <c r="G41" s="67" t="n">
        <f aca="false">-'Cash Flow '!$J25/$E$39</f>
        <v>16.6666666666667</v>
      </c>
      <c r="H41" s="67" t="n">
        <f aca="false">-'Cash Flow '!$J25/$E$39</f>
        <v>16.6666666666667</v>
      </c>
      <c r="I41" s="67" t="n">
        <f aca="false">-'Cash Flow '!$J25/$E$39</f>
        <v>16.6666666666667</v>
      </c>
      <c r="J41" s="67" t="n">
        <f aca="false">-'Cash Flow '!$J25/$E$39</f>
        <v>16.6666666666667</v>
      </c>
      <c r="K41" s="67" t="n">
        <f aca="false">-'Cash Flow '!$J25/$E$39</f>
        <v>16.6666666666667</v>
      </c>
      <c r="L41" s="67" t="n">
        <f aca="false">-'Cash Flow '!$J25/$E$39</f>
        <v>16.6666666666667</v>
      </c>
      <c r="M41" s="67" t="n">
        <f aca="false">-'Cash Flow '!$J25/$E$39</f>
        <v>16.6666666666667</v>
      </c>
      <c r="N41" s="67" t="n">
        <f aca="false">-'Cash Flow '!$J25/$E$39</f>
        <v>16.6666666666667</v>
      </c>
      <c r="O41" s="67" t="n">
        <f aca="false">-'Cash Flow '!$J25/$E$39</f>
        <v>16.6666666666667</v>
      </c>
      <c r="P41" s="67" t="n">
        <f aca="false">-'Cash Flow '!$J25/$E$39</f>
        <v>16.6666666666667</v>
      </c>
      <c r="Q41" s="67" t="n">
        <f aca="false">-'Cash Flow '!$J25/$E$39</f>
        <v>16.6666666666667</v>
      </c>
      <c r="R41" s="67" t="n">
        <f aca="false">-'Cash Flow '!$J25/$E$39</f>
        <v>16.6666666666667</v>
      </c>
      <c r="S41" s="67" t="n">
        <f aca="false">-'Cash Flow '!$J25/$E$39</f>
        <v>16.6666666666667</v>
      </c>
      <c r="T41" s="67" t="n">
        <f aca="false">-'Cash Flow '!$J25/$E$39</f>
        <v>16.6666666666667</v>
      </c>
    </row>
    <row r="42" customFormat="false" ht="12.75" hidden="true" customHeight="false" outlineLevel="1" collapsed="false">
      <c r="A42" s="463"/>
      <c r="C42" s="464"/>
      <c r="D42" s="464"/>
      <c r="E42" s="58" t="n">
        <f aca="false">E41+1</f>
        <v>2003</v>
      </c>
      <c r="F42" s="67"/>
      <c r="G42" s="67"/>
      <c r="H42" s="67" t="n">
        <f aca="false">-'Cash Flow '!$K25/$E$39</f>
        <v>16.6666666666667</v>
      </c>
      <c r="I42" s="67" t="n">
        <f aca="false">-'Cash Flow '!$K25/$E$39</f>
        <v>16.6666666666667</v>
      </c>
      <c r="J42" s="67" t="n">
        <f aca="false">-'Cash Flow '!$K25/$E$39</f>
        <v>16.6666666666667</v>
      </c>
      <c r="K42" s="67" t="n">
        <f aca="false">-'Cash Flow '!$K25/$E$39</f>
        <v>16.6666666666667</v>
      </c>
      <c r="L42" s="67" t="n">
        <f aca="false">-'Cash Flow '!$K25/$E$39</f>
        <v>16.6666666666667</v>
      </c>
      <c r="M42" s="67" t="n">
        <f aca="false">-'Cash Flow '!$K25/$E$39</f>
        <v>16.6666666666667</v>
      </c>
      <c r="N42" s="67" t="n">
        <f aca="false">-'Cash Flow '!$K25/$E$39</f>
        <v>16.6666666666667</v>
      </c>
      <c r="O42" s="67" t="n">
        <f aca="false">-'Cash Flow '!$K25/$E$39</f>
        <v>16.6666666666667</v>
      </c>
      <c r="P42" s="67" t="n">
        <f aca="false">-'Cash Flow '!$K25/$E$39</f>
        <v>16.6666666666667</v>
      </c>
      <c r="Q42" s="67" t="n">
        <f aca="false">-'Cash Flow '!$K25/$E$39</f>
        <v>16.6666666666667</v>
      </c>
      <c r="R42" s="67" t="n">
        <f aca="false">-'Cash Flow '!$K25/$E$39</f>
        <v>16.6666666666667</v>
      </c>
      <c r="S42" s="67" t="n">
        <f aca="false">-'Cash Flow '!$K25/$E$39</f>
        <v>16.6666666666667</v>
      </c>
      <c r="T42" s="67" t="n">
        <f aca="false">-'Cash Flow '!$K25/$E$39</f>
        <v>16.6666666666667</v>
      </c>
    </row>
    <row r="43" customFormat="false" ht="12.75" hidden="true" customHeight="false" outlineLevel="1" collapsed="false">
      <c r="A43" s="463"/>
      <c r="C43" s="464"/>
      <c r="D43" s="464"/>
      <c r="E43" s="58" t="n">
        <f aca="false">E42+1</f>
        <v>2004</v>
      </c>
      <c r="F43" s="67"/>
      <c r="G43" s="67"/>
      <c r="H43" s="67"/>
      <c r="I43" s="67" t="n">
        <f aca="false">-'Cash Flow '!$L25/$E$39</f>
        <v>16.6666666666667</v>
      </c>
      <c r="J43" s="67" t="n">
        <f aca="false">-'Cash Flow '!$L25/$E$39</f>
        <v>16.6666666666667</v>
      </c>
      <c r="K43" s="67" t="n">
        <f aca="false">-'Cash Flow '!$L25/$E$39</f>
        <v>16.6666666666667</v>
      </c>
      <c r="L43" s="67" t="n">
        <f aca="false">-'Cash Flow '!$L25/$E$39</f>
        <v>16.6666666666667</v>
      </c>
      <c r="M43" s="67" t="n">
        <f aca="false">-'Cash Flow '!$L25/$E$39</f>
        <v>16.6666666666667</v>
      </c>
      <c r="N43" s="67" t="n">
        <f aca="false">-'Cash Flow '!$L25/$E$39</f>
        <v>16.6666666666667</v>
      </c>
      <c r="O43" s="67" t="n">
        <f aca="false">-'Cash Flow '!$L25/$E$39</f>
        <v>16.6666666666667</v>
      </c>
      <c r="P43" s="67" t="n">
        <f aca="false">-'Cash Flow '!$L25/$E$39</f>
        <v>16.6666666666667</v>
      </c>
      <c r="Q43" s="67" t="n">
        <f aca="false">-'Cash Flow '!$L25/$E$39</f>
        <v>16.6666666666667</v>
      </c>
      <c r="R43" s="67" t="n">
        <f aca="false">-'Cash Flow '!$L25/$E$39</f>
        <v>16.6666666666667</v>
      </c>
      <c r="S43" s="67" t="n">
        <f aca="false">-'Cash Flow '!$L25/$E$39</f>
        <v>16.6666666666667</v>
      </c>
      <c r="T43" s="67" t="n">
        <f aca="false">-'Cash Flow '!$L25/$E$39</f>
        <v>16.6666666666667</v>
      </c>
    </row>
    <row r="44" customFormat="false" ht="12.75" hidden="true" customHeight="false" outlineLevel="1" collapsed="false">
      <c r="A44" s="463"/>
      <c r="C44" s="464"/>
      <c r="D44" s="464"/>
      <c r="E44" s="58" t="n">
        <f aca="false">E43+1</f>
        <v>2005</v>
      </c>
      <c r="F44" s="67"/>
      <c r="G44" s="67"/>
      <c r="H44" s="67"/>
      <c r="I44" s="67"/>
      <c r="J44" s="306" t="n">
        <f aca="false">-'Cash Flow '!$M$25/$E$39</f>
        <v>16.6666666666667</v>
      </c>
      <c r="K44" s="67" t="n">
        <f aca="false">-'Cash Flow '!$M25/$E$39</f>
        <v>16.6666666666667</v>
      </c>
      <c r="L44" s="67" t="n">
        <f aca="false">-'Cash Flow '!$M25/$E$39</f>
        <v>16.6666666666667</v>
      </c>
      <c r="M44" s="67" t="n">
        <f aca="false">-'Cash Flow '!$M25/$E$39</f>
        <v>16.6666666666667</v>
      </c>
      <c r="N44" s="67" t="n">
        <f aca="false">-'Cash Flow '!$M25/$E$39</f>
        <v>16.6666666666667</v>
      </c>
      <c r="O44" s="67" t="n">
        <f aca="false">-'Cash Flow '!$M25/$E$39</f>
        <v>16.6666666666667</v>
      </c>
      <c r="P44" s="67" t="n">
        <f aca="false">-'Cash Flow '!$M25/$E$39</f>
        <v>16.6666666666667</v>
      </c>
      <c r="Q44" s="67" t="n">
        <f aca="false">-'Cash Flow '!$M25/$E$39</f>
        <v>16.6666666666667</v>
      </c>
      <c r="R44" s="67" t="n">
        <f aca="false">-'Cash Flow '!$M25/$E$39</f>
        <v>16.6666666666667</v>
      </c>
      <c r="S44" s="67" t="n">
        <f aca="false">-'Cash Flow '!$M25/$E$39</f>
        <v>16.6666666666667</v>
      </c>
      <c r="T44" s="67" t="n">
        <f aca="false">-'Cash Flow '!$M25/$E$39</f>
        <v>16.6666666666667</v>
      </c>
    </row>
    <row r="45" customFormat="false" ht="12.75" hidden="true" customHeight="false" outlineLevel="1" collapsed="false">
      <c r="A45" s="463"/>
      <c r="C45" s="464"/>
      <c r="D45" s="464"/>
      <c r="E45" s="58" t="n">
        <f aca="false">E44+1</f>
        <v>2006</v>
      </c>
      <c r="F45" s="67"/>
      <c r="G45" s="67"/>
      <c r="H45" s="67"/>
      <c r="I45" s="67"/>
      <c r="J45" s="67"/>
      <c r="K45" s="306" t="n">
        <f aca="false">-'Cash Flow '!$M25/$E$39</f>
        <v>16.6666666666667</v>
      </c>
      <c r="L45" s="306" t="n">
        <f aca="false">-'Cash Flow '!$M25/$E$39</f>
        <v>16.6666666666667</v>
      </c>
      <c r="M45" s="306" t="n">
        <f aca="false">-'Cash Flow '!$M25/$E$39</f>
        <v>16.6666666666667</v>
      </c>
      <c r="N45" s="306" t="n">
        <f aca="false">-'Cash Flow '!$M25/$E$39</f>
        <v>16.6666666666667</v>
      </c>
      <c r="O45" s="306" t="n">
        <f aca="false">-'Cash Flow '!$M25/$E$39</f>
        <v>16.6666666666667</v>
      </c>
      <c r="P45" s="306" t="n">
        <f aca="false">-'Cash Flow '!$M25/$E$39</f>
        <v>16.6666666666667</v>
      </c>
      <c r="Q45" s="306" t="n">
        <f aca="false">-'Cash Flow '!$M25/$E$39</f>
        <v>16.6666666666667</v>
      </c>
      <c r="R45" s="306" t="n">
        <f aca="false">-'Cash Flow '!$M25/$E$39</f>
        <v>16.6666666666667</v>
      </c>
      <c r="S45" s="306" t="n">
        <f aca="false">-'Cash Flow '!$M25/$E$39</f>
        <v>16.6666666666667</v>
      </c>
      <c r="T45" s="306" t="n">
        <f aca="false">-'Cash Flow '!$M25/$E$39</f>
        <v>16.6666666666667</v>
      </c>
    </row>
    <row r="46" customFormat="false" ht="12.75" hidden="true" customHeight="false" outlineLevel="1" collapsed="false">
      <c r="A46" s="463"/>
      <c r="C46" s="464"/>
      <c r="D46" s="464"/>
      <c r="E46" s="58" t="n">
        <f aca="false">E45+1</f>
        <v>2007</v>
      </c>
      <c r="F46" s="67"/>
      <c r="G46" s="67"/>
      <c r="H46" s="67"/>
      <c r="I46" s="67"/>
      <c r="J46" s="67"/>
      <c r="K46" s="67"/>
      <c r="L46" s="306" t="n">
        <f aca="false">-'Cash Flow '!$M$25/$E$39</f>
        <v>16.6666666666667</v>
      </c>
      <c r="M46" s="306" t="n">
        <f aca="false">-'Cash Flow '!$M$25/$E$39</f>
        <v>16.6666666666667</v>
      </c>
      <c r="N46" s="306" t="n">
        <f aca="false">-'Cash Flow '!$M$25/$E$39</f>
        <v>16.6666666666667</v>
      </c>
      <c r="O46" s="306" t="n">
        <f aca="false">-'Cash Flow '!$M$25/$E$39</f>
        <v>16.6666666666667</v>
      </c>
      <c r="P46" s="306" t="n">
        <f aca="false">-'Cash Flow '!$M$25/$E$39</f>
        <v>16.6666666666667</v>
      </c>
      <c r="Q46" s="306" t="n">
        <f aca="false">-'Cash Flow '!$M$25/$E$39</f>
        <v>16.6666666666667</v>
      </c>
      <c r="R46" s="306" t="n">
        <f aca="false">-'Cash Flow '!$M$25/$E$39</f>
        <v>16.6666666666667</v>
      </c>
      <c r="S46" s="306" t="n">
        <f aca="false">-'Cash Flow '!$M$25/$E$39</f>
        <v>16.6666666666667</v>
      </c>
      <c r="T46" s="306" t="n">
        <f aca="false">-'Cash Flow '!$M$25/$E$39</f>
        <v>16.6666666666667</v>
      </c>
    </row>
    <row r="47" customFormat="false" ht="12.75" hidden="true" customHeight="false" outlineLevel="1" collapsed="false">
      <c r="A47" s="463"/>
      <c r="C47" s="464"/>
      <c r="D47" s="464"/>
      <c r="E47" s="58" t="n">
        <f aca="false">E46+1</f>
        <v>2008</v>
      </c>
      <c r="F47" s="67"/>
      <c r="G47" s="67"/>
      <c r="H47" s="67"/>
      <c r="I47" s="67"/>
      <c r="J47" s="67"/>
      <c r="K47" s="67"/>
      <c r="L47" s="67"/>
      <c r="M47" s="306" t="n">
        <f aca="false">-'Cash Flow '!$M$25/$E$39</f>
        <v>16.6666666666667</v>
      </c>
      <c r="N47" s="306" t="n">
        <f aca="false">-'Cash Flow '!$M$25/$E$39</f>
        <v>16.6666666666667</v>
      </c>
      <c r="O47" s="306" t="n">
        <f aca="false">-'Cash Flow '!$M$25/$E$39</f>
        <v>16.6666666666667</v>
      </c>
      <c r="P47" s="306" t="n">
        <f aca="false">-'Cash Flow '!$M$25/$E$39</f>
        <v>16.6666666666667</v>
      </c>
      <c r="Q47" s="306" t="n">
        <f aca="false">-'Cash Flow '!$M$25/$E$39</f>
        <v>16.6666666666667</v>
      </c>
      <c r="R47" s="306" t="n">
        <f aca="false">-'Cash Flow '!$M$25/$E$39</f>
        <v>16.6666666666667</v>
      </c>
      <c r="S47" s="306" t="n">
        <f aca="false">-'Cash Flow '!$M$25/$E$39</f>
        <v>16.6666666666667</v>
      </c>
      <c r="T47" s="306" t="n">
        <f aca="false">-'Cash Flow '!$M$25/$E$39</f>
        <v>16.6666666666667</v>
      </c>
    </row>
    <row r="48" customFormat="false" ht="12.75" hidden="true" customHeight="false" outlineLevel="1" collapsed="false">
      <c r="A48" s="463"/>
      <c r="C48" s="464"/>
      <c r="D48" s="464"/>
      <c r="E48" s="58" t="n">
        <f aca="false">E47+1</f>
        <v>2009</v>
      </c>
      <c r="F48" s="67"/>
      <c r="G48" s="67"/>
      <c r="H48" s="67"/>
      <c r="I48" s="67"/>
      <c r="J48" s="67"/>
      <c r="K48" s="67"/>
      <c r="L48" s="67"/>
      <c r="M48" s="67"/>
      <c r="N48" s="306" t="n">
        <f aca="false">-'Cash Flow '!$M$25/$E$39</f>
        <v>16.6666666666667</v>
      </c>
      <c r="O48" s="306" t="n">
        <f aca="false">-'Cash Flow '!$M$25/$E$39</f>
        <v>16.6666666666667</v>
      </c>
      <c r="P48" s="306" t="n">
        <f aca="false">-'Cash Flow '!$M$25/$E$39</f>
        <v>16.6666666666667</v>
      </c>
      <c r="Q48" s="306" t="n">
        <f aca="false">-'Cash Flow '!$M$25/$E$39</f>
        <v>16.6666666666667</v>
      </c>
      <c r="R48" s="306" t="n">
        <f aca="false">-'Cash Flow '!$M$25/$E$39</f>
        <v>16.6666666666667</v>
      </c>
      <c r="S48" s="306" t="n">
        <f aca="false">-'Cash Flow '!$M$25/$E$39</f>
        <v>16.6666666666667</v>
      </c>
      <c r="T48" s="306" t="n">
        <f aca="false">-'Cash Flow '!$M$25/$E$39</f>
        <v>16.6666666666667</v>
      </c>
    </row>
    <row r="49" customFormat="false" ht="12.75" hidden="true" customHeight="false" outlineLevel="1" collapsed="false">
      <c r="A49" s="463"/>
      <c r="C49" s="464"/>
      <c r="D49" s="464"/>
      <c r="E49" s="58" t="n">
        <f aca="false">E48+1</f>
        <v>2010</v>
      </c>
      <c r="F49" s="67"/>
      <c r="G49" s="67"/>
      <c r="H49" s="67"/>
      <c r="I49" s="67"/>
      <c r="J49" s="67"/>
      <c r="K49" s="67"/>
      <c r="L49" s="67"/>
      <c r="M49" s="67"/>
      <c r="N49" s="67"/>
      <c r="O49" s="306" t="n">
        <f aca="false">-'Cash Flow '!$M$25/$E$39</f>
        <v>16.6666666666667</v>
      </c>
      <c r="P49" s="306" t="n">
        <f aca="false">-'Cash Flow '!$M$25/$E$39</f>
        <v>16.6666666666667</v>
      </c>
      <c r="Q49" s="306" t="n">
        <f aca="false">-'Cash Flow '!$M$25/$E$39</f>
        <v>16.6666666666667</v>
      </c>
      <c r="R49" s="306" t="n">
        <f aca="false">-'Cash Flow '!$M$25/$E$39</f>
        <v>16.6666666666667</v>
      </c>
      <c r="S49" s="306" t="n">
        <f aca="false">-'Cash Flow '!$M$25/$E$39</f>
        <v>16.6666666666667</v>
      </c>
      <c r="T49" s="306" t="n">
        <f aca="false">-'Cash Flow '!$M$25/$E$39</f>
        <v>16.6666666666667</v>
      </c>
    </row>
    <row r="50" customFormat="false" ht="12.75" hidden="true" customHeight="false" outlineLevel="1" collapsed="false">
      <c r="A50" s="463"/>
      <c r="C50" s="464"/>
      <c r="D50" s="464"/>
      <c r="E50" s="58" t="n">
        <f aca="false">E49+1</f>
        <v>2011</v>
      </c>
      <c r="F50" s="67"/>
      <c r="G50" s="67"/>
      <c r="H50" s="67"/>
      <c r="I50" s="67"/>
      <c r="J50" s="67"/>
      <c r="K50" s="67"/>
      <c r="L50" s="67"/>
      <c r="M50" s="67"/>
      <c r="N50" s="67"/>
      <c r="O50" s="67"/>
      <c r="P50" s="306" t="n">
        <f aca="false">-'Cash Flow '!$M$25/$E$39</f>
        <v>16.6666666666667</v>
      </c>
      <c r="Q50" s="306" t="n">
        <f aca="false">-'Cash Flow '!$M$25/$E$39</f>
        <v>16.6666666666667</v>
      </c>
      <c r="R50" s="306" t="n">
        <f aca="false">-'Cash Flow '!$M$25/$E$39</f>
        <v>16.6666666666667</v>
      </c>
      <c r="S50" s="306" t="n">
        <f aca="false">-'Cash Flow '!$M$25/$E$39</f>
        <v>16.6666666666667</v>
      </c>
      <c r="T50" s="306" t="n">
        <f aca="false">-'Cash Flow '!$M$25/$E$39</f>
        <v>16.6666666666667</v>
      </c>
    </row>
    <row r="51" customFormat="false" ht="12.75" hidden="true" customHeight="false" outlineLevel="1" collapsed="false">
      <c r="A51" s="463"/>
      <c r="C51" s="464"/>
      <c r="D51" s="464"/>
      <c r="E51" s="58"/>
      <c r="F51" s="67"/>
      <c r="G51" s="67"/>
      <c r="H51" s="67"/>
      <c r="I51" s="67"/>
      <c r="J51" s="67"/>
      <c r="K51" s="67"/>
      <c r="L51" s="67"/>
      <c r="M51" s="67"/>
      <c r="N51" s="67"/>
      <c r="O51" s="67"/>
      <c r="P51" s="67"/>
      <c r="Q51" s="67"/>
      <c r="R51" s="67"/>
      <c r="S51" s="67"/>
      <c r="T51" s="67"/>
    </row>
    <row r="52" customFormat="false" ht="12.75" hidden="false" customHeight="false" outlineLevel="0" collapsed="false">
      <c r="A52" s="462"/>
      <c r="B52" s="0" t="s">
        <v>535</v>
      </c>
      <c r="C52" s="464"/>
      <c r="D52" s="464"/>
      <c r="E52" s="67" t="n">
        <f aca="false">E29+E31+E33+E35+E37</f>
        <v>28793.3539666667</v>
      </c>
      <c r="F52" s="67" t="n">
        <f aca="false">SUM(F29:F39)</f>
        <v>968.111798888889</v>
      </c>
      <c r="G52" s="67" t="n">
        <f aca="false">SUM(G29:G39)</f>
        <v>984.778465555556</v>
      </c>
      <c r="H52" s="67" t="n">
        <f aca="false">SUM(H29:H39)</f>
        <v>1001.44513222222</v>
      </c>
      <c r="I52" s="67" t="n">
        <f aca="false">SUM(I29:I39)</f>
        <v>1018.11179888889</v>
      </c>
      <c r="J52" s="67" t="n">
        <f aca="false">SUM(J29:J39)</f>
        <v>1034.77846555556</v>
      </c>
      <c r="K52" s="67" t="n">
        <f aca="false">SUM(K29:K39)</f>
        <v>1051.44513222222</v>
      </c>
      <c r="L52" s="67" t="n">
        <f aca="false">SUM(L29:L39)</f>
        <v>1068.11179888889</v>
      </c>
      <c r="M52" s="67" t="n">
        <f aca="false">SUM(M29:M39)</f>
        <v>1084.77846555556</v>
      </c>
      <c r="N52" s="67" t="n">
        <f aca="false">SUM(N29:N39)</f>
        <v>1101.44513222222</v>
      </c>
      <c r="O52" s="67" t="n">
        <f aca="false">SUM(O29:O39)</f>
        <v>1118.11179888889</v>
      </c>
      <c r="P52" s="67" t="n">
        <f aca="false">SUM(P29:P39)</f>
        <v>1134.77846555556</v>
      </c>
      <c r="Q52" s="67" t="n">
        <f aca="false">SUM(Q29:Q39)</f>
        <v>1134.77846555556</v>
      </c>
      <c r="R52" s="67" t="n">
        <f aca="false">SUM(R29:R39)</f>
        <v>1134.77846555556</v>
      </c>
      <c r="S52" s="67" t="n">
        <f aca="false">SUM(S29:S39)</f>
        <v>1134.77846555556</v>
      </c>
      <c r="T52" s="67" t="n">
        <f aca="false">SUM(T29:T39)</f>
        <v>1134.77846555556</v>
      </c>
    </row>
    <row r="53" customFormat="false" ht="13.5" hidden="false" customHeight="false" outlineLevel="0" collapsed="false">
      <c r="A53" s="67"/>
      <c r="F53" s="67"/>
      <c r="G53" s="67"/>
      <c r="H53" s="67"/>
      <c r="I53" s="67"/>
      <c r="J53" s="67"/>
      <c r="K53" s="67"/>
      <c r="L53" s="67"/>
      <c r="M53" s="67"/>
      <c r="N53" s="67"/>
      <c r="O53" s="67"/>
      <c r="P53" s="67"/>
      <c r="Q53" s="67"/>
      <c r="R53" s="67"/>
      <c r="S53" s="67"/>
      <c r="T53" s="67"/>
    </row>
    <row r="54" customFormat="false" ht="26.25" hidden="false" customHeight="false" outlineLevel="0" collapsed="false">
      <c r="A54" s="471" t="s">
        <v>549</v>
      </c>
      <c r="C54" s="472" t="s">
        <v>550</v>
      </c>
      <c r="D54" s="473" t="n">
        <v>1</v>
      </c>
      <c r="E54" s="474" t="s">
        <v>551</v>
      </c>
      <c r="F54" s="67"/>
      <c r="G54" s="67"/>
      <c r="H54" s="67"/>
      <c r="I54" s="67"/>
      <c r="J54" s="67"/>
      <c r="K54" s="67"/>
      <c r="L54" s="67"/>
      <c r="M54" s="67"/>
      <c r="N54" s="67"/>
      <c r="O54" s="67"/>
      <c r="P54" s="67"/>
      <c r="Q54" s="67"/>
      <c r="R54" s="67"/>
      <c r="S54" s="67"/>
      <c r="T54" s="67"/>
    </row>
    <row r="56" customFormat="false" ht="12.75" hidden="false" customHeight="false" outlineLevel="0" collapsed="false">
      <c r="A56" s="67" t="n">
        <f aca="false">D4</f>
        <v>2382.46</v>
      </c>
      <c r="B56" s="0" t="s">
        <v>385</v>
      </c>
      <c r="D56" s="464" t="s">
        <v>546</v>
      </c>
      <c r="E56" s="67" t="n">
        <f aca="false">IF(D54=0,0,A56-E29)</f>
        <v>2277.02631235747</v>
      </c>
      <c r="F56" s="67" t="n">
        <f aca="false">$E56/$E57</f>
        <v>75.9008770785824</v>
      </c>
      <c r="G56" s="67" t="n">
        <f aca="false">$E56/$E57</f>
        <v>75.9008770785824</v>
      </c>
      <c r="H56" s="67" t="n">
        <f aca="false">$E56/$E57</f>
        <v>75.9008770785824</v>
      </c>
      <c r="I56" s="67" t="n">
        <f aca="false">$E56/$E57</f>
        <v>75.9008770785824</v>
      </c>
      <c r="J56" s="67" t="n">
        <f aca="false">$E56/$E57</f>
        <v>75.9008770785824</v>
      </c>
      <c r="K56" s="67" t="n">
        <f aca="false">$E56/$E57</f>
        <v>75.9008770785824</v>
      </c>
      <c r="L56" s="67" t="n">
        <f aca="false">$E56/$E57</f>
        <v>75.9008770785824</v>
      </c>
      <c r="M56" s="67" t="n">
        <f aca="false">$E56/$E57</f>
        <v>75.9008770785824</v>
      </c>
      <c r="N56" s="67" t="n">
        <f aca="false">$E56/$E57</f>
        <v>75.9008770785824</v>
      </c>
      <c r="O56" s="67" t="n">
        <f aca="false">$E56/$E57</f>
        <v>75.9008770785824</v>
      </c>
      <c r="P56" s="67" t="n">
        <f aca="false">$E56/$E57</f>
        <v>75.9008770785824</v>
      </c>
      <c r="Q56" s="67" t="n">
        <f aca="false">$E56/$E57</f>
        <v>75.9008770785824</v>
      </c>
      <c r="R56" s="67" t="n">
        <f aca="false">$E56/$E57</f>
        <v>75.9008770785824</v>
      </c>
      <c r="S56" s="67" t="n">
        <f aca="false">$E56/$E57</f>
        <v>75.9008770785824</v>
      </c>
      <c r="T56" s="67" t="n">
        <f aca="false">$E56/$E57</f>
        <v>75.9008770785824</v>
      </c>
    </row>
    <row r="57" customFormat="false" ht="12.75" hidden="false" customHeight="false" outlineLevel="0" collapsed="false">
      <c r="A57" s="67"/>
      <c r="C57" s="464"/>
      <c r="D57" s="67" t="s">
        <v>547</v>
      </c>
      <c r="E57" s="346" t="n">
        <f aca="false">Assumptions!$B$49</f>
        <v>30</v>
      </c>
      <c r="F57" s="67"/>
      <c r="G57" s="67"/>
      <c r="H57" s="67"/>
      <c r="I57" s="67"/>
      <c r="J57" s="67"/>
      <c r="K57" s="67"/>
      <c r="L57" s="67"/>
      <c r="M57" s="67"/>
      <c r="N57" s="67"/>
      <c r="O57" s="67"/>
      <c r="P57" s="67"/>
      <c r="Q57" s="67"/>
      <c r="R57" s="67"/>
      <c r="S57" s="67"/>
      <c r="T57" s="67"/>
    </row>
    <row r="58" customFormat="false" ht="12.75" hidden="false" customHeight="false" outlineLevel="0" collapsed="false">
      <c r="A58" s="67" t="n">
        <f aca="false">+Goodwill!K9</f>
        <v>27883.4759977148</v>
      </c>
      <c r="B58" s="0" t="s">
        <v>312</v>
      </c>
      <c r="C58" s="464"/>
      <c r="D58" s="464" t="s">
        <v>546</v>
      </c>
      <c r="E58" s="67" t="n">
        <f aca="false">IF(D54=0,0,A58-E31)</f>
        <v>20892.6069977148</v>
      </c>
      <c r="F58" s="67" t="n">
        <f aca="false">$E58/$E59</f>
        <v>696.420233257161</v>
      </c>
      <c r="G58" s="67" t="n">
        <f aca="false">$E58/$E59</f>
        <v>696.420233257161</v>
      </c>
      <c r="H58" s="67" t="n">
        <f aca="false">$E58/$E59</f>
        <v>696.420233257161</v>
      </c>
      <c r="I58" s="67" t="n">
        <f aca="false">$E58/$E59</f>
        <v>696.420233257161</v>
      </c>
      <c r="J58" s="67" t="n">
        <f aca="false">$E58/$E59</f>
        <v>696.420233257161</v>
      </c>
      <c r="K58" s="67" t="n">
        <f aca="false">$E58/$E59</f>
        <v>696.420233257161</v>
      </c>
      <c r="L58" s="67" t="n">
        <f aca="false">$E58/$E59</f>
        <v>696.420233257161</v>
      </c>
      <c r="M58" s="67" t="n">
        <f aca="false">$E58/$E59</f>
        <v>696.420233257161</v>
      </c>
      <c r="N58" s="67" t="n">
        <f aca="false">$E58/$E59</f>
        <v>696.420233257161</v>
      </c>
      <c r="O58" s="67" t="n">
        <f aca="false">$E58/$E59</f>
        <v>696.420233257161</v>
      </c>
      <c r="P58" s="67" t="n">
        <f aca="false">$E58/$E59</f>
        <v>696.420233257161</v>
      </c>
      <c r="Q58" s="67" t="n">
        <f aca="false">$E58/$E59</f>
        <v>696.420233257161</v>
      </c>
      <c r="R58" s="67" t="n">
        <f aca="false">$E58/$E59</f>
        <v>696.420233257161</v>
      </c>
      <c r="S58" s="67" t="n">
        <f aca="false">$E58/$E59</f>
        <v>696.420233257161</v>
      </c>
      <c r="T58" s="67" t="n">
        <f aca="false">$E58/$E59</f>
        <v>696.420233257161</v>
      </c>
    </row>
    <row r="59" customFormat="false" ht="12.75" hidden="false" customHeight="false" outlineLevel="0" collapsed="false">
      <c r="A59" s="67"/>
      <c r="C59" s="464"/>
      <c r="D59" s="67" t="s">
        <v>547</v>
      </c>
      <c r="E59" s="346" t="n">
        <f aca="false">Assumptions!$B$49</f>
        <v>30</v>
      </c>
      <c r="F59" s="67"/>
      <c r="G59" s="67"/>
      <c r="H59" s="67"/>
      <c r="I59" s="67"/>
      <c r="J59" s="67"/>
      <c r="K59" s="67"/>
      <c r="L59" s="67"/>
      <c r="M59" s="67"/>
      <c r="N59" s="67"/>
      <c r="O59" s="67"/>
      <c r="P59" s="67"/>
      <c r="Q59" s="67"/>
      <c r="R59" s="67"/>
      <c r="S59" s="67"/>
      <c r="T59" s="67"/>
    </row>
    <row r="60" customFormat="false" ht="12.75" hidden="false" customHeight="false" outlineLevel="0" collapsed="false">
      <c r="A60" s="67" t="n">
        <f aca="false">+Goodwill!K8</f>
        <v>24145.862525677</v>
      </c>
      <c r="B60" s="0" t="s">
        <v>532</v>
      </c>
      <c r="C60" s="464"/>
      <c r="D60" s="464" t="s">
        <v>546</v>
      </c>
      <c r="E60" s="67" t="n">
        <f aca="false">IF(D54=0,0,A60-E33)</f>
        <v>3145.47652567702</v>
      </c>
      <c r="F60" s="67" t="n">
        <f aca="false">$E60/$E61</f>
        <v>104.849217522567</v>
      </c>
      <c r="G60" s="67" t="n">
        <f aca="false">$E60/$E61</f>
        <v>104.849217522567</v>
      </c>
      <c r="H60" s="67" t="n">
        <f aca="false">$E60/$E61</f>
        <v>104.849217522567</v>
      </c>
      <c r="I60" s="67" t="n">
        <f aca="false">$E60/$E61</f>
        <v>104.849217522567</v>
      </c>
      <c r="J60" s="67" t="n">
        <f aca="false">$E60/$E61</f>
        <v>104.849217522567</v>
      </c>
      <c r="K60" s="67" t="n">
        <f aca="false">$E60/$E61</f>
        <v>104.849217522567</v>
      </c>
      <c r="L60" s="67" t="n">
        <f aca="false">$E60/$E61</f>
        <v>104.849217522567</v>
      </c>
      <c r="M60" s="67" t="n">
        <f aca="false">$E60/$E61</f>
        <v>104.849217522567</v>
      </c>
      <c r="N60" s="67" t="n">
        <f aca="false">$E60/$E61</f>
        <v>104.849217522567</v>
      </c>
      <c r="O60" s="67" t="n">
        <f aca="false">$E60/$E61</f>
        <v>104.849217522567</v>
      </c>
      <c r="P60" s="67" t="n">
        <f aca="false">$E60/$E61</f>
        <v>104.849217522567</v>
      </c>
      <c r="Q60" s="67" t="n">
        <f aca="false">$E60/$E61</f>
        <v>104.849217522567</v>
      </c>
      <c r="R60" s="67" t="n">
        <f aca="false">$E60/$E61</f>
        <v>104.849217522567</v>
      </c>
      <c r="S60" s="67" t="n">
        <f aca="false">$E60/$E61</f>
        <v>104.849217522567</v>
      </c>
      <c r="T60" s="67" t="n">
        <f aca="false">$E60/$E61</f>
        <v>104.849217522567</v>
      </c>
    </row>
    <row r="61" customFormat="false" ht="12.75" hidden="false" customHeight="false" outlineLevel="0" collapsed="false">
      <c r="A61" s="67"/>
      <c r="C61" s="464"/>
      <c r="D61" s="67" t="s">
        <v>547</v>
      </c>
      <c r="E61" s="346" t="n">
        <f aca="false">Assumptions!$B$49</f>
        <v>30</v>
      </c>
      <c r="F61" s="67"/>
      <c r="G61" s="67"/>
      <c r="H61" s="67"/>
      <c r="I61" s="67"/>
      <c r="J61" s="67"/>
      <c r="K61" s="67"/>
      <c r="L61" s="67"/>
      <c r="M61" s="67"/>
      <c r="N61" s="67"/>
      <c r="O61" s="67"/>
      <c r="P61" s="67"/>
      <c r="Q61" s="67"/>
      <c r="R61" s="67"/>
      <c r="S61" s="67"/>
      <c r="T61" s="67"/>
    </row>
    <row r="62" customFormat="false" ht="12.75" hidden="false" customHeight="false" outlineLevel="0" collapsed="false">
      <c r="A62" s="346" t="n">
        <f aca="false">D10</f>
        <v>1534.14</v>
      </c>
      <c r="B62" s="0" t="s">
        <v>533</v>
      </c>
      <c r="C62" s="464"/>
      <c r="D62" s="464" t="s">
        <v>546</v>
      </c>
      <c r="E62" s="67" t="n">
        <f aca="false">IF(D54=0,0,A62-E35)</f>
        <v>1297.30172097586</v>
      </c>
      <c r="F62" s="67" t="n">
        <f aca="false">$E62/$E63</f>
        <v>43.2433906991954</v>
      </c>
      <c r="G62" s="67" t="n">
        <f aca="false">$E62/$E63</f>
        <v>43.2433906991954</v>
      </c>
      <c r="H62" s="67" t="n">
        <f aca="false">$E62/$E63</f>
        <v>43.2433906991954</v>
      </c>
      <c r="I62" s="67" t="n">
        <f aca="false">$E62/$E63</f>
        <v>43.2433906991954</v>
      </c>
      <c r="J62" s="67" t="n">
        <f aca="false">$E62/$E63</f>
        <v>43.2433906991954</v>
      </c>
      <c r="K62" s="67" t="n">
        <f aca="false">$E62/$E63</f>
        <v>43.2433906991954</v>
      </c>
      <c r="L62" s="67" t="n">
        <f aca="false">$E62/$E63</f>
        <v>43.2433906991954</v>
      </c>
      <c r="M62" s="67" t="n">
        <f aca="false">$E62/$E63</f>
        <v>43.2433906991954</v>
      </c>
      <c r="N62" s="67" t="n">
        <f aca="false">$E62/$E63</f>
        <v>43.2433906991954</v>
      </c>
      <c r="O62" s="67" t="n">
        <f aca="false">$E62/$E63</f>
        <v>43.2433906991954</v>
      </c>
      <c r="P62" s="67" t="n">
        <f aca="false">$E62/$E63</f>
        <v>43.2433906991954</v>
      </c>
      <c r="Q62" s="67" t="n">
        <f aca="false">$E62/$E63</f>
        <v>43.2433906991954</v>
      </c>
      <c r="R62" s="67" t="n">
        <f aca="false">$E62/$E63</f>
        <v>43.2433906991954</v>
      </c>
      <c r="S62" s="67" t="n">
        <f aca="false">$E62/$E63</f>
        <v>43.2433906991954</v>
      </c>
      <c r="T62" s="67" t="n">
        <f aca="false">$E62/$E63</f>
        <v>43.2433906991954</v>
      </c>
    </row>
    <row r="63" customFormat="false" ht="12.75" hidden="false" customHeight="false" outlineLevel="0" collapsed="false">
      <c r="C63" s="464"/>
      <c r="D63" s="67" t="s">
        <v>547</v>
      </c>
      <c r="E63" s="346" t="n">
        <f aca="false">Assumptions!$B$49</f>
        <v>30</v>
      </c>
      <c r="F63" s="67"/>
      <c r="G63" s="67"/>
      <c r="H63" s="67"/>
      <c r="I63" s="67"/>
      <c r="J63" s="67"/>
      <c r="K63" s="67"/>
      <c r="L63" s="67"/>
      <c r="M63" s="67"/>
      <c r="N63" s="67"/>
      <c r="O63" s="67"/>
      <c r="P63" s="67"/>
      <c r="Q63" s="67"/>
      <c r="R63" s="67"/>
      <c r="S63" s="67"/>
      <c r="T63" s="67"/>
    </row>
    <row r="64" customFormat="false" ht="12.75" hidden="false" customHeight="false" outlineLevel="0" collapsed="false">
      <c r="A64" s="346" t="n">
        <f aca="false">+Goodwill!K12</f>
        <v>23779.9651315411</v>
      </c>
      <c r="B64" s="0" t="s">
        <v>534</v>
      </c>
      <c r="C64" s="464"/>
      <c r="D64" s="464" t="s">
        <v>546</v>
      </c>
      <c r="E64" s="67" t="n">
        <f aca="false">IF(D54=0,0,A64-E37)</f>
        <v>23320.1381315411</v>
      </c>
      <c r="F64" s="67" t="n">
        <f aca="false">$E64/$E65</f>
        <v>777.337937718037</v>
      </c>
      <c r="G64" s="67" t="n">
        <f aca="false">$E64/$E65</f>
        <v>777.337937718037</v>
      </c>
      <c r="H64" s="67" t="n">
        <f aca="false">$E64/$E65</f>
        <v>777.337937718037</v>
      </c>
      <c r="I64" s="67" t="n">
        <f aca="false">$E64/$E65</f>
        <v>777.337937718037</v>
      </c>
      <c r="J64" s="67" t="n">
        <f aca="false">$E64/$E65</f>
        <v>777.337937718037</v>
      </c>
      <c r="K64" s="67" t="n">
        <f aca="false">$E64/$E65</f>
        <v>777.337937718037</v>
      </c>
      <c r="L64" s="67" t="n">
        <f aca="false">$E64/$E65</f>
        <v>777.337937718037</v>
      </c>
      <c r="M64" s="67" t="n">
        <f aca="false">$E64/$E65</f>
        <v>777.337937718037</v>
      </c>
      <c r="N64" s="67" t="n">
        <f aca="false">$E64/$E65</f>
        <v>777.337937718037</v>
      </c>
      <c r="O64" s="67" t="n">
        <f aca="false">$E64/$E65</f>
        <v>777.337937718037</v>
      </c>
      <c r="P64" s="67" t="n">
        <f aca="false">$E64/$E65</f>
        <v>777.337937718037</v>
      </c>
      <c r="Q64" s="67" t="n">
        <f aca="false">$E64/$E65</f>
        <v>777.337937718037</v>
      </c>
      <c r="R64" s="67" t="n">
        <f aca="false">$E64/$E65</f>
        <v>777.337937718037</v>
      </c>
      <c r="S64" s="67" t="n">
        <f aca="false">$E64/$E65</f>
        <v>777.337937718037</v>
      </c>
      <c r="T64" s="67" t="n">
        <f aca="false">$E64/$E65</f>
        <v>777.337937718037</v>
      </c>
    </row>
    <row r="65" customFormat="false" ht="12.75" hidden="false" customHeight="false" outlineLevel="0" collapsed="false">
      <c r="C65" s="464"/>
      <c r="D65" s="67" t="s">
        <v>547</v>
      </c>
      <c r="E65" s="346" t="n">
        <f aca="false">Assumptions!$B$49</f>
        <v>30</v>
      </c>
      <c r="F65" s="67"/>
      <c r="G65" s="67"/>
      <c r="H65" s="67"/>
      <c r="I65" s="67"/>
      <c r="J65" s="67"/>
      <c r="K65" s="67"/>
      <c r="L65" s="67"/>
      <c r="M65" s="67"/>
      <c r="N65" s="67"/>
      <c r="O65" s="67"/>
      <c r="P65" s="67"/>
      <c r="Q65" s="67"/>
      <c r="R65" s="67"/>
      <c r="S65" s="67"/>
      <c r="T65" s="67"/>
    </row>
    <row r="66" customFormat="false" ht="12.75" hidden="false" customHeight="false" outlineLevel="0" collapsed="false">
      <c r="A66" s="346" t="n">
        <f aca="false">SUM(A56:A64)</f>
        <v>79725.903654933</v>
      </c>
      <c r="B66" s="0" t="s">
        <v>535</v>
      </c>
      <c r="C66" s="464"/>
      <c r="D66" s="464" t="s">
        <v>552</v>
      </c>
      <c r="E66" s="346" t="n">
        <f aca="false">E56+E58+E60+E62+E64</f>
        <v>50932.5496882663</v>
      </c>
      <c r="F66" s="67" t="n">
        <f aca="false">SUM(F56:F65)</f>
        <v>1697.75165627554</v>
      </c>
      <c r="G66" s="67" t="n">
        <f aca="false">SUM(G56:G65)</f>
        <v>1697.75165627554</v>
      </c>
      <c r="H66" s="67" t="n">
        <f aca="false">SUM(H56:H65)</f>
        <v>1697.75165627554</v>
      </c>
      <c r="I66" s="67" t="n">
        <f aca="false">SUM(I56:I65)</f>
        <v>1697.75165627554</v>
      </c>
      <c r="J66" s="67" t="n">
        <f aca="false">SUM(J56:J65)</f>
        <v>1697.75165627554</v>
      </c>
      <c r="K66" s="67" t="n">
        <f aca="false">SUM(K56:K65)</f>
        <v>1697.75165627554</v>
      </c>
      <c r="L66" s="67" t="n">
        <f aca="false">SUM(L56:L65)</f>
        <v>1697.75165627554</v>
      </c>
      <c r="M66" s="67" t="n">
        <f aca="false">SUM(M56:M65)</f>
        <v>1697.75165627554</v>
      </c>
      <c r="N66" s="67" t="n">
        <f aca="false">SUM(N56:N65)</f>
        <v>1697.75165627554</v>
      </c>
      <c r="O66" s="67" t="n">
        <f aca="false">SUM(O56:O65)</f>
        <v>1697.75165627554</v>
      </c>
      <c r="P66" s="67" t="n">
        <f aca="false">SUM(P56:P65)</f>
        <v>1697.75165627554</v>
      </c>
      <c r="Q66" s="67" t="n">
        <f aca="false">SUM(Q56:Q65)</f>
        <v>1697.75165627554</v>
      </c>
      <c r="R66" s="67" t="n">
        <f aca="false">SUM(R56:R65)</f>
        <v>1697.75165627554</v>
      </c>
      <c r="S66" s="67" t="n">
        <f aca="false">SUM(S56:S65)</f>
        <v>1697.75165627554</v>
      </c>
      <c r="T66" s="67" t="n">
        <f aca="false">SUM(T56:T65)</f>
        <v>1697.75165627554</v>
      </c>
    </row>
    <row r="67" customFormat="false" ht="12.75" hidden="false" customHeight="false" outlineLevel="0" collapsed="false">
      <c r="C67" s="464"/>
      <c r="D67" s="464"/>
      <c r="E67" s="346"/>
      <c r="F67" s="67"/>
      <c r="G67" s="67"/>
      <c r="H67" s="67"/>
      <c r="I67" s="67"/>
      <c r="J67" s="67"/>
      <c r="K67" s="67"/>
      <c r="L67" s="67"/>
      <c r="M67" s="67"/>
      <c r="N67" s="67"/>
      <c r="O67" s="67"/>
      <c r="P67" s="67"/>
      <c r="Q67" s="67"/>
      <c r="R67" s="67"/>
      <c r="S67" s="67"/>
      <c r="T67" s="67"/>
    </row>
    <row r="68" customFormat="false" ht="12.75" hidden="false" customHeight="false" outlineLevel="0" collapsed="false">
      <c r="A68" s="475" t="n">
        <f aca="false">Goodwill!G16</f>
        <v>40968.6572098311</v>
      </c>
      <c r="B68" s="0" t="s">
        <v>553</v>
      </c>
      <c r="C68" s="472"/>
      <c r="D68" s="67" t="s">
        <v>554</v>
      </c>
      <c r="E68" s="475" t="n">
        <f aca="false">IF(D54=0,0,A68)</f>
        <v>40968.6572098311</v>
      </c>
      <c r="F68" s="67" t="n">
        <f aca="false">+$E$68/$E$69</f>
        <v>1024.21643024578</v>
      </c>
      <c r="G68" s="67" t="n">
        <f aca="false">+$E$68/$E$69</f>
        <v>1024.21643024578</v>
      </c>
      <c r="H68" s="67" t="n">
        <f aca="false">+$E$68/$E$69</f>
        <v>1024.21643024578</v>
      </c>
      <c r="I68" s="67" t="n">
        <f aca="false">+$E$68/$E$69</f>
        <v>1024.21643024578</v>
      </c>
      <c r="J68" s="67" t="n">
        <f aca="false">+$E$68/$E$69</f>
        <v>1024.21643024578</v>
      </c>
      <c r="K68" s="67" t="n">
        <f aca="false">+$E$68/$E$69</f>
        <v>1024.21643024578</v>
      </c>
      <c r="L68" s="67" t="n">
        <f aca="false">+$E$68/$E$69</f>
        <v>1024.21643024578</v>
      </c>
      <c r="M68" s="67" t="n">
        <f aca="false">+$E$68/$E$69</f>
        <v>1024.21643024578</v>
      </c>
      <c r="N68" s="67" t="n">
        <f aca="false">+$E$68/$E$69</f>
        <v>1024.21643024578</v>
      </c>
      <c r="O68" s="67" t="n">
        <f aca="false">+$E$68/$E$69</f>
        <v>1024.21643024578</v>
      </c>
      <c r="P68" s="67" t="n">
        <f aca="false">+$E$68/$E$69</f>
        <v>1024.21643024578</v>
      </c>
      <c r="Q68" s="67" t="n">
        <f aca="false">+$E$68/$E$69</f>
        <v>1024.21643024578</v>
      </c>
      <c r="R68" s="67" t="n">
        <f aca="false">+$E$68/$E$69</f>
        <v>1024.21643024578</v>
      </c>
      <c r="S68" s="67" t="n">
        <f aca="false">+$E$68/$E$69</f>
        <v>1024.21643024578</v>
      </c>
      <c r="T68" s="67" t="n">
        <f aca="false">+$E$68/$E$69</f>
        <v>1024.21643024578</v>
      </c>
    </row>
    <row r="69" customFormat="false" ht="12.75" hidden="false" customHeight="false" outlineLevel="0" collapsed="false">
      <c r="A69" s="471"/>
      <c r="C69" s="472"/>
      <c r="D69" s="67" t="s">
        <v>555</v>
      </c>
      <c r="E69" s="475" t="n">
        <f aca="false">Assumptions!$B$48</f>
        <v>40</v>
      </c>
      <c r="F69" s="67"/>
      <c r="G69" s="67"/>
      <c r="H69" s="67"/>
      <c r="I69" s="67"/>
      <c r="J69" s="67"/>
      <c r="K69" s="67"/>
      <c r="L69" s="67"/>
      <c r="M69" s="67"/>
      <c r="N69" s="67"/>
      <c r="O69" s="67"/>
      <c r="P69" s="67"/>
      <c r="Q69" s="67"/>
      <c r="R69" s="67"/>
      <c r="S69" s="67"/>
      <c r="T69" s="67"/>
    </row>
    <row r="70" customFormat="false" ht="12.75" hidden="false" customHeight="false" outlineLevel="0" collapsed="false">
      <c r="D70" s="464"/>
      <c r="E70" s="464"/>
      <c r="F70" s="464"/>
      <c r="G70" s="464"/>
      <c r="H70" s="464"/>
      <c r="I70" s="464"/>
      <c r="J70" s="464"/>
      <c r="K70" s="464"/>
      <c r="L70" s="464"/>
      <c r="M70" s="464"/>
      <c r="N70" s="464"/>
      <c r="O70" s="464"/>
      <c r="P70" s="464"/>
      <c r="Q70" s="464"/>
      <c r="R70" s="464"/>
      <c r="S70" s="464"/>
      <c r="T70" s="464"/>
    </row>
    <row r="71" customFormat="false" ht="13.5" hidden="false" customHeight="true" outlineLevel="0" collapsed="false">
      <c r="E71" s="476" t="s">
        <v>556</v>
      </c>
      <c r="F71" s="457"/>
      <c r="G71" s="467"/>
      <c r="H71" s="467"/>
      <c r="I71" s="467"/>
      <c r="J71" s="467"/>
      <c r="K71" s="467" t="s">
        <v>557</v>
      </c>
      <c r="L71" s="467"/>
      <c r="M71" s="467"/>
      <c r="N71" s="467"/>
      <c r="O71" s="467"/>
      <c r="P71" s="467"/>
      <c r="Q71" s="467"/>
      <c r="R71" s="467"/>
      <c r="S71" s="467"/>
      <c r="T71" s="459"/>
    </row>
    <row r="72" customFormat="false" ht="13.5" hidden="false" customHeight="false" outlineLevel="0" collapsed="false">
      <c r="C72" s="472" t="s">
        <v>550</v>
      </c>
      <c r="D72" s="473" t="n">
        <v>1</v>
      </c>
      <c r="E72" s="476"/>
      <c r="F72" s="468" t="n">
        <v>2001</v>
      </c>
      <c r="G72" s="418" t="n">
        <f aca="false">F72+1</f>
        <v>2002</v>
      </c>
      <c r="H72" s="418" t="n">
        <f aca="false">G72+1</f>
        <v>2003</v>
      </c>
      <c r="I72" s="418" t="n">
        <f aca="false">H72+1</f>
        <v>2004</v>
      </c>
      <c r="J72" s="418" t="n">
        <f aca="false">I72+1</f>
        <v>2005</v>
      </c>
      <c r="K72" s="418" t="n">
        <f aca="false">J72+1</f>
        <v>2006</v>
      </c>
      <c r="L72" s="418" t="n">
        <f aca="false">K72+1</f>
        <v>2007</v>
      </c>
      <c r="M72" s="418" t="n">
        <f aca="false">L72+1</f>
        <v>2008</v>
      </c>
      <c r="N72" s="418" t="n">
        <f aca="false">M72+1</f>
        <v>2009</v>
      </c>
      <c r="O72" s="418" t="n">
        <f aca="false">N72+1</f>
        <v>2010</v>
      </c>
      <c r="P72" s="418" t="n">
        <f aca="false">O72+1</f>
        <v>2011</v>
      </c>
      <c r="Q72" s="418" t="n">
        <f aca="false">P72+1</f>
        <v>2012</v>
      </c>
      <c r="R72" s="418" t="n">
        <f aca="false">Q72+1</f>
        <v>2013</v>
      </c>
      <c r="S72" s="418" t="n">
        <f aca="false">R72+1</f>
        <v>2014</v>
      </c>
      <c r="T72" s="469" t="n">
        <f aca="false">S72+1</f>
        <v>2015</v>
      </c>
    </row>
    <row r="73" customFormat="false" ht="13.5" hidden="false" customHeight="false" outlineLevel="0" collapsed="false">
      <c r="C73" s="355" t="s">
        <v>558</v>
      </c>
      <c r="D73" s="477" t="n">
        <v>7</v>
      </c>
      <c r="F73" s="13" t="n">
        <f aca="false">IF($D$73=10,F74,IF($D$73=7,F75,"error"))</f>
        <v>0.1429</v>
      </c>
      <c r="G73" s="13" t="n">
        <f aca="false">IF($D$73=10,G74,IF($D$73=7,G75,"error"))</f>
        <v>0.2449</v>
      </c>
      <c r="H73" s="13" t="n">
        <f aca="false">IF($D$73=10,H74,IF($D$73=7,H75,"error"))</f>
        <v>0.1749</v>
      </c>
      <c r="I73" s="13" t="n">
        <f aca="false">IF($D$73=10,I74,IF($D$73=7,I75,"error"))</f>
        <v>0.1249</v>
      </c>
      <c r="J73" s="13" t="n">
        <f aca="false">IF($D$73=10,J74,IF($D$73=7,J75,"error"))</f>
        <v>0.0893</v>
      </c>
      <c r="K73" s="13" t="n">
        <f aca="false">IF($D$73=10,K74,IF($D$73=7,K75,"error"))</f>
        <v>0.0892</v>
      </c>
      <c r="L73" s="13" t="n">
        <f aca="false">IF($D$73=10,L74,IF($D$73=7,L75,"error"))</f>
        <v>0.0893</v>
      </c>
      <c r="M73" s="13" t="n">
        <f aca="false">IF($D$73=10,M74,IF($D$73=7,M75,"error"))</f>
        <v>0.0446</v>
      </c>
      <c r="N73" s="13" t="n">
        <f aca="false">IF($D$73=10,N74,IF($D$73=7,N75,"error"))</f>
        <v>0</v>
      </c>
      <c r="O73" s="13" t="n">
        <f aca="false">IF($D$73=10,O74,IF($D$73=7,O75,"error"))</f>
        <v>0</v>
      </c>
      <c r="P73" s="13" t="n">
        <f aca="false">IF($D$73=10,P74,IF($D$73=7,P75,"error"))</f>
        <v>0</v>
      </c>
      <c r="Q73" s="13" t="n">
        <f aca="false">IF($D$73=10,Q74,IF($D$73=7,Q75,"error"))</f>
        <v>0</v>
      </c>
      <c r="R73" s="13" t="n">
        <f aca="false">IF($D$73=10,R74,IF($D$73=7,R75,"error"))</f>
        <v>0</v>
      </c>
      <c r="S73" s="13" t="n">
        <f aca="false">IF($D$73=10,S74,IF($D$73=7,S75,"error"))</f>
        <v>0</v>
      </c>
      <c r="T73" s="13" t="n">
        <f aca="false">IF($D$73=10,T74,IF($D$73=7,T75,"error"))</f>
        <v>0</v>
      </c>
    </row>
    <row r="74" customFormat="false" ht="12.75" hidden="true" customHeight="false" outlineLevel="1" collapsed="false">
      <c r="D74" s="355"/>
      <c r="E74" s="58" t="n">
        <v>10</v>
      </c>
      <c r="F74" s="478" t="n">
        <v>0.1</v>
      </c>
      <c r="G74" s="478" t="n">
        <v>0.18</v>
      </c>
      <c r="H74" s="478" t="n">
        <v>0.144</v>
      </c>
      <c r="I74" s="478" t="n">
        <v>0.1152</v>
      </c>
      <c r="J74" s="478" t="n">
        <v>0.0922</v>
      </c>
      <c r="K74" s="478" t="n">
        <v>0.0737</v>
      </c>
      <c r="L74" s="478" t="n">
        <v>0.0655</v>
      </c>
      <c r="M74" s="478" t="n">
        <v>0.0655</v>
      </c>
      <c r="N74" s="478" t="n">
        <v>0.0656</v>
      </c>
      <c r="O74" s="478" t="n">
        <v>0.0655</v>
      </c>
      <c r="P74" s="479" t="n">
        <v>0.0328</v>
      </c>
      <c r="Q74" s="13" t="n">
        <f aca="false">IF($D$73=10,Q75,IF($D$73=7,Q76,"error"))</f>
        <v>0</v>
      </c>
      <c r="R74" s="13" t="n">
        <f aca="false">IF($D$73=10,R75,IF($D$73=7,R76,"error"))</f>
        <v>0</v>
      </c>
      <c r="S74" s="13" t="n">
        <f aca="false">IF($D$73=10,S75,IF($D$73=7,S76,"error"))</f>
        <v>0</v>
      </c>
      <c r="T74" s="13" t="n">
        <f aca="false">IF($D$73=10,T75,IF($D$73=7,T76,"error"))</f>
        <v>0</v>
      </c>
    </row>
    <row r="75" customFormat="false" ht="12.75" hidden="true" customHeight="false" outlineLevel="1" collapsed="false">
      <c r="D75" s="355"/>
      <c r="E75" s="58" t="n">
        <v>7</v>
      </c>
      <c r="F75" s="478" t="n">
        <v>0.1429</v>
      </c>
      <c r="G75" s="478" t="n">
        <v>0.2449</v>
      </c>
      <c r="H75" s="478" t="n">
        <v>0.1749</v>
      </c>
      <c r="I75" s="478" t="n">
        <v>0.1249</v>
      </c>
      <c r="J75" s="478" t="n">
        <v>0.0893</v>
      </c>
      <c r="K75" s="478" t="n">
        <v>0.0892</v>
      </c>
      <c r="L75" s="478" t="n">
        <v>0.0893</v>
      </c>
      <c r="M75" s="478" t="n">
        <v>0.0446</v>
      </c>
      <c r="N75" s="478"/>
      <c r="O75" s="478"/>
      <c r="P75" s="479"/>
      <c r="Q75" s="479"/>
      <c r="R75" s="479"/>
      <c r="S75" s="479"/>
      <c r="T75" s="479"/>
    </row>
    <row r="76" customFormat="false" ht="12.75" hidden="false" customHeight="false" outlineLevel="0" collapsed="false">
      <c r="D76" s="355"/>
      <c r="E76" s="58"/>
      <c r="F76" s="478"/>
      <c r="G76" s="478"/>
      <c r="H76" s="478"/>
      <c r="I76" s="478"/>
      <c r="J76" s="478"/>
      <c r="K76" s="478"/>
      <c r="L76" s="478"/>
      <c r="M76" s="478"/>
      <c r="N76" s="478"/>
      <c r="O76" s="478"/>
      <c r="P76" s="479"/>
      <c r="Q76" s="479"/>
      <c r="R76" s="479"/>
      <c r="S76" s="479"/>
      <c r="T76" s="479"/>
    </row>
    <row r="77" customFormat="false" ht="12.75" hidden="false" customHeight="false" outlineLevel="0" collapsed="false">
      <c r="B77" s="0" t="s">
        <v>385</v>
      </c>
      <c r="D77" s="464" t="s">
        <v>546</v>
      </c>
      <c r="E77" s="67" t="n">
        <f aca="false">IF($D$72=0,E29,IF($D$72=1,A56,"error"))</f>
        <v>2382.46</v>
      </c>
      <c r="F77" s="67" t="n">
        <f aca="false">$E77*F$73</f>
        <v>340.453534</v>
      </c>
      <c r="G77" s="67" t="n">
        <f aca="false">$E77*G$73</f>
        <v>583.464454</v>
      </c>
      <c r="H77" s="67" t="n">
        <f aca="false">$E77*H$73</f>
        <v>416.692254</v>
      </c>
      <c r="I77" s="67" t="n">
        <f aca="false">$E77*I$73</f>
        <v>297.569254</v>
      </c>
      <c r="J77" s="67" t="n">
        <f aca="false">$E77*J$73</f>
        <v>212.753678</v>
      </c>
      <c r="K77" s="67" t="n">
        <f aca="false">$E77*K$73</f>
        <v>212.515432</v>
      </c>
      <c r="L77" s="67" t="n">
        <f aca="false">$E77*L$73</f>
        <v>212.753678</v>
      </c>
      <c r="M77" s="67" t="n">
        <f aca="false">$E77*M$73</f>
        <v>106.257716</v>
      </c>
      <c r="N77" s="67" t="n">
        <f aca="false">$E77*N$73</f>
        <v>0</v>
      </c>
      <c r="O77" s="67" t="n">
        <f aca="false">$E77*O$73</f>
        <v>0</v>
      </c>
      <c r="P77" s="67" t="n">
        <f aca="false">$E77*P$73</f>
        <v>0</v>
      </c>
      <c r="Q77" s="67" t="n">
        <f aca="false">$E77*Q$73</f>
        <v>0</v>
      </c>
      <c r="R77" s="67" t="n">
        <f aca="false">$E77*R$73</f>
        <v>0</v>
      </c>
      <c r="S77" s="67" t="n">
        <f aca="false">$E77*S$73</f>
        <v>0</v>
      </c>
      <c r="T77" s="67" t="n">
        <f aca="false">$E77*T$73</f>
        <v>0</v>
      </c>
    </row>
    <row r="78" customFormat="false" ht="12.75" hidden="false" customHeight="false" outlineLevel="0" collapsed="false">
      <c r="D78" s="67" t="s">
        <v>547</v>
      </c>
      <c r="E78" s="67" t="n">
        <f aca="false">$D$73</f>
        <v>7</v>
      </c>
      <c r="F78" s="67"/>
      <c r="G78" s="67"/>
      <c r="H78" s="67"/>
      <c r="I78" s="67"/>
      <c r="J78" s="67"/>
      <c r="K78" s="67"/>
      <c r="L78" s="67"/>
      <c r="M78" s="67"/>
      <c r="N78" s="67"/>
      <c r="O78" s="67"/>
      <c r="P78" s="67"/>
      <c r="Q78" s="67"/>
      <c r="R78" s="67"/>
      <c r="S78" s="67"/>
      <c r="T78" s="67"/>
    </row>
    <row r="79" customFormat="false" ht="12.75" hidden="false" customHeight="false" outlineLevel="0" collapsed="false">
      <c r="B79" s="0" t="s">
        <v>260</v>
      </c>
      <c r="D79" s="464" t="s">
        <v>546</v>
      </c>
      <c r="E79" s="67" t="n">
        <f aca="false">IF($D$72=0,E31,IF($D$72=1,A58,"error"))</f>
        <v>27883.4759977148</v>
      </c>
      <c r="F79" s="67" t="n">
        <f aca="false">$E79*F$73</f>
        <v>3984.54872007345</v>
      </c>
      <c r="G79" s="67" t="n">
        <f aca="false">$E79*G$73</f>
        <v>6828.66327184036</v>
      </c>
      <c r="H79" s="67" t="n">
        <f aca="false">$E79*H$73</f>
        <v>4876.81995200032</v>
      </c>
      <c r="I79" s="67" t="n">
        <f aca="false">$E79*I$73</f>
        <v>3482.64615211458</v>
      </c>
      <c r="J79" s="67" t="n">
        <f aca="false">$E79*J$73</f>
        <v>2489.99440659593</v>
      </c>
      <c r="K79" s="67" t="n">
        <f aca="false">$E79*K$73</f>
        <v>2487.20605899616</v>
      </c>
      <c r="L79" s="67" t="n">
        <f aca="false">$E79*L$73</f>
        <v>2489.99440659593</v>
      </c>
      <c r="M79" s="67" t="n">
        <f aca="false">$E79*M$73</f>
        <v>1243.60302949808</v>
      </c>
      <c r="N79" s="67" t="n">
        <f aca="false">$E79*N$73</f>
        <v>0</v>
      </c>
      <c r="O79" s="67" t="n">
        <f aca="false">$E79*O$73</f>
        <v>0</v>
      </c>
      <c r="P79" s="67" t="n">
        <f aca="false">$E79*P$73</f>
        <v>0</v>
      </c>
      <c r="Q79" s="67" t="n">
        <f aca="false">$E79*Q$73</f>
        <v>0</v>
      </c>
      <c r="R79" s="67" t="n">
        <f aca="false">$E79*R$73</f>
        <v>0</v>
      </c>
      <c r="S79" s="67" t="n">
        <f aca="false">$E79*S$73</f>
        <v>0</v>
      </c>
      <c r="T79" s="67" t="n">
        <f aca="false">$E79*T$73</f>
        <v>0</v>
      </c>
    </row>
    <row r="80" customFormat="false" ht="12.75" hidden="false" customHeight="false" outlineLevel="0" collapsed="false">
      <c r="D80" s="67" t="s">
        <v>547</v>
      </c>
      <c r="E80" s="67" t="n">
        <f aca="false">$D$73</f>
        <v>7</v>
      </c>
      <c r="F80" s="67"/>
      <c r="G80" s="67"/>
      <c r="H80" s="67"/>
      <c r="I80" s="67"/>
      <c r="J80" s="67"/>
      <c r="K80" s="67"/>
      <c r="L80" s="67"/>
      <c r="M80" s="67"/>
      <c r="N80" s="67"/>
      <c r="O80" s="67"/>
      <c r="P80" s="67"/>
      <c r="Q80" s="67"/>
      <c r="R80" s="67"/>
      <c r="S80" s="67"/>
      <c r="T80" s="67"/>
    </row>
    <row r="81" customFormat="false" ht="12.75" hidden="false" customHeight="false" outlineLevel="0" collapsed="false">
      <c r="B81" s="0" t="s">
        <v>532</v>
      </c>
      <c r="D81" s="464" t="s">
        <v>546</v>
      </c>
      <c r="E81" s="67" t="n">
        <f aca="false">IF($D$72=0,E33,IF($D$72=1,A60,"error"))</f>
        <v>24145.862525677</v>
      </c>
      <c r="F81" s="67" t="n">
        <f aca="false">$E81*F$73</f>
        <v>3450.44375491925</v>
      </c>
      <c r="G81" s="67" t="n">
        <f aca="false">$E81*G$73</f>
        <v>5913.3217325383</v>
      </c>
      <c r="H81" s="67" t="n">
        <f aca="false">$E81*H$73</f>
        <v>4223.11135574091</v>
      </c>
      <c r="I81" s="67" t="n">
        <f aca="false">$E81*I$73</f>
        <v>3015.81822945706</v>
      </c>
      <c r="J81" s="67" t="n">
        <f aca="false">$E81*J$73</f>
        <v>2156.22552354296</v>
      </c>
      <c r="K81" s="67" t="n">
        <f aca="false">$E81*K$73</f>
        <v>2153.81093729039</v>
      </c>
      <c r="L81" s="67" t="n">
        <f aca="false">$E81*L$73</f>
        <v>2156.22552354296</v>
      </c>
      <c r="M81" s="67" t="n">
        <f aca="false">$E81*M$73</f>
        <v>1076.9054686452</v>
      </c>
      <c r="N81" s="67" t="n">
        <f aca="false">$E81*N$73</f>
        <v>0</v>
      </c>
      <c r="O81" s="67" t="n">
        <f aca="false">$E81*O$73</f>
        <v>0</v>
      </c>
      <c r="P81" s="67" t="n">
        <f aca="false">$E81*P$73</f>
        <v>0</v>
      </c>
      <c r="Q81" s="67" t="n">
        <f aca="false">$E81*Q$73</f>
        <v>0</v>
      </c>
      <c r="R81" s="67" t="n">
        <f aca="false">$E81*R$73</f>
        <v>0</v>
      </c>
      <c r="S81" s="67" t="n">
        <f aca="false">$E81*S$73</f>
        <v>0</v>
      </c>
      <c r="T81" s="67" t="n">
        <f aca="false">$E81*T$73</f>
        <v>0</v>
      </c>
    </row>
    <row r="82" customFormat="false" ht="12.75" hidden="false" customHeight="false" outlineLevel="0" collapsed="false">
      <c r="D82" s="67" t="s">
        <v>547</v>
      </c>
      <c r="E82" s="67" t="n">
        <f aca="false">$D$73</f>
        <v>7</v>
      </c>
      <c r="F82" s="67"/>
      <c r="G82" s="67"/>
      <c r="H82" s="67"/>
      <c r="I82" s="67"/>
      <c r="J82" s="67"/>
      <c r="K82" s="67"/>
      <c r="L82" s="67"/>
      <c r="M82" s="67"/>
      <c r="N82" s="67"/>
      <c r="O82" s="67"/>
      <c r="P82" s="67"/>
      <c r="Q82" s="67"/>
      <c r="R82" s="67"/>
      <c r="S82" s="67"/>
      <c r="T82" s="67"/>
    </row>
    <row r="83" customFormat="false" ht="12.75" hidden="false" customHeight="false" outlineLevel="0" collapsed="false">
      <c r="B83" s="0" t="s">
        <v>533</v>
      </c>
      <c r="D83" s="464" t="s">
        <v>546</v>
      </c>
      <c r="E83" s="67" t="n">
        <f aca="false">IF($D$72=0,E35,IF($D$72=1,A62,"error"))</f>
        <v>1534.14</v>
      </c>
      <c r="F83" s="67" t="n">
        <f aca="false">$E83*F$73</f>
        <v>219.228606</v>
      </c>
      <c r="G83" s="67" t="n">
        <f aca="false">$E83*G$73</f>
        <v>375.710886</v>
      </c>
      <c r="H83" s="67" t="n">
        <f aca="false">$E83*H$73</f>
        <v>268.321086</v>
      </c>
      <c r="I83" s="67" t="n">
        <f aca="false">$E83*I$73</f>
        <v>191.614086</v>
      </c>
      <c r="J83" s="67" t="n">
        <f aca="false">$E83*J$73</f>
        <v>136.998702</v>
      </c>
      <c r="K83" s="67" t="n">
        <f aca="false">$E83*K$73</f>
        <v>136.845288</v>
      </c>
      <c r="L83" s="67" t="n">
        <f aca="false">$E83*L$73</f>
        <v>136.998702</v>
      </c>
      <c r="M83" s="67" t="n">
        <f aca="false">$E83*M$73</f>
        <v>68.422644</v>
      </c>
      <c r="N83" s="67" t="n">
        <f aca="false">$E83*N$73</f>
        <v>0</v>
      </c>
      <c r="O83" s="67" t="n">
        <f aca="false">$E83*O$73</f>
        <v>0</v>
      </c>
      <c r="P83" s="67" t="n">
        <f aca="false">$E83*P$73</f>
        <v>0</v>
      </c>
      <c r="Q83" s="67" t="n">
        <f aca="false">$E83*Q$73</f>
        <v>0</v>
      </c>
      <c r="R83" s="67" t="n">
        <f aca="false">$E83*R$73</f>
        <v>0</v>
      </c>
      <c r="S83" s="67" t="n">
        <f aca="false">$E83*S$73</f>
        <v>0</v>
      </c>
      <c r="T83" s="67" t="n">
        <f aca="false">$E83*T$73</f>
        <v>0</v>
      </c>
    </row>
    <row r="84" customFormat="false" ht="12.75" hidden="false" customHeight="false" outlineLevel="0" collapsed="false">
      <c r="D84" s="67" t="s">
        <v>547</v>
      </c>
      <c r="E84" s="67" t="n">
        <f aca="false">$D$73</f>
        <v>7</v>
      </c>
      <c r="F84" s="67"/>
      <c r="G84" s="67"/>
      <c r="H84" s="67"/>
      <c r="I84" s="67"/>
      <c r="J84" s="67"/>
      <c r="K84" s="67"/>
      <c r="L84" s="67"/>
      <c r="M84" s="67"/>
      <c r="N84" s="67"/>
      <c r="O84" s="67"/>
      <c r="P84" s="67"/>
      <c r="Q84" s="67"/>
      <c r="R84" s="67"/>
      <c r="S84" s="67"/>
      <c r="T84" s="67"/>
    </row>
    <row r="85" customFormat="false" ht="12.75" hidden="false" customHeight="false" outlineLevel="0" collapsed="false">
      <c r="B85" s="0" t="s">
        <v>534</v>
      </c>
      <c r="D85" s="464" t="s">
        <v>546</v>
      </c>
      <c r="E85" s="67" t="n">
        <f aca="false">IF($D$72=0,E37,IF($D$72=1,A64,"error"))</f>
        <v>23779.9651315411</v>
      </c>
      <c r="F85" s="67" t="n">
        <f aca="false">$E85*F$73</f>
        <v>3398.15701729723</v>
      </c>
      <c r="G85" s="67" t="n">
        <f aca="false">$E85*G$73</f>
        <v>5823.71346071442</v>
      </c>
      <c r="H85" s="67" t="n">
        <f aca="false">$E85*H$73</f>
        <v>4159.11590150654</v>
      </c>
      <c r="I85" s="67" t="n">
        <f aca="false">$E85*I$73</f>
        <v>2970.11764492949</v>
      </c>
      <c r="J85" s="67" t="n">
        <f aca="false">$E85*J$73</f>
        <v>2123.55088624662</v>
      </c>
      <c r="K85" s="67" t="n">
        <f aca="false">$E85*K$73</f>
        <v>2121.17288973347</v>
      </c>
      <c r="L85" s="67" t="n">
        <f aca="false">$E85*L$73</f>
        <v>2123.55088624662</v>
      </c>
      <c r="M85" s="67" t="n">
        <f aca="false">$E85*M$73</f>
        <v>1060.58644486673</v>
      </c>
      <c r="N85" s="67" t="n">
        <f aca="false">$E85*N$73</f>
        <v>0</v>
      </c>
      <c r="O85" s="67" t="n">
        <f aca="false">$E85*O$73</f>
        <v>0</v>
      </c>
      <c r="P85" s="67" t="n">
        <f aca="false">$E85*P$73</f>
        <v>0</v>
      </c>
      <c r="Q85" s="67" t="n">
        <f aca="false">$E85*Q$73</f>
        <v>0</v>
      </c>
      <c r="R85" s="67" t="n">
        <f aca="false">$E85*R$73</f>
        <v>0</v>
      </c>
      <c r="S85" s="67" t="n">
        <f aca="false">$E85*S$73</f>
        <v>0</v>
      </c>
      <c r="T85" s="67" t="n">
        <f aca="false">$E85*T$73</f>
        <v>0</v>
      </c>
    </row>
    <row r="86" customFormat="false" ht="12.75" hidden="false" customHeight="false" outlineLevel="0" collapsed="false">
      <c r="D86" s="67" t="s">
        <v>547</v>
      </c>
      <c r="E86" s="67" t="n">
        <f aca="false">$D$73</f>
        <v>7</v>
      </c>
      <c r="F86" s="67"/>
      <c r="G86" s="67"/>
      <c r="H86" s="67"/>
      <c r="I86" s="67"/>
      <c r="J86" s="67"/>
      <c r="K86" s="67"/>
      <c r="L86" s="67"/>
      <c r="M86" s="67"/>
      <c r="N86" s="67"/>
      <c r="O86" s="67"/>
      <c r="P86" s="67"/>
      <c r="Q86" s="67"/>
      <c r="R86" s="67"/>
      <c r="S86" s="67"/>
      <c r="T86" s="67"/>
    </row>
    <row r="87" customFormat="false" ht="12.75" hidden="false" customHeight="false" outlineLevel="0" collapsed="false">
      <c r="B87" s="0" t="s">
        <v>548</v>
      </c>
      <c r="D87" s="67" t="s">
        <v>547</v>
      </c>
      <c r="E87" s="67" t="n">
        <f aca="false">$D$73</f>
        <v>7</v>
      </c>
      <c r="F87" s="67" t="n">
        <f aca="false">-SUM(F88:F98)</f>
        <v>35.725</v>
      </c>
      <c r="G87" s="67" t="n">
        <f aca="false">-SUM(G88:G98)</f>
        <v>132.675</v>
      </c>
      <c r="H87" s="67" t="n">
        <f aca="false">-SUM(H88:H98)</f>
        <v>237.625</v>
      </c>
      <c r="I87" s="67" t="n">
        <f aca="false">-SUM(I88:I98)</f>
        <v>312.575</v>
      </c>
      <c r="J87" s="67" t="n">
        <f aca="false">-SUM(J88:J98)</f>
        <v>366.125</v>
      </c>
      <c r="K87" s="67" t="n">
        <f aca="false">-SUM(K88:K98)</f>
        <v>410.75</v>
      </c>
      <c r="L87" s="67" t="n">
        <f aca="false">-SUM(L88:L98)</f>
        <v>455.375</v>
      </c>
      <c r="M87" s="67" t="n">
        <f aca="false">-SUM(M88:M98)</f>
        <v>488.85</v>
      </c>
      <c r="N87" s="67" t="n">
        <f aca="false">-SUM(N88:N98)</f>
        <v>500</v>
      </c>
      <c r="O87" s="67" t="n">
        <f aca="false">-SUM(O88:O98)</f>
        <v>500</v>
      </c>
      <c r="P87" s="67" t="n">
        <f aca="false">-SUM(P88:P98)</f>
        <v>500</v>
      </c>
      <c r="Q87" s="67" t="n">
        <f aca="false">-SUM(Q88:Q98)</f>
        <v>428.55</v>
      </c>
      <c r="R87" s="67" t="n">
        <f aca="false">-SUM(R88:R98)</f>
        <v>306.1</v>
      </c>
      <c r="S87" s="67" t="n">
        <f aca="false">-SUM(S88:S98)</f>
        <v>218.65</v>
      </c>
      <c r="T87" s="67" t="n">
        <f aca="false">-SUM(T88:T98)</f>
        <v>156.2</v>
      </c>
    </row>
    <row r="88" customFormat="false" ht="12.75" hidden="true" customHeight="false" outlineLevel="1" collapsed="false">
      <c r="D88" s="464"/>
      <c r="E88" s="58" t="n">
        <v>2001</v>
      </c>
      <c r="F88" s="67" t="n">
        <f aca="false">'Cash Flow '!$H$25*F73</f>
        <v>-35.725</v>
      </c>
      <c r="G88" s="67" t="n">
        <f aca="false">'Cash Flow '!$H$25*G73</f>
        <v>-61.225</v>
      </c>
      <c r="H88" s="67" t="n">
        <f aca="false">'Cash Flow '!$H$25*H73</f>
        <v>-43.725</v>
      </c>
      <c r="I88" s="67" t="n">
        <f aca="false">'Cash Flow '!$H$25*I73</f>
        <v>-31.225</v>
      </c>
      <c r="J88" s="67" t="n">
        <f aca="false">'Cash Flow '!$H$25*J73</f>
        <v>-22.325</v>
      </c>
      <c r="K88" s="67" t="n">
        <f aca="false">'Cash Flow '!$H$25*K73</f>
        <v>-22.3</v>
      </c>
      <c r="L88" s="67" t="n">
        <f aca="false">'Cash Flow '!$H$25*L73</f>
        <v>-22.325</v>
      </c>
      <c r="M88" s="67" t="n">
        <f aca="false">'Cash Flow '!$H$25*M73</f>
        <v>-11.15</v>
      </c>
      <c r="N88" s="67" t="n">
        <f aca="false">'Cash Flow '!$H$25*N73</f>
        <v>-0</v>
      </c>
      <c r="O88" s="67" t="n">
        <f aca="false">'Cash Flow '!$H$25*O73</f>
        <v>-0</v>
      </c>
      <c r="P88" s="67" t="n">
        <f aca="false">'Cash Flow '!$H$25*P73</f>
        <v>-0</v>
      </c>
      <c r="Q88" s="67" t="n">
        <f aca="false">'Cash Flow '!$H$25*Q73</f>
        <v>-0</v>
      </c>
      <c r="R88" s="67" t="n">
        <f aca="false">'Cash Flow '!$H$25*R73</f>
        <v>-0</v>
      </c>
      <c r="S88" s="67" t="n">
        <f aca="false">'Cash Flow '!$H$25*S73</f>
        <v>-0</v>
      </c>
      <c r="T88" s="67" t="n">
        <f aca="false">'Cash Flow '!$H$25*T73</f>
        <v>-0</v>
      </c>
    </row>
    <row r="89" customFormat="false" ht="12.75" hidden="true" customHeight="false" outlineLevel="1" collapsed="false">
      <c r="D89" s="464"/>
      <c r="E89" s="58" t="n">
        <f aca="false">E88+1</f>
        <v>2002</v>
      </c>
      <c r="F89" s="67"/>
      <c r="G89" s="67" t="n">
        <f aca="false">'Cash Flow '!$J$25*F73</f>
        <v>-71.45</v>
      </c>
      <c r="H89" s="67" t="n">
        <f aca="false">'Cash Flow '!$J$25*G73</f>
        <v>-122.45</v>
      </c>
      <c r="I89" s="67" t="n">
        <f aca="false">'Cash Flow '!$J$25*H73</f>
        <v>-87.45</v>
      </c>
      <c r="J89" s="67" t="n">
        <f aca="false">'Cash Flow '!$J$25*I73</f>
        <v>-62.45</v>
      </c>
      <c r="K89" s="67" t="n">
        <f aca="false">'Cash Flow '!$J$25*J73</f>
        <v>-44.65</v>
      </c>
      <c r="L89" s="67" t="n">
        <f aca="false">'Cash Flow '!$J$25*K73</f>
        <v>-44.6</v>
      </c>
      <c r="M89" s="67" t="n">
        <f aca="false">'Cash Flow '!$J$25*L73</f>
        <v>-44.65</v>
      </c>
      <c r="N89" s="67" t="n">
        <f aca="false">'Cash Flow '!$J$25*M73</f>
        <v>-22.3</v>
      </c>
      <c r="O89" s="67" t="n">
        <f aca="false">'Cash Flow '!$J$25*N73</f>
        <v>-0</v>
      </c>
      <c r="P89" s="67" t="n">
        <f aca="false">'Cash Flow '!$J$25*O73</f>
        <v>-0</v>
      </c>
      <c r="Q89" s="67" t="n">
        <f aca="false">'Cash Flow '!$J$25*P73</f>
        <v>-0</v>
      </c>
      <c r="R89" s="67" t="n">
        <f aca="false">'Cash Flow '!$J$25*Q73</f>
        <v>-0</v>
      </c>
      <c r="S89" s="67" t="n">
        <f aca="false">'Cash Flow '!$J$25*R73</f>
        <v>-0</v>
      </c>
      <c r="T89" s="67" t="n">
        <f aca="false">'Cash Flow '!$J$25*S73</f>
        <v>-0</v>
      </c>
    </row>
    <row r="90" customFormat="false" ht="12.75" hidden="true" customHeight="false" outlineLevel="1" collapsed="false">
      <c r="A90" s="13"/>
      <c r="D90" s="464"/>
      <c r="E90" s="58" t="n">
        <f aca="false">E89+1</f>
        <v>2003</v>
      </c>
      <c r="F90" s="67"/>
      <c r="G90" s="67"/>
      <c r="H90" s="67" t="n">
        <f aca="false">'Cash Flow '!$K$25*F73</f>
        <v>-71.45</v>
      </c>
      <c r="I90" s="67" t="n">
        <f aca="false">'Cash Flow '!$K$25*G73</f>
        <v>-122.45</v>
      </c>
      <c r="J90" s="67" t="n">
        <f aca="false">'Cash Flow '!$K$25*H73</f>
        <v>-87.45</v>
      </c>
      <c r="K90" s="67" t="n">
        <f aca="false">'Cash Flow '!$K$25*I73</f>
        <v>-62.45</v>
      </c>
      <c r="L90" s="67" t="n">
        <f aca="false">'Cash Flow '!$K$25*J73</f>
        <v>-44.65</v>
      </c>
      <c r="M90" s="67" t="n">
        <f aca="false">'Cash Flow '!$K$25*K73</f>
        <v>-44.6</v>
      </c>
      <c r="N90" s="67" t="n">
        <f aca="false">'Cash Flow '!$K$25*L73</f>
        <v>-44.65</v>
      </c>
      <c r="O90" s="67" t="n">
        <f aca="false">'Cash Flow '!$K$25*M73</f>
        <v>-22.3</v>
      </c>
      <c r="P90" s="67" t="n">
        <f aca="false">'Cash Flow '!$K$25*N73</f>
        <v>-0</v>
      </c>
      <c r="Q90" s="67" t="n">
        <f aca="false">'Cash Flow '!$K$25*O73</f>
        <v>-0</v>
      </c>
      <c r="R90" s="67" t="n">
        <f aca="false">'Cash Flow '!$K$25*P73</f>
        <v>-0</v>
      </c>
      <c r="S90" s="67" t="n">
        <f aca="false">'Cash Flow '!$K$25*Q73</f>
        <v>-0</v>
      </c>
      <c r="T90" s="67" t="n">
        <f aca="false">'Cash Flow '!$K$25*R73</f>
        <v>-0</v>
      </c>
    </row>
    <row r="91" customFormat="false" ht="12.75" hidden="true" customHeight="false" outlineLevel="1" collapsed="false">
      <c r="A91" s="13"/>
      <c r="C91" s="480"/>
      <c r="D91" s="464"/>
      <c r="E91" s="58" t="n">
        <f aca="false">E90+1</f>
        <v>2004</v>
      </c>
      <c r="F91" s="67"/>
      <c r="G91" s="67"/>
      <c r="H91" s="67"/>
      <c r="I91" s="67" t="n">
        <f aca="false">'Cash Flow '!$L$25*F73</f>
        <v>-71.45</v>
      </c>
      <c r="J91" s="67" t="n">
        <f aca="false">'Cash Flow '!$L$25*G73</f>
        <v>-122.45</v>
      </c>
      <c r="K91" s="67" t="n">
        <f aca="false">'Cash Flow '!$L$25*H73</f>
        <v>-87.45</v>
      </c>
      <c r="L91" s="67" t="n">
        <f aca="false">'Cash Flow '!$L$25*I73</f>
        <v>-62.45</v>
      </c>
      <c r="M91" s="67" t="n">
        <f aca="false">'Cash Flow '!$L$25*J73</f>
        <v>-44.65</v>
      </c>
      <c r="N91" s="67" t="n">
        <f aca="false">'Cash Flow '!$L$25*K73</f>
        <v>-44.6</v>
      </c>
      <c r="O91" s="67" t="n">
        <f aca="false">'Cash Flow '!$L$25*L73</f>
        <v>-44.65</v>
      </c>
      <c r="P91" s="67" t="n">
        <f aca="false">'Cash Flow '!$L$25*M73</f>
        <v>-22.3</v>
      </c>
      <c r="Q91" s="67" t="n">
        <f aca="false">'Cash Flow '!$L$25*N73</f>
        <v>-0</v>
      </c>
      <c r="R91" s="67" t="n">
        <f aca="false">'Cash Flow '!$L$25*O73</f>
        <v>-0</v>
      </c>
      <c r="S91" s="67" t="n">
        <f aca="false">'Cash Flow '!$L$25*P73</f>
        <v>-0</v>
      </c>
      <c r="T91" s="67" t="n">
        <f aca="false">'Cash Flow '!$L$25*Q73</f>
        <v>-0</v>
      </c>
    </row>
    <row r="92" customFormat="false" ht="12.75" hidden="true" customHeight="false" outlineLevel="1" collapsed="false">
      <c r="D92" s="67"/>
      <c r="E92" s="58" t="n">
        <f aca="false">E91+1</f>
        <v>2005</v>
      </c>
      <c r="F92" s="67"/>
      <c r="G92" s="67"/>
      <c r="H92" s="67"/>
      <c r="I92" s="67"/>
      <c r="J92" s="67" t="n">
        <f aca="false">'Cash Flow '!$M$25*$F$73</f>
        <v>-71.45</v>
      </c>
      <c r="K92" s="67" t="n">
        <f aca="false">'Cash Flow '!$M$25*G73</f>
        <v>-122.45</v>
      </c>
      <c r="L92" s="67" t="n">
        <f aca="false">'Cash Flow '!$M$25*H73</f>
        <v>-87.45</v>
      </c>
      <c r="M92" s="67" t="n">
        <f aca="false">'Cash Flow '!$M$25*I73</f>
        <v>-62.45</v>
      </c>
      <c r="N92" s="67" t="n">
        <f aca="false">'Cash Flow '!$M$25*J73</f>
        <v>-44.65</v>
      </c>
      <c r="O92" s="67" t="n">
        <f aca="false">'Cash Flow '!$M$25*K73</f>
        <v>-44.6</v>
      </c>
      <c r="P92" s="67" t="n">
        <f aca="false">'Cash Flow '!$M$25*L73</f>
        <v>-44.65</v>
      </c>
      <c r="Q92" s="67" t="n">
        <f aca="false">'Cash Flow '!$M$25*M73</f>
        <v>-22.3</v>
      </c>
      <c r="R92" s="67" t="n">
        <f aca="false">'Cash Flow '!$M$25*N73</f>
        <v>-0</v>
      </c>
      <c r="S92" s="67" t="n">
        <f aca="false">'Cash Flow '!$M$25*O73</f>
        <v>-0</v>
      </c>
      <c r="T92" s="67" t="n">
        <f aca="false">'Cash Flow '!$M$25*P73</f>
        <v>-0</v>
      </c>
    </row>
    <row r="93" customFormat="false" ht="12.75" hidden="true" customHeight="false" outlineLevel="1" collapsed="false">
      <c r="D93" s="67"/>
      <c r="E93" s="58" t="n">
        <f aca="false">E92+1</f>
        <v>2006</v>
      </c>
      <c r="F93" s="67"/>
      <c r="G93" s="67"/>
      <c r="H93" s="67"/>
      <c r="I93" s="67"/>
      <c r="J93" s="67"/>
      <c r="K93" s="67" t="n">
        <f aca="false">'Cash Flow '!$M$25*F$73</f>
        <v>-71.45</v>
      </c>
      <c r="L93" s="67" t="n">
        <f aca="false">'Cash Flow '!$M$25*G$73</f>
        <v>-122.45</v>
      </c>
      <c r="M93" s="67" t="n">
        <f aca="false">'Cash Flow '!$M$25*H$73</f>
        <v>-87.45</v>
      </c>
      <c r="N93" s="67" t="n">
        <f aca="false">'Cash Flow '!$M$25*I$73</f>
        <v>-62.45</v>
      </c>
      <c r="O93" s="67" t="n">
        <f aca="false">'Cash Flow '!$M$25*J$73</f>
        <v>-44.65</v>
      </c>
      <c r="P93" s="67" t="n">
        <f aca="false">'Cash Flow '!$M$25*K$73</f>
        <v>-44.6</v>
      </c>
      <c r="Q93" s="67" t="n">
        <f aca="false">'Cash Flow '!$M$25*L$73</f>
        <v>-44.65</v>
      </c>
      <c r="R93" s="67" t="n">
        <f aca="false">'Cash Flow '!$M$25*M$73</f>
        <v>-22.3</v>
      </c>
      <c r="S93" s="67" t="n">
        <f aca="false">'Cash Flow '!$M$25*N$73</f>
        <v>-0</v>
      </c>
      <c r="T93" s="67" t="n">
        <f aca="false">'Cash Flow '!$M$25*O$73</f>
        <v>-0</v>
      </c>
    </row>
    <row r="94" customFormat="false" ht="12.75" hidden="true" customHeight="false" outlineLevel="1" collapsed="false">
      <c r="D94" s="67"/>
      <c r="E94" s="58" t="n">
        <f aca="false">E93+1</f>
        <v>2007</v>
      </c>
      <c r="F94" s="67"/>
      <c r="G94" s="67"/>
      <c r="H94" s="67"/>
      <c r="I94" s="67"/>
      <c r="J94" s="67"/>
      <c r="K94" s="67"/>
      <c r="L94" s="67" t="n">
        <f aca="false">'Cash Flow '!$M$25*F$73</f>
        <v>-71.45</v>
      </c>
      <c r="M94" s="67" t="n">
        <f aca="false">'Cash Flow '!$M$25*G$73</f>
        <v>-122.45</v>
      </c>
      <c r="N94" s="67" t="n">
        <f aca="false">'Cash Flow '!$M$25*H$73</f>
        <v>-87.45</v>
      </c>
      <c r="O94" s="67" t="n">
        <f aca="false">'Cash Flow '!$M$25*I$73</f>
        <v>-62.45</v>
      </c>
      <c r="P94" s="67" t="n">
        <f aca="false">'Cash Flow '!$M$25*J$73</f>
        <v>-44.65</v>
      </c>
      <c r="Q94" s="67" t="n">
        <f aca="false">'Cash Flow '!$M$25*K$73</f>
        <v>-44.6</v>
      </c>
      <c r="R94" s="67" t="n">
        <f aca="false">'Cash Flow '!$M$25*L$73</f>
        <v>-44.65</v>
      </c>
      <c r="S94" s="67" t="n">
        <f aca="false">'Cash Flow '!$M$25*M$73</f>
        <v>-22.3</v>
      </c>
      <c r="T94" s="67" t="n">
        <f aca="false">'Cash Flow '!$M$25*N$73</f>
        <v>-0</v>
      </c>
    </row>
    <row r="95" customFormat="false" ht="12.75" hidden="true" customHeight="false" outlineLevel="1" collapsed="false">
      <c r="D95" s="67"/>
      <c r="E95" s="58" t="n">
        <f aca="false">E94+1</f>
        <v>2008</v>
      </c>
      <c r="F95" s="67"/>
      <c r="G95" s="67"/>
      <c r="H95" s="67"/>
      <c r="I95" s="67"/>
      <c r="J95" s="67"/>
      <c r="K95" s="67"/>
      <c r="L95" s="67"/>
      <c r="M95" s="67" t="n">
        <f aca="false">'Cash Flow '!$M$25*F$73</f>
        <v>-71.45</v>
      </c>
      <c r="N95" s="67" t="n">
        <f aca="false">'Cash Flow '!$M$25*G$73</f>
        <v>-122.45</v>
      </c>
      <c r="O95" s="67" t="n">
        <f aca="false">'Cash Flow '!$M$25*H$73</f>
        <v>-87.45</v>
      </c>
      <c r="P95" s="67" t="n">
        <f aca="false">'Cash Flow '!$M$25*I$73</f>
        <v>-62.45</v>
      </c>
      <c r="Q95" s="67" t="n">
        <f aca="false">'Cash Flow '!$M$25*J$73</f>
        <v>-44.65</v>
      </c>
      <c r="R95" s="67" t="n">
        <f aca="false">'Cash Flow '!$M$25*K$73</f>
        <v>-44.6</v>
      </c>
      <c r="S95" s="67" t="n">
        <f aca="false">'Cash Flow '!$M$25*L$73</f>
        <v>-44.65</v>
      </c>
      <c r="T95" s="67" t="n">
        <f aca="false">'Cash Flow '!$M$25*M$73</f>
        <v>-22.3</v>
      </c>
    </row>
    <row r="96" customFormat="false" ht="12.75" hidden="true" customHeight="false" outlineLevel="1" collapsed="false">
      <c r="D96" s="67"/>
      <c r="E96" s="58" t="n">
        <f aca="false">E95+1</f>
        <v>2009</v>
      </c>
      <c r="F96" s="67"/>
      <c r="G96" s="67"/>
      <c r="H96" s="67"/>
      <c r="I96" s="67"/>
      <c r="J96" s="67"/>
      <c r="K96" s="67"/>
      <c r="L96" s="67"/>
      <c r="M96" s="67"/>
      <c r="N96" s="67" t="n">
        <f aca="false">'Cash Flow '!$M$25*F$73</f>
        <v>-71.45</v>
      </c>
      <c r="O96" s="67" t="n">
        <f aca="false">'Cash Flow '!$M$25*G$73</f>
        <v>-122.45</v>
      </c>
      <c r="P96" s="67" t="n">
        <f aca="false">'Cash Flow '!$M$25*H$73</f>
        <v>-87.45</v>
      </c>
      <c r="Q96" s="67" t="n">
        <f aca="false">'Cash Flow '!$M$25*I$73</f>
        <v>-62.45</v>
      </c>
      <c r="R96" s="67" t="n">
        <f aca="false">'Cash Flow '!$M$25*J$73</f>
        <v>-44.65</v>
      </c>
      <c r="S96" s="67" t="n">
        <f aca="false">'Cash Flow '!$M$25*K$73</f>
        <v>-44.6</v>
      </c>
      <c r="T96" s="67" t="n">
        <f aca="false">'Cash Flow '!$M$25*L$73</f>
        <v>-44.65</v>
      </c>
    </row>
    <row r="97" customFormat="false" ht="12.75" hidden="true" customHeight="false" outlineLevel="1" collapsed="false">
      <c r="D97" s="67"/>
      <c r="E97" s="58" t="n">
        <f aca="false">E96+1</f>
        <v>2010</v>
      </c>
      <c r="F97" s="67"/>
      <c r="G97" s="67"/>
      <c r="H97" s="67"/>
      <c r="I97" s="67"/>
      <c r="J97" s="67"/>
      <c r="K97" s="67"/>
      <c r="L97" s="67"/>
      <c r="M97" s="67"/>
      <c r="N97" s="67"/>
      <c r="O97" s="67" t="n">
        <f aca="false">'Cash Flow '!$M$25*F$73</f>
        <v>-71.45</v>
      </c>
      <c r="P97" s="67" t="n">
        <f aca="false">'Cash Flow '!$M$25*G$73</f>
        <v>-122.45</v>
      </c>
      <c r="Q97" s="67" t="n">
        <f aca="false">'Cash Flow '!$M$25*H$73</f>
        <v>-87.45</v>
      </c>
      <c r="R97" s="67" t="n">
        <f aca="false">'Cash Flow '!$M$25*I$73</f>
        <v>-62.45</v>
      </c>
      <c r="S97" s="67" t="n">
        <f aca="false">'Cash Flow '!$M$25*J$73</f>
        <v>-44.65</v>
      </c>
      <c r="T97" s="67" t="n">
        <f aca="false">'Cash Flow '!$M$25*K$73</f>
        <v>-44.6</v>
      </c>
    </row>
    <row r="98" customFormat="false" ht="12.75" hidden="true" customHeight="false" outlineLevel="1" collapsed="false">
      <c r="D98" s="67"/>
      <c r="E98" s="58" t="n">
        <f aca="false">E97+1</f>
        <v>2011</v>
      </c>
      <c r="F98" s="67"/>
      <c r="G98" s="67"/>
      <c r="H98" s="67"/>
      <c r="I98" s="67"/>
      <c r="J98" s="67"/>
      <c r="K98" s="67"/>
      <c r="L98" s="67"/>
      <c r="M98" s="67"/>
      <c r="N98" s="67"/>
      <c r="O98" s="67"/>
      <c r="P98" s="67" t="n">
        <f aca="false">'Cash Flow '!$M$25*F$73</f>
        <v>-71.45</v>
      </c>
      <c r="Q98" s="67" t="n">
        <f aca="false">'Cash Flow '!$M$25*G$73</f>
        <v>-122.45</v>
      </c>
      <c r="R98" s="67" t="n">
        <f aca="false">'Cash Flow '!$M$25*H$73</f>
        <v>-87.45</v>
      </c>
      <c r="S98" s="67" t="n">
        <f aca="false">'Cash Flow '!$M$25*I$73</f>
        <v>-62.45</v>
      </c>
      <c r="T98" s="67" t="n">
        <f aca="false">'Cash Flow '!$M$25*J$73</f>
        <v>-44.65</v>
      </c>
    </row>
    <row r="99" customFormat="false" ht="12.75" hidden="true" customHeight="false" outlineLevel="1" collapsed="false">
      <c r="D99" s="67"/>
      <c r="E99" s="58"/>
      <c r="F99" s="67"/>
      <c r="G99" s="67"/>
      <c r="H99" s="67"/>
      <c r="I99" s="67"/>
      <c r="J99" s="67"/>
      <c r="K99" s="67"/>
      <c r="L99" s="67"/>
      <c r="M99" s="67"/>
      <c r="N99" s="67"/>
      <c r="O99" s="67"/>
      <c r="P99" s="67"/>
      <c r="Q99" s="67"/>
      <c r="R99" s="67"/>
      <c r="S99" s="67"/>
      <c r="T99" s="67"/>
    </row>
    <row r="100" customFormat="false" ht="12.75" hidden="false" customHeight="false" outlineLevel="0" collapsed="false">
      <c r="D100" s="464"/>
      <c r="E100" s="67"/>
      <c r="F100" s="67"/>
      <c r="G100" s="67"/>
      <c r="H100" s="67"/>
      <c r="I100" s="67"/>
      <c r="J100" s="67"/>
      <c r="K100" s="67"/>
      <c r="L100" s="67"/>
      <c r="M100" s="67"/>
      <c r="N100" s="67"/>
      <c r="O100" s="67"/>
      <c r="P100" s="67"/>
      <c r="Q100" s="67"/>
      <c r="R100" s="67"/>
      <c r="S100" s="67"/>
      <c r="T100" s="67"/>
    </row>
    <row r="101" customFormat="false" ht="12.75" hidden="false" customHeight="false" outlineLevel="0" collapsed="false">
      <c r="B101" s="0" t="s">
        <v>553</v>
      </c>
      <c r="C101" s="472"/>
      <c r="D101" s="67" t="s">
        <v>554</v>
      </c>
      <c r="E101" s="67" t="n">
        <f aca="false">IF($D$72=0,0,IF($D$72=1,E68,"error"))</f>
        <v>40968.6572098311</v>
      </c>
      <c r="F101" s="67" t="n">
        <f aca="false">$E$101/$E$102</f>
        <v>2731.24381398874</v>
      </c>
      <c r="G101" s="67" t="n">
        <f aca="false">$E$101/$E$102</f>
        <v>2731.24381398874</v>
      </c>
      <c r="H101" s="67" t="n">
        <f aca="false">$E$101/$E$102</f>
        <v>2731.24381398874</v>
      </c>
      <c r="I101" s="67" t="n">
        <f aca="false">$E$101/$E$102</f>
        <v>2731.24381398874</v>
      </c>
      <c r="J101" s="67" t="n">
        <f aca="false">$E$101/$E$102</f>
        <v>2731.24381398874</v>
      </c>
      <c r="K101" s="67" t="n">
        <f aca="false">$E$101/$E$102</f>
        <v>2731.24381398874</v>
      </c>
      <c r="L101" s="67" t="n">
        <f aca="false">$E$101/$E$102</f>
        <v>2731.24381398874</v>
      </c>
      <c r="M101" s="67" t="n">
        <f aca="false">$E$101/$E$102</f>
        <v>2731.24381398874</v>
      </c>
      <c r="N101" s="67" t="n">
        <f aca="false">$E$101/$E$102</f>
        <v>2731.24381398874</v>
      </c>
      <c r="O101" s="67" t="n">
        <f aca="false">$E$101/$E$102</f>
        <v>2731.24381398874</v>
      </c>
      <c r="P101" s="67" t="n">
        <f aca="false">$E$101/$E$102</f>
        <v>2731.24381398874</v>
      </c>
      <c r="Q101" s="67" t="n">
        <f aca="false">$E$101/$E$102</f>
        <v>2731.24381398874</v>
      </c>
      <c r="R101" s="67" t="n">
        <f aca="false">$E$101/$E$102</f>
        <v>2731.24381398874</v>
      </c>
      <c r="S101" s="67" t="n">
        <f aca="false">$E$101/$E$102</f>
        <v>2731.24381398874</v>
      </c>
      <c r="T101" s="67" t="n">
        <f aca="false">$E$101/$E$102</f>
        <v>2731.24381398874</v>
      </c>
    </row>
    <row r="102" customFormat="false" ht="12.75" hidden="false" customHeight="false" outlineLevel="0" collapsed="false">
      <c r="D102" s="67" t="s">
        <v>555</v>
      </c>
      <c r="E102" s="67" t="n">
        <v>15</v>
      </c>
      <c r="F102" s="67"/>
      <c r="G102" s="67"/>
      <c r="H102" s="67"/>
      <c r="I102" s="67"/>
      <c r="J102" s="67"/>
      <c r="K102" s="67"/>
      <c r="L102" s="67"/>
      <c r="M102" s="67"/>
      <c r="N102" s="67"/>
      <c r="O102" s="67"/>
      <c r="P102" s="67"/>
      <c r="Q102" s="67"/>
      <c r="R102" s="67"/>
      <c r="S102" s="67"/>
      <c r="T102" s="67"/>
    </row>
    <row r="103" customFormat="false" ht="12.75" hidden="false" customHeight="false" outlineLevel="0" collapsed="false">
      <c r="B103" s="0" t="s">
        <v>535</v>
      </c>
      <c r="D103" s="464"/>
      <c r="E103" s="67"/>
      <c r="F103" s="67" t="n">
        <f aca="false">SUM(F77:F87)+F101</f>
        <v>14159.8004462787</v>
      </c>
      <c r="G103" s="67" t="n">
        <f aca="false">SUM(G77:G87)+G101</f>
        <v>22388.7926190818</v>
      </c>
      <c r="H103" s="67" t="n">
        <f aca="false">SUM(H77:H87)+H101</f>
        <v>16912.9293632365</v>
      </c>
      <c r="I103" s="67" t="n">
        <f aca="false">SUM(I77:I87)+I101</f>
        <v>13001.5841804899</v>
      </c>
      <c r="J103" s="67" t="n">
        <f aca="false">SUM(J77:J87)+J101</f>
        <v>10216.8920103743</v>
      </c>
      <c r="K103" s="67" t="n">
        <f aca="false">SUM(K77:K87)+K101</f>
        <v>10253.5444200088</v>
      </c>
      <c r="L103" s="67" t="n">
        <f aca="false">SUM(L77:L87)+L101</f>
        <v>10306.1420103743</v>
      </c>
      <c r="M103" s="67" t="n">
        <f aca="false">SUM(M77:M87)+M101</f>
        <v>6775.86911699875</v>
      </c>
      <c r="N103" s="67" t="n">
        <f aca="false">SUM(N77:N87)+N101</f>
        <v>3231.24381398874</v>
      </c>
      <c r="O103" s="67" t="n">
        <f aca="false">SUM(O77:O87)+O101</f>
        <v>3231.24381398874</v>
      </c>
      <c r="P103" s="67" t="n">
        <f aca="false">SUM(P77:P87)+P101</f>
        <v>3231.24381398874</v>
      </c>
      <c r="Q103" s="67" t="n">
        <f aca="false">SUM(Q77:Q87)+Q101</f>
        <v>3159.79381398874</v>
      </c>
      <c r="R103" s="67" t="n">
        <f aca="false">SUM(R77:R87)+R101</f>
        <v>3037.34381398874</v>
      </c>
      <c r="S103" s="67" t="n">
        <f aca="false">SUM(S77:S87)+S101</f>
        <v>2949.89381398874</v>
      </c>
      <c r="T103" s="67" t="n">
        <f aca="false">SUM(T77:T87)+T101</f>
        <v>2887.44381398874</v>
      </c>
    </row>
    <row r="104" customFormat="false" ht="12.75" hidden="false" customHeight="false" outlineLevel="0" collapsed="false">
      <c r="E104" s="67"/>
      <c r="F104" s="67"/>
      <c r="G104" s="67"/>
      <c r="H104" s="67"/>
      <c r="I104" s="67"/>
      <c r="J104" s="67"/>
      <c r="K104" s="67"/>
      <c r="L104" s="67"/>
      <c r="M104" s="67"/>
      <c r="N104" s="67"/>
      <c r="O104" s="67"/>
      <c r="P104" s="67"/>
      <c r="Q104" s="67"/>
      <c r="R104" s="67"/>
      <c r="S104" s="67"/>
      <c r="T104" s="67"/>
    </row>
    <row r="105" customFormat="false" ht="12.75" hidden="false" customHeight="false" outlineLevel="0" collapsed="false">
      <c r="B105" s="0" t="s">
        <v>559</v>
      </c>
      <c r="E105" s="67"/>
      <c r="F105" s="67" t="n">
        <f aca="false">F103-F66-F52-F68</f>
        <v>10469.7205608684</v>
      </c>
      <c r="G105" s="67" t="n">
        <f aca="false">G103-G66-G52-G68</f>
        <v>18682.0460670049</v>
      </c>
      <c r="H105" s="67" t="n">
        <f aca="false">H103-H66-H52-H68</f>
        <v>13189.516144493</v>
      </c>
      <c r="I105" s="67" t="n">
        <f aca="false">I103-I66-I52-I68</f>
        <v>9261.50429507966</v>
      </c>
      <c r="J105" s="67" t="n">
        <f aca="false">J103-J66-J52-J68</f>
        <v>6460.14545829738</v>
      </c>
      <c r="K105" s="67" t="n">
        <f aca="false">K103-K66-K52-K68</f>
        <v>6480.13120126522</v>
      </c>
      <c r="L105" s="67" t="n">
        <f aca="false">L103-L66-L52-L68</f>
        <v>6516.06212496404</v>
      </c>
      <c r="M105" s="67" t="n">
        <f aca="false">M103-M66-M52-M68</f>
        <v>2969.12256492187</v>
      </c>
      <c r="N105" s="67" t="n">
        <f aca="false">N103-N66-N52-N68</f>
        <v>-592.169404754804</v>
      </c>
      <c r="O105" s="67" t="n">
        <f aca="false">O103-O66-O52-O68</f>
        <v>-608.836071421471</v>
      </c>
      <c r="P105" s="67" t="n">
        <f aca="false">P103-P66-P52-P68</f>
        <v>-625.502738088137</v>
      </c>
      <c r="Q105" s="67" t="n">
        <f aca="false">Q103-Q66-Q52-Q68</f>
        <v>-696.952738088137</v>
      </c>
      <c r="R105" s="67" t="n">
        <f aca="false">R103-R66-R52-R68</f>
        <v>-819.402738088138</v>
      </c>
      <c r="S105" s="67" t="n">
        <f aca="false">S103-S66-S52-S68</f>
        <v>-906.852738088137</v>
      </c>
      <c r="T105" s="67" t="n">
        <f aca="false">T103-T66-T52-T68</f>
        <v>-969.302738088138</v>
      </c>
    </row>
    <row r="106" customFormat="false" ht="12.75" hidden="false" customHeight="false" outlineLevel="0" collapsed="false">
      <c r="B106" s="0" t="s">
        <v>560</v>
      </c>
      <c r="E106" s="67"/>
      <c r="F106" s="67" t="n">
        <f aca="false">F105*Assumptions!$B$8</f>
        <v>3664.40219630396</v>
      </c>
      <c r="G106" s="67" t="n">
        <f aca="false">G105*Assumptions!$B$8</f>
        <v>6538.71612345173</v>
      </c>
      <c r="H106" s="67" t="n">
        <f aca="false">H105*Assumptions!$B$8</f>
        <v>4616.33065057254</v>
      </c>
      <c r="I106" s="67" t="n">
        <f aca="false">I105*Assumptions!$B$8</f>
        <v>3241.52650327788</v>
      </c>
      <c r="J106" s="67" t="n">
        <f aca="false">J105*Assumptions!$B$8</f>
        <v>2261.05091040408</v>
      </c>
      <c r="K106" s="67" t="n">
        <f aca="false">K105*Assumptions!$B$8</f>
        <v>2268.04592044283</v>
      </c>
      <c r="L106" s="67" t="n">
        <f aca="false">L105*Assumptions!$B$8</f>
        <v>2280.62174373742</v>
      </c>
      <c r="M106" s="67" t="n">
        <f aca="false">M105*Assumptions!$B$8</f>
        <v>1039.19289772266</v>
      </c>
      <c r="N106" s="67" t="n">
        <f aca="false">N105*Assumptions!$B$8</f>
        <v>-207.259291664181</v>
      </c>
      <c r="O106" s="67" t="n">
        <f aca="false">O105*Assumptions!$B$8</f>
        <v>-213.092624997515</v>
      </c>
      <c r="P106" s="67" t="n">
        <f aca="false">P105*Assumptions!$B$8</f>
        <v>-218.925958330848</v>
      </c>
      <c r="Q106" s="67" t="n">
        <f aca="false">Q105*Assumptions!$B$8</f>
        <v>-243.933458330848</v>
      </c>
      <c r="R106" s="67" t="n">
        <f aca="false">R105*Assumptions!$B$8</f>
        <v>-286.790958330848</v>
      </c>
      <c r="S106" s="67" t="n">
        <f aca="false">S105*Assumptions!$B$8</f>
        <v>-317.398458330848</v>
      </c>
      <c r="T106" s="67" t="n">
        <f aca="false">T105*Assumptions!$B$8</f>
        <v>-339.255958330848</v>
      </c>
    </row>
    <row r="107" customFormat="false" ht="12.75" hidden="false" customHeight="false" outlineLevel="0" collapsed="false">
      <c r="B107" s="0" t="s">
        <v>561</v>
      </c>
      <c r="E107" s="481" t="n">
        <f aca="false">NPV(0.1,F103:T103)*(35%)</f>
        <v>28226.6656381708</v>
      </c>
    </row>
    <row r="108" customFormat="false" ht="12.75" hidden="false" customHeight="false" outlineLevel="0" collapsed="false">
      <c r="B108" s="0" t="s">
        <v>562</v>
      </c>
      <c r="E108" s="481" t="n">
        <f aca="false">E107-7734</f>
        <v>20492.6656381708</v>
      </c>
    </row>
    <row r="110" customFormat="false" ht="12.75" hidden="false" customHeight="false" outlineLevel="0" collapsed="false">
      <c r="B110" s="457" t="s">
        <v>563</v>
      </c>
      <c r="C110" s="467"/>
      <c r="D110" s="467"/>
      <c r="E110" s="467"/>
      <c r="F110" s="482" t="n">
        <f aca="false">+F31+(F39/2)+F58</f>
        <v>933.615866590494</v>
      </c>
      <c r="G110" s="482" t="n">
        <f aca="false">+G31+(G39/2)+G58</f>
        <v>941.949199923827</v>
      </c>
      <c r="H110" s="482" t="n">
        <f aca="false">+H31+(H39/2)+H58</f>
        <v>950.282533257161</v>
      </c>
      <c r="I110" s="482" t="n">
        <f aca="false">+I31+(I39/2)+I58</f>
        <v>958.615866590494</v>
      </c>
      <c r="J110" s="482" t="n">
        <f aca="false">+J31+(J39/2)+J58</f>
        <v>966.949199923827</v>
      </c>
      <c r="K110" s="482" t="n">
        <f aca="false">+K31+(K39/2)+K58</f>
        <v>975.282533257161</v>
      </c>
      <c r="L110" s="482" t="n">
        <f aca="false">+L31+(L39/2)+L58</f>
        <v>983.615866590494</v>
      </c>
      <c r="M110" s="482" t="n">
        <f aca="false">+M31+(M39/2)+M58</f>
        <v>991.949199923827</v>
      </c>
      <c r="N110" s="482" t="n">
        <f aca="false">+N31+(N39/2)+N58</f>
        <v>1000.28253325716</v>
      </c>
      <c r="O110" s="482" t="n">
        <f aca="false">+O31+(O39/2)+O58</f>
        <v>1008.61586659049</v>
      </c>
      <c r="P110" s="483" t="n">
        <f aca="false">+P31+(P39/2)+P58</f>
        <v>1016.94919992383</v>
      </c>
    </row>
    <row r="111" customFormat="false" ht="15" hidden="false" customHeight="false" outlineLevel="0" collapsed="false">
      <c r="B111" s="484" t="s">
        <v>564</v>
      </c>
      <c r="C111" s="58"/>
      <c r="D111" s="58"/>
      <c r="E111" s="58"/>
      <c r="F111" s="485" t="n">
        <f aca="false">+F79+(F87/2)</f>
        <v>4002.41122007345</v>
      </c>
      <c r="G111" s="485" t="n">
        <f aca="false">+G79+(G87/2)</f>
        <v>6895.00077184036</v>
      </c>
      <c r="H111" s="485" t="n">
        <f aca="false">+H79+(H87/2)</f>
        <v>4995.63245200032</v>
      </c>
      <c r="I111" s="485" t="n">
        <f aca="false">+I79+(I87/2)</f>
        <v>3638.93365211458</v>
      </c>
      <c r="J111" s="485" t="n">
        <f aca="false">+J79+(J87/2)</f>
        <v>2673.05690659593</v>
      </c>
      <c r="K111" s="485" t="n">
        <f aca="false">+K79+(K87/2)</f>
        <v>2692.58105899616</v>
      </c>
      <c r="L111" s="485" t="n">
        <f aca="false">+L79+(L87/2)</f>
        <v>2717.68190659593</v>
      </c>
      <c r="M111" s="485" t="n">
        <f aca="false">+M79+(M87/2)</f>
        <v>1488.02802949808</v>
      </c>
      <c r="N111" s="485" t="n">
        <f aca="false">+N79+(N87/2)</f>
        <v>250</v>
      </c>
      <c r="O111" s="485" t="n">
        <f aca="false">+O79+(O87/2)</f>
        <v>250</v>
      </c>
      <c r="P111" s="486" t="n">
        <f aca="false">+P79+(P87/2)</f>
        <v>250</v>
      </c>
    </row>
    <row r="112" customFormat="false" ht="12.75" hidden="false" customHeight="false" outlineLevel="0" collapsed="false">
      <c r="B112" s="484" t="s">
        <v>565</v>
      </c>
      <c r="C112" s="58"/>
      <c r="D112" s="58"/>
      <c r="E112" s="58"/>
      <c r="F112" s="277" t="n">
        <f aca="false">+F111-F110</f>
        <v>3068.79535348295</v>
      </c>
      <c r="G112" s="277" t="n">
        <f aca="false">+G111-G110</f>
        <v>5953.05157191653</v>
      </c>
      <c r="H112" s="277" t="n">
        <f aca="false">+H111-H110</f>
        <v>4045.34991874316</v>
      </c>
      <c r="I112" s="277" t="n">
        <f aca="false">+I111-I110</f>
        <v>2680.31778552409</v>
      </c>
      <c r="J112" s="277" t="n">
        <f aca="false">+J111-J110</f>
        <v>1706.10770667211</v>
      </c>
      <c r="K112" s="277" t="n">
        <f aca="false">+K111-K110</f>
        <v>1717.298525739</v>
      </c>
      <c r="L112" s="277" t="n">
        <f aca="false">+L111-L110</f>
        <v>1734.06604000544</v>
      </c>
      <c r="M112" s="277" t="n">
        <f aca="false">+M111-M110</f>
        <v>496.078829574254</v>
      </c>
      <c r="N112" s="277" t="n">
        <f aca="false">+N111-N110</f>
        <v>-750.282533257161</v>
      </c>
      <c r="O112" s="277" t="n">
        <f aca="false">+O111-O110</f>
        <v>-758.615866590494</v>
      </c>
      <c r="P112" s="487" t="n">
        <f aca="false">+P111-P110</f>
        <v>-766.949199923827</v>
      </c>
    </row>
    <row r="113" customFormat="false" ht="12.75" hidden="false" customHeight="false" outlineLevel="0" collapsed="false">
      <c r="B113" s="468" t="s">
        <v>566</v>
      </c>
      <c r="C113" s="418"/>
      <c r="D113" s="418"/>
      <c r="E113" s="418"/>
      <c r="F113" s="488" t="n">
        <f aca="false">+F112*Assumptions!$B$8</f>
        <v>1074.07837371903</v>
      </c>
      <c r="G113" s="488" t="n">
        <f aca="false">+G112*Assumptions!$B$8</f>
        <v>2083.56805017079</v>
      </c>
      <c r="H113" s="488" t="n">
        <f aca="false">+H112*Assumptions!$B$8</f>
        <v>1415.87247156011</v>
      </c>
      <c r="I113" s="488" t="n">
        <f aca="false">+I112*Assumptions!$B$8</f>
        <v>938.11122493343</v>
      </c>
      <c r="J113" s="488" t="n">
        <f aca="false">+J112*Assumptions!$B$8</f>
        <v>597.137697335237</v>
      </c>
      <c r="K113" s="488" t="n">
        <f aca="false">+K112*Assumptions!$B$8</f>
        <v>601.05448400865</v>
      </c>
      <c r="L113" s="488" t="n">
        <f aca="false">+L112*Assumptions!$B$8</f>
        <v>606.923114001904</v>
      </c>
      <c r="M113" s="488" t="n">
        <f aca="false">+M112*Assumptions!$B$8</f>
        <v>173.627590350989</v>
      </c>
      <c r="N113" s="488" t="n">
        <f aca="false">+N112*Assumptions!$B$8</f>
        <v>-262.598886640006</v>
      </c>
      <c r="O113" s="488" t="n">
        <f aca="false">+O112*Assumptions!$B$8</f>
        <v>-265.515553306673</v>
      </c>
      <c r="P113" s="489" t="n">
        <f aca="false">+P112*Assumptions!$B$8</f>
        <v>-268.43221997334</v>
      </c>
    </row>
    <row r="115" customFormat="false" ht="12.75" hidden="false" customHeight="false" outlineLevel="0" collapsed="false">
      <c r="B115" s="457" t="s">
        <v>567</v>
      </c>
      <c r="C115" s="467"/>
      <c r="D115" s="467"/>
      <c r="E115" s="467"/>
      <c r="F115" s="482" t="n">
        <f aca="false">+F33+(F39/2)+F60</f>
        <v>809.028750855901</v>
      </c>
      <c r="G115" s="482" t="n">
        <f aca="false">+G33+(G39/2)+G60</f>
        <v>817.362084189234</v>
      </c>
      <c r="H115" s="482" t="n">
        <f aca="false">+H33+(H39/2)+H60</f>
        <v>825.695417522567</v>
      </c>
      <c r="I115" s="482" t="n">
        <f aca="false">+I33+(I39/2)+I60</f>
        <v>834.028750855901</v>
      </c>
      <c r="J115" s="482" t="n">
        <f aca="false">+J33+(J39/2)+J60</f>
        <v>842.362084189234</v>
      </c>
      <c r="K115" s="482" t="n">
        <f aca="false">+K33+(K39/2)+K60</f>
        <v>850.695417522567</v>
      </c>
      <c r="L115" s="482" t="n">
        <f aca="false">+L33+(L39/2)+L60</f>
        <v>859.028750855901</v>
      </c>
      <c r="M115" s="482" t="n">
        <f aca="false">+M33+(M39/2)+M60</f>
        <v>867.362084189234</v>
      </c>
      <c r="N115" s="482" t="n">
        <f aca="false">+N33+(N39/2)+N60</f>
        <v>875.695417522567</v>
      </c>
      <c r="O115" s="482" t="n">
        <f aca="false">+O33+(O39/2)+O60</f>
        <v>884.028750855901</v>
      </c>
      <c r="P115" s="483" t="n">
        <f aca="false">+P33+(P39/2)+P60</f>
        <v>892.362084189234</v>
      </c>
    </row>
    <row r="116" customFormat="false" ht="15" hidden="false" customHeight="false" outlineLevel="0" collapsed="false">
      <c r="B116" s="484" t="s">
        <v>568</v>
      </c>
      <c r="C116" s="58"/>
      <c r="D116" s="58"/>
      <c r="E116" s="58"/>
      <c r="F116" s="485" t="n">
        <f aca="false">+F81+(F87/2)</f>
        <v>3468.30625491925</v>
      </c>
      <c r="G116" s="485" t="n">
        <f aca="false">+G81+(G87/2)</f>
        <v>5979.6592325383</v>
      </c>
      <c r="H116" s="485" t="n">
        <f aca="false">+H81+(H87/2)</f>
        <v>4341.92385574091</v>
      </c>
      <c r="I116" s="485" t="n">
        <f aca="false">+I81+(I87/2)</f>
        <v>3172.10572945706</v>
      </c>
      <c r="J116" s="485" t="n">
        <f aca="false">+J81+(J87/2)</f>
        <v>2339.28802354296</v>
      </c>
      <c r="K116" s="485" t="n">
        <f aca="false">+K81+(K87/2)</f>
        <v>2359.18593729039</v>
      </c>
      <c r="L116" s="485" t="n">
        <f aca="false">+L81+(L87/2)</f>
        <v>2383.91302354296</v>
      </c>
      <c r="M116" s="485" t="n">
        <f aca="false">+M81+(M87/2)</f>
        <v>1321.3304686452</v>
      </c>
      <c r="N116" s="485" t="n">
        <f aca="false">+N81+(N87/2)</f>
        <v>250</v>
      </c>
      <c r="O116" s="485" t="n">
        <f aca="false">+O81+(O87/2)</f>
        <v>250</v>
      </c>
      <c r="P116" s="486" t="n">
        <f aca="false">+P81+(P87/2)</f>
        <v>250</v>
      </c>
    </row>
    <row r="117" customFormat="false" ht="12.75" hidden="false" customHeight="false" outlineLevel="0" collapsed="false">
      <c r="B117" s="484" t="s">
        <v>565</v>
      </c>
      <c r="C117" s="58"/>
      <c r="D117" s="58"/>
      <c r="E117" s="58"/>
      <c r="F117" s="277" t="n">
        <f aca="false">+F116-F115</f>
        <v>2659.27750406335</v>
      </c>
      <c r="G117" s="277" t="n">
        <f aca="false">+G116-G115</f>
        <v>5162.29714834907</v>
      </c>
      <c r="H117" s="277" t="n">
        <f aca="false">+H116-H115</f>
        <v>3516.22843821834</v>
      </c>
      <c r="I117" s="277" t="n">
        <f aca="false">+I116-I115</f>
        <v>2338.07697860116</v>
      </c>
      <c r="J117" s="277" t="n">
        <f aca="false">+J116-J115</f>
        <v>1496.92593935372</v>
      </c>
      <c r="K117" s="277" t="n">
        <f aca="false">+K116-K115</f>
        <v>1508.49051976782</v>
      </c>
      <c r="L117" s="277" t="n">
        <f aca="false">+L116-L115</f>
        <v>1524.88427268706</v>
      </c>
      <c r="M117" s="277" t="n">
        <f aca="false">+M116-M115</f>
        <v>453.968384455961</v>
      </c>
      <c r="N117" s="277" t="n">
        <f aca="false">+N116-N115</f>
        <v>-625.695417522567</v>
      </c>
      <c r="O117" s="277" t="n">
        <f aca="false">+O116-O115</f>
        <v>-634.028750855901</v>
      </c>
      <c r="P117" s="487" t="n">
        <f aca="false">+P116-P115</f>
        <v>-642.362084189234</v>
      </c>
    </row>
    <row r="118" customFormat="false" ht="12.75" hidden="false" customHeight="false" outlineLevel="0" collapsed="false">
      <c r="B118" s="468" t="s">
        <v>566</v>
      </c>
      <c r="C118" s="418"/>
      <c r="D118" s="418"/>
      <c r="E118" s="418"/>
      <c r="F118" s="488" t="n">
        <f aca="false">+F117*Assumptions!$B$8</f>
        <v>930.747126422171</v>
      </c>
      <c r="G118" s="488" t="n">
        <f aca="false">+G117*Assumptions!$B$8</f>
        <v>1806.80400192217</v>
      </c>
      <c r="H118" s="488" t="n">
        <f aca="false">+H117*Assumptions!$B$8</f>
        <v>1230.67995337642</v>
      </c>
      <c r="I118" s="488" t="n">
        <f aca="false">+I117*Assumptions!$B$8</f>
        <v>818.326942510406</v>
      </c>
      <c r="J118" s="488" t="n">
        <f aca="false">+J117*Assumptions!$B$8</f>
        <v>523.924078773803</v>
      </c>
      <c r="K118" s="488" t="n">
        <f aca="false">+K117*Assumptions!$B$8</f>
        <v>527.971681918738</v>
      </c>
      <c r="L118" s="488" t="n">
        <f aca="false">+L117*Assumptions!$B$8</f>
        <v>533.70949544047</v>
      </c>
      <c r="M118" s="488" t="n">
        <f aca="false">+M117*Assumptions!$B$8</f>
        <v>158.888934559586</v>
      </c>
      <c r="N118" s="488" t="n">
        <f aca="false">+N117*Assumptions!$B$8</f>
        <v>-218.993396132899</v>
      </c>
      <c r="O118" s="488" t="n">
        <f aca="false">+O117*Assumptions!$B$8</f>
        <v>-221.910062799565</v>
      </c>
      <c r="P118" s="489" t="n">
        <f aca="false">+P117*Assumptions!$B$8</f>
        <v>-224.826729466232</v>
      </c>
    </row>
    <row r="120" customFormat="false" ht="12.75" hidden="false" customHeight="false" outlineLevel="0" collapsed="false">
      <c r="B120" s="457" t="s">
        <v>569</v>
      </c>
      <c r="C120" s="467"/>
      <c r="D120" s="467"/>
      <c r="E120" s="467"/>
      <c r="F120" s="490" t="n">
        <f aca="false">F37+F64</f>
        <v>792.665504384704</v>
      </c>
      <c r="G120" s="490" t="n">
        <f aca="false">G37+G64</f>
        <v>792.665504384704</v>
      </c>
      <c r="H120" s="490" t="n">
        <f aca="false">H37+H64</f>
        <v>792.665504384704</v>
      </c>
      <c r="I120" s="490" t="n">
        <f aca="false">I37+I64</f>
        <v>792.665504384704</v>
      </c>
      <c r="J120" s="490" t="n">
        <f aca="false">J37+J64</f>
        <v>792.665504384704</v>
      </c>
      <c r="K120" s="490" t="n">
        <f aca="false">K37+K64</f>
        <v>792.665504384704</v>
      </c>
      <c r="L120" s="490" t="n">
        <f aca="false">L37+L64</f>
        <v>792.665504384704</v>
      </c>
      <c r="M120" s="490" t="n">
        <f aca="false">M37+M64</f>
        <v>792.665504384704</v>
      </c>
      <c r="N120" s="490" t="n">
        <f aca="false">N37+N64</f>
        <v>792.665504384704</v>
      </c>
      <c r="O120" s="490" t="n">
        <f aca="false">O37+O64</f>
        <v>792.665504384704</v>
      </c>
      <c r="P120" s="491" t="n">
        <f aca="false">P37+P64</f>
        <v>792.665504384704</v>
      </c>
    </row>
    <row r="121" customFormat="false" ht="15" hidden="false" customHeight="false" outlineLevel="0" collapsed="false">
      <c r="B121" s="484" t="s">
        <v>570</v>
      </c>
      <c r="C121" s="58"/>
      <c r="D121" s="58"/>
      <c r="E121" s="58"/>
      <c r="F121" s="297" t="n">
        <f aca="false">F85</f>
        <v>3398.15701729723</v>
      </c>
      <c r="G121" s="297" t="n">
        <f aca="false">G85</f>
        <v>5823.71346071442</v>
      </c>
      <c r="H121" s="297" t="n">
        <f aca="false">H85</f>
        <v>4159.11590150654</v>
      </c>
      <c r="I121" s="297" t="n">
        <f aca="false">I85</f>
        <v>2970.11764492949</v>
      </c>
      <c r="J121" s="297" t="n">
        <f aca="false">J85</f>
        <v>2123.55088624662</v>
      </c>
      <c r="K121" s="297" t="n">
        <f aca="false">K85</f>
        <v>2121.17288973347</v>
      </c>
      <c r="L121" s="297" t="n">
        <f aca="false">L85</f>
        <v>2123.55088624662</v>
      </c>
      <c r="M121" s="297" t="n">
        <f aca="false">M85</f>
        <v>1060.58644486673</v>
      </c>
      <c r="N121" s="297" t="n">
        <f aca="false">N85</f>
        <v>0</v>
      </c>
      <c r="O121" s="297" t="n">
        <f aca="false">O85</f>
        <v>0</v>
      </c>
      <c r="P121" s="492" t="n">
        <f aca="false">P85</f>
        <v>0</v>
      </c>
    </row>
    <row r="122" customFormat="false" ht="12.75" hidden="false" customHeight="false" outlineLevel="0" collapsed="false">
      <c r="B122" s="484" t="s">
        <v>565</v>
      </c>
      <c r="C122" s="58"/>
      <c r="D122" s="58"/>
      <c r="E122" s="58"/>
      <c r="F122" s="67" t="n">
        <f aca="false">+F121-F120</f>
        <v>2605.49151291252</v>
      </c>
      <c r="G122" s="67" t="n">
        <f aca="false">+G121-G120</f>
        <v>5031.04795632972</v>
      </c>
      <c r="H122" s="67" t="n">
        <f aca="false">+H121-H120</f>
        <v>3366.45039712184</v>
      </c>
      <c r="I122" s="67" t="n">
        <f aca="false">+I121-I120</f>
        <v>2177.45214054478</v>
      </c>
      <c r="J122" s="67" t="n">
        <f aca="false">+J121-J120</f>
        <v>1330.88538186192</v>
      </c>
      <c r="K122" s="67" t="n">
        <f aca="false">+K121-K120</f>
        <v>1328.50738534876</v>
      </c>
      <c r="L122" s="67" t="n">
        <f aca="false">+L121-L120</f>
        <v>1330.88538186192</v>
      </c>
      <c r="M122" s="67" t="n">
        <f aca="false">+M121-M120</f>
        <v>267.92094048203</v>
      </c>
      <c r="N122" s="67" t="n">
        <f aca="false">+N121-N120</f>
        <v>-792.665504384704</v>
      </c>
      <c r="O122" s="67" t="n">
        <f aca="false">+O121-O120</f>
        <v>-792.665504384704</v>
      </c>
      <c r="P122" s="493" t="n">
        <f aca="false">+P121-P120</f>
        <v>-792.665504384704</v>
      </c>
    </row>
    <row r="123" customFormat="false" ht="12.75" hidden="false" customHeight="false" outlineLevel="0" collapsed="false">
      <c r="B123" s="468" t="s">
        <v>566</v>
      </c>
      <c r="C123" s="418"/>
      <c r="D123" s="418"/>
      <c r="E123" s="418"/>
      <c r="F123" s="494" t="n">
        <f aca="false">+F122*Assumptions!$B$8</f>
        <v>911.922029519383</v>
      </c>
      <c r="G123" s="494" t="n">
        <f aca="false">+G122*Assumptions!$B$8</f>
        <v>1760.8667847154</v>
      </c>
      <c r="H123" s="494" t="n">
        <f aca="false">+H122*Assumptions!$B$8</f>
        <v>1178.25763899264</v>
      </c>
      <c r="I123" s="494" t="n">
        <f aca="false">+I122*Assumptions!$B$8</f>
        <v>762.108249190673</v>
      </c>
      <c r="J123" s="494" t="n">
        <f aca="false">+J122*Assumptions!$B$8</f>
        <v>465.809883651671</v>
      </c>
      <c r="K123" s="494" t="n">
        <f aca="false">+K122*Assumptions!$B$8</f>
        <v>464.977584872067</v>
      </c>
      <c r="L123" s="494" t="n">
        <f aca="false">+L122*Assumptions!$B$8</f>
        <v>465.809883651671</v>
      </c>
      <c r="M123" s="494" t="n">
        <f aca="false">+M122*Assumptions!$B$8</f>
        <v>93.7723291687105</v>
      </c>
      <c r="N123" s="494" t="n">
        <f aca="false">+N122*Assumptions!$B$8</f>
        <v>-277.432926534646</v>
      </c>
      <c r="O123" s="494" t="n">
        <f aca="false">+O122*Assumptions!$B$8</f>
        <v>-277.432926534646</v>
      </c>
      <c r="P123" s="495" t="n">
        <f aca="false">+P122*Assumptions!$B$8</f>
        <v>-277.432926534646</v>
      </c>
    </row>
    <row r="125" customFormat="false" ht="12.75" hidden="false" customHeight="false" outlineLevel="0" collapsed="false">
      <c r="F125" s="496"/>
      <c r="G125" s="496"/>
      <c r="H125" s="496"/>
    </row>
  </sheetData>
  <mergeCells count="1">
    <mergeCell ref="E71:E72"/>
  </mergeCells>
  <printOptions headings="false" gridLines="false" gridLinesSet="true" horizontalCentered="true" verticalCentered="false"/>
  <pageMargins left="0.25" right="0.25" top="0.509722222222222"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X125"/>
  <sheetViews>
    <sheetView showFormulas="false" showGridLines="false" showRowColHeaders="true" showZeros="true" rightToLeft="false" tabSelected="false" showOutlineSymbols="true" defaultGridColor="true" view="pageBreakPreview" topLeftCell="A1" colorId="64" zoomScale="100" zoomScaleNormal="75" zoomScalePageLayoutView="100" workbookViewId="0">
      <selection pane="topLeft" activeCell="J4" activeCellId="0" sqref="J4"/>
    </sheetView>
  </sheetViews>
  <sheetFormatPr defaultColWidth="9.0546875" defaultRowHeight="12.75" customHeight="true" zeroHeight="false" outlineLevelRow="0" outlineLevelCol="0"/>
  <cols>
    <col collapsed="false" customWidth="true" hidden="false" outlineLevel="0" max="2" min="2" style="0" width="17.7"/>
    <col collapsed="false" customWidth="true" hidden="false" outlineLevel="0" max="4" min="4" style="0" width="13.7"/>
    <col collapsed="false" customWidth="true" hidden="false" outlineLevel="0" max="5" min="5" style="0" width="11.28"/>
    <col collapsed="false" customWidth="true" hidden="false" outlineLevel="0" max="6" min="6" style="0" width="11.85"/>
    <col collapsed="false" customWidth="true" hidden="false" outlineLevel="0" max="7" min="7" style="0" width="12.28"/>
    <col collapsed="false" customWidth="true" hidden="false" outlineLevel="0" max="8" min="8" style="0" width="11.56"/>
    <col collapsed="false" customWidth="true" hidden="false" outlineLevel="0" max="9" min="9" style="0" width="11.28"/>
    <col collapsed="false" customWidth="true" hidden="false" outlineLevel="0" max="10" min="10" style="0" width="12.99"/>
    <col collapsed="false" customWidth="true" hidden="false" outlineLevel="0" max="14" min="11" style="0" width="11.99"/>
  </cols>
  <sheetData>
    <row r="2" customFormat="false" ht="12.75" hidden="false" customHeight="false" outlineLevel="0" collapsed="false">
      <c r="B2" s="53" t="s">
        <v>571</v>
      </c>
      <c r="E2" s="497" t="n">
        <v>1998</v>
      </c>
      <c r="F2" s="497" t="n">
        <v>1999</v>
      </c>
      <c r="G2" s="497" t="n">
        <v>2000</v>
      </c>
      <c r="K2" s="497" t="n">
        <v>1998</v>
      </c>
      <c r="L2" s="497" t="n">
        <v>1999</v>
      </c>
      <c r="M2" s="497" t="n">
        <v>2000</v>
      </c>
    </row>
    <row r="3" customFormat="false" ht="12.75" hidden="false" customHeight="false" outlineLevel="0" collapsed="false">
      <c r="B3" s="53" t="s">
        <v>572</v>
      </c>
      <c r="E3" s="123"/>
      <c r="F3" s="123"/>
      <c r="G3" s="123"/>
    </row>
    <row r="4" customFormat="false" ht="12.75" hidden="false" customHeight="false" outlineLevel="0" collapsed="false">
      <c r="B4" s="123" t="s">
        <v>573</v>
      </c>
      <c r="E4" s="123" t="n">
        <f aca="false">+E8/0.04</f>
        <v>122250</v>
      </c>
      <c r="F4" s="123" t="n">
        <f aca="false">+F8/0.02</f>
        <v>28800</v>
      </c>
      <c r="G4" s="123" t="n">
        <f aca="false">+G8/0.02</f>
        <v>35150</v>
      </c>
      <c r="I4" s="0" t="s">
        <v>574</v>
      </c>
      <c r="K4" s="123" t="n">
        <f aca="false">+E4*$T$25</f>
        <v>19091.095890411</v>
      </c>
      <c r="L4" s="123" t="n">
        <f aca="false">+F4*$T$25</f>
        <v>4497.53424657534</v>
      </c>
      <c r="M4" s="123" t="n">
        <f aca="false">+G4*$T$25</f>
        <v>5489.17808219178</v>
      </c>
    </row>
    <row r="5" customFormat="false" ht="15" hidden="false" customHeight="false" outlineLevel="0" collapsed="false">
      <c r="B5" s="123" t="s">
        <v>575</v>
      </c>
      <c r="E5" s="27" t="n">
        <f aca="false">+E4*0.96</f>
        <v>117360</v>
      </c>
      <c r="F5" s="27" t="n">
        <f aca="false">+F4*0.98</f>
        <v>28224</v>
      </c>
      <c r="G5" s="27" t="n">
        <f aca="false">+G4*0.98</f>
        <v>34447</v>
      </c>
      <c r="I5" s="0" t="s">
        <v>576</v>
      </c>
      <c r="K5" s="123" t="n">
        <f aca="false">+E4*$T$26</f>
        <v>7811.53414835923</v>
      </c>
      <c r="L5" s="123" t="n">
        <f aca="false">+F4*$T$26</f>
        <v>1840.26325949076</v>
      </c>
      <c r="M5" s="123" t="n">
        <f aca="false">+G4*$T$26</f>
        <v>2246.01574899654</v>
      </c>
    </row>
    <row r="6" customFormat="false" ht="12.75" hidden="false" customHeight="false" outlineLevel="0" collapsed="false">
      <c r="E6" s="123" t="n">
        <f aca="false">+E4-E5</f>
        <v>4890</v>
      </c>
      <c r="F6" s="123" t="n">
        <f aca="false">+F4-F5</f>
        <v>576</v>
      </c>
      <c r="G6" s="123" t="n">
        <f aca="false">+G4-G5</f>
        <v>703</v>
      </c>
      <c r="I6" s="0" t="s">
        <v>577</v>
      </c>
      <c r="K6" s="498" t="n">
        <f aca="false">+$T$27*E5</f>
        <v>11253.698630137</v>
      </c>
      <c r="L6" s="498" t="n">
        <f aca="false">+$T$27*F5</f>
        <v>2706.41095890411</v>
      </c>
      <c r="M6" s="498" t="n">
        <f aca="false">+$T$27*G5</f>
        <v>3303.13698630137</v>
      </c>
    </row>
    <row r="7" customFormat="false" ht="12.75" hidden="false" customHeight="false" outlineLevel="0" collapsed="false">
      <c r="E7" s="123"/>
      <c r="F7" s="123"/>
      <c r="G7" s="123"/>
      <c r="I7" s="0" t="s">
        <v>578</v>
      </c>
      <c r="K7" s="499" t="n">
        <f aca="false">+K4+K5-K6</f>
        <v>15648.9314086332</v>
      </c>
      <c r="L7" s="499" t="n">
        <f aca="false">+L4+L5-L6</f>
        <v>3631.38654716199</v>
      </c>
      <c r="M7" s="499" t="n">
        <f aca="false">+M4+M5-M6</f>
        <v>4432.05684488695</v>
      </c>
    </row>
    <row r="8" customFormat="false" ht="12.75" hidden="false" customHeight="false" outlineLevel="0" collapsed="false">
      <c r="B8" s="0" t="s">
        <v>579</v>
      </c>
      <c r="E8" s="123" t="n">
        <f aca="false">+Segments!M4</f>
        <v>4890</v>
      </c>
      <c r="F8" s="123" t="n">
        <f aca="false">+Segments!N4</f>
        <v>576</v>
      </c>
      <c r="G8" s="123" t="n">
        <f aca="false">+Segments!O4</f>
        <v>703</v>
      </c>
    </row>
    <row r="9" customFormat="false" ht="12.75" hidden="false" customHeight="false" outlineLevel="0" collapsed="false">
      <c r="B9" s="0" t="s">
        <v>293</v>
      </c>
      <c r="E9" s="123" t="n">
        <f aca="false">+E8-E10-E11</f>
        <v>3534</v>
      </c>
      <c r="F9" s="123" t="n">
        <f aca="false">+F8-F10-F11</f>
        <v>2868</v>
      </c>
      <c r="G9" s="123" t="n">
        <f aca="false">+G8-G10-G11</f>
        <v>373</v>
      </c>
      <c r="I9" s="0" t="s">
        <v>580</v>
      </c>
      <c r="K9" s="500" t="n">
        <v>0.085</v>
      </c>
      <c r="L9" s="500" t="n">
        <v>0.085</v>
      </c>
      <c r="M9" s="500" t="n">
        <v>0.085</v>
      </c>
    </row>
    <row r="10" customFormat="false" ht="12.75" hidden="false" customHeight="false" outlineLevel="0" collapsed="false">
      <c r="B10" s="0" t="s">
        <v>294</v>
      </c>
      <c r="E10" s="26" t="n">
        <v>233</v>
      </c>
      <c r="F10" s="26" t="n">
        <v>0</v>
      </c>
      <c r="G10" s="26" t="n">
        <v>0</v>
      </c>
      <c r="I10" s="0" t="s">
        <v>581</v>
      </c>
      <c r="K10" s="123" t="n">
        <f aca="false">+K7*K9</f>
        <v>1330.15916973382</v>
      </c>
      <c r="L10" s="123" t="n">
        <f aca="false">+L7*L9</f>
        <v>308.66785650877</v>
      </c>
      <c r="M10" s="123" t="n">
        <f aca="false">+M7*M9</f>
        <v>376.724831815391</v>
      </c>
    </row>
    <row r="11" customFormat="false" ht="12.75" hidden="false" customHeight="false" outlineLevel="0" collapsed="false">
      <c r="B11" s="0" t="s">
        <v>68</v>
      </c>
      <c r="E11" s="501" t="n">
        <f aca="false">+E13+E12</f>
        <v>1123</v>
      </c>
      <c r="F11" s="502" t="n">
        <f aca="false">+F13+F12</f>
        <v>-2292</v>
      </c>
      <c r="G11" s="503" t="n">
        <f aca="false">+G13+G12</f>
        <v>330</v>
      </c>
      <c r="I11" s="123"/>
      <c r="K11" s="123"/>
      <c r="L11" s="123"/>
      <c r="M11" s="123"/>
      <c r="N11" s="123"/>
    </row>
    <row r="12" customFormat="false" ht="12.75" hidden="false" customHeight="false" outlineLevel="0" collapsed="false">
      <c r="B12" s="0" t="s">
        <v>125</v>
      </c>
      <c r="E12" s="26" t="n">
        <v>0</v>
      </c>
      <c r="F12" s="26" t="n">
        <v>0</v>
      </c>
      <c r="G12" s="26" t="n">
        <v>0</v>
      </c>
      <c r="I12" s="123"/>
      <c r="K12" s="123"/>
      <c r="L12" s="123"/>
      <c r="M12" s="123"/>
      <c r="N12" s="123"/>
    </row>
    <row r="13" customFormat="false" ht="12.75" hidden="false" customHeight="false" outlineLevel="0" collapsed="false">
      <c r="B13" s="0" t="s">
        <v>582</v>
      </c>
      <c r="E13" s="26" t="n">
        <f aca="false">+E15</f>
        <v>1123</v>
      </c>
      <c r="F13" s="26" t="n">
        <f aca="false">+F15</f>
        <v>-2292</v>
      </c>
      <c r="G13" s="26" t="n">
        <v>330</v>
      </c>
      <c r="I13" s="123"/>
      <c r="K13" s="123"/>
      <c r="L13" s="123"/>
      <c r="M13" s="123"/>
      <c r="N13" s="123"/>
    </row>
    <row r="14" customFormat="false" ht="12.75" hidden="false" customHeight="false" outlineLevel="0" collapsed="false">
      <c r="B14" s="0" t="s">
        <v>583</v>
      </c>
      <c r="E14" s="27" t="n">
        <v>0</v>
      </c>
      <c r="F14" s="27" t="n">
        <v>0</v>
      </c>
      <c r="G14" s="27" t="n">
        <v>0</v>
      </c>
      <c r="I14" s="123"/>
      <c r="K14" s="123"/>
      <c r="L14" s="123"/>
      <c r="M14" s="123"/>
      <c r="N14" s="123"/>
    </row>
    <row r="15" customFormat="false" ht="12.75" hidden="false" customHeight="false" outlineLevel="0" collapsed="false">
      <c r="B15" s="0" t="s">
        <v>584</v>
      </c>
      <c r="E15" s="123" t="n">
        <v>1123</v>
      </c>
      <c r="F15" s="123" t="n">
        <v>-2292</v>
      </c>
      <c r="G15" s="123" t="n">
        <v>330</v>
      </c>
      <c r="I15" s="123"/>
      <c r="K15" s="123"/>
      <c r="L15" s="123"/>
      <c r="M15" s="123"/>
      <c r="N15" s="123"/>
    </row>
    <row r="16" customFormat="false" ht="6.75" hidden="false" customHeight="true" outlineLevel="0" collapsed="false">
      <c r="A16" s="418"/>
      <c r="B16" s="418"/>
      <c r="C16" s="418"/>
      <c r="D16" s="418"/>
      <c r="E16" s="418"/>
      <c r="F16" s="418"/>
      <c r="G16" s="418"/>
      <c r="H16" s="418"/>
      <c r="I16" s="418"/>
      <c r="J16" s="418"/>
      <c r="K16" s="418"/>
      <c r="L16" s="418"/>
      <c r="M16" s="418"/>
      <c r="N16" s="418"/>
    </row>
    <row r="17" customFormat="false" ht="6.75" hidden="false" customHeight="true" outlineLevel="0" collapsed="false"/>
    <row r="18" customFormat="false" ht="12.75" hidden="false" customHeight="false" outlineLevel="0" collapsed="false">
      <c r="B18" s="0" t="s">
        <v>585</v>
      </c>
      <c r="J18" s="89"/>
      <c r="K18" s="89"/>
      <c r="L18" s="123"/>
      <c r="M18" s="123"/>
    </row>
    <row r="19" customFormat="false" ht="12.75" hidden="false" customHeight="false" outlineLevel="0" collapsed="false">
      <c r="J19" s="58"/>
      <c r="K19" s="58"/>
      <c r="L19" s="123"/>
      <c r="M19" s="123"/>
      <c r="P19" s="457" t="s">
        <v>586</v>
      </c>
      <c r="Q19" s="467"/>
      <c r="R19" s="490" t="n">
        <f aca="false">+D22*$T$29</f>
        <v>323412.801388889</v>
      </c>
      <c r="S19" s="490" t="n">
        <f aca="false">+E22*$T$29</f>
        <v>313641.180555556</v>
      </c>
      <c r="T19" s="490" t="n">
        <f aca="false">+F22*$T$25</f>
        <v>320906.441534247</v>
      </c>
      <c r="U19" s="490" t="n">
        <f aca="false">+G22*$T$25</f>
        <v>326806.951688767</v>
      </c>
      <c r="V19" s="490" t="n">
        <f aca="false">+H22*$T$25</f>
        <v>339046.473811112</v>
      </c>
      <c r="W19" s="490" t="n">
        <f aca="false">+I22*$T$25</f>
        <v>350901.056270406</v>
      </c>
      <c r="X19" s="491" t="s">
        <v>587</v>
      </c>
    </row>
    <row r="20" customFormat="false" ht="12.75" hidden="false" customHeight="false" outlineLevel="0" collapsed="false">
      <c r="B20" s="0" t="s">
        <v>588</v>
      </c>
      <c r="D20" s="127" t="n">
        <f aca="false">+'Valuation - DCF'!K21+'Valuation - DCF'!K31</f>
        <v>40852.1433333333</v>
      </c>
      <c r="E20" s="127" t="n">
        <f aca="false">+'Valuation - DCF'!L21+'Valuation - DCF'!L31</f>
        <v>39617.8333333333</v>
      </c>
      <c r="F20" s="123" t="n">
        <f aca="false">('Valuation - DCF'!M21+'Valuation - DCF'!M31)</f>
        <v>82197.0885333333</v>
      </c>
      <c r="G20" s="123" t="n">
        <f aca="false">('Valuation - DCF'!N21+'Valuation - DCF'!N31)</f>
        <v>83708.4472746667</v>
      </c>
      <c r="H20" s="123" t="n">
        <f aca="false">('Valuation - DCF'!O21+'Valuation - DCF'!O31)</f>
        <v>86843.4827656533</v>
      </c>
      <c r="I20" s="123" t="n">
        <f aca="false">('Valuation - DCF'!P21+'Valuation - DCF'!P31)</f>
        <v>89879.9196762795</v>
      </c>
      <c r="J20" s="123"/>
      <c r="K20" s="123"/>
      <c r="L20" s="123"/>
      <c r="M20" s="123"/>
      <c r="P20" s="484" t="s">
        <v>310</v>
      </c>
      <c r="Q20" s="58"/>
      <c r="R20" s="67" t="n">
        <f aca="false">+$T$26*D22*2</f>
        <v>130518.573694069</v>
      </c>
      <c r="S20" s="67" t="n">
        <f aca="false">+$T$26*E22*2</f>
        <v>126575.074833267</v>
      </c>
      <c r="T20" s="67" t="n">
        <f aca="false">+$T$26*F22</f>
        <v>131305.800403648</v>
      </c>
      <c r="U20" s="67" t="n">
        <f aca="false">+$T$26*G22</f>
        <v>133720.121552594</v>
      </c>
      <c r="V20" s="67" t="n">
        <f aca="false">+$T$26*H22</f>
        <v>138728.186336676</v>
      </c>
      <c r="W20" s="67" t="n">
        <f aca="false">+$T$26*I22</f>
        <v>143578.744744998</v>
      </c>
      <c r="X20" s="493"/>
    </row>
    <row r="21" customFormat="false" ht="12.75" hidden="false" customHeight="false" outlineLevel="0" collapsed="false">
      <c r="J21" s="58"/>
      <c r="K21" s="58"/>
      <c r="L21" s="123"/>
      <c r="M21" s="123"/>
      <c r="P21" s="484" t="s">
        <v>589</v>
      </c>
      <c r="Q21" s="58"/>
      <c r="R21" s="67" t="n">
        <f aca="false">+D23*$T$30</f>
        <v>190643.335555556</v>
      </c>
      <c r="S21" s="67" t="n">
        <f aca="false">+E23*$T$33</f>
        <v>184883.222222222</v>
      </c>
      <c r="T21" s="67" t="n">
        <f aca="false">+F23*$T$27</f>
        <v>189165.902378082</v>
      </c>
      <c r="U21" s="67" t="n">
        <f aca="false">+G23*$T$27</f>
        <v>192644.097837589</v>
      </c>
      <c r="V21" s="67" t="n">
        <f aca="false">+H23*$T$27</f>
        <v>199858.974036024</v>
      </c>
      <c r="W21" s="67" t="n">
        <f aca="false">+I23*$T$27</f>
        <v>206846.938433081</v>
      </c>
      <c r="X21" s="493"/>
    </row>
    <row r="22" customFormat="false" ht="12.75" hidden="false" customHeight="false" outlineLevel="0" collapsed="false">
      <c r="B22" s="0" t="s">
        <v>305</v>
      </c>
      <c r="C22" s="353" t="n">
        <v>0.04</v>
      </c>
      <c r="D22" s="67" t="n">
        <f aca="false">+D20/$C$22</f>
        <v>1021303.58333333</v>
      </c>
      <c r="E22" s="67" t="n">
        <f aca="false">+E20/$C$22</f>
        <v>990445.833333333</v>
      </c>
      <c r="F22" s="67" t="n">
        <f aca="false">+F20/$C$22</f>
        <v>2054927.21333333</v>
      </c>
      <c r="G22" s="67" t="n">
        <f aca="false">+G20/$C$22</f>
        <v>2092711.18186667</v>
      </c>
      <c r="H22" s="67" t="n">
        <f aca="false">+H20/$C$22</f>
        <v>2171087.06914133</v>
      </c>
      <c r="I22" s="67" t="n">
        <f aca="false">+I20/$C$22</f>
        <v>2246997.99190699</v>
      </c>
      <c r="J22" s="67"/>
      <c r="K22" s="67"/>
      <c r="L22" s="123"/>
      <c r="M22" s="123"/>
      <c r="P22" s="484"/>
      <c r="Q22" s="58"/>
      <c r="R22" s="123"/>
      <c r="S22" s="123"/>
      <c r="T22" s="123"/>
      <c r="U22" s="67"/>
      <c r="V22" s="67"/>
      <c r="W22" s="67"/>
      <c r="X22" s="493"/>
    </row>
    <row r="23" customFormat="false" ht="12.75" hidden="false" customHeight="false" outlineLevel="0" collapsed="false">
      <c r="B23" s="0" t="s">
        <v>575</v>
      </c>
      <c r="D23" s="504" t="n">
        <f aca="false">+'Income Statement'!G15</f>
        <v>980451.44</v>
      </c>
      <c r="E23" s="504" t="n">
        <f aca="false">+'Income Statement'!H15</f>
        <v>950828</v>
      </c>
      <c r="F23" s="504" t="n">
        <f aca="false">+'Income Statement'!J15</f>
        <v>1972730.1248</v>
      </c>
      <c r="G23" s="504" t="n">
        <f aca="false">+'Income Statement'!K15</f>
        <v>2009002.734592</v>
      </c>
      <c r="H23" s="504" t="n">
        <f aca="false">+'Income Statement'!L15</f>
        <v>2084243.58637568</v>
      </c>
      <c r="I23" s="504" t="n">
        <f aca="false">+'Income Statement'!M15</f>
        <v>2157118.07223071</v>
      </c>
      <c r="J23" s="504"/>
      <c r="K23" s="504"/>
      <c r="L23" s="123"/>
      <c r="M23" s="123"/>
      <c r="P23" s="484"/>
      <c r="Q23" s="58"/>
      <c r="R23" s="123"/>
      <c r="S23" s="123"/>
      <c r="T23" s="123"/>
      <c r="U23" s="67"/>
      <c r="V23" s="67"/>
      <c r="W23" s="67"/>
      <c r="X23" s="493"/>
    </row>
    <row r="24" customFormat="false" ht="25.5" hidden="false" customHeight="false" outlineLevel="0" collapsed="false">
      <c r="D24" s="505" t="s">
        <v>590</v>
      </c>
      <c r="E24" s="506" t="s">
        <v>591</v>
      </c>
      <c r="F24" s="506" t="n">
        <v>2002</v>
      </c>
      <c r="G24" s="506" t="n">
        <v>2003</v>
      </c>
      <c r="H24" s="506" t="n">
        <v>2004</v>
      </c>
      <c r="I24" s="507" t="n">
        <v>2005</v>
      </c>
      <c r="J24" s="504"/>
      <c r="K24" s="504"/>
      <c r="L24" s="123"/>
      <c r="M24" s="123"/>
      <c r="P24" s="484"/>
      <c r="Q24" s="457"/>
      <c r="R24" s="508" t="s">
        <v>592</v>
      </c>
      <c r="S24" s="467" t="s">
        <v>593</v>
      </c>
      <c r="T24" s="459"/>
      <c r="U24" s="67"/>
      <c r="V24" s="67"/>
      <c r="W24" s="67"/>
      <c r="X24" s="493"/>
    </row>
    <row r="25" customFormat="false" ht="12.75" hidden="false" customHeight="false" outlineLevel="0" collapsed="false">
      <c r="B25" s="53" t="s">
        <v>262</v>
      </c>
      <c r="D25" s="504"/>
      <c r="E25" s="504"/>
      <c r="F25" s="504"/>
      <c r="G25" s="504"/>
      <c r="H25" s="504"/>
      <c r="I25" s="504"/>
      <c r="J25" s="504"/>
      <c r="K25" s="504"/>
      <c r="L25" s="123"/>
      <c r="M25" s="123"/>
      <c r="P25" s="484"/>
      <c r="Q25" s="484" t="s">
        <v>586</v>
      </c>
      <c r="R25" s="464" t="n">
        <f aca="false">'Balance Sheet'!E13/'Income Statement'!E8*365</f>
        <v>45.2695012045862</v>
      </c>
      <c r="S25" s="58" t="n">
        <v>57</v>
      </c>
      <c r="T25" s="509" t="n">
        <f aca="false">+S25/365</f>
        <v>0.156164383561644</v>
      </c>
      <c r="U25" s="123"/>
      <c r="V25" s="123"/>
      <c r="W25" s="123"/>
      <c r="X25" s="510"/>
    </row>
    <row r="26" customFormat="false" ht="12.75" hidden="false" customHeight="false" outlineLevel="0" collapsed="false">
      <c r="B26" s="23" t="s">
        <v>266</v>
      </c>
      <c r="D26" s="504" t="n">
        <f aca="false">'Valuation - DCF'!K14</f>
        <v>3591.5</v>
      </c>
      <c r="E26" s="504" t="n">
        <f aca="false">'Valuation - DCF'!L14</f>
        <v>3591.5</v>
      </c>
      <c r="F26" s="504" t="n">
        <f aca="false">'Valuation - DCF'!M14</f>
        <v>7470.32</v>
      </c>
      <c r="G26" s="504" t="n">
        <f aca="false">'Valuation - DCF'!N14</f>
        <v>7769.1328</v>
      </c>
      <c r="H26" s="504" t="n">
        <f aca="false">'Valuation - DCF'!O14</f>
        <v>8079.898112</v>
      </c>
      <c r="I26" s="504" t="n">
        <f aca="false">'Valuation - DCF'!P14</f>
        <v>8403.09403648</v>
      </c>
      <c r="J26" s="504"/>
      <c r="K26" s="504"/>
      <c r="L26" s="123"/>
      <c r="M26" s="123"/>
      <c r="P26" s="484"/>
      <c r="Q26" s="484" t="s">
        <v>594</v>
      </c>
      <c r="R26" s="464" t="n">
        <f aca="false">'Balance Sheet'!E14/'Income Statement'!E8*365</f>
        <v>13.0400798051013</v>
      </c>
      <c r="S26" s="511" t="n">
        <f aca="false">+S36</f>
        <v>23.3227808928517</v>
      </c>
      <c r="T26" s="509" t="n">
        <f aca="false">+S26/365</f>
        <v>0.0638980298434292</v>
      </c>
      <c r="U26" s="58"/>
      <c r="V26" s="58"/>
      <c r="W26" s="58"/>
      <c r="X26" s="512"/>
    </row>
    <row r="27" customFormat="false" ht="12.75" hidden="false" customHeight="false" outlineLevel="0" collapsed="false">
      <c r="B27" s="23" t="s">
        <v>260</v>
      </c>
      <c r="D27" s="504" t="n">
        <f aca="false">'Valuation - DCF'!K19</f>
        <v>5025.06</v>
      </c>
      <c r="E27" s="504" t="n">
        <f aca="false">'Valuation - DCF'!L19</f>
        <v>5025.06</v>
      </c>
      <c r="F27" s="504" t="n">
        <f aca="false">'Valuation - DCF'!M19</f>
        <v>10244.12</v>
      </c>
      <c r="G27" s="504" t="n">
        <f aca="false">'Valuation - DCF'!N19</f>
        <v>8877.36</v>
      </c>
      <c r="H27" s="504" t="n">
        <f aca="false">'Valuation - DCF'!O19</f>
        <v>9019.152</v>
      </c>
      <c r="I27" s="504" t="n">
        <f aca="false">'Valuation - DCF'!P19</f>
        <v>8942.61568</v>
      </c>
      <c r="J27" s="504"/>
      <c r="K27" s="504"/>
      <c r="L27" s="123"/>
      <c r="M27" s="123"/>
      <c r="P27" s="484"/>
      <c r="Q27" s="468" t="s">
        <v>589</v>
      </c>
      <c r="R27" s="513" t="n">
        <f aca="false">'Balance Sheet'!E28/'Income Statement'!E15*365</f>
        <v>20.6031139405668</v>
      </c>
      <c r="S27" s="418" t="n">
        <v>35</v>
      </c>
      <c r="T27" s="514" t="n">
        <f aca="false">+S27/365</f>
        <v>0.0958904109589041</v>
      </c>
      <c r="U27" s="58"/>
      <c r="V27" s="58"/>
      <c r="W27" s="58"/>
      <c r="X27" s="512"/>
    </row>
    <row r="28" customFormat="false" ht="12.75" hidden="false" customHeight="false" outlineLevel="0" collapsed="false">
      <c r="B28" s="23" t="s">
        <v>595</v>
      </c>
      <c r="D28" s="504" t="n">
        <f aca="false">'Valuation - DCF'!K15</f>
        <v>3839.33333333333</v>
      </c>
      <c r="E28" s="504" t="n">
        <f aca="false">'Valuation - DCF'!L15</f>
        <v>3839.33333333333</v>
      </c>
      <c r="F28" s="504" t="n">
        <f aca="false">'Valuation - DCF'!M15</f>
        <v>7985.81333333333</v>
      </c>
      <c r="G28" s="504" t="n">
        <f aca="false">'Valuation - DCF'!N15</f>
        <v>8305.24586666667</v>
      </c>
      <c r="H28" s="504" t="n">
        <f aca="false">'Valuation - DCF'!O15</f>
        <v>8637.45570133333</v>
      </c>
      <c r="I28" s="504" t="n">
        <f aca="false">'Valuation - DCF'!P15</f>
        <v>8982.95392938667</v>
      </c>
      <c r="J28" s="504"/>
      <c r="K28" s="504"/>
      <c r="L28" s="123"/>
      <c r="M28" s="123"/>
      <c r="P28" s="484"/>
      <c r="Q28" s="58"/>
      <c r="R28" s="58"/>
      <c r="S28" s="58"/>
      <c r="T28" s="58"/>
      <c r="U28" s="58"/>
      <c r="V28" s="58"/>
      <c r="W28" s="58"/>
      <c r="X28" s="512"/>
    </row>
    <row r="29" customFormat="false" ht="12.75" hidden="false" customHeight="false" outlineLevel="0" collapsed="false">
      <c r="B29" s="23" t="s">
        <v>596</v>
      </c>
      <c r="D29" s="504" t="n">
        <f aca="false">'Valuation - DCF'!K16+'Valuation - DCF'!K31</f>
        <v>16732.5</v>
      </c>
      <c r="E29" s="504" t="n">
        <f aca="false">'Valuation - DCF'!L16+'Valuation - DCF'!L31</f>
        <v>15498.19</v>
      </c>
      <c r="F29" s="504" t="n">
        <f aca="false">'Valuation - DCF'!M16+'Valuation - DCF'!M31</f>
        <v>32236.2352</v>
      </c>
      <c r="G29" s="504" t="n">
        <f aca="false">'Valuation - DCF'!N16+'Valuation - DCF'!N31</f>
        <v>33525.684608</v>
      </c>
      <c r="H29" s="504" t="n">
        <f aca="false">'Valuation - DCF'!O16+'Valuation - DCF'!O31</f>
        <v>34866.71199232</v>
      </c>
      <c r="I29" s="504" t="n">
        <f aca="false">'Valuation - DCF'!P16+'Valuation - DCF'!P31</f>
        <v>36261.3804720128</v>
      </c>
      <c r="J29" s="504"/>
      <c r="K29" s="504"/>
      <c r="L29" s="123"/>
      <c r="M29" s="123"/>
      <c r="P29" s="484"/>
      <c r="Q29" s="58" t="s">
        <v>597</v>
      </c>
      <c r="R29" s="58"/>
      <c r="S29" s="58" t="n">
        <v>57</v>
      </c>
      <c r="T29" s="515" t="n">
        <f aca="false">+S29/180</f>
        <v>0.316666666666667</v>
      </c>
      <c r="U29" s="58"/>
      <c r="V29" s="58"/>
      <c r="W29" s="58"/>
      <c r="X29" s="512"/>
    </row>
    <row r="30" customFormat="false" ht="12.75" hidden="false" customHeight="false" outlineLevel="0" collapsed="false">
      <c r="B30" s="23" t="s">
        <v>269</v>
      </c>
      <c r="D30" s="504" t="n">
        <f aca="false">'Valuation - DCF'!K17</f>
        <v>6251.5</v>
      </c>
      <c r="E30" s="504" t="n">
        <f aca="false">'Valuation - DCF'!L17</f>
        <v>6251.5</v>
      </c>
      <c r="F30" s="504" t="n">
        <f aca="false">'Valuation - DCF'!M17</f>
        <v>13003.12</v>
      </c>
      <c r="G30" s="504" t="n">
        <f aca="false">'Valuation - DCF'!N17</f>
        <v>13523.2448</v>
      </c>
      <c r="H30" s="504" t="n">
        <f aca="false">'Valuation - DCF'!O17</f>
        <v>14064.174592</v>
      </c>
      <c r="I30" s="504" t="n">
        <f aca="false">'Valuation - DCF'!P17</f>
        <v>14626.74157568</v>
      </c>
      <c r="J30" s="504"/>
      <c r="K30" s="504"/>
      <c r="L30" s="123"/>
      <c r="M30" s="123"/>
      <c r="P30" s="484"/>
      <c r="Q30" s="58" t="s">
        <v>598</v>
      </c>
      <c r="R30" s="58"/>
      <c r="S30" s="58" t="n">
        <f aca="false">+S27</f>
        <v>35</v>
      </c>
      <c r="T30" s="515" t="n">
        <f aca="false">+S30/180</f>
        <v>0.194444444444444</v>
      </c>
      <c r="U30" s="58"/>
      <c r="V30" s="58"/>
      <c r="W30" s="58"/>
      <c r="X30" s="512"/>
    </row>
    <row r="31" customFormat="false" ht="12.75" hidden="false" customHeight="false" outlineLevel="0" collapsed="false">
      <c r="B31" s="23" t="s">
        <v>347</v>
      </c>
      <c r="D31" s="504" t="n">
        <f aca="false">'Valuation - DCF'!K20</f>
        <v>5412.25</v>
      </c>
      <c r="E31" s="504" t="n">
        <f aca="false">'Valuation - DCF'!L20</f>
        <v>5412.25</v>
      </c>
      <c r="F31" s="504" t="n">
        <f aca="false">'Valuation - DCF'!M20</f>
        <v>11257.48</v>
      </c>
      <c r="G31" s="504" t="n">
        <f aca="false">'Valuation - DCF'!N20</f>
        <v>11707.7792</v>
      </c>
      <c r="H31" s="504" t="n">
        <f aca="false">'Valuation - DCF'!O20</f>
        <v>12176.090368</v>
      </c>
      <c r="I31" s="504" t="n">
        <f aca="false">'Valuation - DCF'!P20</f>
        <v>12663.13398272</v>
      </c>
      <c r="J31" s="504"/>
      <c r="K31" s="504"/>
      <c r="L31" s="123"/>
      <c r="M31" s="123"/>
      <c r="P31" s="484"/>
      <c r="Q31" s="58"/>
      <c r="R31" s="58"/>
      <c r="S31" s="58"/>
      <c r="T31" s="58"/>
      <c r="U31" s="58"/>
      <c r="V31" s="58"/>
      <c r="W31" s="58"/>
      <c r="X31" s="512"/>
    </row>
    <row r="32" customFormat="false" ht="12.75" hidden="false" customHeight="false" outlineLevel="0" collapsed="false">
      <c r="B32" s="23"/>
      <c r="D32" s="504"/>
      <c r="E32" s="504"/>
      <c r="F32" s="504"/>
      <c r="G32" s="504"/>
      <c r="H32" s="504"/>
      <c r="I32" s="504"/>
      <c r="J32" s="504"/>
      <c r="K32" s="504"/>
      <c r="L32" s="123"/>
      <c r="M32" s="123"/>
      <c r="P32" s="484"/>
      <c r="Q32" s="58" t="s">
        <v>597</v>
      </c>
      <c r="R32" s="58"/>
      <c r="S32" s="58" t="n">
        <v>57</v>
      </c>
      <c r="T32" s="13" t="n">
        <f aca="false">+S32/180</f>
        <v>0.316666666666667</v>
      </c>
      <c r="U32" s="58"/>
      <c r="V32" s="58"/>
      <c r="W32" s="58"/>
      <c r="X32" s="512"/>
    </row>
    <row r="33" customFormat="false" ht="12.75" hidden="false" customHeight="false" outlineLevel="0" collapsed="false">
      <c r="A33" s="53" t="s">
        <v>599</v>
      </c>
      <c r="B33" s="53" t="s">
        <v>305</v>
      </c>
      <c r="D33" s="504"/>
      <c r="E33" s="504"/>
      <c r="F33" s="504"/>
      <c r="G33" s="504"/>
      <c r="H33" s="504"/>
      <c r="I33" s="504"/>
      <c r="J33" s="504"/>
      <c r="K33" s="504"/>
      <c r="L33" s="123"/>
      <c r="M33" s="123"/>
      <c r="P33" s="484"/>
      <c r="Q33" s="58" t="s">
        <v>598</v>
      </c>
      <c r="R33" s="58"/>
      <c r="S33" s="58" t="n">
        <f aca="false">+S27</f>
        <v>35</v>
      </c>
      <c r="T33" s="294" t="n">
        <f aca="false">+S33/180</f>
        <v>0.194444444444444</v>
      </c>
      <c r="U33" s="58"/>
      <c r="V33" s="58"/>
      <c r="W33" s="58"/>
      <c r="X33" s="512"/>
    </row>
    <row r="34" customFormat="false" ht="12.75" hidden="false" customHeight="false" outlineLevel="0" collapsed="false">
      <c r="A34" s="478" t="n">
        <f aca="false">'T. Margins'!$Q$15</f>
        <v>0.0305</v>
      </c>
      <c r="B34" s="23" t="s">
        <v>266</v>
      </c>
      <c r="D34" s="504" t="n">
        <f aca="false">D26/$A34</f>
        <v>117754.098360656</v>
      </c>
      <c r="E34" s="504" t="n">
        <f aca="false">E26/$A34</f>
        <v>117754.098360656</v>
      </c>
      <c r="F34" s="504" t="n">
        <f aca="false">F26/$A34</f>
        <v>244928.524590164</v>
      </c>
      <c r="G34" s="504" t="n">
        <f aca="false">G26/$A34</f>
        <v>254725.665573771</v>
      </c>
      <c r="H34" s="504" t="n">
        <f aca="false">H26/$A34</f>
        <v>264914.692196721</v>
      </c>
      <c r="I34" s="504" t="n">
        <f aca="false">I26/$A34</f>
        <v>275511.27988459</v>
      </c>
      <c r="J34" s="504"/>
      <c r="K34" s="504"/>
      <c r="L34" s="123"/>
      <c r="M34" s="123"/>
      <c r="P34" s="484"/>
      <c r="Q34" s="58"/>
      <c r="R34" s="58"/>
      <c r="S34" s="58"/>
      <c r="T34" s="58"/>
      <c r="U34" s="58"/>
      <c r="V34" s="58"/>
      <c r="W34" s="58"/>
      <c r="X34" s="512"/>
    </row>
    <row r="35" customFormat="false" ht="12.75" hidden="false" customHeight="false" outlineLevel="0" collapsed="false">
      <c r="A35" s="478" t="n">
        <f aca="false">'T. Margins'!$Q$20</f>
        <v>0.0753</v>
      </c>
      <c r="B35" s="23" t="s">
        <v>260</v>
      </c>
      <c r="D35" s="504" t="n">
        <f aca="false">D27/$A35</f>
        <v>66733.8645418327</v>
      </c>
      <c r="E35" s="504" t="n">
        <f aca="false">E27/$A35</f>
        <v>66733.8645418327</v>
      </c>
      <c r="F35" s="504" t="n">
        <f aca="false">F27/$A35</f>
        <v>136044.090305445</v>
      </c>
      <c r="G35" s="504" t="n">
        <f aca="false">G27/$A35</f>
        <v>117893.227091633</v>
      </c>
      <c r="H35" s="504" t="n">
        <f aca="false">H27/$A35</f>
        <v>119776.25498008</v>
      </c>
      <c r="I35" s="504" t="n">
        <f aca="false">I27/$A35</f>
        <v>118759.836387782</v>
      </c>
      <c r="J35" s="504"/>
      <c r="K35" s="504"/>
      <c r="L35" s="123"/>
      <c r="M35" s="123"/>
      <c r="P35" s="484"/>
      <c r="Q35" s="58"/>
      <c r="R35" s="464" t="n">
        <f aca="false">365/('Income Statement'!E20/'Balance Sheet'!E28)</f>
        <v>19.8242129452994</v>
      </c>
      <c r="S35" s="464" t="n">
        <f aca="false">365/('Income Statement'!F20/'Balance Sheet'!F28)</f>
        <v>35.3838368328157</v>
      </c>
      <c r="T35" s="58"/>
      <c r="U35" s="58"/>
      <c r="V35" s="58"/>
      <c r="W35" s="58"/>
      <c r="X35" s="512"/>
    </row>
    <row r="36" customFormat="false" ht="12.75" hidden="false" customHeight="false" outlineLevel="0" collapsed="false">
      <c r="A36" s="478" t="n">
        <f aca="false">'T. Margins'!$G$31</f>
        <v>0.0408</v>
      </c>
      <c r="B36" s="23" t="s">
        <v>595</v>
      </c>
      <c r="D36" s="504" t="n">
        <f aca="false">D28/$A36</f>
        <v>94101.3071895425</v>
      </c>
      <c r="E36" s="504" t="n">
        <f aca="false">E28/$A36</f>
        <v>94101.3071895425</v>
      </c>
      <c r="F36" s="504" t="n">
        <f aca="false">F28/$A36</f>
        <v>195730.718954248</v>
      </c>
      <c r="G36" s="504" t="n">
        <f aca="false">G28/$A36</f>
        <v>203559.947712418</v>
      </c>
      <c r="H36" s="504" t="n">
        <f aca="false">H28/$A36</f>
        <v>211702.345620915</v>
      </c>
      <c r="I36" s="504" t="n">
        <f aca="false">I28/$A36</f>
        <v>220170.439445752</v>
      </c>
      <c r="J36" s="504"/>
      <c r="K36" s="504"/>
      <c r="L36" s="123"/>
      <c r="M36" s="123"/>
      <c r="P36" s="468"/>
      <c r="Q36" s="418"/>
      <c r="R36" s="513" t="n">
        <f aca="false">365/('Income Statement'!E12/'Balance Sheet'!E14)</f>
        <v>12.9935330821979</v>
      </c>
      <c r="S36" s="513" t="n">
        <f aca="false">365/('Income Statement'!F12/'Balance Sheet'!F14)</f>
        <v>23.3227808928517</v>
      </c>
      <c r="T36" s="418"/>
      <c r="U36" s="418"/>
      <c r="V36" s="418"/>
      <c r="W36" s="418"/>
      <c r="X36" s="469"/>
    </row>
    <row r="37" customFormat="false" ht="12.75" hidden="false" customHeight="false" outlineLevel="0" collapsed="false">
      <c r="A37" s="478" t="n">
        <f aca="false">'T. Margins'!$G$31</f>
        <v>0.0408</v>
      </c>
      <c r="B37" s="23" t="s">
        <v>596</v>
      </c>
      <c r="D37" s="504" t="n">
        <f aca="false">D29/$A37</f>
        <v>410110.294117647</v>
      </c>
      <c r="E37" s="504" t="n">
        <f aca="false">E29/$A37</f>
        <v>379857.598039216</v>
      </c>
      <c r="F37" s="504" t="n">
        <f aca="false">F29/$A37</f>
        <v>790103.803921569</v>
      </c>
      <c r="G37" s="504" t="n">
        <f aca="false">G29/$A37</f>
        <v>821707.956078431</v>
      </c>
      <c r="H37" s="504" t="n">
        <f aca="false">H29/$A37</f>
        <v>854576.274321569</v>
      </c>
      <c r="I37" s="504" t="n">
        <f aca="false">I29/$A37</f>
        <v>888759.325294431</v>
      </c>
      <c r="J37" s="504"/>
      <c r="K37" s="504"/>
      <c r="L37" s="123"/>
      <c r="M37" s="123"/>
    </row>
    <row r="38" customFormat="false" ht="12.75" hidden="false" customHeight="false" outlineLevel="0" collapsed="false">
      <c r="A38" s="478" t="n">
        <f aca="false">'T. Margins'!$G$53</f>
        <v>0.0151</v>
      </c>
      <c r="B38" s="23" t="s">
        <v>269</v>
      </c>
      <c r="D38" s="504" t="n">
        <f aca="false">D30/$A38</f>
        <v>414006.622516556</v>
      </c>
      <c r="E38" s="504" t="n">
        <f aca="false">E30/$A38</f>
        <v>414006.622516556</v>
      </c>
      <c r="F38" s="504" t="n">
        <f aca="false">F30/$A38</f>
        <v>861133.774834437</v>
      </c>
      <c r="G38" s="504" t="n">
        <f aca="false">G30/$A38</f>
        <v>895579.125827815</v>
      </c>
      <c r="H38" s="504" t="n">
        <f aca="false">H30/$A38</f>
        <v>931402.290860927</v>
      </c>
      <c r="I38" s="504" t="n">
        <f aca="false">I30/$A38</f>
        <v>968658.382495364</v>
      </c>
      <c r="J38" s="504"/>
      <c r="K38" s="504"/>
      <c r="L38" s="123"/>
      <c r="M38" s="123"/>
    </row>
    <row r="39" customFormat="false" ht="12.75" hidden="false" customHeight="false" outlineLevel="0" collapsed="false">
      <c r="A39" s="293" t="n">
        <v>1</v>
      </c>
      <c r="B39" s="23" t="s">
        <v>347</v>
      </c>
      <c r="D39" s="504" t="n">
        <f aca="false">D31/$A39</f>
        <v>5412.25</v>
      </c>
      <c r="E39" s="504" t="n">
        <f aca="false">E31/$A39</f>
        <v>5412.25</v>
      </c>
      <c r="F39" s="504" t="n">
        <f aca="false">F31/$A39</f>
        <v>11257.48</v>
      </c>
      <c r="G39" s="504" t="n">
        <f aca="false">G31/$A39</f>
        <v>11707.7792</v>
      </c>
      <c r="H39" s="504" t="n">
        <f aca="false">H31/$A39</f>
        <v>12176.090368</v>
      </c>
      <c r="I39" s="504" t="n">
        <f aca="false">I31/$A39</f>
        <v>12663.13398272</v>
      </c>
      <c r="J39" s="504"/>
      <c r="K39" s="504"/>
      <c r="L39" s="123"/>
      <c r="M39" s="123"/>
    </row>
    <row r="40" customFormat="false" ht="12.75" hidden="false" customHeight="false" outlineLevel="0" collapsed="false">
      <c r="B40" s="23"/>
      <c r="D40" s="504"/>
      <c r="E40" s="504"/>
      <c r="F40" s="504"/>
      <c r="G40" s="504"/>
      <c r="H40" s="504"/>
      <c r="I40" s="504"/>
      <c r="J40" s="504"/>
      <c r="K40" s="504"/>
      <c r="L40" s="123"/>
      <c r="M40" s="123"/>
    </row>
    <row r="41" customFormat="false" ht="12.75" hidden="false" customHeight="false" outlineLevel="0" collapsed="false">
      <c r="B41" s="53" t="s">
        <v>306</v>
      </c>
      <c r="D41" s="504"/>
      <c r="E41" s="504"/>
      <c r="F41" s="504"/>
      <c r="G41" s="504"/>
      <c r="H41" s="504"/>
      <c r="I41" s="504"/>
      <c r="J41" s="504"/>
      <c r="K41" s="504"/>
      <c r="L41" s="123"/>
      <c r="M41" s="123"/>
    </row>
    <row r="42" customFormat="false" ht="12.75" hidden="false" customHeight="false" outlineLevel="0" collapsed="false">
      <c r="B42" s="23" t="s">
        <v>266</v>
      </c>
      <c r="D42" s="504" t="n">
        <f aca="false">D34-D26</f>
        <v>114162.598360656</v>
      </c>
      <c r="E42" s="504" t="n">
        <f aca="false">E34-E26</f>
        <v>114162.598360656</v>
      </c>
      <c r="F42" s="504" t="n">
        <f aca="false">F34-F26</f>
        <v>237458.204590164</v>
      </c>
      <c r="G42" s="504" t="n">
        <f aca="false">G34-G26</f>
        <v>246956.532773771</v>
      </c>
      <c r="H42" s="504" t="n">
        <f aca="false">H34-H26</f>
        <v>256834.794084721</v>
      </c>
      <c r="I42" s="504" t="n">
        <f aca="false">I34-I26</f>
        <v>267108.18584811</v>
      </c>
      <c r="J42" s="504"/>
      <c r="K42" s="504"/>
      <c r="L42" s="123"/>
      <c r="M42" s="123"/>
    </row>
    <row r="43" customFormat="false" ht="12.75" hidden="false" customHeight="false" outlineLevel="0" collapsed="false">
      <c r="B43" s="23" t="s">
        <v>260</v>
      </c>
      <c r="D43" s="504" t="n">
        <f aca="false">D35-D27</f>
        <v>61708.8045418327</v>
      </c>
      <c r="E43" s="504" t="n">
        <f aca="false">E35-E27</f>
        <v>61708.8045418327</v>
      </c>
      <c r="F43" s="504" t="n">
        <f aca="false">F35-F27</f>
        <v>125799.970305445</v>
      </c>
      <c r="G43" s="504" t="n">
        <f aca="false">G35-G27</f>
        <v>109015.867091633</v>
      </c>
      <c r="H43" s="504" t="n">
        <f aca="false">H35-H27</f>
        <v>110757.10298008</v>
      </c>
      <c r="I43" s="504" t="n">
        <f aca="false">I35-I27</f>
        <v>109817.220707782</v>
      </c>
      <c r="J43" s="504"/>
      <c r="K43" s="504"/>
      <c r="L43" s="123"/>
      <c r="M43" s="123"/>
    </row>
    <row r="44" customFormat="false" ht="12.75" hidden="false" customHeight="false" outlineLevel="0" collapsed="false">
      <c r="B44" s="23" t="s">
        <v>595</v>
      </c>
      <c r="D44" s="504" t="n">
        <f aca="false">D36-D28</f>
        <v>90261.9738562092</v>
      </c>
      <c r="E44" s="504" t="n">
        <f aca="false">E36-E28</f>
        <v>90261.9738562092</v>
      </c>
      <c r="F44" s="504" t="n">
        <f aca="false">F36-F28</f>
        <v>187744.905620915</v>
      </c>
      <c r="G44" s="504" t="n">
        <f aca="false">G36-G28</f>
        <v>195254.701845752</v>
      </c>
      <c r="H44" s="504" t="n">
        <f aca="false">H36-H28</f>
        <v>203064.889919582</v>
      </c>
      <c r="I44" s="504" t="n">
        <f aca="false">I36-I28</f>
        <v>211187.485516365</v>
      </c>
      <c r="J44" s="504"/>
      <c r="K44" s="504"/>
      <c r="L44" s="123"/>
      <c r="M44" s="123"/>
    </row>
    <row r="45" customFormat="false" ht="12.75" hidden="false" customHeight="false" outlineLevel="0" collapsed="false">
      <c r="B45" s="23" t="s">
        <v>596</v>
      </c>
      <c r="D45" s="504" t="n">
        <f aca="false">D37-D29</f>
        <v>393377.794117647</v>
      </c>
      <c r="E45" s="504" t="n">
        <f aca="false">E37-E29</f>
        <v>364359.408039216</v>
      </c>
      <c r="F45" s="504" t="n">
        <f aca="false">F37-F29</f>
        <v>757867.568721569</v>
      </c>
      <c r="G45" s="504" t="n">
        <f aca="false">G37-G29</f>
        <v>788182.271470431</v>
      </c>
      <c r="H45" s="504" t="n">
        <f aca="false">H37-H29</f>
        <v>819709.562329249</v>
      </c>
      <c r="I45" s="504" t="n">
        <f aca="false">I37-I29</f>
        <v>852497.944822419</v>
      </c>
      <c r="J45" s="504"/>
      <c r="K45" s="504"/>
      <c r="L45" s="123"/>
      <c r="M45" s="123"/>
    </row>
    <row r="46" customFormat="false" ht="12.75" hidden="false" customHeight="false" outlineLevel="0" collapsed="false">
      <c r="B46" s="23" t="s">
        <v>269</v>
      </c>
      <c r="D46" s="504" t="n">
        <f aca="false">D38-D30</f>
        <v>407755.122516556</v>
      </c>
      <c r="E46" s="504" t="n">
        <f aca="false">E38-E30</f>
        <v>407755.122516556</v>
      </c>
      <c r="F46" s="504" t="n">
        <f aca="false">F38-F30</f>
        <v>848130.654834437</v>
      </c>
      <c r="G46" s="504" t="n">
        <f aca="false">G38-G30</f>
        <v>882055.881027815</v>
      </c>
      <c r="H46" s="504" t="n">
        <f aca="false">H38-H30</f>
        <v>917338.116268927</v>
      </c>
      <c r="I46" s="504" t="n">
        <f aca="false">I38-I30</f>
        <v>954031.640919684</v>
      </c>
      <c r="J46" s="504"/>
      <c r="K46" s="504"/>
      <c r="L46" s="123"/>
      <c r="M46" s="123"/>
    </row>
    <row r="47" customFormat="false" ht="12.75" hidden="false" customHeight="false" outlineLevel="0" collapsed="false">
      <c r="B47" s="23" t="s">
        <v>347</v>
      </c>
      <c r="D47" s="504" t="n">
        <f aca="false">D39-D31</f>
        <v>0</v>
      </c>
      <c r="E47" s="504" t="n">
        <f aca="false">E39-E31</f>
        <v>0</v>
      </c>
      <c r="F47" s="504" t="n">
        <f aca="false">F39-F31</f>
        <v>0</v>
      </c>
      <c r="G47" s="504" t="n">
        <f aca="false">G39-G31</f>
        <v>0</v>
      </c>
      <c r="H47" s="504" t="n">
        <f aca="false">H39-H31</f>
        <v>0</v>
      </c>
      <c r="I47" s="504" t="n">
        <f aca="false">I39-I31</f>
        <v>0</v>
      </c>
      <c r="J47" s="504"/>
      <c r="K47" s="504"/>
      <c r="L47" s="123"/>
      <c r="M47" s="123"/>
    </row>
    <row r="48" customFormat="false" ht="12.75" hidden="false" customHeight="false" outlineLevel="0" collapsed="false">
      <c r="B48" s="23"/>
      <c r="D48" s="504"/>
      <c r="E48" s="504"/>
      <c r="F48" s="504"/>
      <c r="G48" s="504"/>
      <c r="H48" s="504"/>
      <c r="I48" s="504"/>
      <c r="J48" s="504"/>
      <c r="K48" s="504"/>
      <c r="L48" s="123"/>
      <c r="M48" s="123"/>
    </row>
    <row r="49" customFormat="false" ht="12.75" hidden="false" customHeight="false" outlineLevel="0" collapsed="false">
      <c r="B49" s="53" t="s">
        <v>600</v>
      </c>
      <c r="D49" s="516" t="s">
        <v>309</v>
      </c>
      <c r="E49" s="516"/>
      <c r="F49" s="516"/>
      <c r="G49" s="516"/>
      <c r="H49" s="516"/>
      <c r="I49" s="516"/>
      <c r="J49" s="504"/>
      <c r="K49" s="504"/>
      <c r="L49" s="123"/>
      <c r="M49" s="123"/>
    </row>
    <row r="50" customFormat="false" ht="12.75" hidden="false" customHeight="false" outlineLevel="0" collapsed="false">
      <c r="B50" s="23" t="s">
        <v>266</v>
      </c>
      <c r="D50" s="504" t="n">
        <v>38.8</v>
      </c>
      <c r="E50" s="504" t="n">
        <f aca="false">D50</f>
        <v>38.8</v>
      </c>
      <c r="F50" s="504" t="n">
        <f aca="false">((E50)-10)+5</f>
        <v>33.8</v>
      </c>
      <c r="G50" s="504" t="n">
        <f aca="false">F50</f>
        <v>33.8</v>
      </c>
      <c r="H50" s="504" t="n">
        <f aca="false">G50</f>
        <v>33.8</v>
      </c>
      <c r="I50" s="504" t="n">
        <f aca="false">H50</f>
        <v>33.8</v>
      </c>
      <c r="K50" s="504"/>
      <c r="L50" s="123"/>
      <c r="M50" s="123"/>
    </row>
    <row r="51" customFormat="false" ht="12.75" hidden="false" customHeight="false" outlineLevel="0" collapsed="false">
      <c r="B51" s="23" t="s">
        <v>260</v>
      </c>
      <c r="D51" s="504" t="n">
        <v>76.3</v>
      </c>
      <c r="E51" s="504" t="n">
        <f aca="false">D51</f>
        <v>76.3</v>
      </c>
      <c r="F51" s="504" t="n">
        <f aca="false">((E51)-10)+5</f>
        <v>71.3</v>
      </c>
      <c r="G51" s="504" t="n">
        <f aca="false">F51</f>
        <v>71.3</v>
      </c>
      <c r="H51" s="504" t="n">
        <f aca="false">G51</f>
        <v>71.3</v>
      </c>
      <c r="I51" s="504" t="n">
        <f aca="false">H51</f>
        <v>71.3</v>
      </c>
      <c r="K51" s="504"/>
      <c r="L51" s="123"/>
      <c r="M51" s="123"/>
    </row>
    <row r="52" customFormat="false" ht="12.75" hidden="false" customHeight="false" outlineLevel="0" collapsed="false">
      <c r="B52" s="23" t="s">
        <v>595</v>
      </c>
      <c r="D52" s="504" t="n">
        <v>92.9</v>
      </c>
      <c r="E52" s="504" t="n">
        <f aca="false">D52</f>
        <v>92.9</v>
      </c>
      <c r="F52" s="504" t="n">
        <v>85</v>
      </c>
      <c r="G52" s="504" t="n">
        <f aca="false">F52</f>
        <v>85</v>
      </c>
      <c r="H52" s="504" t="n">
        <f aca="false">+G52</f>
        <v>85</v>
      </c>
      <c r="I52" s="504" t="n">
        <f aca="false">H52</f>
        <v>85</v>
      </c>
      <c r="K52" s="504"/>
      <c r="L52" s="123"/>
      <c r="M52" s="123"/>
    </row>
    <row r="53" customFormat="false" ht="12.75" hidden="false" customHeight="false" outlineLevel="0" collapsed="false">
      <c r="B53" s="23" t="s">
        <v>596</v>
      </c>
      <c r="D53" s="504" t="n">
        <v>92.9</v>
      </c>
      <c r="E53" s="504" t="n">
        <f aca="false">D53</f>
        <v>92.9</v>
      </c>
      <c r="F53" s="504" t="n">
        <v>85</v>
      </c>
      <c r="G53" s="504" t="n">
        <f aca="false">F53</f>
        <v>85</v>
      </c>
      <c r="H53" s="504" t="n">
        <f aca="false">+G53</f>
        <v>85</v>
      </c>
      <c r="I53" s="504" t="n">
        <f aca="false">H53</f>
        <v>85</v>
      </c>
      <c r="K53" s="504"/>
      <c r="L53" s="123"/>
      <c r="M53" s="123"/>
    </row>
    <row r="54" customFormat="false" ht="12.75" hidden="false" customHeight="false" outlineLevel="0" collapsed="false">
      <c r="B54" s="23" t="s">
        <v>269</v>
      </c>
      <c r="D54" s="504" t="n">
        <v>29.9</v>
      </c>
      <c r="E54" s="504" t="n">
        <f aca="false">D54</f>
        <v>29.9</v>
      </c>
      <c r="F54" s="504" t="n">
        <f aca="false">((E54)-10)+5</f>
        <v>24.9</v>
      </c>
      <c r="G54" s="504" t="n">
        <f aca="false">F54</f>
        <v>24.9</v>
      </c>
      <c r="H54" s="504" t="n">
        <f aca="false">G54</f>
        <v>24.9</v>
      </c>
      <c r="I54" s="504" t="n">
        <f aca="false">H54</f>
        <v>24.9</v>
      </c>
      <c r="K54" s="504"/>
      <c r="L54" s="123"/>
      <c r="M54" s="123"/>
    </row>
    <row r="55" customFormat="false" ht="12.75" hidden="false" customHeight="false" outlineLevel="0" collapsed="false">
      <c r="B55" s="23" t="s">
        <v>347</v>
      </c>
      <c r="D55" s="504" t="n">
        <v>0</v>
      </c>
      <c r="E55" s="504" t="n">
        <v>0</v>
      </c>
      <c r="F55" s="504" t="n">
        <v>5</v>
      </c>
      <c r="G55" s="504" t="n">
        <f aca="false">F55</f>
        <v>5</v>
      </c>
      <c r="H55" s="504" t="n">
        <f aca="false">G55</f>
        <v>5</v>
      </c>
      <c r="I55" s="504" t="n">
        <f aca="false">H55</f>
        <v>5</v>
      </c>
      <c r="K55" s="504"/>
      <c r="L55" s="123"/>
      <c r="M55" s="123"/>
    </row>
    <row r="56" customFormat="false" ht="12.75" hidden="false" customHeight="false" outlineLevel="0" collapsed="false">
      <c r="B56" s="23"/>
      <c r="D56" s="504"/>
      <c r="E56" s="504"/>
      <c r="F56" s="504"/>
      <c r="G56" s="504"/>
      <c r="H56" s="504"/>
      <c r="I56" s="504"/>
      <c r="K56" s="504"/>
      <c r="L56" s="123"/>
      <c r="M56" s="123"/>
    </row>
    <row r="57" customFormat="false" ht="12.75" hidden="false" customHeight="false" outlineLevel="0" collapsed="false">
      <c r="B57" s="53" t="s">
        <v>600</v>
      </c>
      <c r="D57" s="516" t="s">
        <v>310</v>
      </c>
      <c r="E57" s="516"/>
      <c r="F57" s="516"/>
      <c r="G57" s="516"/>
      <c r="H57" s="516"/>
      <c r="I57" s="516"/>
      <c r="K57" s="504"/>
      <c r="L57" s="123"/>
      <c r="M57" s="123"/>
    </row>
    <row r="58" customFormat="false" ht="12.75" hidden="false" customHeight="false" outlineLevel="0" collapsed="false">
      <c r="B58" s="23" t="s">
        <v>266</v>
      </c>
      <c r="D58" s="504" t="n">
        <v>50.1</v>
      </c>
      <c r="E58" s="504" t="n">
        <f aca="false">D58</f>
        <v>50.1</v>
      </c>
      <c r="F58" s="504" t="n">
        <f aca="false">E58</f>
        <v>50.1</v>
      </c>
      <c r="G58" s="504" t="n">
        <f aca="false">F58</f>
        <v>50.1</v>
      </c>
      <c r="H58" s="504" t="n">
        <f aca="false">G58</f>
        <v>50.1</v>
      </c>
      <c r="I58" s="504" t="n">
        <f aca="false">H58</f>
        <v>50.1</v>
      </c>
      <c r="K58" s="504"/>
      <c r="L58" s="123"/>
      <c r="M58" s="123"/>
    </row>
    <row r="59" customFormat="false" ht="12.75" hidden="false" customHeight="false" outlineLevel="0" collapsed="false">
      <c r="B59" s="23" t="s">
        <v>260</v>
      </c>
      <c r="D59" s="504" t="n">
        <v>123.6</v>
      </c>
      <c r="E59" s="504" t="n">
        <f aca="false">D59</f>
        <v>123.6</v>
      </c>
      <c r="F59" s="504" t="n">
        <f aca="false">E59</f>
        <v>123.6</v>
      </c>
      <c r="G59" s="504" t="n">
        <f aca="false">F59</f>
        <v>123.6</v>
      </c>
      <c r="H59" s="504" t="n">
        <f aca="false">G59</f>
        <v>123.6</v>
      </c>
      <c r="I59" s="504" t="n">
        <f aca="false">H59</f>
        <v>123.6</v>
      </c>
      <c r="K59" s="504"/>
      <c r="L59" s="123"/>
      <c r="M59" s="123"/>
    </row>
    <row r="60" customFormat="false" ht="12.75" hidden="false" customHeight="false" outlineLevel="0" collapsed="false">
      <c r="B60" s="23" t="s">
        <v>595</v>
      </c>
      <c r="D60" s="504" t="n">
        <v>21.8</v>
      </c>
      <c r="E60" s="504" t="n">
        <f aca="false">D60</f>
        <v>21.8</v>
      </c>
      <c r="F60" s="504" t="n">
        <f aca="false">E60</f>
        <v>21.8</v>
      </c>
      <c r="G60" s="504" t="n">
        <f aca="false">F60</f>
        <v>21.8</v>
      </c>
      <c r="H60" s="504" t="n">
        <f aca="false">G60</f>
        <v>21.8</v>
      </c>
      <c r="I60" s="504" t="n">
        <f aca="false">H60</f>
        <v>21.8</v>
      </c>
      <c r="K60" s="504"/>
      <c r="L60" s="123"/>
      <c r="M60" s="123"/>
    </row>
    <row r="61" customFormat="false" ht="12.75" hidden="false" customHeight="false" outlineLevel="0" collapsed="false">
      <c r="B61" s="23" t="s">
        <v>596</v>
      </c>
      <c r="D61" s="504" t="n">
        <v>21.8</v>
      </c>
      <c r="E61" s="504" t="n">
        <f aca="false">D61</f>
        <v>21.8</v>
      </c>
      <c r="F61" s="504" t="n">
        <f aca="false">E61</f>
        <v>21.8</v>
      </c>
      <c r="G61" s="504" t="n">
        <f aca="false">F61</f>
        <v>21.8</v>
      </c>
      <c r="H61" s="504" t="n">
        <f aca="false">G61</f>
        <v>21.8</v>
      </c>
      <c r="I61" s="504" t="n">
        <f aca="false">H61</f>
        <v>21.8</v>
      </c>
      <c r="K61" s="504"/>
      <c r="L61" s="123"/>
      <c r="M61" s="123"/>
    </row>
    <row r="62" customFormat="false" ht="12.75" hidden="false" customHeight="false" outlineLevel="0" collapsed="false">
      <c r="B62" s="23" t="s">
        <v>269</v>
      </c>
      <c r="D62" s="504" t="n">
        <v>3.2</v>
      </c>
      <c r="E62" s="504" t="n">
        <f aca="false">D62</f>
        <v>3.2</v>
      </c>
      <c r="F62" s="504" t="n">
        <f aca="false">E62</f>
        <v>3.2</v>
      </c>
      <c r="G62" s="504" t="n">
        <f aca="false">F62</f>
        <v>3.2</v>
      </c>
      <c r="H62" s="504" t="n">
        <f aca="false">G62</f>
        <v>3.2</v>
      </c>
      <c r="I62" s="504" t="n">
        <f aca="false">H62</f>
        <v>3.2</v>
      </c>
      <c r="K62" s="504"/>
      <c r="L62" s="123"/>
      <c r="M62" s="123"/>
    </row>
    <row r="63" customFormat="false" ht="12.75" hidden="false" customHeight="false" outlineLevel="0" collapsed="false">
      <c r="B63" s="23" t="s">
        <v>347</v>
      </c>
      <c r="D63" s="504" t="n">
        <v>0</v>
      </c>
      <c r="E63" s="504" t="n">
        <f aca="false">D63</f>
        <v>0</v>
      </c>
      <c r="F63" s="504" t="n">
        <f aca="false">E63</f>
        <v>0</v>
      </c>
      <c r="G63" s="504" t="n">
        <f aca="false">F63</f>
        <v>0</v>
      </c>
      <c r="H63" s="504" t="n">
        <f aca="false">G63</f>
        <v>0</v>
      </c>
      <c r="I63" s="504" t="n">
        <f aca="false">H63</f>
        <v>0</v>
      </c>
      <c r="K63" s="504"/>
      <c r="L63" s="123"/>
      <c r="M63" s="123"/>
    </row>
    <row r="64" customFormat="false" ht="12.75" hidden="false" customHeight="false" outlineLevel="0" collapsed="false">
      <c r="B64" s="23"/>
      <c r="D64" s="504"/>
      <c r="E64" s="504"/>
      <c r="F64" s="504"/>
      <c r="G64" s="504"/>
      <c r="H64" s="504"/>
      <c r="I64" s="504"/>
      <c r="K64" s="504"/>
      <c r="L64" s="123"/>
      <c r="M64" s="123"/>
    </row>
    <row r="65" customFormat="false" ht="12.75" hidden="false" customHeight="false" outlineLevel="0" collapsed="false">
      <c r="B65" s="53" t="s">
        <v>600</v>
      </c>
      <c r="D65" s="516" t="s">
        <v>213</v>
      </c>
      <c r="E65" s="516"/>
      <c r="F65" s="516"/>
      <c r="G65" s="516"/>
      <c r="H65" s="516"/>
      <c r="I65" s="516"/>
      <c r="K65" s="504"/>
      <c r="L65" s="123"/>
      <c r="M65" s="123"/>
    </row>
    <row r="66" customFormat="false" ht="12.75" hidden="false" customHeight="false" outlineLevel="0" collapsed="false">
      <c r="B66" s="23" t="s">
        <v>266</v>
      </c>
      <c r="D66" s="504" t="n">
        <v>84.9</v>
      </c>
      <c r="E66" s="504" t="n">
        <f aca="false">D66</f>
        <v>84.9</v>
      </c>
      <c r="F66" s="504" t="n">
        <f aca="false">E66</f>
        <v>84.9</v>
      </c>
      <c r="G66" s="504" t="n">
        <f aca="false">F66</f>
        <v>84.9</v>
      </c>
      <c r="H66" s="504" t="n">
        <f aca="false">G66</f>
        <v>84.9</v>
      </c>
      <c r="I66" s="504" t="n">
        <f aca="false">H66</f>
        <v>84.9</v>
      </c>
      <c r="K66" s="504"/>
      <c r="L66" s="123"/>
      <c r="M66" s="123"/>
    </row>
    <row r="67" customFormat="false" ht="12.75" hidden="false" customHeight="false" outlineLevel="0" collapsed="false">
      <c r="B67" s="23" t="s">
        <v>260</v>
      </c>
      <c r="D67" s="504" t="n">
        <v>87.8</v>
      </c>
      <c r="E67" s="504" t="n">
        <f aca="false">D67</f>
        <v>87.8</v>
      </c>
      <c r="F67" s="504" t="n">
        <f aca="false">E67</f>
        <v>87.8</v>
      </c>
      <c r="G67" s="504" t="n">
        <f aca="false">F67</f>
        <v>87.8</v>
      </c>
      <c r="H67" s="504" t="n">
        <f aca="false">G67</f>
        <v>87.8</v>
      </c>
      <c r="I67" s="504" t="n">
        <f aca="false">H67</f>
        <v>87.8</v>
      </c>
      <c r="K67" s="504"/>
      <c r="L67" s="123"/>
      <c r="M67" s="123"/>
    </row>
    <row r="68" customFormat="false" ht="12.75" hidden="false" customHeight="false" outlineLevel="0" collapsed="false">
      <c r="B68" s="23" t="s">
        <v>595</v>
      </c>
      <c r="D68" s="504" t="n">
        <v>44.6</v>
      </c>
      <c r="E68" s="504" t="n">
        <f aca="false">D68</f>
        <v>44.6</v>
      </c>
      <c r="F68" s="504" t="n">
        <f aca="false">E68</f>
        <v>44.6</v>
      </c>
      <c r="G68" s="504" t="n">
        <f aca="false">F68</f>
        <v>44.6</v>
      </c>
      <c r="H68" s="504" t="n">
        <f aca="false">G68</f>
        <v>44.6</v>
      </c>
      <c r="I68" s="504" t="n">
        <f aca="false">H68</f>
        <v>44.6</v>
      </c>
      <c r="K68" s="504"/>
      <c r="L68" s="123"/>
      <c r="M68" s="123"/>
    </row>
    <row r="69" customFormat="false" ht="12.75" hidden="false" customHeight="false" outlineLevel="0" collapsed="false">
      <c r="B69" s="23" t="s">
        <v>596</v>
      </c>
      <c r="D69" s="504" t="n">
        <v>44.6</v>
      </c>
      <c r="E69" s="504" t="n">
        <f aca="false">D69</f>
        <v>44.6</v>
      </c>
      <c r="F69" s="504" t="n">
        <f aca="false">E69</f>
        <v>44.6</v>
      </c>
      <c r="G69" s="504" t="n">
        <f aca="false">F69</f>
        <v>44.6</v>
      </c>
      <c r="H69" s="504" t="n">
        <f aca="false">G69</f>
        <v>44.6</v>
      </c>
      <c r="I69" s="504" t="n">
        <f aca="false">H69</f>
        <v>44.6</v>
      </c>
      <c r="K69" s="504"/>
      <c r="L69" s="123"/>
      <c r="M69" s="123"/>
    </row>
    <row r="70" customFormat="false" ht="12.75" hidden="false" customHeight="false" outlineLevel="0" collapsed="false">
      <c r="B70" s="23" t="s">
        <v>269</v>
      </c>
      <c r="D70" s="504" t="n">
        <v>14</v>
      </c>
      <c r="E70" s="504" t="n">
        <f aca="false">D70</f>
        <v>14</v>
      </c>
      <c r="F70" s="504" t="n">
        <f aca="false">E70</f>
        <v>14</v>
      </c>
      <c r="G70" s="504" t="n">
        <f aca="false">F70</f>
        <v>14</v>
      </c>
      <c r="H70" s="504" t="n">
        <f aca="false">G70</f>
        <v>14</v>
      </c>
      <c r="I70" s="504" t="n">
        <f aca="false">H70</f>
        <v>14</v>
      </c>
      <c r="K70" s="504"/>
      <c r="L70" s="123"/>
      <c r="M70" s="123"/>
    </row>
    <row r="71" customFormat="false" ht="12.75" hidden="false" customHeight="false" outlineLevel="0" collapsed="false">
      <c r="B71" s="23" t="s">
        <v>347</v>
      </c>
      <c r="D71" s="504" t="n">
        <v>0</v>
      </c>
      <c r="E71" s="504" t="n">
        <f aca="false">D71</f>
        <v>0</v>
      </c>
      <c r="F71" s="504" t="n">
        <f aca="false">E71</f>
        <v>0</v>
      </c>
      <c r="G71" s="504" t="n">
        <f aca="false">F71</f>
        <v>0</v>
      </c>
      <c r="H71" s="504" t="n">
        <f aca="false">G71</f>
        <v>0</v>
      </c>
      <c r="I71" s="504" t="n">
        <v>0</v>
      </c>
      <c r="K71" s="504"/>
      <c r="L71" s="123"/>
      <c r="M71" s="123"/>
    </row>
    <row r="72" customFormat="false" ht="12.75" hidden="false" customHeight="false" outlineLevel="0" collapsed="false">
      <c r="B72" s="23"/>
      <c r="D72" s="504"/>
      <c r="E72" s="504"/>
      <c r="F72" s="504"/>
      <c r="G72" s="504"/>
      <c r="H72" s="504"/>
      <c r="I72" s="504"/>
      <c r="J72" s="504"/>
      <c r="K72" s="504"/>
      <c r="L72" s="123"/>
      <c r="M72" s="123"/>
    </row>
    <row r="73" customFormat="false" ht="12.75" hidden="false" customHeight="false" outlineLevel="0" collapsed="false">
      <c r="B73" s="53" t="s">
        <v>309</v>
      </c>
      <c r="D73" s="53"/>
      <c r="E73" s="53"/>
      <c r="F73" s="53"/>
      <c r="G73" s="53"/>
      <c r="H73" s="53"/>
      <c r="I73" s="504"/>
      <c r="J73" s="504"/>
      <c r="K73" s="504"/>
      <c r="L73" s="123"/>
      <c r="M73" s="123"/>
    </row>
    <row r="74" customFormat="false" ht="12.75" hidden="false" customHeight="false" outlineLevel="0" collapsed="false">
      <c r="B74" s="23" t="s">
        <v>266</v>
      </c>
      <c r="D74" s="504" t="n">
        <f aca="false">D34*D50/180</f>
        <v>25382.5500910747</v>
      </c>
      <c r="E74" s="504" t="n">
        <f aca="false">E34*E50/180</f>
        <v>25382.5500910747</v>
      </c>
      <c r="F74" s="504" t="n">
        <f aca="false">F34*F50/360</f>
        <v>22996.0670309654</v>
      </c>
      <c r="G74" s="504" t="n">
        <f aca="false">G34*G50/360</f>
        <v>23915.909712204</v>
      </c>
      <c r="H74" s="504" t="n">
        <f aca="false">H34*H50/360</f>
        <v>24872.5461006922</v>
      </c>
      <c r="I74" s="504" t="n">
        <f aca="false">I34*I50/360</f>
        <v>25867.4479447199</v>
      </c>
      <c r="J74" s="504"/>
      <c r="K74" s="504"/>
      <c r="L74" s="123"/>
      <c r="M74" s="123"/>
    </row>
    <row r="75" customFormat="false" ht="12.75" hidden="false" customHeight="false" outlineLevel="0" collapsed="false">
      <c r="B75" s="23" t="s">
        <v>260</v>
      </c>
      <c r="D75" s="504" t="n">
        <f aca="false">D35*D51/180</f>
        <v>28287.7436918991</v>
      </c>
      <c r="E75" s="504" t="n">
        <f aca="false">E35*E51/180</f>
        <v>28287.7436918991</v>
      </c>
      <c r="F75" s="504" t="n">
        <f aca="false">F35*F51/360</f>
        <v>26944.2878854951</v>
      </c>
      <c r="G75" s="504" t="n">
        <f aca="false">G35*G51/360</f>
        <v>23349.4085878707</v>
      </c>
      <c r="H75" s="504" t="n">
        <f aca="false">H35*H51/360</f>
        <v>23722.3527224436</v>
      </c>
      <c r="I75" s="504" t="n">
        <f aca="false">I35*I51/360</f>
        <v>23521.0453734691</v>
      </c>
      <c r="J75" s="504"/>
      <c r="K75" s="504"/>
      <c r="L75" s="123"/>
      <c r="M75" s="123"/>
    </row>
    <row r="76" customFormat="false" ht="12.75" hidden="false" customHeight="false" outlineLevel="0" collapsed="false">
      <c r="B76" s="23" t="s">
        <v>595</v>
      </c>
      <c r="D76" s="504" t="n">
        <f aca="false">D36*D52/180</f>
        <v>48566.7302106028</v>
      </c>
      <c r="E76" s="504" t="n">
        <f aca="false">E36*E52/180</f>
        <v>48566.7302106028</v>
      </c>
      <c r="F76" s="504" t="n">
        <f aca="false">F36*F52/360</f>
        <v>46214.1975308642</v>
      </c>
      <c r="G76" s="504" t="n">
        <f aca="false">G36*G52/360</f>
        <v>48062.7654320988</v>
      </c>
      <c r="H76" s="504" t="n">
        <f aca="false">H36*H52/360</f>
        <v>49985.2760493827</v>
      </c>
      <c r="I76" s="504" t="n">
        <f aca="false">I36*I52/360</f>
        <v>51984.687091358</v>
      </c>
      <c r="J76" s="504"/>
      <c r="K76" s="504"/>
      <c r="L76" s="123"/>
      <c r="M76" s="123"/>
    </row>
    <row r="77" customFormat="false" ht="12.75" hidden="false" customHeight="false" outlineLevel="0" collapsed="false">
      <c r="B77" s="23" t="s">
        <v>596</v>
      </c>
      <c r="D77" s="504" t="n">
        <f aca="false">D37*D53/180</f>
        <v>211662.479575163</v>
      </c>
      <c r="E77" s="504" t="n">
        <f aca="false">E37*E53/180</f>
        <v>196048.726988017</v>
      </c>
      <c r="F77" s="504" t="n">
        <f aca="false">F37*F53/360</f>
        <v>186552.287037037</v>
      </c>
      <c r="G77" s="504" t="n">
        <f aca="false">G37*G53/360</f>
        <v>194014.378518518</v>
      </c>
      <c r="H77" s="504" t="n">
        <f aca="false">H37*H53/360</f>
        <v>201774.953659259</v>
      </c>
      <c r="I77" s="504" t="n">
        <f aca="false">I37*I53/360</f>
        <v>209845.95180563</v>
      </c>
      <c r="J77" s="504"/>
      <c r="K77" s="504"/>
      <c r="L77" s="123"/>
      <c r="M77" s="123"/>
    </row>
    <row r="78" customFormat="false" ht="12.75" hidden="false" customHeight="false" outlineLevel="0" collapsed="false">
      <c r="B78" s="23" t="s">
        <v>269</v>
      </c>
      <c r="D78" s="504" t="n">
        <f aca="false">D38*D54/180</f>
        <v>68771.1000735835</v>
      </c>
      <c r="E78" s="504" t="n">
        <f aca="false">E38*E54/180</f>
        <v>68771.1000735835</v>
      </c>
      <c r="F78" s="504" t="n">
        <f aca="false">F38*F54/360</f>
        <v>59561.7527593819</v>
      </c>
      <c r="G78" s="504" t="n">
        <f aca="false">G38*G54/360</f>
        <v>61944.2228697572</v>
      </c>
      <c r="H78" s="504" t="n">
        <f aca="false">H38*H54/360</f>
        <v>64421.9917845475</v>
      </c>
      <c r="I78" s="504" t="n">
        <f aca="false">I38*I54/360</f>
        <v>66998.8714559294</v>
      </c>
      <c r="J78" s="504"/>
      <c r="K78" s="504"/>
      <c r="L78" s="123"/>
      <c r="M78" s="123"/>
    </row>
    <row r="79" customFormat="false" ht="12.75" hidden="false" customHeight="false" outlineLevel="0" collapsed="false">
      <c r="B79" s="23" t="s">
        <v>347</v>
      </c>
      <c r="D79" s="504" t="n">
        <f aca="false">D39*D55/180</f>
        <v>0</v>
      </c>
      <c r="E79" s="504" t="n">
        <f aca="false">E39*E55/180</f>
        <v>0</v>
      </c>
      <c r="F79" s="504" t="n">
        <f aca="false">F39*F55/360</f>
        <v>156.353888888889</v>
      </c>
      <c r="G79" s="504" t="n">
        <f aca="false">G39*G55/360</f>
        <v>162.608044444444</v>
      </c>
      <c r="H79" s="504" t="n">
        <f aca="false">H39*H55/360</f>
        <v>169.112366222222</v>
      </c>
      <c r="I79" s="504" t="n">
        <f aca="false">I39*I55/360</f>
        <v>175.876860871111</v>
      </c>
      <c r="J79" s="504"/>
      <c r="K79" s="504"/>
      <c r="L79" s="123"/>
      <c r="M79" s="123"/>
    </row>
    <row r="80" customFormat="false" ht="12.75" hidden="false" customHeight="false" outlineLevel="0" collapsed="false">
      <c r="B80" s="23"/>
      <c r="D80" s="504"/>
      <c r="E80" s="504"/>
      <c r="F80" s="504"/>
      <c r="G80" s="504"/>
      <c r="H80" s="504"/>
      <c r="I80" s="504"/>
      <c r="J80" s="504"/>
      <c r="K80" s="504"/>
      <c r="L80" s="123"/>
      <c r="M80" s="123"/>
    </row>
    <row r="81" customFormat="false" ht="12.75" hidden="false" customHeight="false" outlineLevel="0" collapsed="false">
      <c r="B81" s="53" t="s">
        <v>310</v>
      </c>
      <c r="D81" s="53"/>
      <c r="E81" s="53"/>
      <c r="F81" s="53"/>
      <c r="G81" s="53"/>
      <c r="H81" s="53"/>
      <c r="I81" s="504"/>
      <c r="J81" s="504"/>
      <c r="K81" s="504"/>
      <c r="L81" s="123"/>
      <c r="M81" s="123"/>
    </row>
    <row r="82" customFormat="false" ht="12.75" hidden="false" customHeight="false" outlineLevel="0" collapsed="false">
      <c r="B82" s="23" t="s">
        <v>266</v>
      </c>
      <c r="D82" s="504" t="n">
        <f aca="false">D34*D58/180</f>
        <v>32774.8907103825</v>
      </c>
      <c r="E82" s="504" t="n">
        <f aca="false">E34*E58/180</f>
        <v>32774.8907103825</v>
      </c>
      <c r="F82" s="504" t="n">
        <f aca="false">F34*F58/360</f>
        <v>34085.8863387978</v>
      </c>
      <c r="G82" s="504" t="n">
        <f aca="false">G34*G58/360</f>
        <v>35449.3217923497</v>
      </c>
      <c r="H82" s="504" t="n">
        <f aca="false">H34*H58/360</f>
        <v>36867.2946640437</v>
      </c>
      <c r="I82" s="504" t="n">
        <f aca="false">I34*I58/360</f>
        <v>38341.9864506055</v>
      </c>
      <c r="J82" s="504"/>
      <c r="K82" s="504"/>
      <c r="L82" s="123"/>
      <c r="M82" s="123"/>
    </row>
    <row r="83" customFormat="false" ht="12.75" hidden="false" customHeight="false" outlineLevel="0" collapsed="false">
      <c r="B83" s="23" t="s">
        <v>260</v>
      </c>
      <c r="D83" s="504" t="n">
        <f aca="false">D35*D59/180</f>
        <v>45823.9203187251</v>
      </c>
      <c r="E83" s="504" t="n">
        <f aca="false">E35*E59/180</f>
        <v>45823.9203187251</v>
      </c>
      <c r="F83" s="504" t="n">
        <f aca="false">F35*F59/360</f>
        <v>46708.4710048694</v>
      </c>
      <c r="G83" s="504" t="n">
        <f aca="false">G35*G59/360</f>
        <v>40476.6746347942</v>
      </c>
      <c r="H83" s="504" t="n">
        <f aca="false">H35*H59/360</f>
        <v>41123.180876494</v>
      </c>
      <c r="I83" s="504" t="n">
        <f aca="false">I35*I59/360</f>
        <v>40774.2104931386</v>
      </c>
      <c r="J83" s="504"/>
      <c r="K83" s="504"/>
      <c r="L83" s="123"/>
      <c r="M83" s="123"/>
    </row>
    <row r="84" customFormat="false" ht="12.75" hidden="false" customHeight="false" outlineLevel="0" collapsed="false">
      <c r="B84" s="23" t="s">
        <v>595</v>
      </c>
      <c r="D84" s="504" t="n">
        <f aca="false">D36*D60/180</f>
        <v>11396.7138707335</v>
      </c>
      <c r="E84" s="504" t="n">
        <f aca="false">E36*E60/180</f>
        <v>11396.7138707335</v>
      </c>
      <c r="F84" s="504" t="n">
        <f aca="false">F36*F60/360</f>
        <v>11852.5824255628</v>
      </c>
      <c r="G84" s="504" t="n">
        <f aca="false">G36*G60/360</f>
        <v>12326.6857225853</v>
      </c>
      <c r="H84" s="504" t="n">
        <f aca="false">H36*H60/360</f>
        <v>12819.7531514887</v>
      </c>
      <c r="I84" s="504" t="n">
        <f aca="false">I36*I60/360</f>
        <v>13332.5432775483</v>
      </c>
      <c r="J84" s="504"/>
      <c r="K84" s="504"/>
      <c r="L84" s="123"/>
      <c r="M84" s="123"/>
    </row>
    <row r="85" customFormat="false" ht="12.75" hidden="false" customHeight="false" outlineLevel="0" collapsed="false">
      <c r="B85" s="23" t="s">
        <v>596</v>
      </c>
      <c r="D85" s="504" t="n">
        <f aca="false">D37*D61/180</f>
        <v>49668.9133986928</v>
      </c>
      <c r="E85" s="504" t="n">
        <f aca="false">E37*E61/180</f>
        <v>46004.9757625272</v>
      </c>
      <c r="F85" s="504" t="n">
        <f aca="false">F37*F61/360</f>
        <v>47845.1747930283</v>
      </c>
      <c r="G85" s="504" t="n">
        <f aca="false">G37*G61/360</f>
        <v>49758.9817847494</v>
      </c>
      <c r="H85" s="504" t="n">
        <f aca="false">H37*H61/360</f>
        <v>51749.3410561394</v>
      </c>
      <c r="I85" s="504" t="n">
        <f aca="false">I37*I61/360</f>
        <v>53819.314698385</v>
      </c>
      <c r="J85" s="504"/>
      <c r="K85" s="504"/>
      <c r="L85" s="123"/>
      <c r="M85" s="123"/>
    </row>
    <row r="86" customFormat="false" ht="12.75" hidden="false" customHeight="false" outlineLevel="0" collapsed="false">
      <c r="B86" s="23" t="s">
        <v>269</v>
      </c>
      <c r="D86" s="504" t="n">
        <f aca="false">D38*D62/180</f>
        <v>7360.11773362767</v>
      </c>
      <c r="E86" s="504" t="n">
        <f aca="false">E38*E62/180</f>
        <v>7360.11773362767</v>
      </c>
      <c r="F86" s="504" t="n">
        <f aca="false">F38*F62/360</f>
        <v>7654.52244297277</v>
      </c>
      <c r="G86" s="504" t="n">
        <f aca="false">G38*G62/360</f>
        <v>7960.70334069169</v>
      </c>
      <c r="H86" s="504" t="n">
        <f aca="false">H38*H62/360</f>
        <v>8279.13147431935</v>
      </c>
      <c r="I86" s="504" t="n">
        <f aca="false">I38*I62/360</f>
        <v>8610.29673329213</v>
      </c>
      <c r="J86" s="504"/>
      <c r="K86" s="504"/>
      <c r="L86" s="123"/>
      <c r="M86" s="123"/>
    </row>
    <row r="87" customFormat="false" ht="12.75" hidden="false" customHeight="false" outlineLevel="0" collapsed="false">
      <c r="B87" s="23" t="s">
        <v>347</v>
      </c>
      <c r="D87" s="504" t="n">
        <f aca="false">D39*D63/180</f>
        <v>0</v>
      </c>
      <c r="E87" s="504" t="n">
        <f aca="false">E39*E63/180</f>
        <v>0</v>
      </c>
      <c r="F87" s="504" t="n">
        <f aca="false">F39*F63/360</f>
        <v>0</v>
      </c>
      <c r="G87" s="504" t="n">
        <f aca="false">G39*G63/360</f>
        <v>0</v>
      </c>
      <c r="H87" s="504" t="n">
        <f aca="false">H39*H63/360</f>
        <v>0</v>
      </c>
      <c r="I87" s="504" t="n">
        <f aca="false">I39*I63/360</f>
        <v>0</v>
      </c>
      <c r="J87" s="504"/>
      <c r="K87" s="504"/>
      <c r="L87" s="123"/>
      <c r="M87" s="123"/>
    </row>
    <row r="88" customFormat="false" ht="12.75" hidden="false" customHeight="false" outlineLevel="0" collapsed="false">
      <c r="B88" s="23"/>
      <c r="D88" s="504"/>
      <c r="E88" s="504"/>
      <c r="F88" s="504"/>
      <c r="G88" s="504"/>
      <c r="H88" s="504"/>
      <c r="I88" s="504"/>
      <c r="J88" s="504"/>
      <c r="K88" s="504"/>
      <c r="L88" s="123"/>
      <c r="M88" s="123"/>
    </row>
    <row r="89" customFormat="false" ht="12.75" hidden="false" customHeight="false" outlineLevel="0" collapsed="false">
      <c r="B89" s="53" t="s">
        <v>213</v>
      </c>
      <c r="D89" s="53"/>
      <c r="E89" s="53"/>
      <c r="F89" s="53"/>
      <c r="G89" s="53"/>
      <c r="H89" s="53"/>
      <c r="I89" s="504"/>
      <c r="J89" s="504"/>
      <c r="K89" s="504"/>
      <c r="L89" s="123"/>
      <c r="M89" s="123"/>
    </row>
    <row r="90" customFormat="false" ht="12.75" hidden="false" customHeight="false" outlineLevel="0" collapsed="false">
      <c r="B90" s="23" t="s">
        <v>266</v>
      </c>
      <c r="D90" s="504" t="n">
        <f aca="false">D42*D66/180</f>
        <v>53846.692226776</v>
      </c>
      <c r="E90" s="504" t="n">
        <f aca="false">E42*E66/180</f>
        <v>53846.692226776</v>
      </c>
      <c r="F90" s="504" t="n">
        <f aca="false">F42*F66/360</f>
        <v>56000.559915847</v>
      </c>
      <c r="G90" s="504" t="n">
        <f aca="false">G42*G66/360</f>
        <v>58240.5823124809</v>
      </c>
      <c r="H90" s="504" t="n">
        <f aca="false">H42*H66/360</f>
        <v>60570.2056049801</v>
      </c>
      <c r="I90" s="504" t="n">
        <f aca="false">I42*I66/360</f>
        <v>62993.0138291793</v>
      </c>
      <c r="J90" s="504"/>
      <c r="K90" s="504"/>
      <c r="L90" s="123"/>
      <c r="M90" s="123"/>
    </row>
    <row r="91" customFormat="false" ht="12.75" hidden="false" customHeight="false" outlineLevel="0" collapsed="false">
      <c r="B91" s="23" t="s">
        <v>260</v>
      </c>
      <c r="D91" s="504" t="n">
        <f aca="false">D43*D67/180</f>
        <v>30100.1835487384</v>
      </c>
      <c r="E91" s="504" t="n">
        <f aca="false">E43*E67/180</f>
        <v>30100.1835487384</v>
      </c>
      <c r="F91" s="504" t="n">
        <f aca="false">F43*F67/360</f>
        <v>30681.2149800502</v>
      </c>
      <c r="G91" s="504" t="n">
        <f aca="false">G43*G67/360</f>
        <v>26587.7586962373</v>
      </c>
      <c r="H91" s="504" t="n">
        <f aca="false">H43*H67/360</f>
        <v>27012.4267823639</v>
      </c>
      <c r="I91" s="504" t="n">
        <f aca="false">I43*I67/360</f>
        <v>26783.1999392869</v>
      </c>
      <c r="J91" s="504"/>
      <c r="K91" s="504"/>
      <c r="L91" s="123"/>
      <c r="M91" s="123"/>
    </row>
    <row r="92" customFormat="false" ht="12.75" hidden="false" customHeight="false" outlineLevel="0" collapsed="false">
      <c r="B92" s="23" t="s">
        <v>595</v>
      </c>
      <c r="D92" s="504" t="n">
        <f aca="false">D44*D68/180</f>
        <v>22364.9112999274</v>
      </c>
      <c r="E92" s="504" t="n">
        <f aca="false">E44*E68/180</f>
        <v>22364.9112999274</v>
      </c>
      <c r="F92" s="504" t="n">
        <f aca="false">F44*F68/360</f>
        <v>23259.5077519245</v>
      </c>
      <c r="G92" s="504" t="n">
        <f aca="false">G44*G68/360</f>
        <v>24189.8880620015</v>
      </c>
      <c r="H92" s="504" t="n">
        <f aca="false">H44*H68/360</f>
        <v>25157.4835844815</v>
      </c>
      <c r="I92" s="504" t="n">
        <f aca="false">I44*I68/360</f>
        <v>26163.7829278608</v>
      </c>
      <c r="J92" s="504"/>
      <c r="K92" s="504"/>
      <c r="L92" s="123"/>
      <c r="M92" s="123"/>
    </row>
    <row r="93" customFormat="false" ht="12.75" hidden="false" customHeight="false" outlineLevel="0" collapsed="false">
      <c r="B93" s="23" t="s">
        <v>596</v>
      </c>
      <c r="D93" s="504" t="n">
        <f aca="false">D45*D69/180</f>
        <v>97470.2756535948</v>
      </c>
      <c r="E93" s="504" t="n">
        <f aca="false">E45*E69/180</f>
        <v>90280.1644363834</v>
      </c>
      <c r="F93" s="504" t="n">
        <f aca="false">F45*F69/360</f>
        <v>93891.3710138388</v>
      </c>
      <c r="G93" s="504" t="n">
        <f aca="false">G45*G69/360</f>
        <v>97647.0258543923</v>
      </c>
      <c r="H93" s="504" t="n">
        <f aca="false">H45*H69/360</f>
        <v>101552.906888568</v>
      </c>
      <c r="I93" s="504" t="n">
        <f aca="false">I45*I69/360</f>
        <v>105615.023164111</v>
      </c>
      <c r="J93" s="504"/>
      <c r="K93" s="504"/>
      <c r="L93" s="123"/>
      <c r="M93" s="123"/>
    </row>
    <row r="94" customFormat="false" ht="12.75" hidden="false" customHeight="false" outlineLevel="0" collapsed="false">
      <c r="B94" s="23" t="s">
        <v>269</v>
      </c>
      <c r="D94" s="504" t="n">
        <f aca="false">D46*D70/180</f>
        <v>31714.2873068433</v>
      </c>
      <c r="E94" s="504" t="n">
        <f aca="false">E46*E70/180</f>
        <v>31714.2873068433</v>
      </c>
      <c r="F94" s="504" t="n">
        <f aca="false">F46*F70/360</f>
        <v>32982.858799117</v>
      </c>
      <c r="G94" s="504" t="n">
        <f aca="false">G46*G70/360</f>
        <v>34302.1731510817</v>
      </c>
      <c r="H94" s="504" t="n">
        <f aca="false">H46*H70/360</f>
        <v>35674.260077125</v>
      </c>
      <c r="I94" s="504" t="n">
        <f aca="false">I46*I70/360</f>
        <v>37101.2304802099</v>
      </c>
      <c r="J94" s="504"/>
      <c r="K94" s="504"/>
      <c r="L94" s="123"/>
      <c r="M94" s="123"/>
    </row>
    <row r="95" customFormat="false" ht="12.75" hidden="false" customHeight="false" outlineLevel="0" collapsed="false">
      <c r="B95" s="23" t="s">
        <v>347</v>
      </c>
      <c r="D95" s="504" t="n">
        <f aca="false">D47*D71/180</f>
        <v>0</v>
      </c>
      <c r="E95" s="504" t="n">
        <f aca="false">E47*E71/180</f>
        <v>0</v>
      </c>
      <c r="F95" s="504" t="n">
        <f aca="false">F47*F71/360</f>
        <v>0</v>
      </c>
      <c r="G95" s="504" t="n">
        <f aca="false">G47*G71/360</f>
        <v>0</v>
      </c>
      <c r="H95" s="504" t="n">
        <f aca="false">H47*H71/360</f>
        <v>0</v>
      </c>
      <c r="I95" s="504" t="n">
        <f aca="false">I47*I71/360</f>
        <v>0</v>
      </c>
      <c r="J95" s="504"/>
      <c r="K95" s="504"/>
      <c r="L95" s="123"/>
      <c r="M95" s="123"/>
    </row>
    <row r="96" customFormat="false" ht="12.75" hidden="false" customHeight="false" outlineLevel="0" collapsed="false">
      <c r="B96" s="23"/>
      <c r="D96" s="504"/>
      <c r="E96" s="504"/>
      <c r="F96" s="504"/>
      <c r="G96" s="504"/>
      <c r="H96" s="504"/>
      <c r="I96" s="504"/>
      <c r="J96" s="504"/>
      <c r="K96" s="504"/>
      <c r="L96" s="123"/>
      <c r="M96" s="123"/>
    </row>
    <row r="97" customFormat="false" ht="12.75" hidden="false" customHeight="false" outlineLevel="0" collapsed="false">
      <c r="B97" s="53" t="s">
        <v>586</v>
      </c>
      <c r="D97" s="504" t="n">
        <f aca="false">SUM(D74:D79)</f>
        <v>382670.603642323</v>
      </c>
      <c r="E97" s="504" t="n">
        <f aca="false">SUM(E74:E79)</f>
        <v>367056.851055178</v>
      </c>
      <c r="F97" s="504" t="n">
        <f aca="false">SUM(F74:F79)</f>
        <v>342424.946132632</v>
      </c>
      <c r="G97" s="504" t="n">
        <f aca="false">SUM(G74:G79)</f>
        <v>351449.293164894</v>
      </c>
      <c r="H97" s="504" t="n">
        <f aca="false">SUM(H74:H79)</f>
        <v>364946.232682547</v>
      </c>
      <c r="I97" s="504" t="n">
        <f aca="false">SUM(I74:I79)</f>
        <v>378393.880531977</v>
      </c>
      <c r="J97" s="504"/>
      <c r="K97" s="504"/>
      <c r="L97" s="123"/>
      <c r="M97" s="123"/>
    </row>
    <row r="98" customFormat="false" ht="12.75" hidden="false" customHeight="false" outlineLevel="0" collapsed="false">
      <c r="B98" s="53" t="s">
        <v>310</v>
      </c>
      <c r="D98" s="504" t="n">
        <f aca="false">SUM(D82:D87)</f>
        <v>147024.556032162</v>
      </c>
      <c r="E98" s="504" t="n">
        <f aca="false">SUM(E82:E87)</f>
        <v>143360.618395996</v>
      </c>
      <c r="F98" s="504" t="n">
        <f aca="false">SUM(F82:F87)</f>
        <v>148146.637005231</v>
      </c>
      <c r="G98" s="504" t="n">
        <f aca="false">SUM(G82:G87)</f>
        <v>145972.36727517</v>
      </c>
      <c r="H98" s="504" t="n">
        <f aca="false">SUM(H82:H87)</f>
        <v>150838.701222485</v>
      </c>
      <c r="I98" s="504" t="n">
        <f aca="false">SUM(I82:I87)</f>
        <v>154878.351652969</v>
      </c>
      <c r="J98" s="504"/>
      <c r="K98" s="504"/>
      <c r="L98" s="123"/>
      <c r="M98" s="123"/>
    </row>
    <row r="99" customFormat="false" ht="12.75" hidden="false" customHeight="false" outlineLevel="0" collapsed="false">
      <c r="B99" s="53" t="s">
        <v>589</v>
      </c>
      <c r="D99" s="504" t="n">
        <f aca="false">SUM(D90:D95)</f>
        <v>235496.35003588</v>
      </c>
      <c r="E99" s="504" t="n">
        <f aca="false">SUM(E90:E95)</f>
        <v>228306.238818668</v>
      </c>
      <c r="F99" s="504" t="n">
        <f aca="false">SUM(F90:F95)</f>
        <v>236815.512460777</v>
      </c>
      <c r="G99" s="504" t="n">
        <f aca="false">SUM(G90:G95)</f>
        <v>240967.428076194</v>
      </c>
      <c r="H99" s="504" t="n">
        <f aca="false">SUM(H90:H95)</f>
        <v>249967.282937519</v>
      </c>
      <c r="I99" s="504" t="n">
        <f aca="false">SUM(I90:I95)</f>
        <v>258656.250340648</v>
      </c>
      <c r="J99" s="504"/>
      <c r="K99" s="504"/>
      <c r="L99" s="123"/>
      <c r="M99" s="123"/>
    </row>
    <row r="100" customFormat="false" ht="12.75" hidden="false" customHeight="false" outlineLevel="0" collapsed="false">
      <c r="B100" s="23"/>
      <c r="D100" s="504"/>
      <c r="E100" s="504"/>
      <c r="F100" s="504"/>
      <c r="G100" s="504"/>
      <c r="H100" s="504"/>
      <c r="I100" s="504"/>
      <c r="J100" s="504"/>
      <c r="K100" s="504"/>
      <c r="L100" s="123"/>
      <c r="M100" s="123"/>
    </row>
    <row r="101" customFormat="false" ht="12.75" hidden="false" customHeight="false" outlineLevel="0" collapsed="false">
      <c r="B101" s="0" t="s">
        <v>586</v>
      </c>
      <c r="D101" s="67" t="n">
        <f aca="false">+D97</f>
        <v>382670.603642323</v>
      </c>
      <c r="E101" s="67" t="n">
        <f aca="false">+E97</f>
        <v>367056.851055178</v>
      </c>
      <c r="F101" s="67" t="n">
        <f aca="false">+F97</f>
        <v>342424.946132632</v>
      </c>
      <c r="G101" s="67" t="n">
        <f aca="false">+G97</f>
        <v>351449.293164894</v>
      </c>
      <c r="H101" s="67" t="n">
        <f aca="false">+H97</f>
        <v>364946.232682547</v>
      </c>
      <c r="I101" s="67" t="n">
        <f aca="false">+I97</f>
        <v>378393.880531977</v>
      </c>
      <c r="J101" s="67"/>
      <c r="K101" s="67"/>
      <c r="L101" s="123"/>
      <c r="M101" s="123"/>
    </row>
    <row r="102" customFormat="false" ht="12.75" hidden="false" customHeight="false" outlineLevel="0" collapsed="false">
      <c r="B102" s="0" t="s">
        <v>310</v>
      </c>
      <c r="D102" s="67" t="n">
        <f aca="false">+D98</f>
        <v>147024.556032162</v>
      </c>
      <c r="E102" s="67" t="n">
        <f aca="false">+E98</f>
        <v>143360.618395996</v>
      </c>
      <c r="F102" s="67" t="n">
        <f aca="false">+F98</f>
        <v>148146.637005231</v>
      </c>
      <c r="G102" s="67" t="n">
        <f aca="false">+G98</f>
        <v>145972.36727517</v>
      </c>
      <c r="H102" s="67" t="n">
        <f aca="false">+H98</f>
        <v>150838.701222485</v>
      </c>
      <c r="I102" s="67" t="n">
        <f aca="false">+I98</f>
        <v>154878.351652969</v>
      </c>
      <c r="J102" s="67"/>
      <c r="K102" s="67"/>
      <c r="L102" s="123"/>
      <c r="M102" s="123"/>
    </row>
    <row r="103" customFormat="false" ht="15" hidden="false" customHeight="false" outlineLevel="0" collapsed="false">
      <c r="B103" s="0" t="s">
        <v>589</v>
      </c>
      <c r="D103" s="67" t="n">
        <f aca="false">+D99</f>
        <v>235496.35003588</v>
      </c>
      <c r="E103" s="67" t="n">
        <f aca="false">+E99</f>
        <v>228306.238818668</v>
      </c>
      <c r="F103" s="67" t="n">
        <f aca="false">+F99</f>
        <v>236815.512460777</v>
      </c>
      <c r="G103" s="67" t="n">
        <f aca="false">+G99</f>
        <v>240967.428076194</v>
      </c>
      <c r="H103" s="67" t="n">
        <f aca="false">+H99</f>
        <v>249967.282937519</v>
      </c>
      <c r="I103" s="67" t="n">
        <f aca="false">+I99</f>
        <v>258656.250340648</v>
      </c>
      <c r="J103" s="297"/>
      <c r="K103" s="297"/>
      <c r="L103" s="123"/>
      <c r="M103" s="123"/>
    </row>
    <row r="104" customFormat="false" ht="12.75" hidden="false" customHeight="false" outlineLevel="0" collapsed="false">
      <c r="D104" s="123"/>
      <c r="E104" s="123"/>
      <c r="F104" s="123"/>
      <c r="G104" s="67"/>
      <c r="H104" s="67"/>
      <c r="I104" s="67"/>
      <c r="J104" s="67"/>
      <c r="K104" s="67"/>
      <c r="L104" s="123"/>
      <c r="M104" s="123"/>
    </row>
    <row r="105" customFormat="false" ht="12.75" hidden="false" customHeight="false" outlineLevel="0" collapsed="false">
      <c r="B105" s="0" t="s">
        <v>601</v>
      </c>
      <c r="D105" s="67" t="n">
        <f aca="false">'Balance Sheet'!I47</f>
        <v>187294.206386085</v>
      </c>
      <c r="E105" s="67" t="n">
        <f aca="false">'Balance Sheet'!J47</f>
        <v>138535.221479119</v>
      </c>
      <c r="F105" s="67" t="n">
        <f aca="false">'Balance Sheet'!K47</f>
        <v>113980.474383646</v>
      </c>
      <c r="G105" s="67" t="n">
        <f aca="false">'Balance Sheet'!L47</f>
        <v>113678.236721631</v>
      </c>
      <c r="H105" s="67" t="n">
        <f aca="false">'Balance Sheet'!M47</f>
        <v>119522.153704282</v>
      </c>
      <c r="I105" s="67" t="n">
        <f aca="false">'Balance Sheet'!N47</f>
        <v>124760.292841279</v>
      </c>
      <c r="K105" s="67"/>
      <c r="L105" s="123"/>
      <c r="M105" s="123"/>
    </row>
    <row r="106" customFormat="false" ht="12.75" hidden="false" customHeight="false" outlineLevel="0" collapsed="false">
      <c r="K106" s="67"/>
      <c r="L106" s="123"/>
      <c r="M106" s="123"/>
    </row>
    <row r="107" customFormat="false" ht="12.75" hidden="false" customHeight="false" outlineLevel="0" collapsed="false">
      <c r="A107" s="418"/>
      <c r="B107" s="418"/>
      <c r="C107" s="418"/>
      <c r="D107" s="494"/>
      <c r="E107" s="418"/>
      <c r="F107" s="418"/>
      <c r="G107" s="418"/>
      <c r="H107" s="418"/>
      <c r="I107" s="418"/>
      <c r="J107" s="418"/>
      <c r="K107" s="418"/>
      <c r="L107" s="418"/>
      <c r="M107" s="418"/>
      <c r="N107" s="418"/>
    </row>
    <row r="109" customFormat="false" ht="12.75" hidden="false" customHeight="false" outlineLevel="0" collapsed="false">
      <c r="D109" s="299"/>
    </row>
    <row r="110" customFormat="false" ht="12.75" hidden="false" customHeight="false" outlineLevel="0" collapsed="false">
      <c r="I110" s="517" t="n">
        <v>1998</v>
      </c>
      <c r="J110" s="517" t="n">
        <v>1999</v>
      </c>
      <c r="K110" s="517" t="n">
        <v>2000</v>
      </c>
    </row>
    <row r="112" customFormat="false" ht="12.75" hidden="false" customHeight="false" outlineLevel="0" collapsed="false">
      <c r="B112" s="0" t="s">
        <v>602</v>
      </c>
    </row>
    <row r="114" customFormat="false" ht="12.75" hidden="false" customHeight="false" outlineLevel="0" collapsed="false">
      <c r="B114" s="0" t="s">
        <v>603</v>
      </c>
    </row>
    <row r="115" customFormat="false" ht="12.75" hidden="false" customHeight="false" outlineLevel="0" collapsed="false">
      <c r="B115" s="0" t="s">
        <v>604</v>
      </c>
      <c r="H115" s="123"/>
      <c r="I115" s="123" t="n">
        <v>1613</v>
      </c>
      <c r="J115" s="123" t="n">
        <v>1697</v>
      </c>
      <c r="K115" s="123" t="n">
        <v>2415</v>
      </c>
    </row>
    <row r="116" customFormat="false" ht="12.75" hidden="false" customHeight="false" outlineLevel="0" collapsed="false">
      <c r="B116" s="0" t="s">
        <v>605</v>
      </c>
      <c r="H116" s="123"/>
      <c r="I116" s="123" t="n">
        <v>472</v>
      </c>
      <c r="J116" s="123" t="n">
        <v>455</v>
      </c>
      <c r="K116" s="123" t="n">
        <v>362</v>
      </c>
    </row>
    <row r="117" customFormat="false" ht="12.75" hidden="false" customHeight="false" outlineLevel="0" collapsed="false">
      <c r="B117" s="0" t="s">
        <v>606</v>
      </c>
      <c r="H117" s="123"/>
      <c r="I117" s="123" t="n">
        <v>267</v>
      </c>
      <c r="J117" s="123" t="n">
        <v>275</v>
      </c>
      <c r="K117" s="123" t="n">
        <v>353</v>
      </c>
    </row>
    <row r="118" customFormat="false" ht="12.75" hidden="false" customHeight="false" outlineLevel="0" collapsed="false">
      <c r="B118" s="0" t="s">
        <v>607</v>
      </c>
      <c r="H118" s="123"/>
      <c r="I118" s="123" t="n">
        <v>391</v>
      </c>
      <c r="J118" s="123" t="n">
        <v>524</v>
      </c>
      <c r="K118" s="123" t="n">
        <v>1665</v>
      </c>
    </row>
    <row r="119" customFormat="false" ht="12.75" hidden="false" customHeight="false" outlineLevel="0" collapsed="false">
      <c r="B119" s="0" t="s">
        <v>608</v>
      </c>
      <c r="H119" s="123"/>
      <c r="I119" s="123" t="n">
        <v>315</v>
      </c>
      <c r="J119" s="123" t="n">
        <v>358</v>
      </c>
      <c r="K119" s="123" t="n">
        <v>443</v>
      </c>
    </row>
    <row r="120" customFormat="false" ht="12.75" hidden="false" customHeight="false" outlineLevel="0" collapsed="false">
      <c r="H120" s="123"/>
      <c r="I120" s="123"/>
      <c r="J120" s="123"/>
      <c r="K120" s="123"/>
    </row>
    <row r="121" customFormat="false" ht="12.75" hidden="false" customHeight="false" outlineLevel="0" collapsed="false">
      <c r="B121" s="0" t="s">
        <v>609</v>
      </c>
      <c r="H121" s="123"/>
      <c r="I121" s="123" t="n">
        <f aca="false">SUM(I115:I119)</f>
        <v>3058</v>
      </c>
      <c r="J121" s="123" t="n">
        <f aca="false">SUM(J115:J119)</f>
        <v>3309</v>
      </c>
      <c r="K121" s="123" t="n">
        <f aca="false">SUM(K115:K119)</f>
        <v>5238</v>
      </c>
    </row>
    <row r="122" customFormat="false" ht="12.75" hidden="false" customHeight="false" outlineLevel="0" collapsed="false">
      <c r="H122" s="123"/>
      <c r="I122" s="123"/>
      <c r="J122" s="123"/>
      <c r="K122" s="123"/>
    </row>
    <row r="123" customFormat="false" ht="12.75" hidden="false" customHeight="false" outlineLevel="0" collapsed="false">
      <c r="B123" s="0" t="s">
        <v>610</v>
      </c>
      <c r="H123" s="123"/>
      <c r="I123" s="123" t="n">
        <v>10</v>
      </c>
      <c r="J123" s="123" t="n">
        <v>1939</v>
      </c>
      <c r="K123" s="123" t="n">
        <v>7082</v>
      </c>
    </row>
    <row r="124" customFormat="false" ht="12.75" hidden="false" customHeight="false" outlineLevel="0" collapsed="false">
      <c r="H124" s="123"/>
      <c r="I124" s="123"/>
      <c r="J124" s="123"/>
      <c r="K124" s="123"/>
    </row>
    <row r="125" customFormat="false" ht="12.75" hidden="false" customHeight="false" outlineLevel="0" collapsed="false">
      <c r="B125" s="0" t="s">
        <v>611</v>
      </c>
      <c r="H125" s="123"/>
      <c r="I125" s="123" t="n">
        <f aca="false">+I121+I123</f>
        <v>3068</v>
      </c>
      <c r="J125" s="123" t="n">
        <f aca="false">+J121+J123</f>
        <v>5248</v>
      </c>
      <c r="K125" s="123" t="n">
        <f aca="false">+K121+K123</f>
        <v>12320</v>
      </c>
    </row>
  </sheetData>
  <mergeCells count="3">
    <mergeCell ref="D49:I49"/>
    <mergeCell ref="D57:I57"/>
    <mergeCell ref="D65:I65"/>
  </mergeCells>
  <printOptions headings="false" gridLines="false" gridLinesSet="true" horizontalCentered="false" verticalCentered="false"/>
  <pageMargins left="0.25" right="0.25" top="0.509722222222222" bottom="0.5" header="0.511811023622047" footer="0.511811023622047"/>
  <pageSetup paperSize="1" scale="49"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5:L2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G16" activeCellId="0" sqref="G16"/>
    </sheetView>
  </sheetViews>
  <sheetFormatPr defaultColWidth="9.0546875" defaultRowHeight="12.75" customHeight="true" zeroHeight="false" outlineLevelRow="0" outlineLevelCol="0"/>
  <cols>
    <col collapsed="false" customWidth="true" hidden="false" outlineLevel="0" max="6" min="6" style="123" width="12.28"/>
    <col collapsed="false" customWidth="true" hidden="false" outlineLevel="0" max="7" min="7" style="0" width="11.85"/>
    <col collapsed="false" customWidth="true" hidden="false" outlineLevel="0" max="8" min="8" style="123" width="12.28"/>
    <col collapsed="false" customWidth="true" hidden="false" outlineLevel="0" max="9" min="9" style="123" width="10.28"/>
    <col collapsed="false" customWidth="true" hidden="false" outlineLevel="0" max="10" min="10" style="123" width="12.28"/>
    <col collapsed="false" customWidth="true" hidden="false" outlineLevel="0" max="11" min="11" style="123" width="10.28"/>
    <col collapsed="false" customWidth="true" hidden="false" outlineLevel="0" max="12" min="12" style="123" width="12.28"/>
  </cols>
  <sheetData>
    <row r="5" customFormat="false" ht="12.75" hidden="false" customHeight="false" outlineLevel="0" collapsed="false">
      <c r="C5" s="53" t="s">
        <v>612</v>
      </c>
      <c r="I5" s="518" t="s">
        <v>613</v>
      </c>
    </row>
    <row r="6" customFormat="false" ht="12.75" hidden="false" customHeight="false" outlineLevel="0" collapsed="false">
      <c r="J6" s="26"/>
    </row>
    <row r="8" customFormat="false" ht="12.75" hidden="false" customHeight="false" outlineLevel="0" collapsed="false">
      <c r="C8" s="0" t="s">
        <v>614</v>
      </c>
      <c r="F8" s="0"/>
      <c r="G8" s="123" t="n">
        <f aca="false">'S &amp; U'!F13*1000</f>
        <v>220380.206386085</v>
      </c>
      <c r="I8" s="123" t="s">
        <v>615</v>
      </c>
      <c r="K8" s="123" t="n">
        <f aca="false">'Sea-3 NH '!D34</f>
        <v>24145.862525677</v>
      </c>
    </row>
    <row r="9" customFormat="false" ht="12.75" hidden="false" customHeight="false" outlineLevel="0" collapsed="false">
      <c r="C9" s="0" t="s">
        <v>616</v>
      </c>
      <c r="F9" s="0"/>
      <c r="G9" s="519" t="n">
        <f aca="false">'Balance Sheet'!G37</f>
        <v>128478.999487987</v>
      </c>
      <c r="I9" s="123" t="s">
        <v>617</v>
      </c>
      <c r="K9" s="123" t="n">
        <f aca="false">'Sea-3 Tampa'!D34</f>
        <v>27883.4759977148</v>
      </c>
    </row>
    <row r="10" customFormat="false" ht="12.75" hidden="false" customHeight="false" outlineLevel="0" collapsed="false">
      <c r="C10" s="0" t="s">
        <v>618</v>
      </c>
      <c r="G10" s="123" t="n">
        <f aca="false">G8-G9</f>
        <v>91901.2068980974</v>
      </c>
      <c r="I10" s="123" t="s">
        <v>619</v>
      </c>
      <c r="K10" s="123" t="n">
        <f aca="false">SUM(K8:K9)</f>
        <v>52029.3385233918</v>
      </c>
    </row>
    <row r="11" customFormat="false" ht="12.75" hidden="false" customHeight="false" outlineLevel="0" collapsed="false">
      <c r="C11" s="123"/>
      <c r="D11" s="123"/>
      <c r="E11" s="123"/>
      <c r="G11" s="123"/>
    </row>
    <row r="12" customFormat="false" ht="12.75" hidden="false" customHeight="false" outlineLevel="0" collapsed="false">
      <c r="C12" s="0" t="s">
        <v>620</v>
      </c>
      <c r="D12" s="123"/>
      <c r="E12" s="123"/>
      <c r="G12" s="123" t="n">
        <f aca="false">K16</f>
        <v>79725.903654933</v>
      </c>
      <c r="I12" s="123" t="s">
        <v>50</v>
      </c>
      <c r="K12" s="123" t="n">
        <f aca="false">'Rail Ops'!D31</f>
        <v>23779.9651315411</v>
      </c>
    </row>
    <row r="13" customFormat="false" ht="12.75" hidden="false" customHeight="false" outlineLevel="0" collapsed="false">
      <c r="C13" s="0" t="s">
        <v>621</v>
      </c>
      <c r="D13" s="123"/>
      <c r="E13" s="123"/>
      <c r="G13" s="498" t="n">
        <f aca="false">'Balance Sheet'!G20</f>
        <v>28793.3539666667</v>
      </c>
      <c r="I13" s="123" t="s">
        <v>622</v>
      </c>
      <c r="K13" s="123" t="n">
        <f aca="false">Dep!D4+Dep!D10</f>
        <v>3916.6</v>
      </c>
    </row>
    <row r="14" customFormat="false" ht="12.75" hidden="false" customHeight="false" outlineLevel="0" collapsed="false">
      <c r="C14" s="0" t="s">
        <v>623</v>
      </c>
      <c r="G14" s="499" t="n">
        <f aca="false">G12-G13</f>
        <v>50932.5496882663</v>
      </c>
      <c r="I14" s="123" t="s">
        <v>624</v>
      </c>
      <c r="K14" s="123" t="n">
        <f aca="false">SUM(K12:K13)</f>
        <v>27696.5651315411</v>
      </c>
    </row>
    <row r="16" customFormat="false" ht="15" hidden="false" customHeight="false" outlineLevel="0" collapsed="false">
      <c r="C16" s="0" t="s">
        <v>618</v>
      </c>
      <c r="G16" s="499" t="n">
        <f aca="false">G10-G14</f>
        <v>40968.6572098311</v>
      </c>
      <c r="H16" s="27"/>
      <c r="I16" s="123" t="s">
        <v>625</v>
      </c>
      <c r="K16" s="123" t="n">
        <f aca="false">+K10+K14</f>
        <v>79725.903654933</v>
      </c>
    </row>
    <row r="17" customFormat="false" ht="12.75" hidden="false" customHeight="false" outlineLevel="0" collapsed="false">
      <c r="G17" s="123"/>
    </row>
    <row r="18" customFormat="false" ht="12.75" hidden="false" customHeight="false" outlineLevel="0" collapsed="false">
      <c r="G18" s="123"/>
    </row>
    <row r="20" customFormat="false" ht="12.75" hidden="false" customHeight="false" outlineLevel="0" collapsed="false">
      <c r="H20" s="0"/>
      <c r="I20" s="0"/>
      <c r="J20" s="0"/>
      <c r="K20" s="0"/>
      <c r="L20" s="0"/>
    </row>
    <row r="23" customFormat="false" ht="15" hidden="false" customHeight="false" outlineLevel="0" collapsed="false">
      <c r="H23" s="2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3:C63"/>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sheetData>
    <row r="3" customFormat="false" ht="18" hidden="false" customHeight="false" outlineLevel="0" collapsed="false">
      <c r="B3" s="110" t="s">
        <v>626</v>
      </c>
    </row>
    <row r="6" customFormat="false" ht="12.75" hidden="false" customHeight="false" outlineLevel="0" collapsed="false">
      <c r="A6" s="520" t="n">
        <v>36956</v>
      </c>
    </row>
    <row r="7" customFormat="false" ht="12.75" hidden="false" customHeight="false" outlineLevel="0" collapsed="false">
      <c r="B7" s="0" t="s">
        <v>627</v>
      </c>
    </row>
    <row r="8" customFormat="false" ht="12.75" hidden="false" customHeight="false" outlineLevel="0" collapsed="false">
      <c r="B8" s="0" t="s">
        <v>628</v>
      </c>
    </row>
    <row r="9" customFormat="false" ht="12.75" hidden="false" customHeight="false" outlineLevel="0" collapsed="false">
      <c r="B9" s="0" t="s">
        <v>629</v>
      </c>
    </row>
    <row r="10" customFormat="false" ht="12.75" hidden="false" customHeight="false" outlineLevel="0" collapsed="false">
      <c r="B10" s="0" t="s">
        <v>630</v>
      </c>
    </row>
    <row r="12" customFormat="false" ht="12.75" hidden="false" customHeight="false" outlineLevel="0" collapsed="false">
      <c r="A12" s="520" t="n">
        <v>36957</v>
      </c>
    </row>
    <row r="13" customFormat="false" ht="12.75" hidden="false" customHeight="false" outlineLevel="0" collapsed="false">
      <c r="B13" s="0" t="s">
        <v>631</v>
      </c>
    </row>
    <row r="15" customFormat="false" ht="12.75" hidden="false" customHeight="false" outlineLevel="0" collapsed="false">
      <c r="A15" s="520" t="n">
        <v>36959</v>
      </c>
    </row>
    <row r="16" customFormat="false" ht="12.75" hidden="false" customHeight="false" outlineLevel="0" collapsed="false">
      <c r="B16" s="0" t="s">
        <v>632</v>
      </c>
    </row>
    <row r="17" customFormat="false" ht="12.75" hidden="false" customHeight="false" outlineLevel="0" collapsed="false">
      <c r="B17" s="0" t="s">
        <v>633</v>
      </c>
    </row>
    <row r="18" customFormat="false" ht="12.75" hidden="false" customHeight="false" outlineLevel="0" collapsed="false">
      <c r="B18" s="0" t="s">
        <v>634</v>
      </c>
    </row>
    <row r="19" customFormat="false" ht="12.75" hidden="false" customHeight="false" outlineLevel="0" collapsed="false">
      <c r="B19" s="0" t="s">
        <v>635</v>
      </c>
    </row>
    <row r="20" customFormat="false" ht="12.75" hidden="false" customHeight="false" outlineLevel="0" collapsed="false">
      <c r="B20" s="0" t="s">
        <v>636</v>
      </c>
    </row>
    <row r="21" customFormat="false" ht="12.75" hidden="false" customHeight="false" outlineLevel="0" collapsed="false">
      <c r="B21" s="0" t="s">
        <v>637</v>
      </c>
    </row>
    <row r="22" customFormat="false" ht="12.75" hidden="false" customHeight="false" outlineLevel="0" collapsed="false">
      <c r="B22" s="0" t="s">
        <v>638</v>
      </c>
    </row>
    <row r="23" customFormat="false" ht="12.75" hidden="false" customHeight="false" outlineLevel="0" collapsed="false">
      <c r="B23" s="0" t="s">
        <v>639</v>
      </c>
    </row>
    <row r="25" customFormat="false" ht="12.75" hidden="false" customHeight="false" outlineLevel="0" collapsed="false">
      <c r="A25" s="520" t="n">
        <v>36961</v>
      </c>
    </row>
    <row r="26" customFormat="false" ht="12.75" hidden="false" customHeight="false" outlineLevel="0" collapsed="false">
      <c r="B26" s="0" t="s">
        <v>640</v>
      </c>
    </row>
    <row r="30" customFormat="false" ht="12.75" hidden="false" customHeight="false" outlineLevel="0" collapsed="false">
      <c r="B30" s="53"/>
      <c r="C30" s="53"/>
    </row>
    <row r="31" customFormat="false" ht="12.75" hidden="false" customHeight="false" outlineLevel="0" collapsed="false">
      <c r="B31" s="53"/>
    </row>
    <row r="42" customFormat="false" ht="18" hidden="false" customHeight="false" outlineLevel="0" collapsed="false">
      <c r="B42" s="110" t="s">
        <v>641</v>
      </c>
    </row>
    <row r="44" customFormat="false" ht="12.75" hidden="false" customHeight="false" outlineLevel="0" collapsed="false">
      <c r="B44" s="0" t="s">
        <v>642</v>
      </c>
    </row>
    <row r="46" customFormat="false" ht="12.75" hidden="false" customHeight="false" outlineLevel="0" collapsed="false">
      <c r="B46" s="0" t="s">
        <v>643</v>
      </c>
    </row>
    <row r="48" customFormat="false" ht="12.75" hidden="false" customHeight="false" outlineLevel="0" collapsed="false">
      <c r="B48" s="0" t="s">
        <v>644</v>
      </c>
    </row>
    <row r="50" customFormat="false" ht="12.75" hidden="false" customHeight="false" outlineLevel="0" collapsed="false">
      <c r="B50" s="0" t="s">
        <v>645</v>
      </c>
    </row>
    <row r="52" customFormat="false" ht="12.75" hidden="false" customHeight="false" outlineLevel="0" collapsed="false">
      <c r="B52" s="0" t="s">
        <v>646</v>
      </c>
    </row>
    <row r="54" customFormat="false" ht="12.75" hidden="false" customHeight="false" outlineLevel="0" collapsed="false">
      <c r="B54" s="0" t="s">
        <v>647</v>
      </c>
    </row>
    <row r="56" customFormat="false" ht="12.75" hidden="false" customHeight="false" outlineLevel="0" collapsed="false">
      <c r="B56" s="0" t="s">
        <v>648</v>
      </c>
    </row>
    <row r="58" customFormat="false" ht="12.75" hidden="false" customHeight="false" outlineLevel="0" collapsed="false">
      <c r="B58" s="0" t="s">
        <v>649</v>
      </c>
    </row>
    <row r="59" customFormat="false" ht="12.75" hidden="false" customHeight="false" outlineLevel="0" collapsed="false">
      <c r="B59" s="0" t="s">
        <v>650</v>
      </c>
    </row>
    <row r="61" customFormat="false" ht="12.75" hidden="false" customHeight="false" outlineLevel="0" collapsed="false">
      <c r="B61" s="0" t="s">
        <v>651</v>
      </c>
    </row>
    <row r="63" customFormat="false" ht="12.75" hidden="false" customHeight="false" outlineLevel="0" collapsed="false">
      <c r="B63" s="0" t="s">
        <v>652</v>
      </c>
    </row>
  </sheetData>
  <printOptions headings="false" gridLines="false" gridLinesSet="true" horizontalCentered="true" verticalCentered="false"/>
  <pageMargins left="0.25" right="0.25"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41"/>
  <sheetViews>
    <sheetView showFormulas="false" showGridLines="true" showRowColHeaders="true" showZeros="true" rightToLeft="false" tabSelected="false" showOutlineSymbols="true" defaultGridColor="true" view="normal" topLeftCell="C1" colorId="64" zoomScale="75" zoomScaleNormal="75"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7" min="3" style="0" width="12.28"/>
    <col collapsed="false" customWidth="true" hidden="false" outlineLevel="0" max="8" min="8" style="0" width="13.41"/>
    <col collapsed="false" customWidth="true" hidden="false" outlineLevel="0" max="11" min="9" style="0" width="12.28"/>
    <col collapsed="false" customWidth="true" hidden="false" outlineLevel="0" max="15" min="12" style="0" width="12.42"/>
    <col collapsed="false" customWidth="true" hidden="false" outlineLevel="0" max="16" min="16" style="0" width="11.7"/>
    <col collapsed="false" customWidth="true" hidden="false" outlineLevel="0" max="17" min="17" style="0" width="12.42"/>
  </cols>
  <sheetData>
    <row r="1" customFormat="false" ht="27" hidden="false" customHeight="false" outlineLevel="0" collapsed="false">
      <c r="A1" s="246" t="s">
        <v>0</v>
      </c>
      <c r="B1" s="4"/>
      <c r="C1" s="4"/>
      <c r="D1" s="4"/>
      <c r="E1" s="4"/>
      <c r="F1" s="4"/>
      <c r="G1" s="4"/>
      <c r="H1" s="4"/>
      <c r="I1" s="4"/>
      <c r="J1" s="4"/>
      <c r="K1" s="4"/>
      <c r="L1" s="137"/>
      <c r="M1" s="137"/>
      <c r="N1" s="137"/>
      <c r="O1" s="4"/>
      <c r="P1" s="521" t="s">
        <v>653</v>
      </c>
      <c r="Q1" s="4"/>
      <c r="R1" s="4"/>
    </row>
    <row r="3" customFormat="false" ht="15.75" hidden="false" customHeight="false" outlineLevel="0" collapsed="false">
      <c r="P3" s="248" t="s">
        <v>110</v>
      </c>
    </row>
    <row r="8" customFormat="false" ht="12.75" hidden="false" customHeight="false" outlineLevel="0" collapsed="false">
      <c r="L8" s="7" t="s">
        <v>111</v>
      </c>
      <c r="M8" s="7" t="s">
        <v>112</v>
      </c>
    </row>
    <row r="9" customFormat="false" ht="18" hidden="false" customHeight="false" outlineLevel="0" collapsed="false">
      <c r="C9" s="17"/>
      <c r="D9" s="17"/>
      <c r="E9" s="17"/>
      <c r="F9" s="17"/>
      <c r="G9" s="17"/>
      <c r="H9" s="522" t="n">
        <v>1997</v>
      </c>
      <c r="I9" s="249" t="n">
        <v>1998</v>
      </c>
      <c r="J9" s="249" t="n">
        <v>1999</v>
      </c>
      <c r="K9" s="249" t="n">
        <v>2000</v>
      </c>
      <c r="L9" s="250" t="n">
        <v>2001</v>
      </c>
      <c r="M9" s="249" t="n">
        <v>2001</v>
      </c>
      <c r="N9" s="249" t="n">
        <v>2002</v>
      </c>
      <c r="O9" s="249" t="n">
        <v>2003</v>
      </c>
      <c r="P9" s="249" t="n">
        <v>2004</v>
      </c>
      <c r="Q9" s="251" t="n">
        <v>2005</v>
      </c>
    </row>
    <row r="10" customFormat="false" ht="18" hidden="false" customHeight="false" outlineLevel="0" collapsed="false">
      <c r="C10" s="17"/>
      <c r="D10" s="17"/>
      <c r="E10" s="17"/>
      <c r="F10" s="17"/>
      <c r="G10" s="17"/>
      <c r="H10" s="17"/>
      <c r="I10" s="17"/>
      <c r="J10" s="17"/>
      <c r="K10" s="17"/>
      <c r="L10" s="523"/>
      <c r="M10" s="17"/>
    </row>
    <row r="11" customFormat="false" ht="18" hidden="false" customHeight="false" outlineLevel="0" collapsed="false">
      <c r="C11" s="17" t="s">
        <v>654</v>
      </c>
      <c r="D11" s="17"/>
      <c r="E11" s="17"/>
      <c r="F11" s="17"/>
      <c r="G11" s="17"/>
      <c r="H11" s="258" t="n">
        <v>-10881</v>
      </c>
      <c r="I11" s="258" t="n">
        <v>4890</v>
      </c>
      <c r="J11" s="258" t="n">
        <v>576</v>
      </c>
      <c r="K11" s="258" t="n">
        <v>703</v>
      </c>
      <c r="L11" s="261" t="s">
        <v>331</v>
      </c>
      <c r="M11" s="262" t="s">
        <v>331</v>
      </c>
      <c r="N11" s="262" t="s">
        <v>331</v>
      </c>
      <c r="O11" s="262" t="s">
        <v>331</v>
      </c>
      <c r="P11" s="262" t="s">
        <v>331</v>
      </c>
      <c r="Q11" s="262" t="s">
        <v>331</v>
      </c>
    </row>
    <row r="12" customFormat="false" ht="18" hidden="false" customHeight="false" outlineLevel="0" collapsed="false">
      <c r="C12" s="17" t="s">
        <v>266</v>
      </c>
      <c r="D12" s="17"/>
      <c r="E12" s="17"/>
      <c r="F12" s="17"/>
      <c r="G12" s="17"/>
      <c r="H12" s="255" t="n">
        <v>2098</v>
      </c>
      <c r="I12" s="255" t="n">
        <v>2862</v>
      </c>
      <c r="J12" s="255" t="n">
        <v>5444</v>
      </c>
      <c r="K12" s="255" t="n">
        <v>8922</v>
      </c>
      <c r="L12" s="256" t="n">
        <f aca="false">+'Valuation - DCF'!K14</f>
        <v>3591.5</v>
      </c>
      <c r="M12" s="255" t="n">
        <f aca="false">+'Valuation - DCF'!L14</f>
        <v>3591.5</v>
      </c>
      <c r="N12" s="255" t="n">
        <f aca="false">+'Valuation - DCF'!M14</f>
        <v>7470.32</v>
      </c>
      <c r="O12" s="255" t="n">
        <f aca="false">+'Valuation - DCF'!N14</f>
        <v>7769.1328</v>
      </c>
      <c r="P12" s="255" t="n">
        <f aca="false">+'Valuation - DCF'!O14</f>
        <v>8079.898112</v>
      </c>
      <c r="Q12" s="255" t="n">
        <f aca="false">+'Valuation - DCF'!P14</f>
        <v>8403.09403648</v>
      </c>
    </row>
    <row r="13" customFormat="false" ht="18" hidden="false" customHeight="false" outlineLevel="0" collapsed="false">
      <c r="C13" s="17" t="s">
        <v>655</v>
      </c>
      <c r="D13" s="17"/>
      <c r="E13" s="17"/>
      <c r="F13" s="17"/>
      <c r="G13" s="17"/>
      <c r="H13" s="255" t="n">
        <v>6958</v>
      </c>
      <c r="I13" s="255" t="n">
        <v>5909</v>
      </c>
      <c r="J13" s="255" t="n">
        <v>6191</v>
      </c>
      <c r="K13" s="255" t="n">
        <v>7508</v>
      </c>
      <c r="L13" s="256" t="n">
        <f aca="false">+'Valuation - DCF'!K19</f>
        <v>5025.06</v>
      </c>
      <c r="M13" s="255" t="n">
        <f aca="false">+'Valuation - DCF'!L19</f>
        <v>5025.06</v>
      </c>
      <c r="N13" s="255" t="n">
        <f aca="false">+'Valuation - DCF'!M19</f>
        <v>10244.12</v>
      </c>
      <c r="O13" s="255" t="n">
        <f aca="false">+'Valuation - DCF'!N19</f>
        <v>8877.36</v>
      </c>
      <c r="P13" s="255" t="n">
        <f aca="false">+'Valuation - DCF'!O19</f>
        <v>9019.152</v>
      </c>
      <c r="Q13" s="255" t="n">
        <f aca="false">+'Valuation - DCF'!P19</f>
        <v>8942.61568</v>
      </c>
    </row>
    <row r="14" customFormat="false" ht="18" hidden="false" customHeight="false" outlineLevel="0" collapsed="false">
      <c r="C14" s="17" t="s">
        <v>267</v>
      </c>
      <c r="D14" s="17"/>
      <c r="E14" s="17"/>
      <c r="F14" s="17"/>
      <c r="G14" s="17"/>
      <c r="H14" s="255" t="n">
        <v>3488</v>
      </c>
      <c r="I14" s="255" t="n">
        <v>3752</v>
      </c>
      <c r="J14" s="255" t="n">
        <v>3242</v>
      </c>
      <c r="K14" s="255" t="n">
        <v>10300</v>
      </c>
      <c r="L14" s="256" t="n">
        <f aca="false">+'Valuation - DCF'!K15</f>
        <v>3839.33333333333</v>
      </c>
      <c r="M14" s="255" t="n">
        <f aca="false">+'Valuation - DCF'!L15</f>
        <v>3839.33333333333</v>
      </c>
      <c r="N14" s="255" t="n">
        <f aca="false">+'Valuation - DCF'!M15</f>
        <v>7985.81333333333</v>
      </c>
      <c r="O14" s="255" t="n">
        <f aca="false">+'Valuation - DCF'!N15</f>
        <v>8305.24586666667</v>
      </c>
      <c r="P14" s="255" t="n">
        <f aca="false">+'Valuation - DCF'!O15</f>
        <v>8637.45570133333</v>
      </c>
      <c r="Q14" s="255" t="n">
        <f aca="false">+'Valuation - DCF'!P15</f>
        <v>8982.95392938667</v>
      </c>
    </row>
    <row r="15" customFormat="false" ht="18" hidden="false" customHeight="false" outlineLevel="0" collapsed="false">
      <c r="C15" s="17" t="s">
        <v>268</v>
      </c>
      <c r="D15" s="17"/>
      <c r="E15" s="17"/>
      <c r="F15" s="17"/>
      <c r="G15" s="17"/>
      <c r="H15" s="255" t="n">
        <v>21472</v>
      </c>
      <c r="I15" s="255" t="n">
        <v>19597</v>
      </c>
      <c r="J15" s="255" t="n">
        <v>25469</v>
      </c>
      <c r="K15" s="255" t="n">
        <v>41461</v>
      </c>
      <c r="L15" s="256" t="n">
        <f aca="false">+'Valuation - DCF'!K16</f>
        <v>16732.5</v>
      </c>
      <c r="M15" s="255" t="n">
        <f aca="false">+'Valuation - DCF'!L16</f>
        <v>16732.5</v>
      </c>
      <c r="N15" s="255" t="n">
        <f aca="false">+'Valuation - DCF'!M16</f>
        <v>34803.6</v>
      </c>
      <c r="O15" s="255" t="n">
        <f aca="false">+'Valuation - DCF'!N16</f>
        <v>36195.744</v>
      </c>
      <c r="P15" s="255" t="n">
        <f aca="false">+'Valuation - DCF'!O16</f>
        <v>37643.57376</v>
      </c>
      <c r="Q15" s="255" t="n">
        <f aca="false">+'Valuation - DCF'!P16</f>
        <v>39149.3167104</v>
      </c>
    </row>
    <row r="16" customFormat="false" ht="18" hidden="false" customHeight="false" outlineLevel="0" collapsed="false">
      <c r="C16" s="17" t="s">
        <v>269</v>
      </c>
      <c r="D16" s="17"/>
      <c r="E16" s="17"/>
      <c r="F16" s="17"/>
      <c r="G16" s="17"/>
      <c r="H16" s="255" t="n">
        <v>5945</v>
      </c>
      <c r="I16" s="255" t="n">
        <v>3158</v>
      </c>
      <c r="J16" s="255" t="n">
        <v>13391</v>
      </c>
      <c r="K16" s="255" t="n">
        <v>11615</v>
      </c>
      <c r="L16" s="256" t="n">
        <f aca="false">+'Valuation - DCF'!K17</f>
        <v>6251.5</v>
      </c>
      <c r="M16" s="255" t="n">
        <f aca="false">+'Valuation - DCF'!L17</f>
        <v>6251.5</v>
      </c>
      <c r="N16" s="255" t="n">
        <f aca="false">+'Valuation - DCF'!M17</f>
        <v>13003.12</v>
      </c>
      <c r="O16" s="255" t="n">
        <f aca="false">+'Valuation - DCF'!N17</f>
        <v>13523.2448</v>
      </c>
      <c r="P16" s="255" t="n">
        <f aca="false">+'Valuation - DCF'!O17</f>
        <v>14064.174592</v>
      </c>
      <c r="Q16" s="255" t="n">
        <f aca="false">+'Valuation - DCF'!P17</f>
        <v>14626.74157568</v>
      </c>
    </row>
    <row r="17" customFormat="false" ht="20.25" hidden="false" customHeight="false" outlineLevel="0" collapsed="false">
      <c r="C17" s="17" t="s">
        <v>347</v>
      </c>
      <c r="D17" s="17"/>
      <c r="E17" s="17"/>
      <c r="F17" s="17"/>
      <c r="G17" s="17"/>
      <c r="H17" s="257" t="n">
        <v>8245</v>
      </c>
      <c r="I17" s="257" t="n">
        <v>6131</v>
      </c>
      <c r="J17" s="257" t="n">
        <v>7547</v>
      </c>
      <c r="K17" s="257" t="n">
        <v>14102</v>
      </c>
      <c r="L17" s="254" t="n">
        <f aca="false">+'Valuation - DCF'!K20</f>
        <v>5412.25</v>
      </c>
      <c r="M17" s="257" t="n">
        <f aca="false">+'Valuation - DCF'!L20</f>
        <v>5412.25</v>
      </c>
      <c r="N17" s="257" t="n">
        <f aca="false">+'Valuation - DCF'!M20</f>
        <v>11257.48</v>
      </c>
      <c r="O17" s="257" t="n">
        <f aca="false">+'Valuation - DCF'!N20</f>
        <v>11707.7792</v>
      </c>
      <c r="P17" s="257" t="n">
        <f aca="false">+'Valuation - DCF'!O20</f>
        <v>12176.090368</v>
      </c>
      <c r="Q17" s="257" t="n">
        <f aca="false">+'Valuation - DCF'!P20</f>
        <v>12663.13398272</v>
      </c>
    </row>
    <row r="18" customFormat="false" ht="18" hidden="false" customHeight="false" outlineLevel="0" collapsed="false">
      <c r="C18" s="17" t="s">
        <v>656</v>
      </c>
      <c r="D18" s="17"/>
      <c r="E18" s="17"/>
      <c r="F18" s="17"/>
      <c r="G18" s="17"/>
      <c r="H18" s="258" t="n">
        <f aca="false">SUM(H11:H17)</f>
        <v>37325</v>
      </c>
      <c r="I18" s="258" t="n">
        <f aca="false">SUM(I11:I17)</f>
        <v>46299</v>
      </c>
      <c r="J18" s="258" t="n">
        <f aca="false">SUM(J11:J17)</f>
        <v>61860</v>
      </c>
      <c r="K18" s="258" t="n">
        <f aca="false">SUM(K11:K17)</f>
        <v>94611</v>
      </c>
      <c r="L18" s="259" t="n">
        <f aca="false">SUM(L11:L17)</f>
        <v>40852.1433333333</v>
      </c>
      <c r="M18" s="258" t="n">
        <f aca="false">SUM(M11:M17)</f>
        <v>40852.1433333333</v>
      </c>
      <c r="N18" s="258" t="n">
        <f aca="false">SUM(N11:N17)</f>
        <v>84764.4533333333</v>
      </c>
      <c r="O18" s="258" t="n">
        <f aca="false">SUM(O11:O17)</f>
        <v>86378.5066666667</v>
      </c>
      <c r="P18" s="258" t="n">
        <f aca="false">SUM(P11:P17)</f>
        <v>89620.3445333333</v>
      </c>
      <c r="Q18" s="258" t="n">
        <f aca="false">SUM(Q11:Q17)</f>
        <v>92767.8559146667</v>
      </c>
    </row>
    <row r="19" customFormat="false" ht="18" hidden="false" customHeight="false" outlineLevel="0" collapsed="false">
      <c r="C19" s="17"/>
      <c r="D19" s="17"/>
      <c r="E19" s="17"/>
      <c r="F19" s="17"/>
      <c r="G19" s="17"/>
      <c r="H19" s="29"/>
      <c r="I19" s="29"/>
      <c r="J19" s="29"/>
      <c r="K19" s="29"/>
      <c r="L19" s="266"/>
      <c r="M19" s="17"/>
    </row>
    <row r="20" customFormat="false" ht="18" hidden="false" customHeight="false" outlineLevel="0" collapsed="false">
      <c r="C20" s="17" t="s">
        <v>272</v>
      </c>
      <c r="D20" s="17"/>
      <c r="E20" s="17"/>
      <c r="F20" s="17"/>
      <c r="G20" s="17"/>
      <c r="H20" s="17"/>
      <c r="I20" s="255" t="n">
        <v>-35664</v>
      </c>
      <c r="J20" s="255" t="n">
        <v>-33799</v>
      </c>
      <c r="K20" s="255" t="n">
        <v>-35051</v>
      </c>
      <c r="L20" s="256" t="n">
        <f aca="false">+'Valuation - DCF'!K23+'Valuation - DCF'!K28+'Valuation - DCF'!K27+'Valuation - DCF'!K25+'Valuation - DCF'!K26</f>
        <v>-14265.5</v>
      </c>
      <c r="M20" s="255" t="n">
        <f aca="false">+'Valuation - DCF'!L23+'Valuation - DCF'!L28+'Valuation - DCF'!L27+'Valuation - DCF'!L25</f>
        <v>-15765.5</v>
      </c>
      <c r="N20" s="255" t="n">
        <f aca="false">+'Valuation - DCF'!M23+'Valuation - DCF'!M28+'Valuation - DCF'!M27+'Valuation - DCF'!M25</f>
        <v>-31531</v>
      </c>
      <c r="O20" s="255" t="n">
        <f aca="false">+'Valuation - DCF'!N23+'Valuation - DCF'!N28+'Valuation - DCF'!N27+'Valuation - DCF'!N25</f>
        <v>-31531</v>
      </c>
      <c r="P20" s="255" t="n">
        <f aca="false">+'Valuation - DCF'!O23+'Valuation - DCF'!O28+'Valuation - DCF'!O27+'Valuation - DCF'!O25</f>
        <v>-31531</v>
      </c>
      <c r="Q20" s="255" t="n">
        <f aca="false">+'Valuation - DCF'!P23+'Valuation - DCF'!P28+'Valuation - DCF'!P27+'Valuation - DCF'!P25</f>
        <v>-31531</v>
      </c>
    </row>
    <row r="21" customFormat="false" ht="18" hidden="false" customHeight="false" outlineLevel="0" collapsed="false">
      <c r="C21" s="17" t="s">
        <v>273</v>
      </c>
      <c r="D21" s="17"/>
      <c r="E21" s="17"/>
      <c r="F21" s="17"/>
      <c r="G21" s="17"/>
      <c r="H21" s="17"/>
      <c r="I21" s="255" t="n">
        <v>-3563</v>
      </c>
      <c r="J21" s="255" t="n">
        <v>-11904</v>
      </c>
      <c r="K21" s="255" t="n">
        <v>-26451</v>
      </c>
      <c r="L21" s="256" t="n">
        <f aca="false">+'Valuation - DCF'!K24</f>
        <v>-7333.5</v>
      </c>
      <c r="M21" s="255" t="n">
        <f aca="false">+'Valuation - DCF'!L24</f>
        <v>-7087.97866666667</v>
      </c>
      <c r="N21" s="255" t="n">
        <f aca="false">+'Valuation - DCF'!M24</f>
        <v>-14701.3946666667</v>
      </c>
      <c r="O21" s="255" t="n">
        <f aca="false">+'Valuation - DCF'!N24</f>
        <v>-14934.1454933333</v>
      </c>
      <c r="P21" s="255" t="n">
        <f aca="false">+'Valuation - DCF'!O24</f>
        <v>-15488.8508330667</v>
      </c>
      <c r="Q21" s="255" t="n">
        <f aca="false">+'Valuation - DCF'!P24</f>
        <v>-16020.9443863893</v>
      </c>
    </row>
    <row r="22" customFormat="false" ht="18" hidden="false" customHeight="false" outlineLevel="0" collapsed="false">
      <c r="C22" s="17" t="s">
        <v>365</v>
      </c>
      <c r="D22" s="17"/>
      <c r="E22" s="17"/>
      <c r="F22" s="17"/>
      <c r="G22" s="17"/>
      <c r="H22" s="17"/>
      <c r="I22" s="255" t="n">
        <v>2895</v>
      </c>
      <c r="J22" s="255" t="n">
        <v>2146</v>
      </c>
      <c r="K22" s="255" t="n">
        <v>3300</v>
      </c>
      <c r="L22" s="524" t="s">
        <v>331</v>
      </c>
      <c r="M22" s="525" t="s">
        <v>331</v>
      </c>
      <c r="N22" s="525" t="s">
        <v>331</v>
      </c>
      <c r="O22" s="525" t="s">
        <v>331</v>
      </c>
      <c r="P22" s="525" t="s">
        <v>331</v>
      </c>
      <c r="Q22" s="525" t="s">
        <v>331</v>
      </c>
    </row>
    <row r="23" customFormat="false" ht="18" hidden="false" customHeight="false" outlineLevel="0" collapsed="false">
      <c r="C23" s="17" t="s">
        <v>270</v>
      </c>
      <c r="D23" s="17"/>
      <c r="E23" s="17"/>
      <c r="F23" s="17"/>
      <c r="G23" s="17"/>
      <c r="H23" s="17"/>
      <c r="I23" s="263" t="n">
        <v>0</v>
      </c>
      <c r="J23" s="263" t="n">
        <v>0</v>
      </c>
      <c r="K23" s="263" t="n">
        <v>0</v>
      </c>
      <c r="L23" s="526" t="n">
        <f aca="false">+SUM('Valuation - DCF'!K29:K30)+'Valuation - DCF'!K31</f>
        <v>0</v>
      </c>
      <c r="M23" s="264" t="n">
        <f aca="false">+SUM('Valuation - DCF'!L29:L31)</f>
        <v>-1234.31</v>
      </c>
      <c r="N23" s="264" t="n">
        <f aca="false">+SUM('Valuation - DCF'!M29:M31)</f>
        <v>4572.10586666667</v>
      </c>
      <c r="O23" s="264" t="n">
        <f aca="false">+SUM('Valuation - DCF'!N29:N31)</f>
        <v>11780.0395946667</v>
      </c>
      <c r="P23" s="264" t="n">
        <f aca="false">+SUM('Valuation - DCF'!O29:O31)</f>
        <v>19165.29265152</v>
      </c>
      <c r="Q23" s="264" t="n">
        <f aca="false">+SUM('Valuation - DCF'!P29:P31)</f>
        <v>26738.5178895701</v>
      </c>
    </row>
    <row r="24" customFormat="false" ht="18" hidden="false" customHeight="false" outlineLevel="0" collapsed="false">
      <c r="C24" s="17" t="s">
        <v>68</v>
      </c>
      <c r="D24" s="17"/>
      <c r="E24" s="17"/>
      <c r="F24" s="17"/>
      <c r="G24" s="17"/>
      <c r="H24" s="17"/>
      <c r="I24" s="258" t="n">
        <f aca="false">SUM(I18:I22)</f>
        <v>9967</v>
      </c>
      <c r="J24" s="258" t="n">
        <f aca="false">SUM(J18:J22)</f>
        <v>18303</v>
      </c>
      <c r="K24" s="258" t="n">
        <f aca="false">SUM(K18:K22)</f>
        <v>36409</v>
      </c>
      <c r="L24" s="259" t="n">
        <f aca="false">SUM(L18:L23)</f>
        <v>19253.1433333333</v>
      </c>
      <c r="M24" s="258" t="n">
        <f aca="false">SUM(M18:M23)</f>
        <v>16764.3546666667</v>
      </c>
      <c r="N24" s="258" t="n">
        <f aca="false">SUM(N18:N23)</f>
        <v>43104.1645333333</v>
      </c>
      <c r="O24" s="258" t="n">
        <f aca="false">SUM(O18:O23)</f>
        <v>51693.400768</v>
      </c>
      <c r="P24" s="258" t="n">
        <f aca="false">SUM(P18:P23)</f>
        <v>61765.7863517867</v>
      </c>
      <c r="Q24" s="258" t="n">
        <f aca="false">SUM(Q18:Q23)</f>
        <v>71954.4294178475</v>
      </c>
    </row>
    <row r="25" customFormat="false" ht="18" hidden="false" customHeight="false" outlineLevel="0" collapsed="false">
      <c r="C25" s="17"/>
      <c r="D25" s="17"/>
      <c r="E25" s="17"/>
      <c r="F25" s="17"/>
      <c r="G25" s="17"/>
      <c r="H25" s="17"/>
      <c r="I25" s="258"/>
      <c r="J25" s="258"/>
      <c r="K25" s="258"/>
      <c r="L25" s="259"/>
      <c r="M25" s="258"/>
      <c r="N25" s="258"/>
      <c r="O25" s="258"/>
      <c r="P25" s="258"/>
      <c r="Q25" s="258"/>
    </row>
    <row r="26" customFormat="false" ht="18.75" hidden="false" customHeight="false" outlineLevel="0" collapsed="false">
      <c r="C26" s="527" t="s">
        <v>43</v>
      </c>
      <c r="D26" s="17"/>
      <c r="E26" s="17"/>
      <c r="F26" s="17"/>
      <c r="G26" s="17"/>
      <c r="H26" s="17"/>
      <c r="I26" s="255" t="n">
        <f aca="false">+I24-I27-I28</f>
        <v>1310.1839</v>
      </c>
      <c r="J26" s="255" t="n">
        <f aca="false">+J24-J27-J28</f>
        <v>9416.5672</v>
      </c>
      <c r="K26" s="255" t="n">
        <f aca="false">+K24-K27-K28</f>
        <v>25713.9224</v>
      </c>
      <c r="L26" s="256" t="n">
        <f aca="false">+L24-L27-L28</f>
        <v>13053.6709333333</v>
      </c>
      <c r="M26" s="255" t="n">
        <f aca="false">+M24-M27-M28</f>
        <v>10607.5446666667</v>
      </c>
      <c r="N26" s="255" t="n">
        <f aca="false">+N24-N27-N28</f>
        <v>30608.3978666667</v>
      </c>
      <c r="O26" s="255" t="n">
        <f aca="false">+O24-O27-O28</f>
        <v>40640.2282346667</v>
      </c>
      <c r="P26" s="255" t="n">
        <f aca="false">+P24-P27-P28</f>
        <v>50649.68931712</v>
      </c>
      <c r="Q26" s="255" t="n">
        <f aca="false">+Q24-Q27-Q28</f>
        <v>60996.8909017941</v>
      </c>
      <c r="R26" s="255"/>
    </row>
    <row r="27" customFormat="false" ht="18.75" hidden="false" customHeight="false" outlineLevel="0" collapsed="false">
      <c r="C27" s="527" t="s">
        <v>382</v>
      </c>
      <c r="D27" s="17"/>
      <c r="E27" s="17"/>
      <c r="F27" s="17"/>
      <c r="G27" s="17"/>
      <c r="H27" s="255" t="n">
        <v>6615</v>
      </c>
      <c r="I27" s="255" t="n">
        <f aca="false">+'Sea-3 NH '!F22</f>
        <v>5476.8161</v>
      </c>
      <c r="J27" s="255" t="n">
        <f aca="false">+'Sea-3 NH '!G22</f>
        <v>5522.4328</v>
      </c>
      <c r="K27" s="255" t="n">
        <f aca="false">+'Sea-3 NH '!H22+'Sea-3 Tampa'!H21</f>
        <v>6837.0776</v>
      </c>
      <c r="L27" s="256" t="n">
        <f aca="false">+'Sea-3 NH '!I22+'Sea-3 Tampa'!I21</f>
        <v>4472.7224</v>
      </c>
      <c r="M27" s="255" t="n">
        <f aca="false">+'Sea-3 NH '!J22+'Sea-3 Tampa'!J21</f>
        <v>4430.06</v>
      </c>
      <c r="N27" s="255" t="n">
        <f aca="false">+'Sea-3 NH '!K22+'Sea-3 Tampa'!K21</f>
        <v>9042.26666666667</v>
      </c>
      <c r="O27" s="255" t="n">
        <f aca="false">+'Sea-3 NH '!L22+'Sea-3 Tampa'!L21</f>
        <v>7627.43253333333</v>
      </c>
      <c r="P27" s="255" t="n">
        <f aca="false">+'Sea-3 NH '!M22+'Sea-3 Tampa'!M21</f>
        <v>7719.22743466667</v>
      </c>
      <c r="Q27" s="255" t="n">
        <f aca="false">+'Sea-3 NH '!N22+'Sea-3 Tampa'!N21</f>
        <v>7590.69413205333</v>
      </c>
    </row>
    <row r="28" customFormat="false" ht="18.75" hidden="false" customHeight="false" outlineLevel="0" collapsed="false">
      <c r="C28" s="527" t="s">
        <v>657</v>
      </c>
      <c r="D28" s="17"/>
      <c r="E28" s="17"/>
      <c r="F28" s="17"/>
      <c r="G28" s="17"/>
      <c r="H28" s="255" t="n">
        <v>3464</v>
      </c>
      <c r="I28" s="255" t="n">
        <f aca="false">+'Rail Ops'!F18</f>
        <v>3180</v>
      </c>
      <c r="J28" s="255" t="n">
        <f aca="false">+'Rail Ops'!G18</f>
        <v>3364</v>
      </c>
      <c r="K28" s="255" t="n">
        <f aca="false">+'Rail Ops'!H18</f>
        <v>3858</v>
      </c>
      <c r="L28" s="256" t="n">
        <f aca="false">+'Rail Ops'!I18</f>
        <v>1726.75</v>
      </c>
      <c r="M28" s="255" t="n">
        <f aca="false">+'Rail Ops'!J18</f>
        <v>1726.75</v>
      </c>
      <c r="N28" s="255" t="n">
        <f aca="false">+'Rail Ops'!K18</f>
        <v>3453.5</v>
      </c>
      <c r="O28" s="255" t="n">
        <f aca="false">+'Rail Ops'!L18</f>
        <v>3425.74</v>
      </c>
      <c r="P28" s="255" t="n">
        <f aca="false">+'Rail Ops'!M18</f>
        <v>3396.8696</v>
      </c>
      <c r="Q28" s="255" t="n">
        <f aca="false">+'Rail Ops'!N18</f>
        <v>3366.844384</v>
      </c>
    </row>
    <row r="29" customFormat="false" ht="18" hidden="false" customHeight="false" outlineLevel="0" collapsed="false">
      <c r="C29" s="17"/>
      <c r="D29" s="17"/>
      <c r="E29" s="17"/>
      <c r="F29" s="17"/>
      <c r="G29" s="17"/>
      <c r="H29" s="17"/>
      <c r="I29" s="29"/>
      <c r="J29" s="29"/>
      <c r="K29" s="29"/>
      <c r="L29" s="266"/>
      <c r="M29" s="17"/>
    </row>
    <row r="30" customFormat="false" ht="18" hidden="false" customHeight="false" outlineLevel="0" collapsed="false">
      <c r="C30" s="17" t="s">
        <v>276</v>
      </c>
      <c r="D30" s="17"/>
      <c r="E30" s="17"/>
      <c r="F30" s="17"/>
      <c r="G30" s="17"/>
      <c r="H30" s="17"/>
      <c r="I30" s="257" t="n">
        <f aca="false">-I22</f>
        <v>-2895</v>
      </c>
      <c r="J30" s="257" t="n">
        <f aca="false">-J22</f>
        <v>-2146</v>
      </c>
      <c r="K30" s="257" t="n">
        <f aca="false">-K22</f>
        <v>-3300</v>
      </c>
      <c r="L30" s="254" t="n">
        <f aca="false">+'Valuation - DCF'!K34</f>
        <v>-1332.93172758222</v>
      </c>
      <c r="M30" s="257" t="n">
        <f aca="false">+'Valuation - DCF'!L34</f>
        <v>-1845.0399427051</v>
      </c>
      <c r="N30" s="257" t="n">
        <f aca="false">+'Valuation - DCF'!M34</f>
        <v>-3706.74655207688</v>
      </c>
      <c r="O30" s="257" t="n">
        <f aca="false">+'Valuation - DCF'!N34</f>
        <v>-3723.41321874354</v>
      </c>
      <c r="P30" s="257" t="n">
        <f aca="false">+'Valuation - DCF'!O34</f>
        <v>-3740.07988541021</v>
      </c>
      <c r="Q30" s="257" t="n">
        <f aca="false">+'Valuation - DCF'!P34</f>
        <v>-3756.74655207688</v>
      </c>
    </row>
    <row r="31" customFormat="false" ht="18" hidden="false" customHeight="false" outlineLevel="0" collapsed="false">
      <c r="C31" s="17" t="s">
        <v>176</v>
      </c>
      <c r="D31" s="17"/>
      <c r="E31" s="17"/>
      <c r="F31" s="17"/>
      <c r="G31" s="17"/>
      <c r="H31" s="29"/>
      <c r="I31" s="258" t="n">
        <f aca="false">+I24+I30</f>
        <v>7072</v>
      </c>
      <c r="J31" s="258" t="n">
        <f aca="false">+J24+J30</f>
        <v>16157</v>
      </c>
      <c r="K31" s="258" t="n">
        <f aca="false">+K24+K30</f>
        <v>33109</v>
      </c>
      <c r="L31" s="259" t="n">
        <f aca="false">+L24+L30</f>
        <v>17920.2116057511</v>
      </c>
      <c r="M31" s="258" t="n">
        <f aca="false">+M24+M30</f>
        <v>14919.3147239616</v>
      </c>
      <c r="N31" s="258" t="n">
        <f aca="false">+N24+N30</f>
        <v>39397.4179812565</v>
      </c>
      <c r="O31" s="258" t="n">
        <f aca="false">+O24+O30</f>
        <v>47969.9875492565</v>
      </c>
      <c r="P31" s="258" t="n">
        <f aca="false">+P24+P30</f>
        <v>58025.7064663765</v>
      </c>
      <c r="Q31" s="258" t="n">
        <f aca="false">+Q24+Q30</f>
        <v>68197.6828657706</v>
      </c>
    </row>
    <row r="32" customFormat="false" ht="18" hidden="false" customHeight="false" outlineLevel="0" collapsed="false">
      <c r="C32" s="17"/>
      <c r="D32" s="17"/>
      <c r="E32" s="17"/>
      <c r="F32" s="17"/>
      <c r="G32" s="17"/>
      <c r="H32" s="29"/>
      <c r="I32" s="258"/>
      <c r="J32" s="258"/>
      <c r="K32" s="258"/>
      <c r="L32" s="259"/>
      <c r="M32" s="17"/>
    </row>
    <row r="33" customFormat="false" ht="18" hidden="false" customHeight="false" outlineLevel="0" collapsed="false">
      <c r="C33" s="17" t="s">
        <v>277</v>
      </c>
      <c r="D33" s="17"/>
      <c r="E33" s="17"/>
      <c r="F33" s="17"/>
      <c r="G33" s="17"/>
      <c r="H33" s="29"/>
      <c r="I33" s="257" t="n">
        <v>-1547</v>
      </c>
      <c r="J33" s="257" t="n">
        <v>-3148</v>
      </c>
      <c r="K33" s="257" t="n">
        <v>-7978</v>
      </c>
      <c r="L33" s="254" t="n">
        <f aca="false">+'Valuation - DCF'!K36</f>
        <v>-6097.575</v>
      </c>
      <c r="M33" s="257" t="n">
        <f aca="false">+'Valuation - DCF'!L36</f>
        <v>-6765</v>
      </c>
      <c r="N33" s="257" t="n">
        <f aca="false">+'Valuation - DCF'!M36</f>
        <v>-13530</v>
      </c>
      <c r="O33" s="257" t="n">
        <f aca="false">+'Valuation - DCF'!N36</f>
        <v>-13530</v>
      </c>
      <c r="P33" s="257" t="n">
        <f aca="false">+'Valuation - DCF'!O36</f>
        <v>-13530</v>
      </c>
      <c r="Q33" s="257" t="n">
        <f aca="false">+'Valuation - DCF'!P36</f>
        <v>-13530</v>
      </c>
    </row>
    <row r="34" customFormat="false" ht="18" hidden="false" customHeight="false" outlineLevel="0" collapsed="false">
      <c r="C34" s="17" t="s">
        <v>278</v>
      </c>
      <c r="D34" s="17"/>
      <c r="E34" s="17"/>
      <c r="F34" s="17"/>
      <c r="G34" s="17"/>
      <c r="H34" s="29"/>
      <c r="I34" s="258" t="n">
        <f aca="false">+I31+I33</f>
        <v>5525</v>
      </c>
      <c r="J34" s="258" t="n">
        <f aca="false">+J31+J33</f>
        <v>13009</v>
      </c>
      <c r="K34" s="258" t="n">
        <f aca="false">+K31+K33</f>
        <v>25131</v>
      </c>
      <c r="L34" s="259" t="n">
        <f aca="false">+L31+L33</f>
        <v>11822.6366057511</v>
      </c>
      <c r="M34" s="258" t="n">
        <f aca="false">+M31+M33</f>
        <v>8154.31472396156</v>
      </c>
      <c r="N34" s="258" t="n">
        <f aca="false">+N31+N33</f>
        <v>25867.4179812564</v>
      </c>
      <c r="O34" s="258" t="n">
        <f aca="false">+O31+O33</f>
        <v>34439.9875492565</v>
      </c>
      <c r="P34" s="258" t="n">
        <f aca="false">+P31+P33</f>
        <v>44495.7064663765</v>
      </c>
      <c r="Q34" s="258" t="n">
        <f aca="false">+Q31+Q33</f>
        <v>54667.6828657706</v>
      </c>
    </row>
    <row r="35" customFormat="false" ht="18" hidden="false" customHeight="false" outlineLevel="0" collapsed="false">
      <c r="C35" s="17"/>
      <c r="D35" s="17"/>
      <c r="E35" s="17"/>
      <c r="F35" s="17"/>
      <c r="G35" s="17"/>
      <c r="H35" s="29"/>
      <c r="I35" s="258"/>
      <c r="J35" s="258"/>
      <c r="K35" s="258"/>
      <c r="L35" s="259"/>
      <c r="M35" s="17"/>
    </row>
    <row r="36" customFormat="false" ht="18" hidden="false" customHeight="false" outlineLevel="0" collapsed="false">
      <c r="C36" s="17" t="s">
        <v>279</v>
      </c>
      <c r="D36" s="17"/>
      <c r="E36" s="17"/>
      <c r="F36" s="17"/>
      <c r="G36" s="17"/>
      <c r="H36" s="29"/>
      <c r="I36" s="257" t="n">
        <v>-500</v>
      </c>
      <c r="J36" s="257" t="n">
        <v>-1436</v>
      </c>
      <c r="K36" s="257" t="n">
        <v>-2403</v>
      </c>
      <c r="L36" s="254" t="n">
        <f aca="false">+'Valuation - DCF'!K37</f>
        <v>-4137.92281201289</v>
      </c>
      <c r="M36" s="257" t="n">
        <f aca="false">+'Valuation - DCF'!L37</f>
        <v>-2854.01015338655</v>
      </c>
      <c r="N36" s="257" t="n">
        <f aca="false">+'Valuation - DCF'!M37</f>
        <v>-9053.59629343976</v>
      </c>
      <c r="O36" s="257" t="n">
        <f aca="false">+'Valuation - DCF'!N37</f>
        <v>-12053.9956422398</v>
      </c>
      <c r="P36" s="257" t="n">
        <f aca="false">+'Valuation - DCF'!O37</f>
        <v>-15573.4972632318</v>
      </c>
      <c r="Q36" s="257" t="n">
        <f aca="false">+'Valuation - DCF'!P37</f>
        <v>-19133.6890030197</v>
      </c>
    </row>
    <row r="37" customFormat="false" ht="18" hidden="false" customHeight="false" outlineLevel="0" collapsed="false">
      <c r="C37" s="17" t="s">
        <v>65</v>
      </c>
      <c r="D37" s="17"/>
      <c r="E37" s="17"/>
      <c r="F37" s="17"/>
      <c r="G37" s="17"/>
      <c r="H37" s="29"/>
      <c r="I37" s="267" t="n">
        <f aca="false">SUM(I34:I36)</f>
        <v>5025</v>
      </c>
      <c r="J37" s="267" t="n">
        <f aca="false">SUM(J34:J36)</f>
        <v>11573</v>
      </c>
      <c r="K37" s="267" t="n">
        <f aca="false">SUM(K34:K36)</f>
        <v>22728</v>
      </c>
      <c r="L37" s="268" t="n">
        <f aca="false">SUM(L34:L36)</f>
        <v>7684.71379373823</v>
      </c>
      <c r="M37" s="267" t="n">
        <f aca="false">SUM(M34:M36)</f>
        <v>5300.30457057502</v>
      </c>
      <c r="N37" s="267" t="n">
        <f aca="false">SUM(N34:N36)</f>
        <v>16813.8216878167</v>
      </c>
      <c r="O37" s="267" t="n">
        <f aca="false">SUM(O34:O36)</f>
        <v>22385.9919070167</v>
      </c>
      <c r="P37" s="267" t="n">
        <f aca="false">SUM(P34:P36)</f>
        <v>28922.2092031447</v>
      </c>
      <c r="Q37" s="267" t="n">
        <f aca="false">SUM(Q34:Q36)</f>
        <v>35533.9938627509</v>
      </c>
    </row>
    <row r="41" customFormat="false" ht="12.75" hidden="false" customHeight="false" outlineLevel="0" collapsed="false">
      <c r="C41" s="23" t="s">
        <v>658</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2:T35"/>
  <sheetViews>
    <sheetView showFormulas="false" showGridLines="true" showRowColHeaders="true" showZeros="true" rightToLeft="false" tabSelected="false" showOutlineSymbols="true" defaultGridColor="true" view="normal" topLeftCell="H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1.85"/>
    <col collapsed="false" customWidth="true" hidden="false" outlineLevel="0" max="6" min="6" style="0" width="3.14"/>
    <col collapsed="false" customWidth="true" hidden="false" outlineLevel="0" max="7" min="7" style="0" width="14.85"/>
    <col collapsed="false" customWidth="true" hidden="false" outlineLevel="0" max="11" min="11" style="0" width="2.13"/>
    <col collapsed="false" customWidth="true" hidden="false" outlineLevel="0" max="12" min="12" style="0" width="14.99"/>
    <col collapsed="false" customWidth="true" hidden="false" outlineLevel="0" max="14" min="14" style="0" width="10.13"/>
    <col collapsed="false" customWidth="true" hidden="false" outlineLevel="0" max="20" min="20" style="0" width="9.7"/>
  </cols>
  <sheetData>
    <row r="2" customFormat="false" ht="12.75" hidden="false" customHeight="false" outlineLevel="0" collapsed="false">
      <c r="B2" s="53"/>
    </row>
    <row r="4" customFormat="false" ht="12.75" hidden="false" customHeight="false" outlineLevel="0" collapsed="false">
      <c r="B4" s="528" t="s">
        <v>659</v>
      </c>
      <c r="C4" s="467"/>
      <c r="D4" s="467"/>
      <c r="E4" s="459"/>
      <c r="G4" s="528" t="s">
        <v>660</v>
      </c>
      <c r="H4" s="467"/>
      <c r="I4" s="467"/>
      <c r="J4" s="459"/>
      <c r="L4" s="528" t="s">
        <v>661</v>
      </c>
      <c r="M4" s="467"/>
      <c r="N4" s="467"/>
      <c r="O4" s="459"/>
      <c r="Q4" s="528" t="s">
        <v>662</v>
      </c>
      <c r="R4" s="467"/>
      <c r="S4" s="467"/>
      <c r="T4" s="459"/>
    </row>
    <row r="5" customFormat="false" ht="12.75" hidden="false" customHeight="false" outlineLevel="0" collapsed="false">
      <c r="B5" s="529"/>
      <c r="C5" s="57"/>
      <c r="D5" s="57"/>
      <c r="E5" s="530"/>
      <c r="G5" s="484"/>
      <c r="H5" s="58"/>
      <c r="I5" s="58"/>
      <c r="J5" s="512"/>
      <c r="L5" s="484"/>
      <c r="M5" s="58"/>
      <c r="N5" s="58"/>
      <c r="O5" s="512"/>
      <c r="Q5" s="484"/>
      <c r="R5" s="58"/>
      <c r="S5" s="58"/>
      <c r="T5" s="512"/>
    </row>
    <row r="6" customFormat="false" ht="12.75" hidden="false" customHeight="false" outlineLevel="0" collapsed="false">
      <c r="B6" s="529" t="s">
        <v>55</v>
      </c>
      <c r="C6" s="57"/>
      <c r="D6" s="57"/>
      <c r="E6" s="531" t="n">
        <v>180</v>
      </c>
      <c r="F6" s="59"/>
      <c r="G6" s="529" t="s">
        <v>55</v>
      </c>
      <c r="H6" s="57"/>
      <c r="I6" s="57"/>
      <c r="J6" s="531" t="n">
        <v>212</v>
      </c>
      <c r="K6" s="59"/>
      <c r="L6" s="529" t="s">
        <v>55</v>
      </c>
      <c r="M6" s="57"/>
      <c r="N6" s="57"/>
      <c r="O6" s="531" t="n">
        <v>299</v>
      </c>
      <c r="Q6" s="529" t="s">
        <v>55</v>
      </c>
      <c r="R6" s="57"/>
      <c r="S6" s="57"/>
      <c r="T6" s="531" t="n">
        <v>140000</v>
      </c>
    </row>
    <row r="7" customFormat="false" ht="6" hidden="false" customHeight="true" outlineLevel="0" collapsed="false">
      <c r="B7" s="529"/>
      <c r="C7" s="57"/>
      <c r="D7" s="57"/>
      <c r="E7" s="530"/>
      <c r="G7" s="484"/>
      <c r="H7" s="58"/>
      <c r="I7" s="58"/>
      <c r="J7" s="512"/>
      <c r="L7" s="529"/>
      <c r="M7" s="57"/>
      <c r="N7" s="57"/>
      <c r="O7" s="530"/>
      <c r="Q7" s="529"/>
      <c r="R7" s="57"/>
      <c r="S7" s="57"/>
      <c r="T7" s="530"/>
    </row>
    <row r="8" customFormat="false" ht="15" hidden="false" customHeight="false" outlineLevel="0" collapsed="false">
      <c r="B8" s="529"/>
      <c r="C8" s="57"/>
      <c r="D8" s="57"/>
      <c r="E8" s="530"/>
      <c r="G8" s="484" t="s">
        <v>663</v>
      </c>
      <c r="H8" s="58"/>
      <c r="I8" s="58"/>
      <c r="J8" s="493" t="n">
        <v>50</v>
      </c>
      <c r="L8" s="529" t="s">
        <v>664</v>
      </c>
      <c r="M8" s="57"/>
      <c r="N8" s="57"/>
      <c r="O8" s="492" t="n">
        <v>40</v>
      </c>
      <c r="Q8" s="529" t="s">
        <v>665</v>
      </c>
      <c r="R8" s="57"/>
      <c r="S8" s="57"/>
      <c r="T8" s="532" t="n">
        <f aca="false">21616-9331</f>
        <v>12285</v>
      </c>
    </row>
    <row r="9" customFormat="false" ht="12.75" hidden="false" customHeight="false" outlineLevel="0" collapsed="false">
      <c r="B9" s="529"/>
      <c r="C9" s="57"/>
      <c r="D9" s="57"/>
      <c r="E9" s="530"/>
      <c r="G9" s="484" t="s">
        <v>666</v>
      </c>
      <c r="H9" s="58"/>
      <c r="I9" s="58"/>
      <c r="J9" s="533" t="n">
        <f aca="false">J6-J8</f>
        <v>162</v>
      </c>
      <c r="L9" s="529" t="s">
        <v>667</v>
      </c>
      <c r="M9" s="57"/>
      <c r="N9" s="57"/>
      <c r="O9" s="532" t="n">
        <f aca="false">IF(O6-O8&gt;125,125,O6-O8)</f>
        <v>125</v>
      </c>
      <c r="Q9" s="529"/>
      <c r="R9" s="57"/>
      <c r="S9" s="57"/>
      <c r="T9" s="532"/>
    </row>
    <row r="10" customFormat="false" ht="12.75" hidden="false" customHeight="false" outlineLevel="0" collapsed="false">
      <c r="B10" s="529"/>
      <c r="C10" s="534"/>
      <c r="D10" s="57"/>
      <c r="E10" s="530"/>
      <c r="G10" s="484" t="s">
        <v>668</v>
      </c>
      <c r="H10" s="535" t="n">
        <v>0.2</v>
      </c>
      <c r="I10" s="58" t="s">
        <v>669</v>
      </c>
      <c r="J10" s="493" t="n">
        <f aca="false">J9*H10</f>
        <v>32.4</v>
      </c>
      <c r="L10" s="529" t="s">
        <v>669</v>
      </c>
      <c r="M10" s="534" t="n">
        <v>0.35</v>
      </c>
      <c r="N10" s="57"/>
      <c r="O10" s="531" t="n">
        <f aca="false">O9*M10</f>
        <v>43.75</v>
      </c>
      <c r="Q10" s="529"/>
      <c r="R10" s="534"/>
      <c r="S10" s="57"/>
      <c r="T10" s="531"/>
    </row>
    <row r="11" customFormat="false" ht="5.25" hidden="false" customHeight="true" outlineLevel="0" collapsed="false">
      <c r="B11" s="529"/>
      <c r="C11" s="57"/>
      <c r="D11" s="57"/>
      <c r="E11" s="530"/>
      <c r="G11" s="484"/>
      <c r="H11" s="58"/>
      <c r="I11" s="58"/>
      <c r="J11" s="512"/>
      <c r="L11" s="529"/>
      <c r="M11" s="57"/>
      <c r="N11" s="57"/>
      <c r="O11" s="530"/>
      <c r="Q11" s="529"/>
      <c r="R11" s="57"/>
      <c r="S11" s="57"/>
      <c r="T11" s="530"/>
    </row>
    <row r="12" customFormat="false" ht="12.75" hidden="false" customHeight="false" outlineLevel="0" collapsed="false">
      <c r="B12" s="529"/>
      <c r="C12" s="57"/>
      <c r="D12" s="57"/>
      <c r="E12" s="530"/>
      <c r="G12" s="484"/>
      <c r="H12" s="58"/>
      <c r="I12" s="58"/>
      <c r="J12" s="512"/>
      <c r="L12" s="529"/>
      <c r="M12" s="57"/>
      <c r="N12" s="57"/>
      <c r="O12" s="530"/>
      <c r="Q12" s="529" t="s">
        <v>55</v>
      </c>
      <c r="R12" s="57"/>
      <c r="S12" s="57"/>
      <c r="T12" s="531" t="n">
        <v>160000</v>
      </c>
    </row>
    <row r="13" customFormat="false" ht="12.75" hidden="false" customHeight="false" outlineLevel="0" collapsed="false">
      <c r="B13" s="529"/>
      <c r="C13" s="57"/>
      <c r="D13" s="57"/>
      <c r="E13" s="530"/>
      <c r="G13" s="484"/>
      <c r="H13" s="58"/>
      <c r="I13" s="58"/>
      <c r="J13" s="512"/>
      <c r="L13" s="529" t="s">
        <v>670</v>
      </c>
      <c r="M13" s="57"/>
      <c r="N13" s="57"/>
      <c r="O13" s="536" t="n">
        <f aca="false">O6-O10</f>
        <v>255.25</v>
      </c>
      <c r="Q13" s="529"/>
      <c r="R13" s="57"/>
      <c r="S13" s="57"/>
      <c r="T13" s="530"/>
    </row>
    <row r="14" customFormat="false" ht="15" hidden="false" customHeight="false" outlineLevel="0" collapsed="false">
      <c r="B14" s="529"/>
      <c r="C14" s="57"/>
      <c r="D14" s="57"/>
      <c r="E14" s="530"/>
      <c r="G14" s="484"/>
      <c r="H14" s="58"/>
      <c r="I14" s="58"/>
      <c r="J14" s="512"/>
      <c r="L14" s="529" t="s">
        <v>664</v>
      </c>
      <c r="M14" s="57"/>
      <c r="N14" s="57"/>
      <c r="O14" s="492" t="n">
        <v>40</v>
      </c>
      <c r="Q14" s="529" t="s">
        <v>665</v>
      </c>
      <c r="R14" s="57"/>
      <c r="S14" s="57"/>
      <c r="T14" s="532" t="n">
        <f aca="false">25165-9331</f>
        <v>15834</v>
      </c>
    </row>
    <row r="15" customFormat="false" ht="12.75" hidden="false" customHeight="false" outlineLevel="0" collapsed="false">
      <c r="B15" s="529"/>
      <c r="C15" s="57"/>
      <c r="D15" s="57"/>
      <c r="E15" s="530"/>
      <c r="G15" s="484"/>
      <c r="H15" s="58"/>
      <c r="I15" s="58"/>
      <c r="J15" s="512"/>
      <c r="L15" s="529" t="s">
        <v>671</v>
      </c>
      <c r="M15" s="57"/>
      <c r="N15" s="57"/>
      <c r="O15" s="532" t="n">
        <f aca="false">O13-O14</f>
        <v>215.25</v>
      </c>
      <c r="Q15" s="529"/>
      <c r="R15" s="57"/>
      <c r="S15" s="57"/>
      <c r="T15" s="532"/>
    </row>
    <row r="16" customFormat="false" ht="12.75" hidden="false" customHeight="false" outlineLevel="0" collapsed="false">
      <c r="B16" s="529"/>
      <c r="C16" s="57"/>
      <c r="D16" s="57"/>
      <c r="E16" s="530"/>
      <c r="G16" s="484"/>
      <c r="H16" s="58"/>
      <c r="I16" s="58"/>
      <c r="J16" s="512"/>
      <c r="L16" s="529" t="s">
        <v>669</v>
      </c>
      <c r="M16" s="534" t="n">
        <v>0.35</v>
      </c>
      <c r="N16" s="57"/>
      <c r="O16" s="531" t="n">
        <f aca="false">O15*M16</f>
        <v>75.3375</v>
      </c>
      <c r="Q16" s="529"/>
      <c r="R16" s="534"/>
      <c r="S16" s="57"/>
      <c r="T16" s="531"/>
    </row>
    <row r="17" customFormat="false" ht="12.75" hidden="false" customHeight="false" outlineLevel="0" collapsed="false">
      <c r="B17" s="529" t="s">
        <v>672</v>
      </c>
      <c r="C17" s="57"/>
      <c r="D17" s="57"/>
      <c r="E17" s="536" t="n">
        <f aca="false">E6-E10</f>
        <v>180</v>
      </c>
      <c r="F17" s="53"/>
      <c r="G17" s="529" t="s">
        <v>672</v>
      </c>
      <c r="H17" s="57"/>
      <c r="I17" s="57"/>
      <c r="J17" s="536" t="n">
        <f aca="false">J6-J10</f>
        <v>179.6</v>
      </c>
      <c r="K17" s="53"/>
      <c r="L17" s="529"/>
      <c r="M17" s="534"/>
      <c r="N17" s="57"/>
      <c r="O17" s="531"/>
      <c r="Q17" s="529" t="s">
        <v>55</v>
      </c>
      <c r="R17" s="57"/>
      <c r="S17" s="57"/>
      <c r="T17" s="531" t="n">
        <v>180000</v>
      </c>
    </row>
    <row r="18" customFormat="false" ht="12.75" hidden="false" customHeight="false" outlineLevel="0" collapsed="false">
      <c r="B18" s="529"/>
      <c r="C18" s="57"/>
      <c r="D18" s="57"/>
      <c r="E18" s="530"/>
      <c r="G18" s="529"/>
      <c r="H18" s="57"/>
      <c r="I18" s="57"/>
      <c r="J18" s="530"/>
      <c r="L18" s="529" t="s">
        <v>673</v>
      </c>
      <c r="M18" s="57"/>
      <c r="N18" s="57"/>
      <c r="O18" s="536" t="n">
        <f aca="false">+O16+O10</f>
        <v>119.0875</v>
      </c>
      <c r="Q18" s="529"/>
      <c r="R18" s="57"/>
      <c r="S18" s="57"/>
      <c r="T18" s="530"/>
    </row>
    <row r="19" customFormat="false" ht="12.75" hidden="false" customHeight="false" outlineLevel="0" collapsed="false">
      <c r="B19" s="529" t="s">
        <v>674</v>
      </c>
      <c r="C19" s="57"/>
      <c r="D19" s="57"/>
      <c r="E19" s="530"/>
      <c r="G19" s="529" t="s">
        <v>674</v>
      </c>
      <c r="H19" s="57"/>
      <c r="I19" s="57"/>
      <c r="J19" s="530"/>
      <c r="L19" s="529" t="s">
        <v>672</v>
      </c>
      <c r="M19" s="57"/>
      <c r="N19" s="57"/>
      <c r="O19" s="531" t="n">
        <f aca="false">O6-O10-O16</f>
        <v>179.9125</v>
      </c>
      <c r="Q19" s="529" t="s">
        <v>665</v>
      </c>
      <c r="R19" s="57"/>
      <c r="S19" s="57"/>
      <c r="T19" s="532" t="n">
        <f aca="false">28715-9331</f>
        <v>19384</v>
      </c>
    </row>
    <row r="20" customFormat="false" ht="12.75" hidden="false" customHeight="false" outlineLevel="0" collapsed="false">
      <c r="B20" s="529" t="s">
        <v>675</v>
      </c>
      <c r="C20" s="57"/>
      <c r="D20" s="57"/>
      <c r="E20" s="530"/>
      <c r="G20" s="529" t="s">
        <v>675</v>
      </c>
      <c r="H20" s="57"/>
      <c r="I20" s="57"/>
      <c r="J20" s="530"/>
      <c r="L20" s="529"/>
      <c r="M20" s="57"/>
      <c r="N20" s="57"/>
      <c r="O20" s="530"/>
      <c r="Q20" s="529"/>
      <c r="R20" s="57"/>
      <c r="S20" s="57"/>
      <c r="T20" s="530"/>
    </row>
    <row r="21" customFormat="false" ht="12.75" hidden="false" customHeight="false" outlineLevel="0" collapsed="false">
      <c r="B21" s="529"/>
      <c r="C21" s="57"/>
      <c r="D21" s="57"/>
      <c r="E21" s="530"/>
      <c r="G21" s="529"/>
      <c r="H21" s="57"/>
      <c r="I21" s="57"/>
      <c r="J21" s="530"/>
      <c r="L21" s="529" t="s">
        <v>676</v>
      </c>
      <c r="M21" s="57"/>
      <c r="N21" s="57"/>
      <c r="O21" s="530"/>
      <c r="Q21" s="529"/>
      <c r="R21" s="57"/>
      <c r="S21" s="57"/>
      <c r="T21" s="530"/>
    </row>
    <row r="22" customFormat="false" ht="12.75" hidden="false" customHeight="false" outlineLevel="0" collapsed="false">
      <c r="B22" s="529"/>
      <c r="C22" s="57"/>
      <c r="D22" s="57"/>
      <c r="E22" s="530"/>
      <c r="G22" s="529"/>
      <c r="H22" s="57"/>
      <c r="I22" s="57"/>
      <c r="J22" s="530"/>
      <c r="L22" s="484"/>
      <c r="M22" s="58"/>
      <c r="N22" s="58"/>
      <c r="O22" s="537"/>
      <c r="Q22" s="484"/>
      <c r="R22" s="58"/>
      <c r="S22" s="58"/>
      <c r="T22" s="537"/>
    </row>
    <row r="23" customFormat="false" ht="12.75" hidden="false" customHeight="false" outlineLevel="0" collapsed="false">
      <c r="B23" s="484"/>
      <c r="C23" s="58"/>
      <c r="D23" s="58"/>
      <c r="E23" s="512"/>
      <c r="G23" s="484"/>
      <c r="H23" s="58"/>
      <c r="I23" s="58"/>
      <c r="J23" s="512"/>
      <c r="L23" s="484"/>
      <c r="M23" s="58"/>
      <c r="N23" s="58"/>
      <c r="O23" s="512"/>
      <c r="Q23" s="484"/>
      <c r="R23" s="58"/>
      <c r="S23" s="58"/>
      <c r="T23" s="512"/>
    </row>
    <row r="24" customFormat="false" ht="12.75" hidden="false" customHeight="false" outlineLevel="0" collapsed="false">
      <c r="B24" s="538" t="s">
        <v>677</v>
      </c>
      <c r="C24" s="59"/>
      <c r="D24" s="59"/>
      <c r="E24" s="539" t="n">
        <f aca="false">+E17</f>
        <v>180</v>
      </c>
      <c r="G24" s="538" t="s">
        <v>677</v>
      </c>
      <c r="H24" s="59"/>
      <c r="I24" s="59"/>
      <c r="J24" s="539" t="n">
        <f aca="false">+J6</f>
        <v>212</v>
      </c>
      <c r="L24" s="538" t="s">
        <v>677</v>
      </c>
      <c r="M24" s="59"/>
      <c r="N24" s="59"/>
      <c r="O24" s="539" t="n">
        <f aca="false">+O6</f>
        <v>299</v>
      </c>
      <c r="Q24" s="538"/>
      <c r="R24" s="59"/>
      <c r="S24" s="59"/>
      <c r="T24" s="539"/>
    </row>
    <row r="25" customFormat="false" ht="15" hidden="false" customHeight="false" outlineLevel="0" collapsed="false">
      <c r="B25" s="538" t="s">
        <v>678</v>
      </c>
      <c r="C25" s="59"/>
      <c r="D25" s="59"/>
      <c r="E25" s="540" t="n">
        <v>0</v>
      </c>
      <c r="G25" s="538" t="s">
        <v>678</v>
      </c>
      <c r="H25" s="59"/>
      <c r="I25" s="59"/>
      <c r="J25" s="540" t="n">
        <f aca="false">+J10</f>
        <v>32.4</v>
      </c>
      <c r="L25" s="538" t="s">
        <v>678</v>
      </c>
      <c r="M25" s="59"/>
      <c r="N25" s="59"/>
      <c r="O25" s="540" t="n">
        <f aca="false">+O10+O16</f>
        <v>119.0875</v>
      </c>
      <c r="Q25" s="538"/>
      <c r="R25" s="59"/>
      <c r="S25" s="59"/>
      <c r="T25" s="540"/>
    </row>
    <row r="26" customFormat="false" ht="12.75" hidden="false" customHeight="false" outlineLevel="0" collapsed="false">
      <c r="B26" s="541" t="s">
        <v>672</v>
      </c>
      <c r="C26" s="542"/>
      <c r="D26" s="542"/>
      <c r="E26" s="543" t="n">
        <f aca="false">+E24-E25</f>
        <v>180</v>
      </c>
      <c r="G26" s="541" t="s">
        <v>672</v>
      </c>
      <c r="H26" s="542"/>
      <c r="I26" s="542"/>
      <c r="J26" s="543" t="n">
        <f aca="false">+J24-J25</f>
        <v>179.6</v>
      </c>
      <c r="L26" s="541" t="s">
        <v>672</v>
      </c>
      <c r="M26" s="542"/>
      <c r="N26" s="542"/>
      <c r="O26" s="544" t="n">
        <f aca="false">+O24-O25</f>
        <v>179.9125</v>
      </c>
      <c r="Q26" s="541"/>
      <c r="R26" s="542"/>
      <c r="S26" s="542"/>
      <c r="T26" s="544"/>
    </row>
    <row r="30" customFormat="false" ht="12.75" hidden="false" customHeight="false" outlineLevel="0" collapsed="false">
      <c r="Q30" s="53" t="s">
        <v>283</v>
      </c>
    </row>
    <row r="32" customFormat="false" ht="12.75" hidden="false" customHeight="false" outlineLevel="0" collapsed="false">
      <c r="Q32" s="0" t="s">
        <v>679</v>
      </c>
    </row>
    <row r="33" customFormat="false" ht="12.75" hidden="false" customHeight="false" outlineLevel="0" collapsed="false">
      <c r="Q33" s="0" t="s">
        <v>680</v>
      </c>
    </row>
    <row r="34" customFormat="false" ht="12.75" hidden="false" customHeight="false" outlineLevel="0" collapsed="false">
      <c r="Q34" s="0" t="s">
        <v>681</v>
      </c>
    </row>
    <row r="35" customFormat="false" ht="12.75" hidden="false" customHeight="false" outlineLevel="0" collapsed="false">
      <c r="Q35" s="0" t="s">
        <v>682</v>
      </c>
    </row>
  </sheetData>
  <printOptions headings="false" gridLines="false" gridLinesSet="true" horizontalCentered="true" verticalCentered="false"/>
  <pageMargins left="0.747916666666667" right="0.747916666666667" top="1.3"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&amp;L&amp;"Arial,Bold"&amp;14Project Ice&amp;R&amp;"Arial,Bold"&amp;14&amp;A</oddHeader>
    <oddFooter>&amp;L&amp;7&amp;D &amp;T&amp;C&amp;8&amp;P&amp;R&amp;7o:/Corpdev/North America/Raul/Ammonia/&amp;F</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2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13.41"/>
    <col collapsed="false" customWidth="true" hidden="false" outlineLevel="0" max="2" min="2" style="0" width="6.13"/>
    <col collapsed="false" customWidth="true" hidden="false" outlineLevel="0" max="7" min="3" style="0" width="8.7"/>
    <col collapsed="false" customWidth="true" hidden="false" outlineLevel="0" max="8" min="8" style="0" width="1.7"/>
    <col collapsed="false" customWidth="true" hidden="false" outlineLevel="0" max="9" min="9" style="0" width="1.56"/>
    <col collapsed="false" customWidth="true" hidden="false" outlineLevel="0" max="10" min="10" style="0" width="12.42"/>
    <col collapsed="false" customWidth="true" hidden="false" outlineLevel="0" max="11" min="11" style="0" width="8.99"/>
    <col collapsed="false" customWidth="true" hidden="false" outlineLevel="0" max="16" min="12" style="0" width="8.7"/>
  </cols>
  <sheetData>
    <row r="1" customFormat="false" ht="21" hidden="false" customHeight="false" outlineLevel="0" collapsed="false">
      <c r="A1" s="1" t="s">
        <v>0</v>
      </c>
      <c r="B1" s="2"/>
      <c r="C1" s="2"/>
      <c r="D1" s="3"/>
      <c r="E1" s="3"/>
      <c r="F1" s="3"/>
      <c r="G1" s="4"/>
      <c r="H1" s="3"/>
      <c r="I1" s="4"/>
      <c r="J1" s="4"/>
      <c r="K1" s="141"/>
      <c r="L1" s="4"/>
      <c r="M1" s="141" t="s">
        <v>683</v>
      </c>
      <c r="N1" s="4"/>
      <c r="O1" s="4"/>
      <c r="P1" s="4"/>
    </row>
    <row r="2" customFormat="false" ht="20.25" hidden="false" customHeight="false" outlineLevel="0" collapsed="false">
      <c r="A2" s="545"/>
      <c r="B2" s="546"/>
      <c r="C2" s="546"/>
      <c r="D2" s="547"/>
      <c r="E2" s="547"/>
      <c r="F2" s="547"/>
      <c r="G2" s="58"/>
      <c r="H2" s="547"/>
      <c r="I2" s="58"/>
      <c r="J2" s="58"/>
      <c r="K2" s="5"/>
      <c r="L2" s="58"/>
      <c r="M2" s="5"/>
      <c r="N2" s="58"/>
      <c r="O2" s="58"/>
      <c r="P2" s="58"/>
    </row>
    <row r="4" customFormat="false" ht="12.75" hidden="false" customHeight="true" outlineLevel="0" collapsed="false">
      <c r="C4" s="548" t="s">
        <v>684</v>
      </c>
      <c r="D4" s="548"/>
      <c r="E4" s="548"/>
      <c r="F4" s="548"/>
      <c r="G4" s="548"/>
      <c r="H4" s="548"/>
      <c r="I4" s="548"/>
      <c r="J4" s="549" t="s">
        <v>685</v>
      </c>
      <c r="K4" s="549"/>
      <c r="L4" s="549"/>
      <c r="M4" s="549"/>
      <c r="N4" s="549"/>
      <c r="O4" s="549"/>
      <c r="P4" s="549"/>
    </row>
    <row r="5" customFormat="false" ht="27" hidden="false" customHeight="true" outlineLevel="0" collapsed="false">
      <c r="A5" s="550" t="s">
        <v>686</v>
      </c>
      <c r="B5" s="550"/>
      <c r="C5" s="551" t="n">
        <v>60</v>
      </c>
      <c r="D5" s="552" t="n">
        <f aca="false">C5+5</f>
        <v>65</v>
      </c>
      <c r="E5" s="552" t="n">
        <f aca="false">D5+5</f>
        <v>70</v>
      </c>
      <c r="F5" s="552" t="n">
        <f aca="false">E5+5</f>
        <v>75</v>
      </c>
      <c r="G5" s="552" t="n">
        <f aca="false">F5+5</f>
        <v>80</v>
      </c>
      <c r="J5" s="550" t="s">
        <v>687</v>
      </c>
      <c r="K5" s="550"/>
      <c r="L5" s="551" t="n">
        <v>40</v>
      </c>
      <c r="M5" s="552" t="n">
        <v>50</v>
      </c>
      <c r="N5" s="552" t="n">
        <v>60</v>
      </c>
      <c r="O5" s="552" t="n">
        <v>70</v>
      </c>
      <c r="P5" s="552" t="n">
        <v>80</v>
      </c>
    </row>
    <row r="6" customFormat="false" ht="12.75" hidden="false" customHeight="false" outlineLevel="0" collapsed="false">
      <c r="B6" s="512"/>
      <c r="J6" s="553" t="s">
        <v>688</v>
      </c>
      <c r="K6" s="553"/>
    </row>
    <row r="7" customFormat="false" ht="12.75" hidden="false" customHeight="false" outlineLevel="0" collapsed="false">
      <c r="B7" s="510" t="n">
        <v>200</v>
      </c>
      <c r="C7" s="67" t="n">
        <f aca="false">$B7/C$5*1000</f>
        <v>3333.33333333333</v>
      </c>
      <c r="D7" s="67" t="n">
        <f aca="false">$B7/D5*1000</f>
        <v>3076.92307692308</v>
      </c>
      <c r="E7" s="67" t="n">
        <f aca="false">$B7/E5*1000</f>
        <v>2857.14285714286</v>
      </c>
      <c r="F7" s="67" t="n">
        <f aca="false">$B7/F5*1000</f>
        <v>2666.66666666667</v>
      </c>
      <c r="G7" s="67" t="n">
        <f aca="false">$B7/G5*1000</f>
        <v>2500</v>
      </c>
      <c r="K7" s="554" t="n">
        <f aca="false">+'AVP - Trading'!D18</f>
        <v>105.355</v>
      </c>
      <c r="L7" s="299" t="n">
        <f aca="false">+($B$7-L5-'Asset Valuation'!$I$22)/$K$7</f>
        <v>1.7085093256134</v>
      </c>
      <c r="M7" s="299" t="n">
        <f aca="false">+($B$7-M5-'Asset Valuation'!$I$22)/$K$7</f>
        <v>1.6135921408571</v>
      </c>
      <c r="N7" s="299" t="n">
        <f aca="false">+($B$7-N5-'Asset Valuation'!$I$22)/$K$7</f>
        <v>1.5186749561008</v>
      </c>
      <c r="O7" s="299" t="n">
        <f aca="false">+($B$7-O5-'Asset Valuation'!$I$22)/$K$7</f>
        <v>1.4237577713445</v>
      </c>
      <c r="P7" s="299" t="n">
        <f aca="false">+($B$7-P5-'Asset Valuation'!$I$22)/$K$7</f>
        <v>1.3288405865882</v>
      </c>
    </row>
    <row r="8" customFormat="false" ht="12.75" hidden="false" customHeight="false" outlineLevel="0" collapsed="false">
      <c r="B8" s="510"/>
      <c r="D8" s="464"/>
      <c r="K8" s="555"/>
      <c r="L8" s="556"/>
      <c r="M8" s="556"/>
      <c r="N8" s="556"/>
      <c r="O8" s="556"/>
      <c r="P8" s="556"/>
    </row>
    <row r="9" customFormat="false" ht="12.75" hidden="false" customHeight="false" outlineLevel="0" collapsed="false">
      <c r="B9" s="510" t="n">
        <v>190</v>
      </c>
      <c r="C9" s="67" t="n">
        <f aca="false">$B9/C$5*1000</f>
        <v>3166.66666666667</v>
      </c>
      <c r="D9" s="67" t="n">
        <f aca="false">$B9/D$5*1000</f>
        <v>2923.07692307692</v>
      </c>
      <c r="E9" s="67" t="n">
        <f aca="false">$B9/E$5*1000</f>
        <v>2714.28571428571</v>
      </c>
      <c r="F9" s="67" t="n">
        <f aca="false">$B9/F$5*1000</f>
        <v>2533.33333333333</v>
      </c>
      <c r="G9" s="67" t="n">
        <f aca="false">$B9/G$5*1000</f>
        <v>2375</v>
      </c>
      <c r="K9" s="554" t="n">
        <f aca="false">+K7</f>
        <v>105.355</v>
      </c>
      <c r="L9" s="299" t="n">
        <f aca="false">+($B$9-L5-'Asset Valuation'!$I$22)/$K$9</f>
        <v>1.6135921408571</v>
      </c>
      <c r="M9" s="299" t="n">
        <f aca="false">+($B$9-M5-'Asset Valuation'!$I$22)/$K$9</f>
        <v>1.5186749561008</v>
      </c>
      <c r="N9" s="299" t="n">
        <f aca="false">+($B$9-N5-'Asset Valuation'!$I$22)/$K$9</f>
        <v>1.4237577713445</v>
      </c>
      <c r="O9" s="299" t="n">
        <f aca="false">+($B$9-O5-'Asset Valuation'!$I$22)/$K$9</f>
        <v>1.3288405865882</v>
      </c>
      <c r="P9" s="299" t="n">
        <f aca="false">+($B$9-P5-'Asset Valuation'!$I$22)/$K$9</f>
        <v>1.2339234018319</v>
      </c>
    </row>
    <row r="10" customFormat="false" ht="12.75" hidden="false" customHeight="false" outlineLevel="0" collapsed="false">
      <c r="B10" s="510"/>
      <c r="K10" s="555"/>
      <c r="L10" s="556"/>
      <c r="M10" s="556"/>
      <c r="N10" s="556"/>
      <c r="O10" s="556"/>
      <c r="P10" s="556"/>
    </row>
    <row r="11" customFormat="false" ht="12.75" hidden="false" customHeight="false" outlineLevel="0" collapsed="false">
      <c r="B11" s="510" t="n">
        <v>180</v>
      </c>
      <c r="C11" s="67" t="n">
        <f aca="false">$B11/C$5*1000</f>
        <v>3000</v>
      </c>
      <c r="D11" s="67" t="n">
        <f aca="false">$B11/D$5*1000</f>
        <v>2769.23076923077</v>
      </c>
      <c r="E11" s="67" t="n">
        <f aca="false">$B11/E$5*1000</f>
        <v>2571.42857142857</v>
      </c>
      <c r="F11" s="67" t="n">
        <f aca="false">$B11/F$5*1000</f>
        <v>2400</v>
      </c>
      <c r="G11" s="67" t="n">
        <f aca="false">$B11/G$5*1000</f>
        <v>2250</v>
      </c>
      <c r="K11" s="554" t="n">
        <f aca="false">+K9</f>
        <v>105.355</v>
      </c>
      <c r="L11" s="299" t="n">
        <f aca="false">+($B11-L5-'Asset Valuation'!$I$22)/$K$11</f>
        <v>1.5186749561008</v>
      </c>
      <c r="M11" s="299" t="n">
        <f aca="false">+($B$11-M5-'Asset Valuation'!$I$22)/$K$11</f>
        <v>1.4237577713445</v>
      </c>
      <c r="N11" s="299" t="n">
        <f aca="false">+($B$11-N5-'Asset Valuation'!$I$22)/$K$11</f>
        <v>1.3288405865882</v>
      </c>
      <c r="O11" s="299" t="n">
        <f aca="false">+($B$11-O5-'Asset Valuation'!$I$22)/$K$11</f>
        <v>1.2339234018319</v>
      </c>
      <c r="P11" s="299" t="n">
        <f aca="false">+($B$11-P5-'Asset Valuation'!$I$22)/$K$11</f>
        <v>1.1390062170756</v>
      </c>
    </row>
    <row r="12" customFormat="false" ht="12.75" hidden="false" customHeight="false" outlineLevel="0" collapsed="false">
      <c r="B12" s="510"/>
      <c r="K12" s="555"/>
      <c r="L12" s="556"/>
      <c r="M12" s="556"/>
      <c r="N12" s="556"/>
      <c r="O12" s="556"/>
      <c r="P12" s="556"/>
    </row>
    <row r="13" customFormat="false" ht="12.75" hidden="false" customHeight="false" outlineLevel="0" collapsed="false">
      <c r="A13" s="53" t="s">
        <v>689</v>
      </c>
      <c r="B13" s="510" t="n">
        <v>170</v>
      </c>
      <c r="C13" s="67" t="n">
        <f aca="false">$B13/C$5*1000</f>
        <v>2833.33333333333</v>
      </c>
      <c r="D13" s="67" t="n">
        <f aca="false">$B13/D$5*1000</f>
        <v>2615.38461538462</v>
      </c>
      <c r="E13" s="67" t="n">
        <f aca="false">$B13/E$5*1000</f>
        <v>2428.57142857143</v>
      </c>
      <c r="F13" s="67" t="n">
        <f aca="false">$B13/F$5*1000</f>
        <v>2266.66666666667</v>
      </c>
      <c r="G13" s="67" t="n">
        <f aca="false">$B13/G$5*1000</f>
        <v>2125</v>
      </c>
      <c r="K13" s="554" t="n">
        <f aca="false">+K11</f>
        <v>105.355</v>
      </c>
      <c r="L13" s="299" t="n">
        <f aca="false">+($B13-L5-'Asset Valuation'!$I$22)/$K13</f>
        <v>1.4237577713445</v>
      </c>
      <c r="M13" s="299" t="n">
        <f aca="false">+($B13-M5-'Asset Valuation'!$I$22)/$K13</f>
        <v>1.3288405865882</v>
      </c>
      <c r="N13" s="299" t="n">
        <f aca="false">+($B13-N5-'Asset Valuation'!$I$22)/$K13</f>
        <v>1.2339234018319</v>
      </c>
      <c r="O13" s="299" t="n">
        <f aca="false">+($B13-O5-'Asset Valuation'!$I$22)/$K13</f>
        <v>1.1390062170756</v>
      </c>
      <c r="P13" s="299" t="n">
        <f aca="false">+($B13-P5-'Asset Valuation'!$I$22)/$K13</f>
        <v>1.0440890323193</v>
      </c>
    </row>
    <row r="14" customFormat="false" ht="12.75" hidden="false" customHeight="false" outlineLevel="0" collapsed="false">
      <c r="A14" s="53" t="s">
        <v>690</v>
      </c>
      <c r="B14" s="510"/>
      <c r="K14" s="555"/>
      <c r="L14" s="556"/>
      <c r="M14" s="556"/>
      <c r="N14" s="556"/>
      <c r="O14" s="556"/>
      <c r="P14" s="556"/>
    </row>
    <row r="15" customFormat="false" ht="12.75" hidden="false" customHeight="false" outlineLevel="0" collapsed="false">
      <c r="A15" s="53" t="s">
        <v>691</v>
      </c>
      <c r="B15" s="510" t="n">
        <v>160</v>
      </c>
      <c r="C15" s="67" t="n">
        <f aca="false">$B15/C$5*1000</f>
        <v>2666.66666666667</v>
      </c>
      <c r="D15" s="67" t="n">
        <f aca="false">$B15/D$5*1000</f>
        <v>2461.53846153846</v>
      </c>
      <c r="E15" s="67" t="n">
        <f aca="false">$B15/E$5*1000</f>
        <v>2285.71428571429</v>
      </c>
      <c r="F15" s="67" t="n">
        <f aca="false">$B15/F$5*1000</f>
        <v>2133.33333333333</v>
      </c>
      <c r="G15" s="67" t="n">
        <f aca="false">$B15/G$5*1000</f>
        <v>2000</v>
      </c>
      <c r="K15" s="554" t="n">
        <f aca="false">+K13</f>
        <v>105.355</v>
      </c>
      <c r="L15" s="299" t="n">
        <f aca="false">+($B15-L$5-'Asset Valuation'!$I$22)/$K15</f>
        <v>1.3288405865882</v>
      </c>
      <c r="M15" s="299" t="n">
        <f aca="false">+($B15-M$5-'Asset Valuation'!$I$22)/$K15</f>
        <v>1.2339234018319</v>
      </c>
      <c r="N15" s="299" t="n">
        <f aca="false">+($B15-N$5-'Asset Valuation'!$I$22)/$K15</f>
        <v>1.1390062170756</v>
      </c>
      <c r="O15" s="299" t="n">
        <f aca="false">+($B15-O$5-'Asset Valuation'!$I$22)/$K15</f>
        <v>1.0440890323193</v>
      </c>
      <c r="P15" s="299" t="n">
        <f aca="false">+($B15-P$5-'Asset Valuation'!$I$22)/$K15</f>
        <v>0.949171847563001</v>
      </c>
    </row>
    <row r="16" customFormat="false" ht="12.75" hidden="false" customHeight="false" outlineLevel="0" collapsed="false">
      <c r="A16" s="53" t="s">
        <v>688</v>
      </c>
      <c r="B16" s="510"/>
      <c r="K16" s="555"/>
      <c r="L16" s="556"/>
      <c r="M16" s="556"/>
      <c r="N16" s="556"/>
      <c r="O16" s="556"/>
      <c r="P16" s="556"/>
    </row>
    <row r="17" customFormat="false" ht="12.75" hidden="false" customHeight="false" outlineLevel="0" collapsed="false">
      <c r="B17" s="510" t="n">
        <v>150</v>
      </c>
      <c r="C17" s="67" t="n">
        <f aca="false">$B17/C$5*1000</f>
        <v>2500</v>
      </c>
      <c r="D17" s="67" t="n">
        <f aca="false">$B17/D$5*1000</f>
        <v>2307.69230769231</v>
      </c>
      <c r="E17" s="67" t="n">
        <f aca="false">$B17/E$5*1000</f>
        <v>2142.85714285714</v>
      </c>
      <c r="F17" s="67" t="n">
        <f aca="false">$B17/F$5*1000</f>
        <v>2000</v>
      </c>
      <c r="G17" s="67" t="n">
        <f aca="false">$B17/G$5*1000</f>
        <v>1875</v>
      </c>
      <c r="K17" s="554" t="n">
        <f aca="false">+K15</f>
        <v>105.355</v>
      </c>
      <c r="L17" s="299" t="n">
        <f aca="false">+($B17-L$5-'Asset Valuation'!$I$22)/$K17</f>
        <v>1.2339234018319</v>
      </c>
      <c r="M17" s="299" t="n">
        <f aca="false">+($B17-M$5-'Asset Valuation'!$I$22)/$K17</f>
        <v>1.1390062170756</v>
      </c>
      <c r="N17" s="299" t="n">
        <f aca="false">+($B17-N$5-'Asset Valuation'!$I$22)/$K17</f>
        <v>1.0440890323193</v>
      </c>
      <c r="O17" s="299" t="n">
        <f aca="false">+($B17-O$5-'Asset Valuation'!$I$22)/$K17</f>
        <v>0.949171847563001</v>
      </c>
      <c r="P17" s="299" t="n">
        <f aca="false">+($B17-P$5-'Asset Valuation'!$I$22)/$K17</f>
        <v>0.854254662806701</v>
      </c>
    </row>
    <row r="18" customFormat="false" ht="12.75" hidden="false" customHeight="false" outlineLevel="0" collapsed="false">
      <c r="B18" s="510"/>
      <c r="K18" s="555"/>
      <c r="L18" s="556"/>
      <c r="M18" s="556"/>
      <c r="N18" s="556"/>
      <c r="O18" s="556"/>
      <c r="P18" s="556"/>
    </row>
    <row r="19" customFormat="false" ht="12.75" hidden="false" customHeight="false" outlineLevel="0" collapsed="false">
      <c r="B19" s="510" t="n">
        <v>140</v>
      </c>
      <c r="C19" s="67" t="n">
        <f aca="false">$B19/C$5*1000</f>
        <v>2333.33333333333</v>
      </c>
      <c r="D19" s="67" t="n">
        <f aca="false">$B19/D$5*1000</f>
        <v>2153.84615384615</v>
      </c>
      <c r="E19" s="67" t="n">
        <f aca="false">$B19/E$5*1000</f>
        <v>2000</v>
      </c>
      <c r="F19" s="67" t="n">
        <f aca="false">$B19/F$5*1000</f>
        <v>1866.66666666667</v>
      </c>
      <c r="G19" s="67" t="n">
        <f aca="false">$B19/G$5*1000</f>
        <v>1750</v>
      </c>
      <c r="K19" s="554" t="n">
        <f aca="false">+K17</f>
        <v>105.355</v>
      </c>
      <c r="L19" s="299" t="n">
        <f aca="false">+($B19-L$5-'Asset Valuation'!$I$22)/$K19</f>
        <v>1.1390062170756</v>
      </c>
      <c r="M19" s="299" t="n">
        <f aca="false">+($B19-M$5-'Asset Valuation'!$I$22)/$K19</f>
        <v>1.0440890323193</v>
      </c>
      <c r="N19" s="299" t="n">
        <f aca="false">+($B19-N$5-'Asset Valuation'!$I$22)/$K19</f>
        <v>0.949171847563001</v>
      </c>
      <c r="O19" s="299" t="n">
        <f aca="false">+($B19-O$5-'Asset Valuation'!$I$22)/$K19</f>
        <v>0.854254662806701</v>
      </c>
      <c r="P19" s="299" t="n">
        <f aca="false">+($B19-P$5-'Asset Valuation'!$I$22)/$K19</f>
        <v>0.759337478050401</v>
      </c>
    </row>
    <row r="20" customFormat="false" ht="12.75" hidden="false" customHeight="false" outlineLevel="0" collapsed="false">
      <c r="B20" s="510"/>
      <c r="K20" s="555"/>
      <c r="L20" s="556"/>
      <c r="M20" s="556"/>
      <c r="N20" s="556"/>
      <c r="O20" s="556"/>
      <c r="P20" s="556"/>
    </row>
    <row r="21" customFormat="false" ht="12.75" hidden="false" customHeight="false" outlineLevel="0" collapsed="false">
      <c r="B21" s="510" t="n">
        <v>130</v>
      </c>
      <c r="C21" s="67" t="n">
        <f aca="false">$B21/C$5*1000</f>
        <v>2166.66666666667</v>
      </c>
      <c r="D21" s="67" t="n">
        <f aca="false">$B21/D$5*1000</f>
        <v>2000</v>
      </c>
      <c r="E21" s="67" t="n">
        <f aca="false">$B21/E$5*1000</f>
        <v>1857.14285714286</v>
      </c>
      <c r="F21" s="67" t="n">
        <f aca="false">$B21/F$5*1000</f>
        <v>1733.33333333333</v>
      </c>
      <c r="G21" s="67" t="n">
        <f aca="false">$B21/G$5*1000</f>
        <v>1625</v>
      </c>
      <c r="K21" s="554" t="n">
        <f aca="false">+K19</f>
        <v>105.355</v>
      </c>
      <c r="L21" s="299" t="n">
        <f aca="false">+($B21-L$5-'Asset Valuation'!$I$22)/$K21</f>
        <v>1.0440890323193</v>
      </c>
      <c r="M21" s="299" t="n">
        <f aca="false">+($B21-M$5-'Asset Valuation'!$I$22)/$K21</f>
        <v>0.949171847563001</v>
      </c>
      <c r="N21" s="299" t="n">
        <f aca="false">+($B21-N$5-'Asset Valuation'!$I$22)/$K21</f>
        <v>0.854254662806701</v>
      </c>
      <c r="O21" s="299" t="n">
        <f aca="false">+($B21-O$5-'Asset Valuation'!$I$22)/$K21</f>
        <v>0.759337478050401</v>
      </c>
      <c r="P21" s="299" t="n">
        <f aca="false">+($B21-P$5-'Asset Valuation'!$I$22)/$K21</f>
        <v>0.664420293294101</v>
      </c>
    </row>
    <row r="22" customFormat="false" ht="12.75" hidden="false" customHeight="false" outlineLevel="0" collapsed="false">
      <c r="B22" s="512"/>
      <c r="K22" s="512"/>
    </row>
    <row r="23" customFormat="false" ht="12.75" hidden="false" customHeight="false" outlineLevel="0" collapsed="false">
      <c r="B23" s="512"/>
    </row>
    <row r="24" customFormat="false" ht="12.75" hidden="false" customHeight="false" outlineLevel="0" collapsed="false">
      <c r="B24" s="512"/>
    </row>
    <row r="25" customFormat="false" ht="12.75" hidden="false" customHeight="false" outlineLevel="0" collapsed="false">
      <c r="B25" s="58"/>
    </row>
    <row r="26" customFormat="false" ht="12.75" hidden="false" customHeight="false" outlineLevel="0" collapsed="false">
      <c r="B26" s="58"/>
    </row>
  </sheetData>
  <mergeCells count="5">
    <mergeCell ref="C4:I4"/>
    <mergeCell ref="J4:P4"/>
    <mergeCell ref="A5:B5"/>
    <mergeCell ref="J5:K5"/>
    <mergeCell ref="J6:K6"/>
  </mergeCells>
  <printOptions headings="false" gridLines="false" gridLinesSet="true" horizontalCentered="true" verticalCentered="false"/>
  <pageMargins left="0.25" right="0.25" top="0.984027777777778" bottom="0.984027777777778"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M2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1" min="1" style="0" width="5.71"/>
    <col collapsed="false" customWidth="true" hidden="false" outlineLevel="0" max="2" min="2" style="0" width="9.28"/>
    <col collapsed="false" customWidth="true" hidden="false" outlineLevel="0" max="3" min="3" style="0" width="14.14"/>
    <col collapsed="false" customWidth="true" hidden="false" outlineLevel="0" max="5" min="4" style="0" width="8.85"/>
    <col collapsed="false" customWidth="true" hidden="false" outlineLevel="0" max="6" min="6" style="0" width="9.28"/>
    <col collapsed="false" customWidth="true" hidden="false" outlineLevel="0" max="12" min="7" style="0" width="10.71"/>
  </cols>
  <sheetData>
    <row r="1" customFormat="false" ht="24" hidden="false" customHeight="false" outlineLevel="0" collapsed="false">
      <c r="A1" s="48" t="s">
        <v>0</v>
      </c>
      <c r="B1" s="49"/>
      <c r="C1" s="49"/>
      <c r="D1" s="4"/>
      <c r="E1" s="4"/>
      <c r="F1" s="50"/>
      <c r="G1" s="4"/>
      <c r="H1" s="51"/>
      <c r="I1" s="52"/>
      <c r="J1" s="52"/>
      <c r="K1" s="52"/>
      <c r="L1" s="51"/>
      <c r="M1" s="51" t="s">
        <v>28</v>
      </c>
    </row>
    <row r="2" customFormat="false" ht="12.75" hidden="false" customHeight="false" outlineLevel="0" collapsed="false">
      <c r="A2" s="53"/>
    </row>
    <row r="3" customFormat="false" ht="12.75" hidden="false" customHeight="false" outlineLevel="0" collapsed="false">
      <c r="A3" s="53"/>
      <c r="L3" s="53"/>
      <c r="M3" s="53" t="s">
        <v>29</v>
      </c>
    </row>
    <row r="4" customFormat="false" ht="12.75" hidden="false" customHeight="false" outlineLevel="0" collapsed="false">
      <c r="A4" s="53"/>
    </row>
    <row r="5" customFormat="false" ht="12.75" hidden="false" customHeight="false" outlineLevel="0" collapsed="false">
      <c r="A5" s="53"/>
      <c r="B5" s="0" t="s">
        <v>30</v>
      </c>
      <c r="E5" s="54" t="n">
        <v>120</v>
      </c>
      <c r="F5" s="54" t="n">
        <f aca="false">E5+20</f>
        <v>140</v>
      </c>
      <c r="G5" s="55" t="n">
        <f aca="false">F5+20</f>
        <v>160</v>
      </c>
      <c r="H5" s="54" t="n">
        <f aca="false">G5+20</f>
        <v>180</v>
      </c>
      <c r="I5" s="56" t="n">
        <f aca="false">H5+20</f>
        <v>200</v>
      </c>
      <c r="J5" s="54" t="n">
        <f aca="false">I5+20</f>
        <v>220</v>
      </c>
      <c r="K5" s="54" t="n">
        <f aca="false">J5+20</f>
        <v>240</v>
      </c>
    </row>
    <row r="6" customFormat="false" ht="12.75" hidden="false" customHeight="false" outlineLevel="0" collapsed="false">
      <c r="A6" s="53"/>
      <c r="B6" s="0" t="s">
        <v>31</v>
      </c>
      <c r="E6" s="54" t="n">
        <f aca="false">'adj AVP - Cons'!E10</f>
        <v>119.887540747914</v>
      </c>
      <c r="F6" s="54" t="n">
        <f aca="false">'adj AVP - Cons'!F10</f>
        <v>139.887540747914</v>
      </c>
      <c r="G6" s="54" t="n">
        <f aca="false">'adj AVP - Cons'!G10</f>
        <v>159.887540747914</v>
      </c>
      <c r="H6" s="54" t="n">
        <f aca="false">'adj AVP - Cons'!H10</f>
        <v>179.887540747914</v>
      </c>
      <c r="I6" s="56" t="n">
        <f aca="false">'adj AVP - Cons'!I10</f>
        <v>199.887540747914</v>
      </c>
      <c r="J6" s="54" t="n">
        <f aca="false">'adj AVP - Cons'!J10</f>
        <v>219.887540747914</v>
      </c>
      <c r="K6" s="54" t="n">
        <f aca="false">'adj AVP - Cons'!K10</f>
        <v>239.887540747914</v>
      </c>
    </row>
    <row r="7" customFormat="false" ht="12.75" hidden="false" customHeight="false" outlineLevel="0" collapsed="false">
      <c r="G7" s="57"/>
      <c r="H7" s="58"/>
      <c r="I7" s="59"/>
      <c r="J7" s="60"/>
    </row>
    <row r="8" customFormat="false" ht="12.75" hidden="false" customHeight="false" outlineLevel="0" collapsed="false">
      <c r="B8" s="0" t="s">
        <v>32</v>
      </c>
      <c r="E8" s="54" t="n">
        <f aca="false">E6+'adj AVP - Cons'!E12+'adj AVP - Cons'!E13</f>
        <v>262.332221188422</v>
      </c>
      <c r="F8" s="54" t="n">
        <f aca="false">F6+'adj AVP - Cons'!F12+'adj AVP - Cons'!F13</f>
        <v>282.332221188422</v>
      </c>
      <c r="G8" s="54" t="n">
        <f aca="false">G6+'adj AVP - Cons'!G12+'adj AVP - Cons'!G13</f>
        <v>302.332221188422</v>
      </c>
      <c r="H8" s="54" t="n">
        <f aca="false">H6+'adj AVP - Cons'!H12+'adj AVP - Cons'!H13</f>
        <v>322.332221188422</v>
      </c>
      <c r="I8" s="56" t="n">
        <f aca="false">I6+'adj AVP - Cons'!I12+'adj AVP - Cons'!I13</f>
        <v>342.332221188422</v>
      </c>
      <c r="J8" s="54" t="n">
        <f aca="false">J6+'adj AVP - Cons'!J12+'adj AVP - Cons'!J13</f>
        <v>362.332221188422</v>
      </c>
      <c r="K8" s="54" t="n">
        <f aca="false">K6+'adj AVP - Cons'!K12+'adj AVP - Cons'!K13</f>
        <v>382.332221188422</v>
      </c>
      <c r="L8" s="61"/>
    </row>
    <row r="9" customFormat="false" ht="12.75" hidden="false" customHeight="false" outlineLevel="0" collapsed="false">
      <c r="B9" s="0" t="s">
        <v>33</v>
      </c>
      <c r="E9" s="62" t="n">
        <f aca="false">-'Asset Valuation'!$I$20</f>
        <v>-75.809303654933</v>
      </c>
      <c r="F9" s="62" t="n">
        <f aca="false">-'Asset Valuation'!$I$20</f>
        <v>-75.809303654933</v>
      </c>
      <c r="G9" s="62" t="n">
        <f aca="false">-'Asset Valuation'!$I$20</f>
        <v>-75.809303654933</v>
      </c>
      <c r="H9" s="62" t="n">
        <f aca="false">-'Asset Valuation'!$I$20</f>
        <v>-75.809303654933</v>
      </c>
      <c r="I9" s="63" t="n">
        <f aca="false">-'Asset Valuation'!$I$20</f>
        <v>-75.809303654933</v>
      </c>
      <c r="J9" s="62" t="n">
        <f aca="false">-'Asset Valuation'!$I$20</f>
        <v>-75.809303654933</v>
      </c>
      <c r="K9" s="62" t="n">
        <f aca="false">-'Asset Valuation'!$I$20</f>
        <v>-75.809303654933</v>
      </c>
      <c r="L9" s="64"/>
    </row>
    <row r="10" customFormat="false" ht="12.75" hidden="false" customHeight="false" outlineLevel="0" collapsed="false">
      <c r="B10" s="0" t="s">
        <v>34</v>
      </c>
      <c r="E10" s="55" t="n">
        <f aca="false">SUM(E8:E9)</f>
        <v>186.522917533489</v>
      </c>
      <c r="F10" s="55" t="n">
        <f aca="false">SUM(F8:F9)</f>
        <v>206.522917533489</v>
      </c>
      <c r="G10" s="55" t="n">
        <f aca="false">SUM(G8:G9)</f>
        <v>226.522917533489</v>
      </c>
      <c r="H10" s="55" t="n">
        <f aca="false">SUM(H8:H9)</f>
        <v>246.522917533489</v>
      </c>
      <c r="I10" s="56" t="n">
        <f aca="false">SUM(I8:I9)</f>
        <v>266.522917533489</v>
      </c>
      <c r="J10" s="55" t="n">
        <f aca="false">SUM(J8:J9)</f>
        <v>286.522917533489</v>
      </c>
      <c r="K10" s="55" t="n">
        <f aca="false">SUM(K8:K9)</f>
        <v>306.522917533489</v>
      </c>
      <c r="L10" s="65"/>
    </row>
    <row r="11" customFormat="false" ht="12.75" hidden="false" customHeight="false" outlineLevel="0" collapsed="false">
      <c r="E11" s="54"/>
      <c r="F11" s="54"/>
      <c r="G11" s="55"/>
      <c r="H11" s="54"/>
      <c r="I11" s="56"/>
      <c r="J11" s="54"/>
      <c r="K11" s="54"/>
      <c r="L11" s="66"/>
    </row>
    <row r="12" customFormat="false" ht="12.75" hidden="false" customHeight="false" outlineLevel="0" collapsed="false">
      <c r="B12" s="0" t="s">
        <v>35</v>
      </c>
      <c r="E12" s="67" t="n">
        <f aca="false">-'S &amp; U'!$J$14</f>
        <v>-180.4</v>
      </c>
      <c r="F12" s="67" t="n">
        <f aca="false">-'S &amp; U'!$J$14</f>
        <v>-180.4</v>
      </c>
      <c r="G12" s="68" t="n">
        <f aca="false">-'S &amp; U'!$J$14</f>
        <v>-180.4</v>
      </c>
      <c r="H12" s="67" t="n">
        <f aca="false">-'S &amp; U'!$J$14</f>
        <v>-180.4</v>
      </c>
      <c r="I12" s="69" t="n">
        <f aca="false">-'S &amp; U'!$J$14</f>
        <v>-180.4</v>
      </c>
      <c r="J12" s="67" t="n">
        <f aca="false">-'S &amp; U'!$J$14</f>
        <v>-180.4</v>
      </c>
      <c r="K12" s="67" t="n">
        <f aca="false">-'S &amp; U'!$J$14</f>
        <v>-180.4</v>
      </c>
      <c r="L12" s="70"/>
    </row>
    <row r="13" customFormat="false" ht="12.75" hidden="false" customHeight="false" outlineLevel="0" collapsed="false">
      <c r="B13" s="0" t="s">
        <v>36</v>
      </c>
      <c r="E13" s="71" t="n">
        <f aca="false">-'Asset Valuation'!$I$22</f>
        <v>20</v>
      </c>
      <c r="F13" s="71" t="n">
        <f aca="false">-'Asset Valuation'!$I$22</f>
        <v>20</v>
      </c>
      <c r="G13" s="71" t="n">
        <f aca="false">-'Asset Valuation'!$I$22</f>
        <v>20</v>
      </c>
      <c r="H13" s="71" t="n">
        <f aca="false">-'Asset Valuation'!$I$22</f>
        <v>20</v>
      </c>
      <c r="I13" s="72" t="n">
        <f aca="false">-'Asset Valuation'!$I$22</f>
        <v>20</v>
      </c>
      <c r="J13" s="71" t="n">
        <f aca="false">-'Asset Valuation'!$I$22</f>
        <v>20</v>
      </c>
      <c r="K13" s="71" t="n">
        <f aca="false">-'Asset Valuation'!$I$22</f>
        <v>20</v>
      </c>
      <c r="L13" s="73"/>
    </row>
    <row r="14" customFormat="false" ht="12.75" hidden="false" customHeight="false" outlineLevel="0" collapsed="false">
      <c r="B14" s="0" t="s">
        <v>37</v>
      </c>
      <c r="E14" s="62" t="n">
        <f aca="false">Assumptions!$B$46</f>
        <v>37.9553195594923</v>
      </c>
      <c r="F14" s="62" t="n">
        <f aca="false">Assumptions!$B$46</f>
        <v>37.9553195594923</v>
      </c>
      <c r="G14" s="62" t="n">
        <f aca="false">Assumptions!$B$46</f>
        <v>37.9553195594923</v>
      </c>
      <c r="H14" s="62" t="n">
        <f aca="false">Assumptions!$B$46</f>
        <v>37.9553195594923</v>
      </c>
      <c r="I14" s="63" t="n">
        <f aca="false">Assumptions!$B$46</f>
        <v>37.9553195594923</v>
      </c>
      <c r="J14" s="62" t="n">
        <f aca="false">Assumptions!$B$46</f>
        <v>37.9553195594923</v>
      </c>
      <c r="K14" s="62" t="n">
        <f aca="false">Assumptions!$B$46</f>
        <v>37.9553195594923</v>
      </c>
      <c r="L14" s="64"/>
    </row>
    <row r="15" customFormat="false" ht="12.75" hidden="false" customHeight="false" outlineLevel="0" collapsed="false">
      <c r="B15" s="0" t="s">
        <v>38</v>
      </c>
      <c r="E15" s="74" t="n">
        <f aca="false">SUM(E10:E14)</f>
        <v>64.0782370929808</v>
      </c>
      <c r="F15" s="74" t="n">
        <f aca="false">SUM(F10:F14)</f>
        <v>84.0782370929808</v>
      </c>
      <c r="G15" s="74" t="n">
        <f aca="false">SUM(G10:G14)</f>
        <v>104.078237092981</v>
      </c>
      <c r="H15" s="74" t="n">
        <f aca="false">SUM(H10:H14)</f>
        <v>124.078237092981</v>
      </c>
      <c r="I15" s="75" t="n">
        <f aca="false">SUM(I10:I14)</f>
        <v>144.078237092981</v>
      </c>
      <c r="J15" s="74" t="n">
        <f aca="false">SUM(J10:J14)</f>
        <v>164.078237092981</v>
      </c>
      <c r="K15" s="74" t="n">
        <f aca="false">SUM(K10:K14)</f>
        <v>184.078237092981</v>
      </c>
      <c r="L15" s="76"/>
    </row>
    <row r="16" customFormat="false" ht="12.75" hidden="false" customHeight="false" outlineLevel="0" collapsed="false">
      <c r="G16" s="57"/>
      <c r="H16" s="58"/>
      <c r="I16" s="59"/>
      <c r="L16" s="66"/>
    </row>
    <row r="17" customFormat="false" ht="12.75" hidden="false" customHeight="false" outlineLevel="0" collapsed="false">
      <c r="B17" s="77" t="s">
        <v>39</v>
      </c>
      <c r="C17" s="7"/>
      <c r="G17" s="57"/>
      <c r="H17" s="58"/>
      <c r="I17" s="59"/>
      <c r="L17" s="66"/>
    </row>
    <row r="18" customFormat="false" ht="12.75" hidden="false" customHeight="false" outlineLevel="0" collapsed="false">
      <c r="B18" s="78" t="s">
        <v>40</v>
      </c>
      <c r="C18" s="0" t="s">
        <v>41</v>
      </c>
      <c r="D18" s="79" t="n">
        <f aca="false">('Balance Sheet'!G37-16570-1000)/1000</f>
        <v>110.908999487987</v>
      </c>
      <c r="E18" s="80" t="n">
        <f aca="false">+E15/$D$18</f>
        <v>0.577755072976934</v>
      </c>
      <c r="F18" s="80" t="n">
        <f aca="false">+F15/$D$18</f>
        <v>0.75808309047173</v>
      </c>
      <c r="G18" s="81" t="n">
        <f aca="false">+G15/$D$18</f>
        <v>0.938411107966525</v>
      </c>
      <c r="H18" s="80" t="n">
        <f aca="false">+H15/$D$18</f>
        <v>1.11873912546132</v>
      </c>
      <c r="I18" s="82" t="n">
        <f aca="false">+I15/$D$18</f>
        <v>1.29906714295612</v>
      </c>
      <c r="J18" s="80" t="n">
        <f aca="false">+J15/$D$18</f>
        <v>1.47939516045091</v>
      </c>
      <c r="K18" s="80" t="n">
        <f aca="false">+K15/$D$18</f>
        <v>1.65972317794571</v>
      </c>
      <c r="L18" s="83"/>
    </row>
    <row r="19" customFormat="false" ht="12.75" hidden="false" customHeight="false" outlineLevel="0" collapsed="false">
      <c r="D19" s="84"/>
      <c r="E19" s="85"/>
      <c r="F19" s="80"/>
      <c r="G19" s="81"/>
      <c r="H19" s="80"/>
      <c r="I19" s="82"/>
      <c r="J19" s="80"/>
      <c r="K19" s="80"/>
      <c r="L19" s="83"/>
    </row>
    <row r="20" customFormat="false" ht="12.75" hidden="false" customHeight="false" outlineLevel="0" collapsed="false">
      <c r="B20" s="77" t="s">
        <v>42</v>
      </c>
      <c r="C20" s="7"/>
      <c r="D20" s="86"/>
      <c r="E20" s="80"/>
      <c r="F20" s="80"/>
      <c r="G20" s="81"/>
      <c r="H20" s="80"/>
      <c r="I20" s="82"/>
      <c r="J20" s="80"/>
      <c r="K20" s="80"/>
      <c r="L20" s="83"/>
    </row>
    <row r="21" customFormat="false" ht="12.75" hidden="false" customHeight="false" outlineLevel="0" collapsed="false">
      <c r="B21" s="0" t="n">
        <v>2001</v>
      </c>
      <c r="C21" s="0" t="s">
        <v>43</v>
      </c>
      <c r="D21" s="79" t="n">
        <f aca="false">('Profit &amp; Loss (2)'!L32+'Profit &amp; Loss (2)'!M32)/1000</f>
        <v>23.703878</v>
      </c>
      <c r="E21" s="80" t="n">
        <f aca="false">+E10/$D$21</f>
        <v>7.86887772260255</v>
      </c>
      <c r="F21" s="80" t="n">
        <f aca="false">+F10/$D$21</f>
        <v>8.71262151844895</v>
      </c>
      <c r="G21" s="81" t="n">
        <f aca="false">+G10/$D$21</f>
        <v>9.55636531429535</v>
      </c>
      <c r="H21" s="80" t="n">
        <f aca="false">+H10/$D$21</f>
        <v>10.4001091101418</v>
      </c>
      <c r="I21" s="82" t="n">
        <f aca="false">+I10/$D$21</f>
        <v>11.2438529059882</v>
      </c>
      <c r="J21" s="80" t="n">
        <f aca="false">+J10/$D$21</f>
        <v>12.0875967018346</v>
      </c>
      <c r="K21" s="80" t="n">
        <f aca="false">+K10/$D$21</f>
        <v>12.931340497681</v>
      </c>
      <c r="L21" s="83"/>
    </row>
    <row r="22" customFormat="false" ht="12.75" hidden="false" customHeight="false" outlineLevel="0" collapsed="false">
      <c r="B22" s="0" t="n">
        <v>2002</v>
      </c>
      <c r="C22" s="0" t="s">
        <v>43</v>
      </c>
      <c r="D22" s="79" t="n">
        <f aca="false">'Profit &amp; Loss (2)'!N32/1000</f>
        <v>30.6083978666667</v>
      </c>
      <c r="E22" s="80" t="n">
        <f aca="false">+E10/$D$22</f>
        <v>6.09384778471587</v>
      </c>
      <c r="F22" s="80" t="n">
        <f aca="false">+F10/$D$22</f>
        <v>6.74726323256525</v>
      </c>
      <c r="G22" s="81" t="n">
        <f aca="false">+G10/$D$22</f>
        <v>7.40067868041463</v>
      </c>
      <c r="H22" s="80" t="n">
        <f aca="false">+H10/$D$22</f>
        <v>8.05409412826401</v>
      </c>
      <c r="I22" s="82" t="n">
        <f aca="false">+I10/$D$22</f>
        <v>8.70750957611339</v>
      </c>
      <c r="J22" s="80" t="n">
        <f aca="false">+J10/$D$22</f>
        <v>9.36092502396277</v>
      </c>
      <c r="K22" s="80" t="n">
        <f aca="false">+K10/$D$22</f>
        <v>10.0143404718122</v>
      </c>
      <c r="L22" s="83"/>
    </row>
    <row r="23" customFormat="false" ht="12.75" hidden="false" customHeight="false" outlineLevel="0" collapsed="false">
      <c r="I23" s="53"/>
      <c r="L23" s="66"/>
    </row>
    <row r="24" customFormat="false" ht="12.75" hidden="false" customHeight="false" outlineLevel="0" collapsed="false">
      <c r="B24" s="87" t="s">
        <v>44</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C3:C3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sheetData>
    <row r="3" customFormat="false" ht="12.75" hidden="false" customHeight="false" outlineLevel="0" collapsed="false">
      <c r="C3" s="53"/>
    </row>
    <row r="4" customFormat="false" ht="12.75" hidden="false" customHeight="false" outlineLevel="0" collapsed="false">
      <c r="C4" s="557" t="s">
        <v>692</v>
      </c>
    </row>
    <row r="5" customFormat="false" ht="12.75" hidden="false" customHeight="false" outlineLevel="0" collapsed="false">
      <c r="C5" s="557"/>
    </row>
    <row r="6" customFormat="false" ht="12.75" hidden="false" customHeight="false" outlineLevel="0" collapsed="false">
      <c r="C6" s="0" t="s">
        <v>693</v>
      </c>
    </row>
    <row r="7" customFormat="false" ht="12.75" hidden="false" customHeight="false" outlineLevel="0" collapsed="false">
      <c r="C7" s="0" t="s">
        <v>694</v>
      </c>
    </row>
    <row r="8" customFormat="false" ht="12.75" hidden="false" customHeight="false" outlineLevel="0" collapsed="false">
      <c r="C8" s="0" t="s">
        <v>695</v>
      </c>
    </row>
    <row r="9" customFormat="false" ht="12.75" hidden="false" customHeight="false" outlineLevel="0" collapsed="false">
      <c r="C9" s="0" t="s">
        <v>696</v>
      </c>
    </row>
    <row r="10" customFormat="false" ht="12.75" hidden="false" customHeight="false" outlineLevel="0" collapsed="false">
      <c r="C10" s="0" t="s">
        <v>697</v>
      </c>
    </row>
    <row r="11" customFormat="false" ht="12.75" hidden="false" customHeight="false" outlineLevel="0" collapsed="false">
      <c r="C11" s="0" t="s">
        <v>698</v>
      </c>
    </row>
    <row r="12" customFormat="false" ht="12.75" hidden="false" customHeight="false" outlineLevel="0" collapsed="false">
      <c r="C12" s="0" t="s">
        <v>699</v>
      </c>
    </row>
    <row r="13" customFormat="false" ht="12.75" hidden="false" customHeight="false" outlineLevel="0" collapsed="false">
      <c r="C13" s="0" t="s">
        <v>700</v>
      </c>
    </row>
    <row r="14" customFormat="false" ht="12.75" hidden="false" customHeight="false" outlineLevel="0" collapsed="false">
      <c r="C14" s="0" t="s">
        <v>701</v>
      </c>
    </row>
    <row r="15" customFormat="false" ht="12.75" hidden="false" customHeight="false" outlineLevel="0" collapsed="false">
      <c r="C15" s="0" t="s">
        <v>702</v>
      </c>
    </row>
    <row r="16" customFormat="false" ht="12.75" hidden="false" customHeight="false" outlineLevel="0" collapsed="false">
      <c r="C16" s="0" t="s">
        <v>703</v>
      </c>
    </row>
    <row r="17" customFormat="false" ht="12.75" hidden="false" customHeight="false" outlineLevel="0" collapsed="false">
      <c r="C17" s="0" t="s">
        <v>704</v>
      </c>
    </row>
    <row r="18" customFormat="false" ht="12.75" hidden="false" customHeight="false" outlineLevel="0" collapsed="false">
      <c r="C18" s="0" t="s">
        <v>705</v>
      </c>
    </row>
    <row r="20" customFormat="false" ht="12.75" hidden="false" customHeight="false" outlineLevel="0" collapsed="false">
      <c r="C20" s="557" t="s">
        <v>706</v>
      </c>
    </row>
    <row r="21" customFormat="false" ht="12.75" hidden="false" customHeight="false" outlineLevel="0" collapsed="false">
      <c r="C21" s="557"/>
    </row>
    <row r="22" customFormat="false" ht="12.75" hidden="false" customHeight="false" outlineLevel="0" collapsed="false">
      <c r="C22" s="0" t="s">
        <v>707</v>
      </c>
    </row>
    <row r="23" customFormat="false" ht="12.75" hidden="false" customHeight="false" outlineLevel="0" collapsed="false">
      <c r="C23" s="0" t="s">
        <v>708</v>
      </c>
    </row>
    <row r="24" customFormat="false" ht="12.75" hidden="false" customHeight="false" outlineLevel="0" collapsed="false">
      <c r="C24" s="0" t="s">
        <v>709</v>
      </c>
    </row>
    <row r="26" customFormat="false" ht="12.75" hidden="false" customHeight="false" outlineLevel="0" collapsed="false">
      <c r="C26" s="557" t="s">
        <v>710</v>
      </c>
    </row>
    <row r="27" customFormat="false" ht="12.75" hidden="false" customHeight="false" outlineLevel="0" collapsed="false">
      <c r="C27" s="557"/>
    </row>
    <row r="28" customFormat="false" ht="12.75" hidden="false" customHeight="false" outlineLevel="0" collapsed="false">
      <c r="C28" s="0" t="s">
        <v>711</v>
      </c>
    </row>
    <row r="29" customFormat="false" ht="12.75" hidden="false" customHeight="false" outlineLevel="0" collapsed="false">
      <c r="C29" s="0" t="s">
        <v>712</v>
      </c>
    </row>
    <row r="31" customFormat="false" ht="12.75" hidden="false" customHeight="false" outlineLevel="0" collapsed="false">
      <c r="C31" s="53" t="s">
        <v>713</v>
      </c>
    </row>
    <row r="32" customFormat="false" ht="12.75" hidden="false" customHeight="false" outlineLevel="0" collapsed="false">
      <c r="C32" s="53"/>
    </row>
    <row r="33" customFormat="false" ht="12.75" hidden="false" customHeight="false" outlineLevel="0" collapsed="false">
      <c r="C33" s="0" t="s">
        <v>714</v>
      </c>
    </row>
    <row r="34" customFormat="false" ht="12.75" hidden="false" customHeight="false" outlineLevel="0" collapsed="false">
      <c r="C34" s="0" t="s">
        <v>715</v>
      </c>
    </row>
  </sheetData>
  <printOptions headings="false" gridLines="false" gridLinesSet="true" horizontalCentered="true" verticalCentered="false"/>
  <pageMargins left="0.747916666666667" right="0.747916666666667" top="1.75"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&amp;L&amp;"Arial,Bold"&amp;14Project Ice&amp;R&amp;"Arial,Bold"&amp;14&amp;A</oddHeader>
    <oddFooter>&amp;C&amp;8&amp;P&amp;R&amp;7o:/Corpdev/North America/Raul/Ammonia/&amp;F</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53"/>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30" activeCellId="0" sqref="A30"/>
    </sheetView>
  </sheetViews>
  <sheetFormatPr defaultColWidth="9.0546875" defaultRowHeight="12.75" customHeight="true" zeroHeight="false" outlineLevelRow="1" outlineLevelCol="0"/>
  <cols>
    <col collapsed="false" customWidth="true" hidden="false" outlineLevel="0" max="7" min="5" style="0" width="10.28"/>
    <col collapsed="false" customWidth="true" hidden="false" outlineLevel="0" max="8" min="8" style="0" width="12.85"/>
    <col collapsed="false" customWidth="true" hidden="false" outlineLevel="0" max="9" min="9" style="0" width="4.7"/>
    <col collapsed="false" customWidth="true" hidden="false" outlineLevel="0" max="10" min="10" style="0" width="4.41"/>
  </cols>
  <sheetData>
    <row r="1" customFormat="false" ht="15.75" hidden="false" customHeight="false" outlineLevel="0" collapsed="false">
      <c r="A1" s="558" t="s">
        <v>716</v>
      </c>
      <c r="B1" s="558"/>
      <c r="C1" s="558"/>
      <c r="D1" s="558"/>
      <c r="E1" s="558"/>
      <c r="F1" s="558"/>
      <c r="G1" s="558"/>
      <c r="H1" s="558"/>
      <c r="I1" s="558"/>
      <c r="J1" s="558"/>
      <c r="K1" s="558"/>
      <c r="L1" s="558"/>
      <c r="M1" s="558"/>
      <c r="N1" s="558"/>
      <c r="O1" s="558"/>
      <c r="P1" s="558"/>
      <c r="Q1" s="558"/>
      <c r="R1" s="558"/>
    </row>
    <row r="5" customFormat="false" ht="12.75" hidden="false" customHeight="false" outlineLevel="0" collapsed="false">
      <c r="E5" s="559" t="n">
        <v>1998</v>
      </c>
      <c r="F5" s="497" t="n">
        <v>1999</v>
      </c>
      <c r="G5" s="497" t="n">
        <v>2000</v>
      </c>
      <c r="H5" s="560" t="n">
        <v>2001</v>
      </c>
      <c r="O5" s="559" t="n">
        <v>1998</v>
      </c>
      <c r="P5" s="497" t="n">
        <v>1999</v>
      </c>
      <c r="Q5" s="497" t="n">
        <v>2000</v>
      </c>
      <c r="R5" s="560" t="n">
        <v>2001</v>
      </c>
    </row>
    <row r="7" customFormat="false" ht="12.75" hidden="false" customHeight="false" outlineLevel="0" collapsed="false">
      <c r="A7" s="53" t="s">
        <v>717</v>
      </c>
    </row>
    <row r="8" customFormat="false" ht="12.75" hidden="false" customHeight="false" outlineLevel="0" collapsed="false">
      <c r="A8" s="0" t="s">
        <v>718</v>
      </c>
      <c r="E8" s="67" t="n">
        <v>1810</v>
      </c>
      <c r="F8" s="67" t="n">
        <v>2023</v>
      </c>
      <c r="G8" s="67" t="n">
        <v>2758</v>
      </c>
      <c r="H8" s="67" t="n">
        <v>3657</v>
      </c>
      <c r="K8" s="53" t="s">
        <v>719</v>
      </c>
      <c r="O8" s="67"/>
      <c r="P8" s="67"/>
      <c r="Q8" s="67"/>
      <c r="R8" s="67"/>
    </row>
    <row r="9" customFormat="false" ht="12.75" hidden="false" customHeight="false" outlineLevel="0" collapsed="false">
      <c r="A9" s="0" t="s">
        <v>720</v>
      </c>
      <c r="E9" s="67" t="n">
        <v>1282</v>
      </c>
      <c r="F9" s="67" t="n">
        <v>1623</v>
      </c>
      <c r="G9" s="67" t="n">
        <v>2267</v>
      </c>
      <c r="H9" s="67" t="n">
        <v>2436</v>
      </c>
      <c r="K9" s="0" t="s">
        <v>721</v>
      </c>
      <c r="O9" s="67" t="n">
        <v>734</v>
      </c>
      <c r="P9" s="67" t="n">
        <v>1264</v>
      </c>
      <c r="Q9" s="67" t="n">
        <v>1173</v>
      </c>
      <c r="R9" s="67" t="s">
        <v>722</v>
      </c>
    </row>
    <row r="10" customFormat="false" ht="12.75" hidden="false" customHeight="false" outlineLevel="0" collapsed="false">
      <c r="A10" s="0" t="s">
        <v>723</v>
      </c>
      <c r="E10" s="67" t="n">
        <v>1172</v>
      </c>
      <c r="F10" s="67" t="n">
        <v>1446</v>
      </c>
      <c r="G10" s="67" t="n">
        <v>1814</v>
      </c>
      <c r="H10" s="67" t="n">
        <v>1657</v>
      </c>
      <c r="K10" s="0" t="s">
        <v>724</v>
      </c>
      <c r="O10" s="67" t="n">
        <v>28</v>
      </c>
      <c r="P10" s="67" t="n">
        <v>12</v>
      </c>
      <c r="Q10" s="67" t="n">
        <v>5</v>
      </c>
      <c r="R10" s="67" t="s">
        <v>722</v>
      </c>
    </row>
    <row r="11" customFormat="false" ht="12.75" hidden="false" customHeight="false" outlineLevel="0" collapsed="false">
      <c r="A11" s="0" t="s">
        <v>725</v>
      </c>
      <c r="E11" s="67" t="n">
        <v>290</v>
      </c>
      <c r="F11" s="67" t="n">
        <v>490</v>
      </c>
      <c r="G11" s="67" t="n">
        <v>1052</v>
      </c>
      <c r="H11" s="67" t="n">
        <v>1243</v>
      </c>
      <c r="K11" s="0" t="s">
        <v>726</v>
      </c>
      <c r="O11" s="67" t="n">
        <v>21</v>
      </c>
      <c r="P11" s="67" t="n">
        <v>13</v>
      </c>
      <c r="Q11" s="67" t="n">
        <v>55</v>
      </c>
      <c r="R11" s="67" t="s">
        <v>722</v>
      </c>
    </row>
    <row r="12" customFormat="false" ht="12.75" hidden="false" customHeight="false" outlineLevel="0" collapsed="false">
      <c r="A12" s="0" t="s">
        <v>727</v>
      </c>
      <c r="E12" s="67" t="n">
        <v>190</v>
      </c>
      <c r="F12" s="67" t="n">
        <v>647</v>
      </c>
      <c r="G12" s="67" t="n">
        <v>752</v>
      </c>
      <c r="H12" s="67" t="n">
        <v>1017</v>
      </c>
      <c r="K12" s="0" t="s">
        <v>728</v>
      </c>
      <c r="O12" s="67" t="n">
        <v>0</v>
      </c>
      <c r="P12" s="67" t="n">
        <v>0</v>
      </c>
      <c r="Q12" s="67" t="n">
        <v>22</v>
      </c>
      <c r="R12" s="67" t="s">
        <v>722</v>
      </c>
    </row>
    <row r="13" customFormat="false" ht="12.75" hidden="false" customHeight="false" outlineLevel="0" collapsed="false">
      <c r="A13" s="0" t="s">
        <v>729</v>
      </c>
      <c r="E13" s="67" t="n">
        <v>194</v>
      </c>
      <c r="F13" s="67" t="n">
        <v>407</v>
      </c>
      <c r="G13" s="67" t="n">
        <v>724</v>
      </c>
      <c r="H13" s="67" t="n">
        <v>1055</v>
      </c>
      <c r="K13" s="0" t="s">
        <v>730</v>
      </c>
      <c r="O13" s="67" t="n">
        <v>231</v>
      </c>
      <c r="P13" s="67" t="n">
        <v>119</v>
      </c>
      <c r="Q13" s="67" t="n">
        <v>0</v>
      </c>
      <c r="R13" s="67" t="s">
        <v>722</v>
      </c>
    </row>
    <row r="14" customFormat="false" ht="12.75" hidden="false" customHeight="false" outlineLevel="0" collapsed="false">
      <c r="A14" s="0" t="s">
        <v>731</v>
      </c>
      <c r="E14" s="67" t="n">
        <v>19</v>
      </c>
      <c r="F14" s="67" t="n">
        <v>421</v>
      </c>
      <c r="G14" s="67" t="n">
        <v>656</v>
      </c>
      <c r="H14" s="67" t="n">
        <v>649</v>
      </c>
      <c r="K14" s="0" t="s">
        <v>732</v>
      </c>
      <c r="O14" s="67" t="n">
        <v>8</v>
      </c>
      <c r="P14" s="67" t="n">
        <v>13</v>
      </c>
      <c r="Q14" s="67" t="n">
        <v>0</v>
      </c>
      <c r="R14" s="67" t="s">
        <v>722</v>
      </c>
    </row>
    <row r="15" customFormat="false" ht="12.75" hidden="false" customHeight="false" outlineLevel="0" collapsed="false">
      <c r="A15" s="0" t="s">
        <v>733</v>
      </c>
      <c r="E15" s="67" t="n">
        <v>79</v>
      </c>
      <c r="F15" s="67" t="n">
        <v>420</v>
      </c>
      <c r="G15" s="67" t="n">
        <v>583</v>
      </c>
      <c r="H15" s="67" t="n">
        <v>502</v>
      </c>
      <c r="K15" s="0" t="s">
        <v>734</v>
      </c>
      <c r="O15" s="67" t="n">
        <v>0</v>
      </c>
      <c r="P15" s="67" t="n">
        <v>0</v>
      </c>
      <c r="Q15" s="67" t="n">
        <v>0</v>
      </c>
      <c r="R15" s="67" t="s">
        <v>722</v>
      </c>
    </row>
    <row r="16" customFormat="false" ht="15" hidden="false" customHeight="false" outlineLevel="0" collapsed="false">
      <c r="A16" s="0" t="s">
        <v>735</v>
      </c>
      <c r="E16" s="67" t="n">
        <v>188</v>
      </c>
      <c r="F16" s="67" t="n">
        <v>303</v>
      </c>
      <c r="G16" s="67" t="n">
        <v>479</v>
      </c>
      <c r="H16" s="67" t="n">
        <v>474</v>
      </c>
      <c r="K16" s="0" t="s">
        <v>736</v>
      </c>
      <c r="O16" s="297" t="n">
        <v>0</v>
      </c>
      <c r="P16" s="297" t="n">
        <v>0</v>
      </c>
      <c r="Q16" s="297" t="n">
        <v>0</v>
      </c>
      <c r="R16" s="297" t="s">
        <v>722</v>
      </c>
    </row>
    <row r="17" customFormat="false" ht="12.75" hidden="false" customHeight="false" outlineLevel="0" collapsed="false">
      <c r="A17" s="0" t="s">
        <v>737</v>
      </c>
      <c r="E17" s="67" t="n">
        <v>0</v>
      </c>
      <c r="F17" s="67" t="n">
        <v>1</v>
      </c>
      <c r="G17" s="67" t="n">
        <v>219</v>
      </c>
      <c r="H17" s="67" t="n">
        <v>221</v>
      </c>
      <c r="K17" s="0" t="s">
        <v>738</v>
      </c>
      <c r="O17" s="67" t="n">
        <f aca="false">SUM(O9:O16)</f>
        <v>1022</v>
      </c>
      <c r="P17" s="67" t="n">
        <f aca="false">SUM(P9:P16)</f>
        <v>1421</v>
      </c>
      <c r="Q17" s="67" t="n">
        <f aca="false">SUM(Q9:Q16)</f>
        <v>1255</v>
      </c>
      <c r="R17" s="67" t="n">
        <v>1300</v>
      </c>
    </row>
    <row r="18" customFormat="false" ht="12.75" hidden="false" customHeight="false" outlineLevel="0" collapsed="false">
      <c r="A18" s="0" t="s">
        <v>739</v>
      </c>
      <c r="E18" s="67" t="n">
        <v>199</v>
      </c>
      <c r="F18" s="67" t="n">
        <v>116</v>
      </c>
      <c r="G18" s="67" t="n">
        <v>91</v>
      </c>
      <c r="H18" s="67" t="n">
        <v>200</v>
      </c>
      <c r="O18" s="67"/>
      <c r="P18" s="67"/>
      <c r="Q18" s="67"/>
      <c r="R18" s="67"/>
    </row>
    <row r="19" customFormat="false" ht="12.75" hidden="false" customHeight="false" outlineLevel="0" collapsed="false">
      <c r="A19" s="0" t="s">
        <v>740</v>
      </c>
      <c r="E19" s="67" t="n">
        <v>61</v>
      </c>
      <c r="F19" s="67" t="n">
        <v>4</v>
      </c>
      <c r="G19" s="67" t="n">
        <v>74</v>
      </c>
      <c r="H19" s="67" t="n">
        <v>117</v>
      </c>
      <c r="K19" s="53" t="s">
        <v>741</v>
      </c>
      <c r="O19" s="67"/>
      <c r="P19" s="67"/>
      <c r="Q19" s="67"/>
      <c r="R19" s="67"/>
    </row>
    <row r="20" customFormat="false" ht="12.75" hidden="false" customHeight="false" outlineLevel="0" collapsed="false">
      <c r="A20" s="0" t="s">
        <v>742</v>
      </c>
      <c r="E20" s="67" t="n">
        <v>92</v>
      </c>
      <c r="F20" s="67" t="n">
        <v>23</v>
      </c>
      <c r="G20" s="67" t="n">
        <v>66</v>
      </c>
      <c r="H20" s="67" t="n">
        <v>215</v>
      </c>
      <c r="K20" s="0" t="s">
        <v>743</v>
      </c>
      <c r="O20" s="67" t="n">
        <v>167</v>
      </c>
      <c r="P20" s="67" t="n">
        <v>172</v>
      </c>
      <c r="Q20" s="67" t="n">
        <v>237</v>
      </c>
      <c r="R20" s="67" t="n">
        <v>374</v>
      </c>
    </row>
    <row r="21" customFormat="false" ht="12.75" hidden="false" customHeight="false" outlineLevel="0" collapsed="false">
      <c r="A21" s="0" t="s">
        <v>744</v>
      </c>
      <c r="E21" s="67" t="n">
        <v>29</v>
      </c>
      <c r="F21" s="67" t="n">
        <v>70</v>
      </c>
      <c r="G21" s="67" t="n">
        <v>54</v>
      </c>
      <c r="H21" s="67" t="n">
        <v>0</v>
      </c>
      <c r="K21" s="0" t="s">
        <v>745</v>
      </c>
      <c r="O21" s="297" t="n">
        <v>93</v>
      </c>
      <c r="P21" s="297" t="n">
        <v>67</v>
      </c>
      <c r="Q21" s="297" t="n">
        <v>195</v>
      </c>
      <c r="R21" s="297" t="n">
        <v>0</v>
      </c>
    </row>
    <row r="22" customFormat="false" ht="12.75" hidden="false" customHeight="false" outlineLevel="0" collapsed="false">
      <c r="A22" s="0" t="s">
        <v>746</v>
      </c>
      <c r="E22" s="67" t="n">
        <v>0</v>
      </c>
      <c r="F22" s="67" t="n">
        <v>11</v>
      </c>
      <c r="G22" s="67" t="n">
        <v>50</v>
      </c>
      <c r="H22" s="67" t="n">
        <v>70</v>
      </c>
      <c r="K22" s="0" t="s">
        <v>738</v>
      </c>
      <c r="O22" s="67" t="n">
        <f aca="false">SUM(O18:O21)</f>
        <v>260</v>
      </c>
      <c r="P22" s="67" t="n">
        <f aca="false">SUM(P18:P21)</f>
        <v>239</v>
      </c>
      <c r="Q22" s="67" t="n">
        <f aca="false">SUM(Q18:Q21)</f>
        <v>432</v>
      </c>
      <c r="R22" s="67" t="n">
        <f aca="false">SUM(R18:R21)</f>
        <v>374</v>
      </c>
    </row>
    <row r="23" customFormat="false" ht="12.75" hidden="false" customHeight="false" outlineLevel="0" collapsed="false">
      <c r="A23" s="0" t="s">
        <v>747</v>
      </c>
      <c r="E23" s="67" t="n">
        <v>0</v>
      </c>
      <c r="F23" s="67" t="n">
        <v>0</v>
      </c>
      <c r="G23" s="67" t="n">
        <v>4</v>
      </c>
      <c r="H23" s="67" t="n">
        <v>0</v>
      </c>
      <c r="O23" s="67"/>
      <c r="P23" s="67"/>
      <c r="Q23" s="67"/>
      <c r="R23" s="67"/>
    </row>
    <row r="24" customFormat="false" ht="12.75" hidden="false" customHeight="false" outlineLevel="0" collapsed="false">
      <c r="A24" s="0" t="s">
        <v>748</v>
      </c>
      <c r="E24" s="67" t="n">
        <v>0</v>
      </c>
      <c r="F24" s="67" t="n">
        <v>28</v>
      </c>
      <c r="G24" s="67" t="n">
        <v>2</v>
      </c>
      <c r="H24" s="67" t="n">
        <v>34</v>
      </c>
      <c r="K24" s="53" t="s">
        <v>749</v>
      </c>
      <c r="O24" s="67"/>
      <c r="P24" s="67"/>
      <c r="Q24" s="67"/>
      <c r="R24" s="67"/>
    </row>
    <row r="25" customFormat="false" ht="12.75" hidden="false" customHeight="false" outlineLevel="0" collapsed="false">
      <c r="A25" s="0" t="s">
        <v>750</v>
      </c>
      <c r="E25" s="67" t="n">
        <v>62</v>
      </c>
      <c r="F25" s="67" t="n">
        <v>35</v>
      </c>
      <c r="G25" s="67" t="n">
        <v>1</v>
      </c>
      <c r="H25" s="67" t="n">
        <v>0</v>
      </c>
      <c r="K25" s="0" t="s">
        <v>721</v>
      </c>
      <c r="O25" s="67" t="n">
        <v>1224</v>
      </c>
      <c r="P25" s="67" t="n">
        <v>1214</v>
      </c>
      <c r="Q25" s="67" t="n">
        <v>62</v>
      </c>
      <c r="R25" s="67" t="s">
        <v>751</v>
      </c>
    </row>
    <row r="26" customFormat="false" ht="12.75" hidden="false" customHeight="false" outlineLevel="0" collapsed="false">
      <c r="A26" s="0" t="s">
        <v>752</v>
      </c>
      <c r="E26" s="67" t="n">
        <v>0</v>
      </c>
      <c r="F26" s="67" t="n">
        <v>0</v>
      </c>
      <c r="G26" s="67" t="n">
        <v>1</v>
      </c>
      <c r="H26" s="67" t="n">
        <v>0</v>
      </c>
      <c r="K26" s="0" t="s">
        <v>730</v>
      </c>
      <c r="O26" s="67" t="n">
        <v>107</v>
      </c>
      <c r="P26" s="67" t="n">
        <v>75</v>
      </c>
      <c r="Q26" s="67" t="n">
        <v>0</v>
      </c>
      <c r="R26" s="67" t="s">
        <v>751</v>
      </c>
    </row>
    <row r="27" customFormat="false" ht="12.75" hidden="false" customHeight="false" outlineLevel="0" collapsed="false">
      <c r="A27" s="0" t="s">
        <v>753</v>
      </c>
      <c r="E27" s="67" t="n">
        <v>26</v>
      </c>
      <c r="F27" s="67" t="n">
        <v>6</v>
      </c>
      <c r="G27" s="67" t="n">
        <v>0</v>
      </c>
      <c r="H27" s="67" t="n">
        <v>0</v>
      </c>
      <c r="K27" s="0" t="s">
        <v>734</v>
      </c>
      <c r="O27" s="67" t="n">
        <v>397</v>
      </c>
      <c r="P27" s="67" t="n">
        <v>282</v>
      </c>
      <c r="Q27" s="67" t="n">
        <v>0</v>
      </c>
      <c r="R27" s="67" t="s">
        <v>751</v>
      </c>
    </row>
    <row r="28" customFormat="false" ht="12.75" hidden="false" customHeight="false" outlineLevel="0" collapsed="false">
      <c r="A28" s="0" t="s">
        <v>754</v>
      </c>
      <c r="E28" s="67" t="n">
        <v>11</v>
      </c>
      <c r="F28" s="67" t="n">
        <v>0</v>
      </c>
      <c r="G28" s="67" t="n">
        <v>0</v>
      </c>
      <c r="H28" s="67" t="n">
        <v>10</v>
      </c>
      <c r="K28" s="0" t="s">
        <v>736</v>
      </c>
      <c r="O28" s="297" t="n">
        <v>106</v>
      </c>
      <c r="P28" s="297" t="n">
        <v>37</v>
      </c>
      <c r="Q28" s="297" t="n">
        <v>0</v>
      </c>
      <c r="R28" s="67" t="s">
        <v>751</v>
      </c>
    </row>
    <row r="29" customFormat="false" ht="12.75" hidden="false" customHeight="false" outlineLevel="0" collapsed="false">
      <c r="A29" s="0" t="s">
        <v>755</v>
      </c>
      <c r="E29" s="297" t="n">
        <v>0</v>
      </c>
      <c r="F29" s="297" t="n">
        <v>0</v>
      </c>
      <c r="G29" s="297" t="n">
        <v>0</v>
      </c>
      <c r="H29" s="297" t="n">
        <v>0</v>
      </c>
      <c r="K29" s="0" t="s">
        <v>738</v>
      </c>
      <c r="O29" s="67" t="n">
        <f aca="false">SUM(O25:O28)</f>
        <v>1834</v>
      </c>
      <c r="P29" s="67" t="n">
        <f aca="false">SUM(P25:P28)</f>
        <v>1608</v>
      </c>
      <c r="Q29" s="67" t="n">
        <f aca="false">SUM(Q25:Q28)</f>
        <v>62</v>
      </c>
      <c r="R29" s="67"/>
    </row>
    <row r="30" customFormat="false" ht="12.75" hidden="false" customHeight="false" outlineLevel="0" collapsed="false">
      <c r="A30" s="0" t="s">
        <v>738</v>
      </c>
      <c r="E30" s="67" t="n">
        <f aca="false">SUM(E8:E29)</f>
        <v>5704</v>
      </c>
      <c r="F30" s="67" t="n">
        <f aca="false">SUM(F8:F29)</f>
        <v>8074</v>
      </c>
      <c r="G30" s="67" t="n">
        <f aca="false">SUM(G8:G29)</f>
        <v>11647</v>
      </c>
      <c r="H30" s="67" t="n">
        <f aca="false">SUM(H8:H29)</f>
        <v>13557</v>
      </c>
      <c r="O30" s="67"/>
      <c r="P30" s="67"/>
      <c r="Q30" s="67"/>
      <c r="R30" s="67"/>
    </row>
    <row r="31" customFormat="false" ht="12.75" hidden="false" customHeight="false" outlineLevel="0" collapsed="false">
      <c r="E31" s="67"/>
      <c r="F31" s="67"/>
      <c r="G31" s="67"/>
      <c r="H31" s="67"/>
      <c r="K31" s="561" t="s">
        <v>756</v>
      </c>
      <c r="L31" s="497"/>
      <c r="M31" s="497"/>
      <c r="N31" s="497"/>
      <c r="O31" s="562" t="n">
        <f aca="false">+E30+E52+O17+O22+O29</f>
        <v>12330</v>
      </c>
      <c r="P31" s="562" t="n">
        <f aca="false">+F30+F52+P17+P22+P29</f>
        <v>14232</v>
      </c>
      <c r="Q31" s="562" t="n">
        <f aca="false">+G30+G52+Q17+Q22+Q29</f>
        <v>17237</v>
      </c>
      <c r="R31" s="563" t="n">
        <f aca="false">+H30+H52+R17+R22+R29</f>
        <v>19231</v>
      </c>
    </row>
    <row r="32" customFormat="false" ht="12.75" hidden="false" customHeight="false" outlineLevel="0" collapsed="false">
      <c r="A32" s="53" t="s">
        <v>757</v>
      </c>
      <c r="E32" s="67"/>
      <c r="F32" s="67"/>
      <c r="G32" s="67"/>
      <c r="H32" s="67"/>
      <c r="O32" s="67"/>
      <c r="P32" s="67"/>
      <c r="Q32" s="67"/>
      <c r="R32" s="67"/>
    </row>
    <row r="33" customFormat="false" ht="12.75" hidden="true" customHeight="false" outlineLevel="1" collapsed="false">
      <c r="A33" s="0" t="s">
        <v>758</v>
      </c>
      <c r="E33" s="67"/>
      <c r="F33" s="67"/>
      <c r="G33" s="67"/>
      <c r="H33" s="67"/>
    </row>
    <row r="34" customFormat="false" ht="12.75" hidden="true" customHeight="false" outlineLevel="1" collapsed="false">
      <c r="A34" s="0" t="s">
        <v>759</v>
      </c>
      <c r="E34" s="67"/>
      <c r="F34" s="67"/>
      <c r="G34" s="67"/>
      <c r="H34" s="67"/>
    </row>
    <row r="35" customFormat="false" ht="12.75" hidden="true" customHeight="false" outlineLevel="1" collapsed="false">
      <c r="A35" s="0" t="s">
        <v>760</v>
      </c>
      <c r="E35" s="67"/>
      <c r="F35" s="67"/>
      <c r="G35" s="67"/>
      <c r="H35" s="67"/>
    </row>
    <row r="36" customFormat="false" ht="12.75" hidden="true" customHeight="false" outlineLevel="1" collapsed="false">
      <c r="A36" s="0" t="s">
        <v>761</v>
      </c>
      <c r="E36" s="67"/>
      <c r="F36" s="67"/>
      <c r="G36" s="67"/>
      <c r="H36" s="67"/>
    </row>
    <row r="37" customFormat="false" ht="12.75" hidden="true" customHeight="false" outlineLevel="1" collapsed="false">
      <c r="A37" s="0" t="s">
        <v>762</v>
      </c>
      <c r="E37" s="67"/>
      <c r="F37" s="67"/>
      <c r="G37" s="67"/>
      <c r="H37" s="67"/>
    </row>
    <row r="38" customFormat="false" ht="12.75" hidden="true" customHeight="false" outlineLevel="1" collapsed="false">
      <c r="A38" s="0" t="s">
        <v>763</v>
      </c>
      <c r="E38" s="67"/>
      <c r="F38" s="67"/>
      <c r="G38" s="67"/>
      <c r="H38" s="67"/>
    </row>
    <row r="39" customFormat="false" ht="12.75" hidden="true" customHeight="false" outlineLevel="1" collapsed="false">
      <c r="A39" s="0" t="s">
        <v>764</v>
      </c>
      <c r="E39" s="67"/>
      <c r="F39" s="67"/>
      <c r="G39" s="67"/>
      <c r="H39" s="67"/>
    </row>
    <row r="40" customFormat="false" ht="12.75" hidden="true" customHeight="false" outlineLevel="1" collapsed="false">
      <c r="A40" s="0" t="s">
        <v>765</v>
      </c>
      <c r="E40" s="67"/>
      <c r="F40" s="67"/>
      <c r="G40" s="67"/>
      <c r="H40" s="67"/>
    </row>
    <row r="41" customFormat="false" ht="12.75" hidden="true" customHeight="false" outlineLevel="1" collapsed="false">
      <c r="A41" s="0" t="s">
        <v>766</v>
      </c>
      <c r="E41" s="67"/>
      <c r="F41" s="67"/>
      <c r="G41" s="67"/>
      <c r="H41" s="67"/>
    </row>
    <row r="42" customFormat="false" ht="12.75" hidden="true" customHeight="false" outlineLevel="1" collapsed="false">
      <c r="A42" s="0" t="s">
        <v>767</v>
      </c>
      <c r="E42" s="67"/>
      <c r="F42" s="67"/>
      <c r="G42" s="67"/>
      <c r="H42" s="67"/>
    </row>
    <row r="43" customFormat="false" ht="12.75" hidden="true" customHeight="false" outlineLevel="1" collapsed="false">
      <c r="A43" s="0" t="s">
        <v>768</v>
      </c>
      <c r="E43" s="67"/>
      <c r="F43" s="67"/>
      <c r="G43" s="67"/>
      <c r="H43" s="67"/>
    </row>
    <row r="44" customFormat="false" ht="12.75" hidden="true" customHeight="false" outlineLevel="1" collapsed="false">
      <c r="A44" s="0" t="s">
        <v>769</v>
      </c>
      <c r="E44" s="67"/>
      <c r="F44" s="67"/>
      <c r="G44" s="67"/>
      <c r="H44" s="67"/>
    </row>
    <row r="45" customFormat="false" ht="12.75" hidden="true" customHeight="false" outlineLevel="1" collapsed="false">
      <c r="A45" s="0" t="s">
        <v>770</v>
      </c>
      <c r="E45" s="67"/>
      <c r="F45" s="67"/>
      <c r="G45" s="67"/>
      <c r="H45" s="67"/>
    </row>
    <row r="46" customFormat="false" ht="12.75" hidden="true" customHeight="false" outlineLevel="1" collapsed="false">
      <c r="A46" s="0" t="s">
        <v>771</v>
      </c>
      <c r="E46" s="67"/>
      <c r="F46" s="67"/>
      <c r="G46" s="67"/>
      <c r="H46" s="67"/>
    </row>
    <row r="47" customFormat="false" ht="12.75" hidden="true" customHeight="false" outlineLevel="1" collapsed="false">
      <c r="A47" s="0" t="s">
        <v>772</v>
      </c>
      <c r="E47" s="67"/>
      <c r="F47" s="67"/>
      <c r="G47" s="67"/>
      <c r="H47" s="67"/>
    </row>
    <row r="48" customFormat="false" ht="12.75" hidden="true" customHeight="false" outlineLevel="1" collapsed="false">
      <c r="A48" s="0" t="s">
        <v>773</v>
      </c>
      <c r="E48" s="67"/>
      <c r="F48" s="67"/>
      <c r="G48" s="67"/>
      <c r="H48" s="67"/>
    </row>
    <row r="49" customFormat="false" ht="12.75" hidden="true" customHeight="false" outlineLevel="1" collapsed="false">
      <c r="A49" s="0" t="s">
        <v>774</v>
      </c>
      <c r="E49" s="67"/>
      <c r="F49" s="67"/>
      <c r="G49" s="67"/>
      <c r="H49" s="67"/>
    </row>
    <row r="50" customFormat="false" ht="12.75" hidden="true" customHeight="false" outlineLevel="1" collapsed="false">
      <c r="A50" s="0" t="s">
        <v>775</v>
      </c>
      <c r="E50" s="67"/>
      <c r="F50" s="67"/>
      <c r="G50" s="67"/>
      <c r="H50" s="67"/>
    </row>
    <row r="51" customFormat="false" ht="12.75" hidden="true" customHeight="false" outlineLevel="1" collapsed="false">
      <c r="A51" s="0" t="s">
        <v>776</v>
      </c>
      <c r="E51" s="297"/>
      <c r="F51" s="297"/>
      <c r="G51" s="297"/>
      <c r="H51" s="297"/>
    </row>
    <row r="52" customFormat="false" ht="12.75" hidden="false" customHeight="false" outlineLevel="0" collapsed="false">
      <c r="A52" s="0" t="s">
        <v>738</v>
      </c>
      <c r="E52" s="67" t="n">
        <v>3510</v>
      </c>
      <c r="F52" s="67" t="n">
        <v>2890</v>
      </c>
      <c r="G52" s="67" t="n">
        <v>3841</v>
      </c>
      <c r="H52" s="67" t="n">
        <v>4000</v>
      </c>
    </row>
    <row r="53" customFormat="false" ht="12.75" hidden="false" customHeight="false" outlineLevel="0" collapsed="false">
      <c r="E53" s="67"/>
      <c r="F53" s="67"/>
      <c r="G53" s="67"/>
      <c r="H53" s="67"/>
    </row>
  </sheetData>
  <mergeCells count="1">
    <mergeCell ref="A1:R1"/>
  </mergeCells>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5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30" activeCellId="0" sqref="A30"/>
    </sheetView>
  </sheetViews>
  <sheetFormatPr defaultColWidth="9.0546875" defaultRowHeight="12.75" customHeight="true" zeroHeight="false" outlineLevelRow="1" outlineLevelCol="0"/>
  <cols>
    <col collapsed="false" customWidth="true" hidden="false" outlineLevel="0" max="7" min="5" style="0" width="10.28"/>
    <col collapsed="false" customWidth="true" hidden="false" outlineLevel="0" max="8" min="8" style="0" width="12.85"/>
    <col collapsed="false" customWidth="true" hidden="false" outlineLevel="0" max="9" min="9" style="0" width="3.56"/>
    <col collapsed="false" customWidth="true" hidden="false" outlineLevel="0" max="10" min="10" style="0" width="1.41"/>
    <col collapsed="false" customWidth="true" hidden="false" outlineLevel="0" max="12" min="12" style="0" width="10.99"/>
    <col collapsed="false" customWidth="true" hidden="false" outlineLevel="0" max="13" min="13" style="0" width="6.13"/>
    <col collapsed="false" customWidth="true" hidden="false" outlineLevel="0" max="14" min="14" style="0" width="4.99"/>
    <col collapsed="false" customWidth="true" hidden="false" outlineLevel="0" max="18" min="15" style="0" width="12.28"/>
  </cols>
  <sheetData>
    <row r="1" customFormat="false" ht="15.75" hidden="false" customHeight="false" outlineLevel="0" collapsed="false">
      <c r="A1" s="558" t="s">
        <v>777</v>
      </c>
      <c r="B1" s="558"/>
      <c r="C1" s="558"/>
      <c r="D1" s="558"/>
      <c r="E1" s="558"/>
      <c r="F1" s="558"/>
      <c r="G1" s="558"/>
      <c r="H1" s="558"/>
      <c r="I1" s="558"/>
      <c r="J1" s="558"/>
      <c r="K1" s="558"/>
      <c r="L1" s="558"/>
      <c r="M1" s="558"/>
      <c r="N1" s="558"/>
      <c r="O1" s="558"/>
      <c r="P1" s="558"/>
      <c r="Q1" s="558"/>
      <c r="R1" s="558"/>
    </row>
    <row r="4" customFormat="false" ht="12.75" hidden="false" customHeight="false" outlineLevel="0" collapsed="false">
      <c r="E4" s="559" t="n">
        <v>1998</v>
      </c>
      <c r="F4" s="497" t="n">
        <v>1999</v>
      </c>
      <c r="G4" s="497" t="n">
        <v>2000</v>
      </c>
      <c r="H4" s="560" t="n">
        <v>2001</v>
      </c>
      <c r="O4" s="559" t="n">
        <v>1998</v>
      </c>
      <c r="P4" s="497" t="n">
        <v>1999</v>
      </c>
      <c r="Q4" s="497" t="n">
        <v>2000</v>
      </c>
      <c r="R4" s="560" t="n">
        <v>2001</v>
      </c>
    </row>
    <row r="6" customFormat="false" ht="12.75" hidden="false" customHeight="false" outlineLevel="0" collapsed="false">
      <c r="A6" s="53" t="s">
        <v>717</v>
      </c>
    </row>
    <row r="7" customFormat="false" ht="12.75" hidden="false" customHeight="false" outlineLevel="0" collapsed="false">
      <c r="A7" s="0" t="s">
        <v>718</v>
      </c>
      <c r="E7" s="123" t="n">
        <v>5039</v>
      </c>
      <c r="F7" s="123" t="n">
        <v>4368</v>
      </c>
      <c r="G7" s="123" t="n">
        <v>15437</v>
      </c>
      <c r="H7" s="86" t="s">
        <v>722</v>
      </c>
      <c r="K7" s="53" t="s">
        <v>719</v>
      </c>
      <c r="O7" s="67"/>
      <c r="P7" s="67"/>
      <c r="Q7" s="67"/>
      <c r="R7" s="67"/>
    </row>
    <row r="8" customFormat="false" ht="12.75" hidden="false" customHeight="false" outlineLevel="0" collapsed="false">
      <c r="A8" s="0" t="s">
        <v>720</v>
      </c>
      <c r="E8" s="123" t="n">
        <v>3752</v>
      </c>
      <c r="F8" s="123" t="n">
        <v>3242</v>
      </c>
      <c r="G8" s="123" t="n">
        <v>10300</v>
      </c>
      <c r="H8" s="123" t="n">
        <v>11150</v>
      </c>
      <c r="K8" s="0" t="s">
        <v>721</v>
      </c>
      <c r="O8" s="123" t="n">
        <v>1881</v>
      </c>
      <c r="P8" s="123" t="n">
        <v>5828</v>
      </c>
      <c r="Q8" s="123" t="n">
        <v>8401</v>
      </c>
      <c r="R8" s="123" t="s">
        <v>722</v>
      </c>
    </row>
    <row r="9" customFormat="false" ht="12.75" hidden="false" customHeight="false" outlineLevel="0" collapsed="false">
      <c r="A9" s="0" t="s">
        <v>723</v>
      </c>
      <c r="E9" s="123" t="n">
        <v>1874</v>
      </c>
      <c r="F9" s="123" t="n">
        <v>5378</v>
      </c>
      <c r="G9" s="123" t="n">
        <v>4053</v>
      </c>
      <c r="H9" s="86" t="s">
        <v>722</v>
      </c>
      <c r="K9" s="0" t="s">
        <v>724</v>
      </c>
      <c r="O9" s="123" t="n">
        <v>-4</v>
      </c>
      <c r="P9" s="123" t="n">
        <v>-33</v>
      </c>
      <c r="Q9" s="123" t="n">
        <v>-53</v>
      </c>
      <c r="R9" s="123" t="s">
        <v>722</v>
      </c>
    </row>
    <row r="10" customFormat="false" ht="12.75" hidden="false" customHeight="false" outlineLevel="0" collapsed="false">
      <c r="A10" s="0" t="s">
        <v>725</v>
      </c>
      <c r="E10" s="123" t="n">
        <v>738</v>
      </c>
      <c r="F10" s="123" t="n">
        <v>3520</v>
      </c>
      <c r="G10" s="123" t="n">
        <v>7813</v>
      </c>
      <c r="H10" s="86" t="s">
        <v>722</v>
      </c>
      <c r="K10" s="0" t="s">
        <v>726</v>
      </c>
      <c r="O10" s="123" t="n">
        <v>38</v>
      </c>
      <c r="P10" s="123" t="n">
        <v>56</v>
      </c>
      <c r="Q10" s="123" t="n">
        <v>748</v>
      </c>
      <c r="R10" s="123" t="s">
        <v>722</v>
      </c>
    </row>
    <row r="11" customFormat="false" ht="12.75" hidden="false" customHeight="false" outlineLevel="0" collapsed="false">
      <c r="A11" s="0" t="s">
        <v>727</v>
      </c>
      <c r="E11" s="123" t="n">
        <v>1059</v>
      </c>
      <c r="F11" s="123" t="n">
        <v>2625</v>
      </c>
      <c r="G11" s="123" t="n">
        <v>2671</v>
      </c>
      <c r="H11" s="86" t="s">
        <v>722</v>
      </c>
      <c r="K11" s="0" t="s">
        <v>728</v>
      </c>
      <c r="O11" s="123" t="n">
        <v>0</v>
      </c>
      <c r="P11" s="123" t="n">
        <v>0</v>
      </c>
      <c r="Q11" s="123" t="n">
        <v>312</v>
      </c>
      <c r="R11" s="123" t="s">
        <v>722</v>
      </c>
    </row>
    <row r="12" customFormat="false" ht="12.75" hidden="false" customHeight="false" outlineLevel="0" collapsed="false">
      <c r="A12" s="0" t="s">
        <v>729</v>
      </c>
      <c r="E12" s="123" t="n">
        <v>686</v>
      </c>
      <c r="F12" s="123" t="n">
        <v>1604</v>
      </c>
      <c r="G12" s="123" t="n">
        <v>6906</v>
      </c>
      <c r="H12" s="86" t="s">
        <v>722</v>
      </c>
      <c r="K12" s="0" t="s">
        <v>730</v>
      </c>
      <c r="O12" s="123" t="n">
        <v>886</v>
      </c>
      <c r="P12" s="123" t="n">
        <v>-78</v>
      </c>
      <c r="Q12" s="123" t="n">
        <v>0</v>
      </c>
      <c r="R12" s="123" t="s">
        <v>722</v>
      </c>
    </row>
    <row r="13" customFormat="false" ht="12.75" hidden="false" customHeight="false" outlineLevel="0" collapsed="false">
      <c r="A13" s="0" t="s">
        <v>731</v>
      </c>
      <c r="E13" s="123" t="n">
        <v>65</v>
      </c>
      <c r="F13" s="123" t="n">
        <v>869</v>
      </c>
      <c r="G13" s="123" t="n">
        <v>1686</v>
      </c>
      <c r="H13" s="86" t="s">
        <v>722</v>
      </c>
      <c r="K13" s="0" t="s">
        <v>732</v>
      </c>
      <c r="O13" s="123" t="n">
        <v>9</v>
      </c>
      <c r="P13" s="123" t="n">
        <v>22</v>
      </c>
      <c r="Q13" s="123" t="n">
        <v>0</v>
      </c>
      <c r="R13" s="123" t="s">
        <v>722</v>
      </c>
    </row>
    <row r="14" customFormat="false" ht="15" hidden="false" customHeight="false" outlineLevel="0" collapsed="false">
      <c r="A14" s="0" t="s">
        <v>733</v>
      </c>
      <c r="E14" s="123" t="n">
        <v>185</v>
      </c>
      <c r="F14" s="123" t="n">
        <v>575</v>
      </c>
      <c r="G14" s="123" t="n">
        <v>863</v>
      </c>
      <c r="H14" s="86" t="s">
        <v>722</v>
      </c>
      <c r="K14" s="0" t="s">
        <v>778</v>
      </c>
      <c r="O14" s="27" t="n">
        <v>52</v>
      </c>
      <c r="P14" s="27" t="n">
        <v>-351</v>
      </c>
      <c r="Q14" s="27" t="n">
        <v>-486</v>
      </c>
      <c r="R14" s="27" t="s">
        <v>722</v>
      </c>
    </row>
    <row r="15" customFormat="false" ht="12.75" hidden="false" customHeight="false" outlineLevel="0" collapsed="false">
      <c r="A15" s="0" t="s">
        <v>735</v>
      </c>
      <c r="E15" s="123" t="n">
        <v>6</v>
      </c>
      <c r="F15" s="123" t="n">
        <v>619</v>
      </c>
      <c r="G15" s="123" t="n">
        <v>881</v>
      </c>
      <c r="H15" s="86" t="s">
        <v>722</v>
      </c>
      <c r="K15" s="0" t="s">
        <v>738</v>
      </c>
      <c r="O15" s="123" t="n">
        <f aca="false">SUM(O8:O14)</f>
        <v>2862</v>
      </c>
      <c r="P15" s="123" t="n">
        <f aca="false">SUM(P8:P14)</f>
        <v>5444</v>
      </c>
      <c r="Q15" s="123" t="n">
        <f aca="false">SUM(Q8:Q14)</f>
        <v>8922</v>
      </c>
      <c r="R15" s="123" t="n">
        <v>9000</v>
      </c>
    </row>
    <row r="16" customFormat="false" ht="12.75" hidden="false" customHeight="false" outlineLevel="0" collapsed="false">
      <c r="A16" s="0" t="s">
        <v>737</v>
      </c>
      <c r="E16" s="123" t="n">
        <v>0</v>
      </c>
      <c r="F16" s="123" t="n">
        <v>4</v>
      </c>
      <c r="G16" s="123" t="n">
        <v>300</v>
      </c>
      <c r="H16" s="86" t="s">
        <v>722</v>
      </c>
      <c r="O16" s="123"/>
      <c r="P16" s="123"/>
      <c r="Q16" s="123"/>
      <c r="R16" s="123"/>
    </row>
    <row r="17" customFormat="false" ht="12.75" hidden="false" customHeight="false" outlineLevel="0" collapsed="false">
      <c r="A17" s="0" t="s">
        <v>739</v>
      </c>
      <c r="E17" s="123" t="n">
        <v>619</v>
      </c>
      <c r="F17" s="123" t="n">
        <v>266</v>
      </c>
      <c r="G17" s="123" t="n">
        <v>159</v>
      </c>
      <c r="H17" s="86" t="s">
        <v>722</v>
      </c>
      <c r="K17" s="53" t="s">
        <v>741</v>
      </c>
      <c r="O17" s="123"/>
      <c r="P17" s="123"/>
      <c r="Q17" s="123"/>
      <c r="R17" s="123"/>
    </row>
    <row r="18" customFormat="false" ht="12.75" hidden="false" customHeight="false" outlineLevel="0" collapsed="false">
      <c r="A18" s="0" t="s">
        <v>779</v>
      </c>
      <c r="E18" s="123" t="n">
        <v>1333</v>
      </c>
      <c r="F18" s="123" t="n">
        <v>232</v>
      </c>
      <c r="G18" s="123" t="n">
        <v>0</v>
      </c>
      <c r="H18" s="86" t="s">
        <v>722</v>
      </c>
      <c r="K18" s="0" t="s">
        <v>743</v>
      </c>
      <c r="O18" s="123" t="n">
        <v>3909</v>
      </c>
      <c r="P18" s="123" t="n">
        <v>5488</v>
      </c>
      <c r="Q18" s="123" t="n">
        <v>6199</v>
      </c>
      <c r="R18" s="123" t="n">
        <v>9364</v>
      </c>
    </row>
    <row r="19" customFormat="false" ht="12.75" hidden="false" customHeight="false" outlineLevel="0" collapsed="false">
      <c r="A19" s="0" t="s">
        <v>740</v>
      </c>
      <c r="E19" s="123" t="n">
        <v>203</v>
      </c>
      <c r="F19" s="123" t="n">
        <v>-37</v>
      </c>
      <c r="G19" s="123" t="n">
        <v>306</v>
      </c>
      <c r="H19" s="86" t="s">
        <v>722</v>
      </c>
      <c r="K19" s="0" t="s">
        <v>745</v>
      </c>
      <c r="O19" s="27" t="n">
        <v>2000</v>
      </c>
      <c r="P19" s="27" t="n">
        <v>703</v>
      </c>
      <c r="Q19" s="27" t="n">
        <v>1309</v>
      </c>
      <c r="R19" s="27" t="n">
        <v>0</v>
      </c>
    </row>
    <row r="20" customFormat="false" ht="12.75" hidden="false" customHeight="false" outlineLevel="0" collapsed="false">
      <c r="A20" s="0" t="s">
        <v>742</v>
      </c>
      <c r="E20" s="123" t="n">
        <v>21</v>
      </c>
      <c r="F20" s="123" t="n">
        <v>64</v>
      </c>
      <c r="G20" s="123" t="n">
        <v>282</v>
      </c>
      <c r="H20" s="86" t="s">
        <v>722</v>
      </c>
      <c r="K20" s="0" t="s">
        <v>738</v>
      </c>
      <c r="O20" s="123" t="n">
        <f aca="false">SUM(O16:O19)</f>
        <v>5909</v>
      </c>
      <c r="P20" s="123" t="n">
        <f aca="false">SUM(P16:P19)</f>
        <v>6191</v>
      </c>
      <c r="Q20" s="123" t="n">
        <f aca="false">SUM(Q16:Q19)</f>
        <v>7508</v>
      </c>
      <c r="R20" s="123" t="n">
        <f aca="false">SUM(R16:R19)</f>
        <v>9364</v>
      </c>
    </row>
    <row r="21" customFormat="false" ht="12.75" hidden="false" customHeight="false" outlineLevel="0" collapsed="false">
      <c r="A21" s="0" t="s">
        <v>744</v>
      </c>
      <c r="E21" s="123" t="n">
        <v>76</v>
      </c>
      <c r="F21" s="123" t="n">
        <v>42</v>
      </c>
      <c r="G21" s="123" t="n">
        <v>38</v>
      </c>
      <c r="H21" s="86" t="s">
        <v>722</v>
      </c>
      <c r="O21" s="123"/>
      <c r="P21" s="123"/>
      <c r="Q21" s="123"/>
      <c r="R21" s="123"/>
    </row>
    <row r="22" customFormat="false" ht="12.75" hidden="false" customHeight="false" outlineLevel="0" collapsed="false">
      <c r="A22" s="0" t="s">
        <v>746</v>
      </c>
      <c r="E22" s="123" t="n">
        <v>0</v>
      </c>
      <c r="F22" s="123" t="n">
        <v>134</v>
      </c>
      <c r="G22" s="123" t="n">
        <v>992</v>
      </c>
      <c r="H22" s="86" t="s">
        <v>722</v>
      </c>
      <c r="K22" s="53" t="s">
        <v>749</v>
      </c>
      <c r="O22" s="123"/>
      <c r="P22" s="123"/>
      <c r="Q22" s="123"/>
      <c r="R22" s="123"/>
    </row>
    <row r="23" customFormat="false" ht="12.75" hidden="false" customHeight="false" outlineLevel="0" collapsed="false">
      <c r="A23" s="0" t="s">
        <v>747</v>
      </c>
      <c r="E23" s="123" t="n">
        <v>0</v>
      </c>
      <c r="F23" s="123" t="n">
        <v>2</v>
      </c>
      <c r="G23" s="123" t="n">
        <v>30</v>
      </c>
      <c r="H23" s="86" t="s">
        <v>722</v>
      </c>
      <c r="K23" s="0" t="s">
        <v>721</v>
      </c>
      <c r="O23" s="123" t="n">
        <v>2685</v>
      </c>
      <c r="P23" s="123" t="n">
        <v>118</v>
      </c>
      <c r="Q23" s="123" t="n">
        <v>642</v>
      </c>
      <c r="R23" s="123" t="s">
        <v>751</v>
      </c>
    </row>
    <row r="24" customFormat="false" ht="12.75" hidden="false" customHeight="false" outlineLevel="0" collapsed="false">
      <c r="A24" s="0" t="s">
        <v>748</v>
      </c>
      <c r="E24" s="123" t="n">
        <v>0</v>
      </c>
      <c r="F24" s="123" t="n">
        <v>144</v>
      </c>
      <c r="G24" s="123" t="n">
        <v>24</v>
      </c>
      <c r="H24" s="86" t="s">
        <v>722</v>
      </c>
      <c r="K24" s="0" t="s">
        <v>730</v>
      </c>
      <c r="O24" s="123" t="n">
        <v>454</v>
      </c>
      <c r="P24" s="123" t="n">
        <v>-1248</v>
      </c>
      <c r="Q24" s="123" t="n">
        <v>0</v>
      </c>
      <c r="R24" s="123" t="s">
        <v>751</v>
      </c>
    </row>
    <row r="25" customFormat="false" ht="12.75" hidden="false" customHeight="false" outlineLevel="0" collapsed="false">
      <c r="A25" s="0" t="s">
        <v>750</v>
      </c>
      <c r="E25" s="123" t="n">
        <v>393</v>
      </c>
      <c r="F25" s="123" t="n">
        <v>302</v>
      </c>
      <c r="G25" s="123" t="n">
        <v>-3</v>
      </c>
      <c r="H25" s="86" t="s">
        <v>722</v>
      </c>
      <c r="K25" s="0" t="s">
        <v>734</v>
      </c>
      <c r="O25" s="123" t="n">
        <v>-465</v>
      </c>
      <c r="P25" s="123" t="n">
        <v>1412</v>
      </c>
      <c r="Q25" s="123" t="n">
        <v>0</v>
      </c>
      <c r="R25" s="123" t="s">
        <v>751</v>
      </c>
    </row>
    <row r="26" customFormat="false" ht="12.75" hidden="false" customHeight="false" outlineLevel="0" collapsed="false">
      <c r="A26" s="0" t="s">
        <v>752</v>
      </c>
      <c r="E26" s="123" t="n">
        <v>0</v>
      </c>
      <c r="F26" s="123" t="n">
        <v>0</v>
      </c>
      <c r="G26" s="123" t="n">
        <v>6</v>
      </c>
      <c r="H26" s="86" t="s">
        <v>722</v>
      </c>
      <c r="K26" s="0" t="s">
        <v>736</v>
      </c>
      <c r="O26" s="26" t="n">
        <v>236</v>
      </c>
      <c r="P26" s="26" t="n">
        <v>-139</v>
      </c>
      <c r="Q26" s="26" t="n">
        <v>0</v>
      </c>
      <c r="R26" s="26" t="s">
        <v>751</v>
      </c>
    </row>
    <row r="27" customFormat="false" ht="12.75" hidden="false" customHeight="false" outlineLevel="0" collapsed="false">
      <c r="A27" s="0" t="s">
        <v>753</v>
      </c>
      <c r="E27" s="123" t="n">
        <v>428</v>
      </c>
      <c r="F27" s="123" t="n">
        <v>133</v>
      </c>
      <c r="G27" s="123" t="n">
        <v>0</v>
      </c>
      <c r="H27" s="86" t="s">
        <v>722</v>
      </c>
      <c r="K27" s="0" t="s">
        <v>780</v>
      </c>
      <c r="O27" s="123" t="n">
        <v>810</v>
      </c>
      <c r="P27" s="26" t="n">
        <v>26</v>
      </c>
      <c r="Q27" s="26" t="n">
        <v>0</v>
      </c>
      <c r="R27" s="26" t="s">
        <v>751</v>
      </c>
    </row>
    <row r="28" customFormat="false" ht="15" hidden="false" customHeight="false" outlineLevel="0" collapsed="false">
      <c r="A28" s="0" t="s">
        <v>754</v>
      </c>
      <c r="E28" s="123" t="n">
        <v>17</v>
      </c>
      <c r="F28" s="123" t="n">
        <v>0</v>
      </c>
      <c r="G28" s="123" t="n">
        <v>7</v>
      </c>
      <c r="H28" s="86" t="s">
        <v>722</v>
      </c>
      <c r="K28" s="0" t="s">
        <v>781</v>
      </c>
      <c r="O28" s="27" t="n">
        <v>1170</v>
      </c>
      <c r="P28" s="27" t="n">
        <v>407</v>
      </c>
      <c r="Q28" s="27" t="n">
        <v>61</v>
      </c>
      <c r="R28" s="26" t="s">
        <v>751</v>
      </c>
    </row>
    <row r="29" customFormat="false" ht="12.75" hidden="false" customHeight="false" outlineLevel="0" collapsed="false">
      <c r="A29" s="0" t="s">
        <v>755</v>
      </c>
      <c r="E29" s="26" t="n">
        <v>0</v>
      </c>
      <c r="F29" s="26" t="n">
        <v>0</v>
      </c>
      <c r="G29" s="26" t="n">
        <v>0</v>
      </c>
      <c r="H29" s="86" t="s">
        <v>722</v>
      </c>
      <c r="K29" s="0" t="s">
        <v>738</v>
      </c>
      <c r="O29" s="123" t="n">
        <f aca="false">SUM(O23:O28)</f>
        <v>4890</v>
      </c>
      <c r="P29" s="123" t="n">
        <f aca="false">SUM(P23:P28)</f>
        <v>576</v>
      </c>
      <c r="Q29" s="123" t="n">
        <f aca="false">SUM(Q23:Q28)</f>
        <v>703</v>
      </c>
      <c r="R29" s="123" t="n">
        <v>0</v>
      </c>
    </row>
    <row r="30" customFormat="false" ht="15" hidden="false" customHeight="false" outlineLevel="0" collapsed="false">
      <c r="A30" s="0" t="s">
        <v>778</v>
      </c>
      <c r="E30" s="27" t="n">
        <v>6855</v>
      </c>
      <c r="F30" s="27" t="n">
        <v>4625</v>
      </c>
      <c r="G30" s="27" t="n">
        <v>-990</v>
      </c>
      <c r="H30" s="564" t="s">
        <v>722</v>
      </c>
      <c r="O30" s="123"/>
      <c r="P30" s="123"/>
      <c r="Q30" s="123"/>
      <c r="R30" s="123"/>
    </row>
    <row r="31" customFormat="false" ht="12.75" hidden="false" customHeight="false" outlineLevel="0" collapsed="false">
      <c r="A31" s="0" t="s">
        <v>738</v>
      </c>
      <c r="E31" s="123" t="n">
        <f aca="false">SUM(E7:E30)</f>
        <v>23349</v>
      </c>
      <c r="F31" s="123" t="n">
        <f aca="false">SUM(F7:F30)</f>
        <v>28711</v>
      </c>
      <c r="G31" s="123" t="n">
        <f aca="false">SUM(G7:G30)</f>
        <v>51761</v>
      </c>
      <c r="H31" s="123" t="n">
        <v>66755</v>
      </c>
      <c r="K31" s="0" t="s">
        <v>782</v>
      </c>
      <c r="O31" s="123" t="n">
        <v>6131</v>
      </c>
      <c r="P31" s="123" t="n">
        <v>7547</v>
      </c>
      <c r="Q31" s="123" t="n">
        <v>14102</v>
      </c>
      <c r="R31" s="123" t="n">
        <v>15752</v>
      </c>
    </row>
    <row r="32" customFormat="false" ht="12.75" hidden="false" customHeight="false" outlineLevel="0" collapsed="false">
      <c r="E32" s="123"/>
      <c r="F32" s="123"/>
      <c r="G32" s="123"/>
      <c r="H32" s="123"/>
      <c r="O32" s="123"/>
      <c r="P32" s="123"/>
      <c r="Q32" s="123"/>
      <c r="R32" s="123"/>
    </row>
    <row r="33" customFormat="false" ht="12.75" hidden="false" customHeight="false" outlineLevel="0" collapsed="false">
      <c r="A33" s="53" t="s">
        <v>757</v>
      </c>
      <c r="E33" s="123"/>
      <c r="F33" s="123"/>
      <c r="G33" s="123"/>
      <c r="H33" s="123"/>
      <c r="K33" s="561" t="s">
        <v>756</v>
      </c>
      <c r="L33" s="497"/>
      <c r="M33" s="497"/>
      <c r="N33" s="497"/>
      <c r="O33" s="565" t="n">
        <f aca="false">+E31+E53+O15+O20+O29+O31</f>
        <v>46299</v>
      </c>
      <c r="P33" s="565" t="n">
        <f aca="false">+F31+F53+P15+P20+P29+P31</f>
        <v>61860</v>
      </c>
      <c r="Q33" s="565" t="n">
        <f aca="false">+G31+G53+Q15+Q20+Q29+Q31</f>
        <v>94611</v>
      </c>
      <c r="R33" s="565" t="n">
        <f aca="false">+H31+H53+R15+R20+R29+R31</f>
        <v>114871</v>
      </c>
    </row>
    <row r="34" customFormat="false" ht="12.75" hidden="true" customHeight="false" outlineLevel="1" collapsed="false">
      <c r="A34" s="0" t="s">
        <v>758</v>
      </c>
      <c r="E34" s="123"/>
      <c r="F34" s="123"/>
      <c r="G34" s="123"/>
      <c r="H34" s="123"/>
      <c r="O34" s="67"/>
      <c r="P34" s="67"/>
      <c r="Q34" s="67"/>
      <c r="R34" s="67"/>
    </row>
    <row r="35" customFormat="false" ht="12.75" hidden="true" customHeight="false" outlineLevel="1" collapsed="false">
      <c r="A35" s="0" t="s">
        <v>759</v>
      </c>
      <c r="E35" s="123"/>
      <c r="F35" s="123"/>
      <c r="G35" s="123"/>
      <c r="H35" s="123"/>
    </row>
    <row r="36" customFormat="false" ht="12.75" hidden="true" customHeight="false" outlineLevel="1" collapsed="false">
      <c r="A36" s="0" t="s">
        <v>760</v>
      </c>
      <c r="E36" s="123"/>
      <c r="F36" s="123"/>
      <c r="G36" s="123"/>
      <c r="H36" s="123"/>
    </row>
    <row r="37" customFormat="false" ht="12.75" hidden="true" customHeight="false" outlineLevel="1" collapsed="false">
      <c r="A37" s="0" t="s">
        <v>761</v>
      </c>
      <c r="E37" s="123"/>
      <c r="F37" s="123"/>
      <c r="G37" s="123"/>
      <c r="H37" s="123"/>
    </row>
    <row r="38" customFormat="false" ht="12.75" hidden="true" customHeight="false" outlineLevel="1" collapsed="false">
      <c r="A38" s="0" t="s">
        <v>762</v>
      </c>
      <c r="E38" s="123"/>
      <c r="F38" s="123"/>
      <c r="G38" s="123"/>
      <c r="H38" s="123"/>
    </row>
    <row r="39" customFormat="false" ht="12.75" hidden="true" customHeight="false" outlineLevel="1" collapsed="false">
      <c r="A39" s="0" t="s">
        <v>763</v>
      </c>
      <c r="E39" s="123"/>
      <c r="F39" s="123"/>
      <c r="G39" s="123"/>
      <c r="H39" s="123"/>
    </row>
    <row r="40" customFormat="false" ht="12.75" hidden="true" customHeight="false" outlineLevel="1" collapsed="false">
      <c r="A40" s="0" t="s">
        <v>764</v>
      </c>
      <c r="E40" s="123"/>
      <c r="F40" s="123"/>
      <c r="G40" s="123"/>
      <c r="H40" s="123"/>
    </row>
    <row r="41" customFormat="false" ht="12.75" hidden="true" customHeight="false" outlineLevel="1" collapsed="false">
      <c r="A41" s="0" t="s">
        <v>765</v>
      </c>
      <c r="E41" s="123"/>
      <c r="F41" s="123"/>
      <c r="G41" s="123"/>
      <c r="H41" s="123"/>
    </row>
    <row r="42" customFormat="false" ht="12.75" hidden="true" customHeight="false" outlineLevel="1" collapsed="false">
      <c r="A42" s="0" t="s">
        <v>766</v>
      </c>
      <c r="E42" s="123"/>
      <c r="F42" s="123"/>
      <c r="G42" s="123"/>
      <c r="H42" s="123"/>
    </row>
    <row r="43" customFormat="false" ht="12.75" hidden="true" customHeight="false" outlineLevel="1" collapsed="false">
      <c r="A43" s="0" t="s">
        <v>767</v>
      </c>
      <c r="E43" s="123"/>
      <c r="F43" s="123"/>
      <c r="G43" s="123"/>
      <c r="H43" s="123"/>
    </row>
    <row r="44" customFormat="false" ht="12.75" hidden="true" customHeight="false" outlineLevel="1" collapsed="false">
      <c r="A44" s="0" t="s">
        <v>768</v>
      </c>
      <c r="E44" s="123"/>
      <c r="F44" s="123"/>
      <c r="G44" s="123"/>
      <c r="H44" s="123"/>
    </row>
    <row r="45" customFormat="false" ht="12.75" hidden="true" customHeight="false" outlineLevel="1" collapsed="false">
      <c r="A45" s="0" t="s">
        <v>769</v>
      </c>
      <c r="E45" s="123"/>
      <c r="F45" s="123"/>
      <c r="G45" s="123"/>
      <c r="H45" s="123"/>
    </row>
    <row r="46" customFormat="false" ht="12.75" hidden="true" customHeight="false" outlineLevel="1" collapsed="false">
      <c r="A46" s="0" t="s">
        <v>770</v>
      </c>
      <c r="E46" s="123"/>
      <c r="F46" s="123"/>
      <c r="G46" s="123"/>
      <c r="H46" s="123"/>
    </row>
    <row r="47" customFormat="false" ht="12.75" hidden="true" customHeight="false" outlineLevel="1" collapsed="false">
      <c r="A47" s="0" t="s">
        <v>771</v>
      </c>
      <c r="E47" s="123"/>
      <c r="F47" s="123"/>
      <c r="G47" s="123"/>
      <c r="H47" s="123"/>
    </row>
    <row r="48" customFormat="false" ht="12.75" hidden="true" customHeight="false" outlineLevel="1" collapsed="false">
      <c r="A48" s="0" t="s">
        <v>772</v>
      </c>
      <c r="E48" s="123"/>
      <c r="F48" s="123"/>
      <c r="G48" s="123"/>
      <c r="H48" s="123"/>
    </row>
    <row r="49" customFormat="false" ht="12.75" hidden="true" customHeight="false" outlineLevel="1" collapsed="false">
      <c r="A49" s="0" t="s">
        <v>773</v>
      </c>
      <c r="E49" s="123"/>
      <c r="F49" s="123"/>
      <c r="G49" s="123"/>
      <c r="H49" s="123"/>
    </row>
    <row r="50" customFormat="false" ht="12.75" hidden="true" customHeight="false" outlineLevel="1" collapsed="false">
      <c r="A50" s="0" t="s">
        <v>774</v>
      </c>
      <c r="E50" s="123"/>
      <c r="F50" s="123"/>
      <c r="G50" s="123"/>
      <c r="H50" s="123"/>
    </row>
    <row r="51" customFormat="false" ht="12.75" hidden="true" customHeight="false" outlineLevel="1" collapsed="false">
      <c r="A51" s="0" t="s">
        <v>775</v>
      </c>
      <c r="E51" s="123"/>
      <c r="F51" s="123"/>
      <c r="G51" s="123"/>
      <c r="H51" s="123"/>
    </row>
    <row r="52" customFormat="false" ht="12.75" hidden="true" customHeight="false" outlineLevel="1" collapsed="false">
      <c r="A52" s="0" t="s">
        <v>776</v>
      </c>
      <c r="E52" s="27"/>
      <c r="F52" s="27"/>
      <c r="G52" s="27"/>
      <c r="H52" s="27"/>
    </row>
    <row r="53" customFormat="false" ht="12.75" hidden="false" customHeight="false" outlineLevel="0" collapsed="false">
      <c r="A53" s="0" t="s">
        <v>738</v>
      </c>
      <c r="E53" s="123" t="n">
        <v>3158</v>
      </c>
      <c r="F53" s="123" t="n">
        <v>13391</v>
      </c>
      <c r="G53" s="123" t="n">
        <v>11615</v>
      </c>
      <c r="H53" s="123" t="n">
        <v>14000</v>
      </c>
    </row>
    <row r="54" customFormat="false" ht="12.75" hidden="false" customHeight="false" outlineLevel="0" collapsed="false">
      <c r="E54" s="67"/>
      <c r="F54" s="67"/>
      <c r="G54" s="67"/>
      <c r="H54" s="67"/>
    </row>
    <row r="55" customFormat="false" ht="12.75" hidden="false" customHeight="false" outlineLevel="0" collapsed="false">
      <c r="L55" s="499"/>
      <c r="O55" s="499"/>
      <c r="P55" s="499"/>
      <c r="Q55" s="499"/>
    </row>
    <row r="56" customFormat="false" ht="12.75" hidden="false" customHeight="false" outlineLevel="0" collapsed="false">
      <c r="L56" s="499"/>
      <c r="M56" s="499"/>
      <c r="O56" s="499"/>
      <c r="P56" s="499"/>
      <c r="Q56" s="499"/>
    </row>
    <row r="57" customFormat="false" ht="12.75" hidden="false" customHeight="false" outlineLevel="0" collapsed="false">
      <c r="L57" s="123"/>
    </row>
  </sheetData>
  <mergeCells count="1">
    <mergeCell ref="A1:R1"/>
  </mergeCells>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54"/>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30" activeCellId="0" sqref="A30"/>
    </sheetView>
  </sheetViews>
  <sheetFormatPr defaultColWidth="9.0546875" defaultRowHeight="12.75" customHeight="true" zeroHeight="false" outlineLevelRow="1" outlineLevelCol="0"/>
  <cols>
    <col collapsed="false" customWidth="true" hidden="false" outlineLevel="0" max="7" min="5" style="0" width="10.28"/>
    <col collapsed="false" customWidth="true" hidden="false" outlineLevel="0" max="8" min="8" style="0" width="12.85"/>
    <col collapsed="false" customWidth="true" hidden="false" outlineLevel="0" max="9" min="9" style="0" width="3.56"/>
    <col collapsed="false" customWidth="true" hidden="false" outlineLevel="0" max="10" min="10" style="0" width="1.41"/>
    <col collapsed="false" customWidth="true" hidden="false" outlineLevel="0" max="13" min="13" style="0" width="6.13"/>
    <col collapsed="false" customWidth="true" hidden="false" outlineLevel="0" max="14" min="14" style="0" width="4.99"/>
    <col collapsed="false" customWidth="true" hidden="false" outlineLevel="0" max="18" min="15" style="0" width="12.28"/>
  </cols>
  <sheetData>
    <row r="1" customFormat="false" ht="15.75" hidden="false" customHeight="false" outlineLevel="0" collapsed="false">
      <c r="A1" s="558" t="s">
        <v>783</v>
      </c>
      <c r="B1" s="558"/>
      <c r="C1" s="558"/>
      <c r="D1" s="558"/>
      <c r="E1" s="558"/>
      <c r="F1" s="558"/>
      <c r="G1" s="558"/>
      <c r="H1" s="558"/>
      <c r="I1" s="558"/>
      <c r="J1" s="558"/>
      <c r="K1" s="558"/>
      <c r="L1" s="558"/>
      <c r="M1" s="558"/>
      <c r="N1" s="558"/>
      <c r="O1" s="558"/>
      <c r="P1" s="558"/>
      <c r="Q1" s="558"/>
      <c r="R1" s="558"/>
    </row>
    <row r="4" customFormat="false" ht="12.75" hidden="false" customHeight="false" outlineLevel="0" collapsed="false">
      <c r="E4" s="559" t="n">
        <v>1998</v>
      </c>
      <c r="F4" s="497" t="n">
        <v>1999</v>
      </c>
      <c r="G4" s="497" t="n">
        <v>2000</v>
      </c>
      <c r="H4" s="560" t="n">
        <v>2001</v>
      </c>
      <c r="O4" s="559" t="n">
        <v>1998</v>
      </c>
      <c r="P4" s="497" t="n">
        <v>1999</v>
      </c>
      <c r="Q4" s="497" t="n">
        <v>2000</v>
      </c>
      <c r="R4" s="560" t="n">
        <v>2001</v>
      </c>
    </row>
    <row r="6" customFormat="false" ht="12.75" hidden="false" customHeight="false" outlineLevel="0" collapsed="false">
      <c r="A6" s="53" t="s">
        <v>717</v>
      </c>
    </row>
    <row r="7" customFormat="false" ht="12.75" hidden="false" customHeight="false" outlineLevel="0" collapsed="false">
      <c r="A7" s="0" t="s">
        <v>718</v>
      </c>
      <c r="E7" s="566" t="n">
        <v>0.0251</v>
      </c>
      <c r="F7" s="566" t="n">
        <v>0.0238</v>
      </c>
      <c r="G7" s="566" t="n">
        <v>0.0447</v>
      </c>
      <c r="H7" s="567" t="s">
        <v>722</v>
      </c>
      <c r="I7" s="479"/>
      <c r="J7" s="479"/>
      <c r="K7" s="568" t="s">
        <v>719</v>
      </c>
      <c r="L7" s="479"/>
      <c r="M7" s="479"/>
      <c r="N7" s="479"/>
      <c r="O7" s="569"/>
      <c r="P7" s="569"/>
      <c r="Q7" s="569"/>
      <c r="R7" s="569"/>
    </row>
    <row r="8" customFormat="false" ht="12.75" hidden="false" customHeight="false" outlineLevel="0" collapsed="false">
      <c r="A8" s="0" t="s">
        <v>720</v>
      </c>
      <c r="E8" s="566" t="n">
        <v>0.0203</v>
      </c>
      <c r="F8" s="566" t="n">
        <v>0.0176</v>
      </c>
      <c r="G8" s="566" t="n">
        <v>0.0305</v>
      </c>
      <c r="H8" s="567" t="s">
        <v>722</v>
      </c>
      <c r="I8" s="479"/>
      <c r="J8" s="479"/>
      <c r="K8" s="479" t="s">
        <v>721</v>
      </c>
      <c r="L8" s="479"/>
      <c r="M8" s="479"/>
      <c r="N8" s="479"/>
      <c r="O8" s="566" t="n">
        <v>0.0196</v>
      </c>
      <c r="P8" s="566" t="n">
        <v>0.0354</v>
      </c>
      <c r="Q8" s="566" t="n">
        <v>0.0294</v>
      </c>
      <c r="R8" s="567" t="s">
        <v>722</v>
      </c>
    </row>
    <row r="9" customFormat="false" ht="12.75" hidden="false" customHeight="false" outlineLevel="0" collapsed="false">
      <c r="A9" s="0" t="s">
        <v>723</v>
      </c>
      <c r="E9" s="566" t="n">
        <v>0.0349</v>
      </c>
      <c r="F9" s="566" t="n">
        <v>0.085</v>
      </c>
      <c r="G9" s="566" t="n">
        <v>0.0462</v>
      </c>
      <c r="H9" s="567" t="s">
        <v>722</v>
      </c>
      <c r="I9" s="479"/>
      <c r="J9" s="479"/>
      <c r="K9" s="479" t="s">
        <v>724</v>
      </c>
      <c r="L9" s="479"/>
      <c r="M9" s="479"/>
      <c r="N9" s="479"/>
      <c r="O9" s="566" t="n">
        <v>-0.0012</v>
      </c>
      <c r="P9" s="566" t="n">
        <v>-0.0174</v>
      </c>
      <c r="Q9" s="566" t="n">
        <v>-0.045</v>
      </c>
      <c r="R9" s="567" t="s">
        <v>722</v>
      </c>
    </row>
    <row r="10" customFormat="false" ht="12.75" hidden="false" customHeight="false" outlineLevel="0" collapsed="false">
      <c r="A10" s="0" t="s">
        <v>725</v>
      </c>
      <c r="E10" s="566" t="n">
        <v>0.0308</v>
      </c>
      <c r="F10" s="566" t="n">
        <v>0.0961</v>
      </c>
      <c r="G10" s="566" t="n">
        <v>0.0826</v>
      </c>
      <c r="H10" s="567" t="s">
        <v>722</v>
      </c>
      <c r="I10" s="479"/>
      <c r="J10" s="479"/>
      <c r="K10" s="479" t="s">
        <v>726</v>
      </c>
      <c r="L10" s="479"/>
      <c r="M10" s="479"/>
      <c r="N10" s="479"/>
      <c r="O10" s="566" t="n">
        <v>0.0154</v>
      </c>
      <c r="P10" s="566" t="n">
        <v>0.0233</v>
      </c>
      <c r="Q10" s="566" t="n">
        <v>0.062</v>
      </c>
      <c r="R10" s="567" t="s">
        <v>722</v>
      </c>
    </row>
    <row r="11" customFormat="false" ht="12.75" hidden="false" customHeight="false" outlineLevel="0" collapsed="false">
      <c r="A11" s="0" t="s">
        <v>727</v>
      </c>
      <c r="E11" s="566" t="n">
        <v>0.0328</v>
      </c>
      <c r="F11" s="566" t="n">
        <v>0.0246</v>
      </c>
      <c r="G11" s="566" t="n">
        <v>0.023</v>
      </c>
      <c r="H11" s="567" t="s">
        <v>722</v>
      </c>
      <c r="I11" s="479"/>
      <c r="J11" s="479"/>
      <c r="K11" s="479" t="s">
        <v>728</v>
      </c>
      <c r="L11" s="479"/>
      <c r="M11" s="479"/>
      <c r="N11" s="479"/>
      <c r="O11" s="567" t="s">
        <v>722</v>
      </c>
      <c r="P11" s="567" t="s">
        <v>722</v>
      </c>
      <c r="Q11" s="567" t="s">
        <v>722</v>
      </c>
      <c r="R11" s="567" t="s">
        <v>722</v>
      </c>
    </row>
    <row r="12" customFormat="false" ht="12.75" hidden="false" customHeight="false" outlineLevel="0" collapsed="false">
      <c r="A12" s="0" t="s">
        <v>729</v>
      </c>
      <c r="E12" s="566" t="n">
        <v>0.041</v>
      </c>
      <c r="F12" s="566" t="n">
        <v>0.0564</v>
      </c>
      <c r="G12" s="566" t="n">
        <v>0.0944</v>
      </c>
      <c r="H12" s="567" t="s">
        <v>722</v>
      </c>
      <c r="I12" s="479"/>
      <c r="J12" s="479"/>
      <c r="K12" s="479" t="s">
        <v>730</v>
      </c>
      <c r="L12" s="479"/>
      <c r="M12" s="479"/>
      <c r="N12" s="479"/>
      <c r="O12" s="566" t="n">
        <v>0.0318</v>
      </c>
      <c r="P12" s="566" t="n">
        <v>-0.0053</v>
      </c>
      <c r="Q12" s="566" t="n">
        <v>0</v>
      </c>
      <c r="R12" s="567" t="s">
        <v>722</v>
      </c>
    </row>
    <row r="13" customFormat="false" ht="12.75" hidden="false" customHeight="false" outlineLevel="0" collapsed="false">
      <c r="A13" s="0" t="s">
        <v>731</v>
      </c>
      <c r="E13" s="566" t="n">
        <v>0.1091</v>
      </c>
      <c r="F13" s="566" t="n">
        <v>0.0929</v>
      </c>
      <c r="G13" s="566" t="n">
        <v>0.1024</v>
      </c>
      <c r="H13" s="567" t="s">
        <v>722</v>
      </c>
      <c r="I13" s="479"/>
      <c r="J13" s="479"/>
      <c r="K13" s="479" t="s">
        <v>732</v>
      </c>
      <c r="L13" s="479"/>
      <c r="M13" s="479"/>
      <c r="N13" s="479"/>
      <c r="O13" s="566" t="n">
        <v>0.0061</v>
      </c>
      <c r="P13" s="566" t="n">
        <v>0.0131</v>
      </c>
      <c r="Q13" s="566" t="n">
        <v>0</v>
      </c>
      <c r="R13" s="567" t="s">
        <v>722</v>
      </c>
    </row>
    <row r="14" customFormat="false" ht="15" hidden="false" customHeight="false" outlineLevel="0" collapsed="false">
      <c r="A14" s="0" t="s">
        <v>733</v>
      </c>
      <c r="E14" s="566" t="n">
        <v>0.0274</v>
      </c>
      <c r="F14" s="566" t="n">
        <v>0.0134</v>
      </c>
      <c r="G14" s="566" t="n">
        <v>0.0121</v>
      </c>
      <c r="H14" s="567" t="s">
        <v>722</v>
      </c>
      <c r="I14" s="479"/>
      <c r="J14" s="479"/>
      <c r="K14" s="479" t="s">
        <v>778</v>
      </c>
      <c r="L14" s="479"/>
      <c r="M14" s="479"/>
      <c r="N14" s="479"/>
      <c r="O14" s="570" t="n">
        <v>0</v>
      </c>
      <c r="P14" s="570" t="n">
        <v>0</v>
      </c>
      <c r="Q14" s="570" t="n">
        <v>0</v>
      </c>
      <c r="R14" s="571" t="s">
        <v>722</v>
      </c>
    </row>
    <row r="15" customFormat="false" ht="12.75" hidden="false" customHeight="false" outlineLevel="0" collapsed="false">
      <c r="A15" s="0" t="s">
        <v>735</v>
      </c>
      <c r="E15" s="566" t="n">
        <v>0.0001</v>
      </c>
      <c r="F15" s="566" t="n">
        <v>0.0119</v>
      </c>
      <c r="G15" s="566" t="n">
        <v>0.0138</v>
      </c>
      <c r="H15" s="567" t="s">
        <v>722</v>
      </c>
      <c r="I15" s="479"/>
      <c r="J15" s="479"/>
      <c r="K15" s="479" t="s">
        <v>738</v>
      </c>
      <c r="L15" s="479"/>
      <c r="M15" s="479"/>
      <c r="N15" s="479"/>
      <c r="O15" s="566" t="n">
        <v>0.0219</v>
      </c>
      <c r="P15" s="566" t="n">
        <v>0.0294</v>
      </c>
      <c r="Q15" s="566" t="n">
        <v>0.0305</v>
      </c>
      <c r="R15" s="567" t="s">
        <v>722</v>
      </c>
    </row>
    <row r="16" customFormat="false" ht="12.75" hidden="false" customHeight="false" outlineLevel="0" collapsed="false">
      <c r="A16" s="0" t="s">
        <v>737</v>
      </c>
      <c r="E16" s="566" t="n">
        <v>0</v>
      </c>
      <c r="F16" s="566" t="n">
        <v>0.0008</v>
      </c>
      <c r="G16" s="566" t="n">
        <v>0.0307</v>
      </c>
      <c r="H16" s="567" t="s">
        <v>722</v>
      </c>
      <c r="I16" s="479"/>
      <c r="J16" s="479"/>
      <c r="K16" s="479"/>
      <c r="L16" s="479"/>
      <c r="M16" s="479"/>
      <c r="N16" s="479"/>
      <c r="O16" s="566"/>
      <c r="P16" s="566"/>
      <c r="Q16" s="566"/>
      <c r="R16" s="566"/>
    </row>
    <row r="17" customFormat="false" ht="12.75" hidden="false" customHeight="false" outlineLevel="0" collapsed="false">
      <c r="A17" s="0" t="s">
        <v>739</v>
      </c>
      <c r="E17" s="566" t="n">
        <v>0.0546</v>
      </c>
      <c r="F17" s="566" t="n">
        <v>0.0303</v>
      </c>
      <c r="G17" s="566" t="n">
        <v>0.025</v>
      </c>
      <c r="H17" s="567" t="s">
        <v>722</v>
      </c>
      <c r="I17" s="479"/>
      <c r="J17" s="479"/>
      <c r="K17" s="568" t="s">
        <v>741</v>
      </c>
      <c r="L17" s="479"/>
      <c r="M17" s="479"/>
      <c r="N17" s="479"/>
      <c r="O17" s="566"/>
      <c r="P17" s="566"/>
      <c r="Q17" s="566"/>
      <c r="R17" s="566"/>
    </row>
    <row r="18" customFormat="false" ht="12.75" hidden="false" customHeight="false" outlineLevel="0" collapsed="false">
      <c r="A18" s="0" t="s">
        <v>779</v>
      </c>
      <c r="E18" s="566" t="n">
        <v>0.0513</v>
      </c>
      <c r="F18" s="566" t="n">
        <v>0.0172</v>
      </c>
      <c r="G18" s="566" t="n">
        <v>0</v>
      </c>
      <c r="H18" s="567" t="s">
        <v>722</v>
      </c>
      <c r="I18" s="479"/>
      <c r="J18" s="479"/>
      <c r="K18" s="479" t="s">
        <v>743</v>
      </c>
      <c r="L18" s="479"/>
      <c r="M18" s="479"/>
      <c r="N18" s="479"/>
      <c r="O18" s="567" t="s">
        <v>722</v>
      </c>
      <c r="P18" s="567" t="s">
        <v>722</v>
      </c>
      <c r="Q18" s="567" t="s">
        <v>722</v>
      </c>
      <c r="R18" s="567" t="s">
        <v>722</v>
      </c>
    </row>
    <row r="19" customFormat="false" ht="12.75" hidden="false" customHeight="false" outlineLevel="0" collapsed="false">
      <c r="A19" s="0" t="s">
        <v>740</v>
      </c>
      <c r="E19" s="566" t="n">
        <v>0.0351</v>
      </c>
      <c r="F19" s="566" t="n">
        <v>-0.0676</v>
      </c>
      <c r="G19" s="566" t="n">
        <v>0.0378</v>
      </c>
      <c r="H19" s="567" t="s">
        <v>722</v>
      </c>
      <c r="I19" s="479"/>
      <c r="J19" s="479"/>
      <c r="K19" s="479" t="s">
        <v>745</v>
      </c>
      <c r="L19" s="479"/>
      <c r="M19" s="479"/>
      <c r="N19" s="479"/>
      <c r="O19" s="571" t="s">
        <v>722</v>
      </c>
      <c r="P19" s="571" t="s">
        <v>722</v>
      </c>
      <c r="Q19" s="571" t="s">
        <v>722</v>
      </c>
      <c r="R19" s="571" t="s">
        <v>722</v>
      </c>
    </row>
    <row r="20" customFormat="false" ht="12.75" hidden="false" customHeight="false" outlineLevel="0" collapsed="false">
      <c r="A20" s="0" t="s">
        <v>742</v>
      </c>
      <c r="E20" s="566" t="n">
        <v>0.0011</v>
      </c>
      <c r="F20" s="566" t="n">
        <v>0.0125</v>
      </c>
      <c r="G20" s="566" t="n">
        <v>0.0233</v>
      </c>
      <c r="H20" s="567" t="s">
        <v>722</v>
      </c>
      <c r="I20" s="479"/>
      <c r="J20" s="479"/>
      <c r="K20" s="479" t="s">
        <v>738</v>
      </c>
      <c r="L20" s="479"/>
      <c r="M20" s="479"/>
      <c r="N20" s="479"/>
      <c r="O20" s="566" t="n">
        <v>0.1245</v>
      </c>
      <c r="P20" s="566" t="n">
        <v>0.1263</v>
      </c>
      <c r="Q20" s="566" t="n">
        <v>0.0753</v>
      </c>
      <c r="R20" s="567" t="s">
        <v>722</v>
      </c>
    </row>
    <row r="21" customFormat="false" ht="12.75" hidden="false" customHeight="false" outlineLevel="0" collapsed="false">
      <c r="A21" s="0" t="s">
        <v>744</v>
      </c>
      <c r="E21" s="566" t="n">
        <v>0.0392</v>
      </c>
      <c r="F21" s="566" t="n">
        <v>0.0088</v>
      </c>
      <c r="G21" s="566" t="n">
        <v>0.0101</v>
      </c>
      <c r="H21" s="567" t="s">
        <v>722</v>
      </c>
      <c r="I21" s="479"/>
      <c r="J21" s="479"/>
      <c r="K21" s="479"/>
      <c r="L21" s="479"/>
      <c r="M21" s="479"/>
      <c r="N21" s="479"/>
      <c r="O21" s="566"/>
      <c r="P21" s="566"/>
      <c r="Q21" s="566"/>
      <c r="R21" s="566"/>
    </row>
    <row r="22" customFormat="false" ht="12.75" hidden="false" customHeight="false" outlineLevel="0" collapsed="false">
      <c r="A22" s="0" t="s">
        <v>746</v>
      </c>
      <c r="E22" s="566" t="n">
        <v>0</v>
      </c>
      <c r="F22" s="566" t="n">
        <v>0.0849</v>
      </c>
      <c r="G22" s="566" t="n">
        <v>0.1355</v>
      </c>
      <c r="H22" s="567" t="s">
        <v>722</v>
      </c>
      <c r="I22" s="479"/>
      <c r="J22" s="479"/>
      <c r="K22" s="568" t="s">
        <v>749</v>
      </c>
      <c r="L22" s="479"/>
      <c r="M22" s="479"/>
      <c r="N22" s="479"/>
      <c r="O22" s="566"/>
      <c r="P22" s="566"/>
      <c r="Q22" s="566"/>
      <c r="R22" s="566"/>
    </row>
    <row r="23" customFormat="false" ht="12.75" hidden="false" customHeight="false" outlineLevel="0" collapsed="false">
      <c r="A23" s="0" t="s">
        <v>747</v>
      </c>
      <c r="E23" s="566" t="n">
        <v>0</v>
      </c>
      <c r="F23" s="566" t="n">
        <v>0.0952</v>
      </c>
      <c r="G23" s="566" t="n">
        <v>0.0466</v>
      </c>
      <c r="H23" s="567" t="s">
        <v>722</v>
      </c>
      <c r="I23" s="479"/>
      <c r="J23" s="479"/>
      <c r="K23" s="479" t="s">
        <v>721</v>
      </c>
      <c r="L23" s="479"/>
      <c r="M23" s="479"/>
      <c r="N23" s="479"/>
      <c r="O23" s="567" t="s">
        <v>722</v>
      </c>
      <c r="P23" s="567" t="s">
        <v>722</v>
      </c>
      <c r="Q23" s="567" t="s">
        <v>722</v>
      </c>
      <c r="R23" s="567" t="s">
        <v>751</v>
      </c>
    </row>
    <row r="24" customFormat="false" ht="12.75" hidden="false" customHeight="false" outlineLevel="0" collapsed="false">
      <c r="A24" s="0" t="s">
        <v>748</v>
      </c>
      <c r="E24" s="566" t="n">
        <v>0</v>
      </c>
      <c r="F24" s="566" t="n">
        <v>0.0276</v>
      </c>
      <c r="G24" s="566" t="n">
        <v>0.0609</v>
      </c>
      <c r="H24" s="567" t="s">
        <v>722</v>
      </c>
      <c r="I24" s="479"/>
      <c r="J24" s="479"/>
      <c r="K24" s="479" t="s">
        <v>730</v>
      </c>
      <c r="L24" s="479"/>
      <c r="M24" s="479"/>
      <c r="N24" s="479"/>
      <c r="O24" s="567" t="s">
        <v>722</v>
      </c>
      <c r="P24" s="567" t="s">
        <v>722</v>
      </c>
      <c r="Q24" s="567" t="s">
        <v>722</v>
      </c>
      <c r="R24" s="567" t="s">
        <v>751</v>
      </c>
    </row>
    <row r="25" customFormat="false" ht="12.75" hidden="false" customHeight="false" outlineLevel="0" collapsed="false">
      <c r="A25" s="0" t="s">
        <v>750</v>
      </c>
      <c r="E25" s="566" t="n">
        <v>0.0353</v>
      </c>
      <c r="F25" s="566" t="n">
        <v>0.0482</v>
      </c>
      <c r="G25" s="566" t="n">
        <v>-0.0191</v>
      </c>
      <c r="H25" s="567" t="s">
        <v>722</v>
      </c>
      <c r="I25" s="479"/>
      <c r="J25" s="479"/>
      <c r="K25" s="479" t="s">
        <v>734</v>
      </c>
      <c r="L25" s="479"/>
      <c r="M25" s="479"/>
      <c r="N25" s="479"/>
      <c r="O25" s="567" t="s">
        <v>722</v>
      </c>
      <c r="P25" s="567" t="s">
        <v>722</v>
      </c>
      <c r="Q25" s="567" t="s">
        <v>722</v>
      </c>
      <c r="R25" s="567" t="s">
        <v>751</v>
      </c>
    </row>
    <row r="26" customFormat="false" ht="12.75" hidden="false" customHeight="false" outlineLevel="0" collapsed="false">
      <c r="A26" s="0" t="s">
        <v>752</v>
      </c>
      <c r="E26" s="566" t="n">
        <v>0</v>
      </c>
      <c r="F26" s="566" t="n">
        <v>0</v>
      </c>
      <c r="G26" s="566" t="n">
        <v>0.0343</v>
      </c>
      <c r="H26" s="567" t="s">
        <v>722</v>
      </c>
      <c r="I26" s="479"/>
      <c r="J26" s="479"/>
      <c r="K26" s="479" t="s">
        <v>736</v>
      </c>
      <c r="L26" s="479"/>
      <c r="M26" s="479"/>
      <c r="N26" s="479"/>
      <c r="O26" s="567" t="s">
        <v>722</v>
      </c>
      <c r="P26" s="567" t="s">
        <v>722</v>
      </c>
      <c r="Q26" s="567" t="s">
        <v>722</v>
      </c>
      <c r="R26" s="567" t="s">
        <v>751</v>
      </c>
    </row>
    <row r="27" customFormat="false" ht="12.75" hidden="false" customHeight="false" outlineLevel="0" collapsed="false">
      <c r="A27" s="0" t="s">
        <v>753</v>
      </c>
      <c r="E27" s="566" t="n">
        <v>0.0004</v>
      </c>
      <c r="F27" s="566" t="n">
        <v>0.0536</v>
      </c>
      <c r="G27" s="566" t="n">
        <v>0</v>
      </c>
      <c r="H27" s="567" t="s">
        <v>722</v>
      </c>
      <c r="I27" s="479"/>
      <c r="J27" s="479"/>
      <c r="K27" s="479" t="s">
        <v>780</v>
      </c>
      <c r="L27" s="479"/>
      <c r="M27" s="479"/>
      <c r="N27" s="479"/>
      <c r="O27" s="567" t="s">
        <v>722</v>
      </c>
      <c r="P27" s="567" t="s">
        <v>722</v>
      </c>
      <c r="Q27" s="567" t="s">
        <v>722</v>
      </c>
      <c r="R27" s="567" t="s">
        <v>751</v>
      </c>
    </row>
    <row r="28" customFormat="false" ht="12.75" hidden="false" customHeight="false" outlineLevel="0" collapsed="false">
      <c r="A28" s="0" t="s">
        <v>754</v>
      </c>
      <c r="E28" s="566" t="n">
        <v>0</v>
      </c>
      <c r="F28" s="566" t="n">
        <v>0</v>
      </c>
      <c r="G28" s="566" t="n">
        <v>0.1228</v>
      </c>
      <c r="H28" s="567" t="s">
        <v>722</v>
      </c>
      <c r="I28" s="479"/>
      <c r="J28" s="479"/>
      <c r="K28" s="479" t="s">
        <v>781</v>
      </c>
      <c r="L28" s="479"/>
      <c r="M28" s="479"/>
      <c r="N28" s="479"/>
      <c r="O28" s="571" t="s">
        <v>722</v>
      </c>
      <c r="P28" s="571" t="s">
        <v>722</v>
      </c>
      <c r="Q28" s="571" t="s">
        <v>722</v>
      </c>
      <c r="R28" s="571" t="s">
        <v>751</v>
      </c>
    </row>
    <row r="29" customFormat="false" ht="12.75" hidden="false" customHeight="false" outlineLevel="0" collapsed="false">
      <c r="A29" s="0" t="s">
        <v>755</v>
      </c>
      <c r="E29" s="572" t="n">
        <v>0</v>
      </c>
      <c r="F29" s="572" t="n">
        <v>0</v>
      </c>
      <c r="G29" s="572" t="n">
        <v>0</v>
      </c>
      <c r="H29" s="567" t="s">
        <v>722</v>
      </c>
      <c r="I29" s="479"/>
      <c r="J29" s="479"/>
      <c r="K29" s="479" t="s">
        <v>738</v>
      </c>
      <c r="L29" s="479"/>
      <c r="M29" s="479"/>
      <c r="N29" s="479"/>
      <c r="O29" s="566" t="n">
        <v>0.0421</v>
      </c>
      <c r="P29" s="566" t="n">
        <v>0.007</v>
      </c>
      <c r="Q29" s="566" t="n">
        <v>0.0631</v>
      </c>
      <c r="R29" s="566" t="s">
        <v>751</v>
      </c>
    </row>
    <row r="30" customFormat="false" ht="15" hidden="false" customHeight="false" outlineLevel="0" collapsed="false">
      <c r="A30" s="0" t="s">
        <v>778</v>
      </c>
      <c r="E30" s="570" t="n">
        <v>1.7977</v>
      </c>
      <c r="F30" s="570" t="n">
        <v>3.1759</v>
      </c>
      <c r="G30" s="570" t="n">
        <v>-0.1305</v>
      </c>
      <c r="H30" s="571" t="s">
        <v>722</v>
      </c>
      <c r="I30" s="479"/>
      <c r="J30" s="479"/>
      <c r="K30" s="479"/>
      <c r="L30" s="479"/>
      <c r="M30" s="479"/>
      <c r="N30" s="479"/>
      <c r="O30" s="566"/>
      <c r="P30" s="566"/>
      <c r="Q30" s="566"/>
      <c r="R30" s="566"/>
    </row>
    <row r="31" customFormat="false" ht="12.75" hidden="false" customHeight="false" outlineLevel="0" collapsed="false">
      <c r="A31" s="0" t="s">
        <v>738</v>
      </c>
      <c r="E31" s="566" t="n">
        <v>0.0356</v>
      </c>
      <c r="F31" s="566" t="n">
        <v>0.0376</v>
      </c>
      <c r="G31" s="566" t="n">
        <v>0.0408</v>
      </c>
      <c r="H31" s="567" t="s">
        <v>722</v>
      </c>
      <c r="I31" s="479"/>
      <c r="J31" s="479"/>
      <c r="K31" s="479" t="s">
        <v>782</v>
      </c>
      <c r="L31" s="479"/>
      <c r="M31" s="479"/>
      <c r="N31" s="479"/>
      <c r="O31" s="566" t="n">
        <v>0.0044</v>
      </c>
      <c r="P31" s="566" t="n">
        <v>0.0051</v>
      </c>
      <c r="Q31" s="566" t="n">
        <v>0.0058</v>
      </c>
      <c r="R31" s="567" t="s">
        <v>722</v>
      </c>
    </row>
    <row r="32" customFormat="false" ht="12.75" hidden="false" customHeight="false" outlineLevel="0" collapsed="false">
      <c r="E32" s="566"/>
      <c r="F32" s="566"/>
      <c r="G32" s="566"/>
      <c r="H32" s="566"/>
      <c r="I32" s="479"/>
      <c r="J32" s="479"/>
      <c r="K32" s="479"/>
      <c r="L32" s="479"/>
      <c r="M32" s="479"/>
      <c r="N32" s="479"/>
      <c r="O32" s="566"/>
      <c r="P32" s="566"/>
      <c r="Q32" s="566"/>
      <c r="R32" s="566"/>
    </row>
    <row r="33" customFormat="false" ht="12.75" hidden="false" customHeight="false" outlineLevel="0" collapsed="false">
      <c r="A33" s="53" t="s">
        <v>757</v>
      </c>
      <c r="E33" s="566"/>
      <c r="F33" s="566"/>
      <c r="G33" s="566"/>
      <c r="H33" s="566"/>
      <c r="I33" s="479"/>
      <c r="J33" s="479"/>
      <c r="K33" s="573" t="s">
        <v>756</v>
      </c>
      <c r="L33" s="574"/>
      <c r="M33" s="574"/>
      <c r="N33" s="574"/>
      <c r="O33" s="575" t="n">
        <v>0.0335</v>
      </c>
      <c r="P33" s="575" t="n">
        <v>0.0418</v>
      </c>
      <c r="Q33" s="575" t="n">
        <v>0.0387</v>
      </c>
      <c r="R33" s="576" t="s">
        <v>722</v>
      </c>
    </row>
    <row r="34" customFormat="false" ht="12.75" hidden="true" customHeight="false" outlineLevel="1" collapsed="false">
      <c r="A34" s="0" t="s">
        <v>758</v>
      </c>
      <c r="E34" s="566"/>
      <c r="F34" s="566"/>
      <c r="G34" s="566"/>
      <c r="H34" s="566"/>
      <c r="I34" s="479"/>
      <c r="J34" s="479"/>
      <c r="K34" s="479"/>
      <c r="L34" s="479"/>
      <c r="M34" s="479"/>
      <c r="N34" s="479"/>
      <c r="O34" s="569"/>
      <c r="P34" s="569"/>
      <c r="Q34" s="569"/>
      <c r="R34" s="569"/>
    </row>
    <row r="35" customFormat="false" ht="12.75" hidden="true" customHeight="false" outlineLevel="1" collapsed="false">
      <c r="A35" s="0" t="s">
        <v>759</v>
      </c>
      <c r="E35" s="566"/>
      <c r="F35" s="566"/>
      <c r="G35" s="566"/>
      <c r="H35" s="566"/>
      <c r="I35" s="479"/>
      <c r="J35" s="479"/>
      <c r="K35" s="479"/>
      <c r="L35" s="479"/>
      <c r="M35" s="479"/>
      <c r="N35" s="479"/>
      <c r="O35" s="479"/>
      <c r="P35" s="479"/>
      <c r="Q35" s="479"/>
      <c r="R35" s="479"/>
    </row>
    <row r="36" customFormat="false" ht="12.75" hidden="true" customHeight="false" outlineLevel="1" collapsed="false">
      <c r="A36" s="0" t="s">
        <v>760</v>
      </c>
      <c r="E36" s="566"/>
      <c r="F36" s="566"/>
      <c r="G36" s="566"/>
      <c r="H36" s="566"/>
      <c r="I36" s="479"/>
      <c r="J36" s="479"/>
      <c r="K36" s="479"/>
      <c r="L36" s="479"/>
      <c r="M36" s="479"/>
      <c r="N36" s="479"/>
      <c r="O36" s="479"/>
      <c r="P36" s="479"/>
      <c r="Q36" s="479"/>
      <c r="R36" s="479"/>
    </row>
    <row r="37" customFormat="false" ht="12.75" hidden="true" customHeight="false" outlineLevel="1" collapsed="false">
      <c r="A37" s="0" t="s">
        <v>761</v>
      </c>
      <c r="E37" s="566"/>
      <c r="F37" s="566"/>
      <c r="G37" s="566"/>
      <c r="H37" s="566"/>
      <c r="I37" s="479"/>
      <c r="J37" s="479"/>
      <c r="K37" s="479"/>
      <c r="L37" s="479"/>
      <c r="M37" s="479"/>
      <c r="N37" s="479"/>
      <c r="O37" s="479"/>
      <c r="P37" s="479"/>
      <c r="Q37" s="479"/>
      <c r="R37" s="479"/>
    </row>
    <row r="38" customFormat="false" ht="12.75" hidden="true" customHeight="false" outlineLevel="1" collapsed="false">
      <c r="A38" s="0" t="s">
        <v>762</v>
      </c>
      <c r="E38" s="566"/>
      <c r="F38" s="566"/>
      <c r="G38" s="566"/>
      <c r="H38" s="566"/>
      <c r="I38" s="479"/>
      <c r="J38" s="479"/>
      <c r="K38" s="479"/>
      <c r="L38" s="479"/>
      <c r="M38" s="479"/>
      <c r="N38" s="479"/>
      <c r="O38" s="479"/>
      <c r="P38" s="479"/>
      <c r="Q38" s="479"/>
      <c r="R38" s="479"/>
    </row>
    <row r="39" customFormat="false" ht="12.75" hidden="true" customHeight="false" outlineLevel="1" collapsed="false">
      <c r="A39" s="0" t="s">
        <v>763</v>
      </c>
      <c r="E39" s="566"/>
      <c r="F39" s="566"/>
      <c r="G39" s="566"/>
      <c r="H39" s="566"/>
      <c r="I39" s="479"/>
      <c r="J39" s="479"/>
      <c r="K39" s="479"/>
      <c r="L39" s="479"/>
      <c r="M39" s="479"/>
      <c r="N39" s="479"/>
      <c r="O39" s="479"/>
      <c r="P39" s="479"/>
      <c r="Q39" s="479"/>
      <c r="R39" s="479"/>
    </row>
    <row r="40" customFormat="false" ht="12.75" hidden="true" customHeight="false" outlineLevel="1" collapsed="false">
      <c r="A40" s="0" t="s">
        <v>764</v>
      </c>
      <c r="E40" s="566"/>
      <c r="F40" s="566"/>
      <c r="G40" s="566"/>
      <c r="H40" s="566"/>
      <c r="I40" s="479"/>
      <c r="J40" s="479"/>
      <c r="K40" s="479"/>
      <c r="L40" s="479"/>
      <c r="M40" s="479"/>
      <c r="N40" s="479"/>
      <c r="O40" s="479"/>
      <c r="P40" s="479"/>
      <c r="Q40" s="479"/>
      <c r="R40" s="479"/>
    </row>
    <row r="41" customFormat="false" ht="12.75" hidden="true" customHeight="false" outlineLevel="1" collapsed="false">
      <c r="A41" s="0" t="s">
        <v>765</v>
      </c>
      <c r="E41" s="566"/>
      <c r="F41" s="566"/>
      <c r="G41" s="566"/>
      <c r="H41" s="566"/>
      <c r="I41" s="479"/>
      <c r="J41" s="479"/>
      <c r="K41" s="479"/>
      <c r="L41" s="479"/>
      <c r="M41" s="479"/>
      <c r="N41" s="479"/>
      <c r="O41" s="479"/>
      <c r="P41" s="479"/>
      <c r="Q41" s="479"/>
      <c r="R41" s="479"/>
    </row>
    <row r="42" customFormat="false" ht="12.75" hidden="true" customHeight="false" outlineLevel="1" collapsed="false">
      <c r="A42" s="0" t="s">
        <v>766</v>
      </c>
      <c r="E42" s="566"/>
      <c r="F42" s="566"/>
      <c r="G42" s="566"/>
      <c r="H42" s="566"/>
      <c r="I42" s="479"/>
      <c r="J42" s="479"/>
      <c r="K42" s="479"/>
      <c r="L42" s="479"/>
      <c r="M42" s="479"/>
      <c r="N42" s="479"/>
      <c r="O42" s="479"/>
      <c r="P42" s="479"/>
      <c r="Q42" s="479"/>
      <c r="R42" s="479"/>
    </row>
    <row r="43" customFormat="false" ht="12.75" hidden="true" customHeight="false" outlineLevel="1" collapsed="false">
      <c r="A43" s="0" t="s">
        <v>767</v>
      </c>
      <c r="E43" s="566"/>
      <c r="F43" s="566"/>
      <c r="G43" s="566"/>
      <c r="H43" s="566"/>
      <c r="I43" s="479"/>
      <c r="J43" s="479"/>
      <c r="K43" s="479"/>
      <c r="L43" s="479"/>
      <c r="M43" s="479"/>
      <c r="N43" s="479"/>
      <c r="O43" s="479"/>
      <c r="P43" s="479"/>
      <c r="Q43" s="479"/>
      <c r="R43" s="479"/>
    </row>
    <row r="44" customFormat="false" ht="12.75" hidden="true" customHeight="false" outlineLevel="1" collapsed="false">
      <c r="A44" s="0" t="s">
        <v>768</v>
      </c>
      <c r="E44" s="566"/>
      <c r="F44" s="566"/>
      <c r="G44" s="566"/>
      <c r="H44" s="566"/>
      <c r="I44" s="479"/>
      <c r="J44" s="479"/>
      <c r="K44" s="479"/>
      <c r="L44" s="479"/>
      <c r="M44" s="479"/>
      <c r="N44" s="479"/>
      <c r="O44" s="479"/>
      <c r="P44" s="479"/>
      <c r="Q44" s="479"/>
      <c r="R44" s="479"/>
    </row>
    <row r="45" customFormat="false" ht="12.75" hidden="true" customHeight="false" outlineLevel="1" collapsed="false">
      <c r="A45" s="0" t="s">
        <v>769</v>
      </c>
      <c r="E45" s="566"/>
      <c r="F45" s="566"/>
      <c r="G45" s="566"/>
      <c r="H45" s="566"/>
      <c r="I45" s="479"/>
      <c r="J45" s="479"/>
      <c r="K45" s="479"/>
      <c r="L45" s="479"/>
      <c r="M45" s="479"/>
      <c r="N45" s="479"/>
      <c r="O45" s="479"/>
      <c r="P45" s="479"/>
      <c r="Q45" s="479"/>
      <c r="R45" s="479"/>
    </row>
    <row r="46" customFormat="false" ht="12.75" hidden="true" customHeight="false" outlineLevel="1" collapsed="false">
      <c r="A46" s="0" t="s">
        <v>770</v>
      </c>
      <c r="E46" s="566"/>
      <c r="F46" s="566"/>
      <c r="G46" s="566"/>
      <c r="H46" s="566"/>
      <c r="I46" s="479"/>
      <c r="J46" s="479"/>
      <c r="K46" s="479"/>
      <c r="L46" s="479"/>
      <c r="M46" s="479"/>
      <c r="N46" s="479"/>
      <c r="O46" s="479"/>
      <c r="P46" s="479"/>
      <c r="Q46" s="479"/>
      <c r="R46" s="479"/>
    </row>
    <row r="47" customFormat="false" ht="12.75" hidden="true" customHeight="false" outlineLevel="1" collapsed="false">
      <c r="A47" s="0" t="s">
        <v>771</v>
      </c>
      <c r="E47" s="566"/>
      <c r="F47" s="566"/>
      <c r="G47" s="566"/>
      <c r="H47" s="566"/>
      <c r="I47" s="479"/>
      <c r="J47" s="479"/>
      <c r="K47" s="479"/>
      <c r="L47" s="479"/>
      <c r="M47" s="479"/>
      <c r="N47" s="479"/>
      <c r="O47" s="479"/>
      <c r="P47" s="479"/>
      <c r="Q47" s="479"/>
      <c r="R47" s="479"/>
    </row>
    <row r="48" customFormat="false" ht="12.75" hidden="true" customHeight="false" outlineLevel="1" collapsed="false">
      <c r="A48" s="0" t="s">
        <v>772</v>
      </c>
      <c r="E48" s="566"/>
      <c r="F48" s="566"/>
      <c r="G48" s="566"/>
      <c r="H48" s="566"/>
      <c r="I48" s="479"/>
      <c r="J48" s="479"/>
      <c r="K48" s="479"/>
      <c r="L48" s="479"/>
      <c r="M48" s="479"/>
      <c r="N48" s="479"/>
      <c r="O48" s="479"/>
      <c r="P48" s="479"/>
      <c r="Q48" s="479"/>
      <c r="R48" s="479"/>
    </row>
    <row r="49" customFormat="false" ht="12.75" hidden="true" customHeight="false" outlineLevel="1" collapsed="false">
      <c r="A49" s="0" t="s">
        <v>773</v>
      </c>
      <c r="E49" s="566"/>
      <c r="F49" s="566"/>
      <c r="G49" s="566"/>
      <c r="H49" s="566"/>
      <c r="I49" s="479"/>
      <c r="J49" s="479"/>
      <c r="K49" s="479"/>
      <c r="L49" s="479"/>
      <c r="M49" s="479"/>
      <c r="N49" s="479"/>
      <c r="O49" s="479"/>
      <c r="P49" s="479"/>
      <c r="Q49" s="479"/>
      <c r="R49" s="479"/>
    </row>
    <row r="50" customFormat="false" ht="12.75" hidden="true" customHeight="false" outlineLevel="1" collapsed="false">
      <c r="A50" s="0" t="s">
        <v>774</v>
      </c>
      <c r="E50" s="566"/>
      <c r="F50" s="566"/>
      <c r="G50" s="566"/>
      <c r="H50" s="566"/>
      <c r="I50" s="479"/>
      <c r="J50" s="479"/>
      <c r="K50" s="479"/>
      <c r="L50" s="479"/>
      <c r="M50" s="479"/>
      <c r="N50" s="479"/>
      <c r="O50" s="479"/>
      <c r="P50" s="479"/>
      <c r="Q50" s="479"/>
      <c r="R50" s="479"/>
    </row>
    <row r="51" customFormat="false" ht="12.75" hidden="true" customHeight="false" outlineLevel="1" collapsed="false">
      <c r="A51" s="0" t="s">
        <v>775</v>
      </c>
      <c r="E51" s="566"/>
      <c r="F51" s="566"/>
      <c r="G51" s="566"/>
      <c r="H51" s="566"/>
      <c r="I51" s="479"/>
      <c r="J51" s="479"/>
      <c r="K51" s="479"/>
      <c r="L51" s="479"/>
      <c r="M51" s="479"/>
      <c r="N51" s="479"/>
      <c r="O51" s="479"/>
      <c r="P51" s="479"/>
      <c r="Q51" s="479"/>
      <c r="R51" s="479"/>
    </row>
    <row r="52" customFormat="false" ht="12.75" hidden="true" customHeight="false" outlineLevel="1" collapsed="false">
      <c r="A52" s="0" t="s">
        <v>776</v>
      </c>
      <c r="E52" s="570"/>
      <c r="F52" s="570"/>
      <c r="G52" s="570"/>
      <c r="H52" s="570"/>
      <c r="I52" s="479"/>
      <c r="J52" s="479"/>
      <c r="K52" s="479"/>
      <c r="L52" s="479"/>
      <c r="M52" s="479"/>
      <c r="N52" s="479"/>
      <c r="O52" s="479"/>
      <c r="P52" s="479"/>
      <c r="Q52" s="479"/>
      <c r="R52" s="479"/>
    </row>
    <row r="53" customFormat="false" ht="12.75" hidden="false" customHeight="false" outlineLevel="0" collapsed="false">
      <c r="A53" s="0" t="s">
        <v>738</v>
      </c>
      <c r="E53" s="566" t="n">
        <v>0.0073</v>
      </c>
      <c r="F53" s="566" t="n">
        <v>0.0334</v>
      </c>
      <c r="G53" s="566" t="n">
        <v>0.0151</v>
      </c>
      <c r="H53" s="567" t="s">
        <v>722</v>
      </c>
      <c r="I53" s="479"/>
      <c r="J53" s="479"/>
      <c r="K53" s="479"/>
      <c r="L53" s="479"/>
      <c r="M53" s="479"/>
      <c r="N53" s="479"/>
      <c r="O53" s="479"/>
      <c r="P53" s="479"/>
      <c r="Q53" s="479"/>
      <c r="R53" s="479"/>
    </row>
    <row r="54" customFormat="false" ht="12.75" hidden="false" customHeight="false" outlineLevel="0" collapsed="false">
      <c r="E54" s="569"/>
      <c r="F54" s="569"/>
      <c r="G54" s="569"/>
      <c r="H54" s="569"/>
      <c r="I54" s="479"/>
      <c r="J54" s="479"/>
      <c r="K54" s="479"/>
      <c r="L54" s="479"/>
      <c r="M54" s="479"/>
      <c r="N54" s="479"/>
      <c r="O54" s="479"/>
      <c r="P54" s="479"/>
      <c r="Q54" s="479"/>
      <c r="R54" s="479"/>
    </row>
  </sheetData>
  <mergeCells count="1">
    <mergeCell ref="A1:R1"/>
  </mergeCells>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R55"/>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A30" activeCellId="0" sqref="A30"/>
    </sheetView>
  </sheetViews>
  <sheetFormatPr defaultColWidth="9.0546875" defaultRowHeight="12.75" customHeight="true" zeroHeight="false" outlineLevelRow="1" outlineLevelCol="0"/>
  <cols>
    <col collapsed="false" customWidth="true" hidden="false" outlineLevel="0" max="7" min="5" style="0" width="10.28"/>
    <col collapsed="false" customWidth="true" hidden="false" outlineLevel="0" max="8" min="8" style="0" width="12.85"/>
    <col collapsed="false" customWidth="true" hidden="false" outlineLevel="0" max="9" min="9" style="0" width="3.56"/>
    <col collapsed="false" customWidth="true" hidden="false" outlineLevel="0" max="10" min="10" style="0" width="1.41"/>
    <col collapsed="false" customWidth="true" hidden="false" outlineLevel="0" max="13" min="13" style="0" width="6.13"/>
    <col collapsed="false" customWidth="true" hidden="false" outlineLevel="0" max="14" min="14" style="0" width="4.99"/>
    <col collapsed="false" customWidth="true" hidden="false" outlineLevel="0" max="18" min="15" style="0" width="12.28"/>
  </cols>
  <sheetData>
    <row r="1" customFormat="false" ht="15.75" hidden="false" customHeight="false" outlineLevel="0" collapsed="false">
      <c r="A1" s="558" t="s">
        <v>784</v>
      </c>
      <c r="B1" s="558"/>
      <c r="C1" s="558"/>
      <c r="D1" s="558"/>
      <c r="E1" s="558"/>
      <c r="F1" s="558"/>
      <c r="G1" s="558"/>
      <c r="H1" s="558"/>
      <c r="I1" s="558"/>
      <c r="J1" s="558"/>
      <c r="K1" s="558"/>
      <c r="L1" s="558"/>
      <c r="M1" s="558"/>
      <c r="N1" s="558"/>
      <c r="O1" s="558"/>
      <c r="P1" s="558"/>
      <c r="Q1" s="558"/>
      <c r="R1" s="558"/>
    </row>
    <row r="4" customFormat="false" ht="12.75" hidden="false" customHeight="false" outlineLevel="0" collapsed="false">
      <c r="E4" s="559" t="n">
        <v>1998</v>
      </c>
      <c r="F4" s="497" t="n">
        <v>1999</v>
      </c>
      <c r="G4" s="497" t="n">
        <v>2000</v>
      </c>
      <c r="H4" s="560" t="n">
        <v>2001</v>
      </c>
      <c r="O4" s="559" t="n">
        <v>1998</v>
      </c>
      <c r="P4" s="497" t="n">
        <v>1999</v>
      </c>
      <c r="Q4" s="497" t="n">
        <v>2000</v>
      </c>
      <c r="R4" s="560" t="n">
        <v>2001</v>
      </c>
    </row>
    <row r="6" customFormat="false" ht="12.75" hidden="false" customHeight="false" outlineLevel="0" collapsed="false">
      <c r="A6" s="53" t="s">
        <v>717</v>
      </c>
    </row>
    <row r="7" customFormat="false" ht="12.75" hidden="false" customHeight="false" outlineLevel="0" collapsed="false">
      <c r="A7" s="0" t="s">
        <v>718</v>
      </c>
      <c r="E7" s="566" t="n">
        <f aca="false">+'T. Profits'!E7/'T. Profits'!$O$33</f>
        <v>0.108836043975032</v>
      </c>
      <c r="F7" s="566" t="n">
        <f aca="false">+'T. Profits'!F7/'T. Profits'!$P$33</f>
        <v>0.0706110572259942</v>
      </c>
      <c r="G7" s="566" t="n">
        <f aca="false">+'T. Profits'!G7/'T. Profits'!$Q$33</f>
        <v>0.163162845757893</v>
      </c>
      <c r="H7" s="567" t="s">
        <v>722</v>
      </c>
      <c r="I7" s="479"/>
      <c r="J7" s="479"/>
      <c r="K7" s="568" t="s">
        <v>719</v>
      </c>
      <c r="L7" s="479"/>
      <c r="M7" s="479"/>
      <c r="N7" s="479"/>
      <c r="O7" s="569"/>
      <c r="P7" s="569"/>
      <c r="Q7" s="569"/>
      <c r="R7" s="569"/>
    </row>
    <row r="8" customFormat="false" ht="12.75" hidden="false" customHeight="false" outlineLevel="0" collapsed="false">
      <c r="A8" s="0" t="s">
        <v>720</v>
      </c>
      <c r="E8" s="566" t="n">
        <f aca="false">+'T. Profits'!E8/'T. Profits'!$O$33</f>
        <v>0.0810384673535066</v>
      </c>
      <c r="F8" s="566" t="n">
        <f aca="false">+'T. Profits'!F8/'T. Profits'!$P$33</f>
        <v>0.0524086647268025</v>
      </c>
      <c r="G8" s="566" t="n">
        <f aca="false">+'T. Profits'!G8/'T. Profits'!$Q$33</f>
        <v>0.108866833666276</v>
      </c>
      <c r="H8" s="567" t="s">
        <v>722</v>
      </c>
      <c r="I8" s="479"/>
      <c r="J8" s="479"/>
      <c r="K8" s="479" t="s">
        <v>721</v>
      </c>
      <c r="L8" s="479"/>
      <c r="M8" s="479"/>
      <c r="N8" s="479"/>
      <c r="O8" s="566" t="n">
        <f aca="false">+'T. Profits'!O8/'T. Profits'!$O$33</f>
        <v>0.0406272273699216</v>
      </c>
      <c r="P8" s="566" t="n">
        <f aca="false">+'T. Profits'!P8/'T. Profits'!$P$33</f>
        <v>0.0942127384416424</v>
      </c>
      <c r="Q8" s="566" t="n">
        <f aca="false">+'T. Profits'!Q8/'T. Profits'!$Q$33</f>
        <v>0.0887951718087749</v>
      </c>
      <c r="R8" s="567" t="s">
        <v>722</v>
      </c>
    </row>
    <row r="9" customFormat="false" ht="12.75" hidden="false" customHeight="false" outlineLevel="0" collapsed="false">
      <c r="A9" s="0" t="s">
        <v>723</v>
      </c>
      <c r="E9" s="566" t="n">
        <f aca="false">+'T. Profits'!E9/'T. Profits'!$O$33</f>
        <v>0.040476036199486</v>
      </c>
      <c r="F9" s="566" t="n">
        <f aca="false">+'T. Profits'!F9/'T. Profits'!$P$33</f>
        <v>0.0869382476559974</v>
      </c>
      <c r="G9" s="566" t="n">
        <f aca="false">+'T. Profits'!G9/'T. Profits'!$Q$33</f>
        <v>0.0428385705679044</v>
      </c>
      <c r="H9" s="567" t="s">
        <v>722</v>
      </c>
      <c r="I9" s="479"/>
      <c r="J9" s="479"/>
      <c r="K9" s="479" t="s">
        <v>724</v>
      </c>
      <c r="L9" s="479"/>
      <c r="M9" s="479"/>
      <c r="N9" s="479"/>
      <c r="O9" s="566" t="n">
        <f aca="false">+'T. Profits'!O9/'T. Profits'!$O$33</f>
        <v>-8.63949545346552E-005</v>
      </c>
      <c r="P9" s="566" t="n">
        <f aca="false">+'T. Profits'!P9/'T. Profits'!$P$33</f>
        <v>-0.000533462657613967</v>
      </c>
      <c r="Q9" s="566" t="n">
        <f aca="false">+'T. Profits'!Q9/'T. Profits'!$Q$33</f>
        <v>-0.000560188561583748</v>
      </c>
      <c r="R9" s="567" t="s">
        <v>722</v>
      </c>
    </row>
    <row r="10" customFormat="false" ht="12.75" hidden="false" customHeight="false" outlineLevel="0" collapsed="false">
      <c r="A10" s="0" t="s">
        <v>725</v>
      </c>
      <c r="E10" s="566" t="n">
        <f aca="false">+'T. Profits'!E10/'T. Profits'!$O$33</f>
        <v>0.0159398691116439</v>
      </c>
      <c r="F10" s="566" t="n">
        <f aca="false">+'T. Profits'!F10/'T. Profits'!$P$33</f>
        <v>0.0569026834788232</v>
      </c>
      <c r="G10" s="566" t="n">
        <f aca="false">+'T. Profits'!G10/'T. Profits'!$Q$33</f>
        <v>0.0825802496538458</v>
      </c>
      <c r="H10" s="567" t="s">
        <v>722</v>
      </c>
      <c r="I10" s="479"/>
      <c r="J10" s="479"/>
      <c r="K10" s="479" t="s">
        <v>726</v>
      </c>
      <c r="L10" s="479"/>
      <c r="M10" s="479"/>
      <c r="N10" s="479"/>
      <c r="O10" s="566" t="n">
        <f aca="false">+'T. Profits'!O10/'T. Profits'!$O$33</f>
        <v>0.000820752068079224</v>
      </c>
      <c r="P10" s="566" t="n">
        <f aca="false">+'T. Profits'!P10/'T. Profits'!$P$33</f>
        <v>0.000905269964435823</v>
      </c>
      <c r="Q10" s="566" t="n">
        <f aca="false">+'T. Profits'!Q10/'T. Profits'!$Q$33</f>
        <v>0.00790605743518196</v>
      </c>
      <c r="R10" s="567" t="s">
        <v>722</v>
      </c>
    </row>
    <row r="11" customFormat="false" ht="12.75" hidden="false" customHeight="false" outlineLevel="0" collapsed="false">
      <c r="A11" s="0" t="s">
        <v>727</v>
      </c>
      <c r="E11" s="566" t="n">
        <f aca="false">+'T. Profits'!E11/'T. Profits'!$O$33</f>
        <v>0.02287306421305</v>
      </c>
      <c r="F11" s="566" t="n">
        <f aca="false">+'T. Profits'!F11/'T. Profits'!$P$33</f>
        <v>0.0424345295829292</v>
      </c>
      <c r="G11" s="566" t="n">
        <f aca="false">+'T. Profits'!G11/'T. Profits'!$Q$33</f>
        <v>0.0282313895847206</v>
      </c>
      <c r="H11" s="567" t="s">
        <v>722</v>
      </c>
      <c r="I11" s="479"/>
      <c r="J11" s="479"/>
      <c r="K11" s="479" t="s">
        <v>728</v>
      </c>
      <c r="L11" s="479"/>
      <c r="M11" s="479"/>
      <c r="N11" s="479"/>
      <c r="O11" s="566" t="n">
        <f aca="false">+'T. Profits'!O11/'T. Profits'!O33</f>
        <v>0</v>
      </c>
      <c r="P11" s="566" t="n">
        <f aca="false">+'T. Profits'!P11/'T. Profits'!P33</f>
        <v>0</v>
      </c>
      <c r="Q11" s="566" t="n">
        <f aca="false">+'T. Profits'!Q11/'T. Profits'!Q33</f>
        <v>0.00329771379649301</v>
      </c>
      <c r="R11" s="567" t="s">
        <v>722</v>
      </c>
    </row>
    <row r="12" customFormat="false" ht="12.75" hidden="false" customHeight="false" outlineLevel="0" collapsed="false">
      <c r="A12" s="0" t="s">
        <v>729</v>
      </c>
      <c r="E12" s="566" t="n">
        <f aca="false">+'T. Profits'!E12/'T. Profits'!$O$33</f>
        <v>0.0148167347026934</v>
      </c>
      <c r="F12" s="566" t="n">
        <f aca="false">+'T. Profits'!F12/'T. Profits'!$P$33</f>
        <v>0.0259295182670546</v>
      </c>
      <c r="G12" s="566" t="n">
        <f aca="false">+'T. Profits'!G12/'T. Profits'!$Q$33</f>
        <v>0.0729936265339126</v>
      </c>
      <c r="H12" s="567" t="s">
        <v>722</v>
      </c>
      <c r="I12" s="479"/>
      <c r="J12" s="479"/>
      <c r="K12" s="479" t="s">
        <v>730</v>
      </c>
      <c r="L12" s="479"/>
      <c r="M12" s="479"/>
      <c r="N12" s="479"/>
      <c r="O12" s="566" t="n">
        <f aca="false">+'T. Profits'!O12/'T. Profits'!$O$33</f>
        <v>0.0191364824294261</v>
      </c>
      <c r="P12" s="566" t="n">
        <f aca="false">+'T. Profits'!P12/'T. Profits'!$P$33</f>
        <v>-0.00126091173617847</v>
      </c>
      <c r="Q12" s="566" t="n">
        <f aca="false">+'T. Profits'!Q12/'T. Profits'!$Q$33</f>
        <v>0</v>
      </c>
      <c r="R12" s="567" t="s">
        <v>722</v>
      </c>
    </row>
    <row r="13" customFormat="false" ht="12.75" hidden="false" customHeight="false" outlineLevel="0" collapsed="false">
      <c r="A13" s="0" t="s">
        <v>731</v>
      </c>
      <c r="E13" s="566" t="n">
        <f aca="false">+'T. Profits'!E13/'T. Profits'!$O$33</f>
        <v>0.00140391801118815</v>
      </c>
      <c r="F13" s="566" t="n">
        <f aca="false">+'T. Profits'!F13/'T. Profits'!$P$33</f>
        <v>0.0140478499838345</v>
      </c>
      <c r="G13" s="566" t="n">
        <f aca="false">+'T. Profits'!G13/'T. Profits'!$Q$33</f>
        <v>0.0178203380156641</v>
      </c>
      <c r="H13" s="567" t="s">
        <v>722</v>
      </c>
      <c r="I13" s="479"/>
      <c r="J13" s="479"/>
      <c r="K13" s="479" t="s">
        <v>732</v>
      </c>
      <c r="L13" s="479"/>
      <c r="M13" s="479"/>
      <c r="N13" s="479"/>
      <c r="O13" s="566" t="n">
        <f aca="false">+'T. Profits'!O13/'T. Profits'!$O$33</f>
        <v>0.000194388647702974</v>
      </c>
      <c r="P13" s="566" t="n">
        <f aca="false">+'T. Profits'!P13/'T. Profits'!$P$33</f>
        <v>0.000355641771742645</v>
      </c>
      <c r="Q13" s="566" t="n">
        <f aca="false">+'T. Profits'!Q13/'T. Profits'!$Q$33</f>
        <v>0</v>
      </c>
      <c r="R13" s="567" t="s">
        <v>722</v>
      </c>
    </row>
    <row r="14" customFormat="false" ht="15" hidden="false" customHeight="false" outlineLevel="0" collapsed="false">
      <c r="A14" s="0" t="s">
        <v>733</v>
      </c>
      <c r="E14" s="566" t="n">
        <f aca="false">+'T. Profits'!E14/'T. Profits'!$O$33</f>
        <v>0.0039957666472278</v>
      </c>
      <c r="F14" s="566" t="n">
        <f aca="false">+'T. Profits'!F14/'T. Profits'!$P$33</f>
        <v>0.0092951826705464</v>
      </c>
      <c r="G14" s="566" t="n">
        <f aca="false">+'T. Profits'!G14/'T. Profits'!$Q$33</f>
        <v>0.00912156091786367</v>
      </c>
      <c r="H14" s="567" t="s">
        <v>722</v>
      </c>
      <c r="I14" s="479"/>
      <c r="J14" s="479"/>
      <c r="K14" s="479" t="s">
        <v>778</v>
      </c>
      <c r="L14" s="479"/>
      <c r="M14" s="479"/>
      <c r="N14" s="479"/>
      <c r="O14" s="570" t="n">
        <f aca="false">+'T. Profits'!O14/'T. Profits'!$O$33</f>
        <v>0.00112313440895052</v>
      </c>
      <c r="P14" s="570" t="n">
        <f aca="false">+'T. Profits'!P14/'T. Profits'!$P$33</f>
        <v>-0.0056741028128031</v>
      </c>
      <c r="Q14" s="570" t="n">
        <f aca="false">+'T. Profits'!Q14/'T. Profits'!$Q$33</f>
        <v>-0.00513682341376796</v>
      </c>
      <c r="R14" s="571" t="s">
        <v>722</v>
      </c>
    </row>
    <row r="15" customFormat="false" ht="12.75" hidden="false" customHeight="false" outlineLevel="0" collapsed="false">
      <c r="A15" s="0" t="s">
        <v>735</v>
      </c>
      <c r="E15" s="566" t="n">
        <f aca="false">+'T. Profits'!E15/'T. Profits'!$O$33</f>
        <v>0.000129592431801983</v>
      </c>
      <c r="F15" s="566" t="n">
        <f aca="false">+'T. Profits'!F15/'T. Profits'!$P$33</f>
        <v>0.0100064662140317</v>
      </c>
      <c r="G15" s="566" t="n">
        <f aca="false">+'T. Profits'!G15/'T. Profits'!$Q$33</f>
        <v>0.00931181363689212</v>
      </c>
      <c r="H15" s="567" t="s">
        <v>722</v>
      </c>
      <c r="I15" s="479"/>
      <c r="J15" s="479"/>
      <c r="K15" s="479" t="s">
        <v>738</v>
      </c>
      <c r="L15" s="479"/>
      <c r="M15" s="479"/>
      <c r="N15" s="479"/>
      <c r="O15" s="566" t="n">
        <f aca="false">SUM(O8:O14)</f>
        <v>0.0618155899695458</v>
      </c>
      <c r="P15" s="566" t="n">
        <f aca="false">SUM(P8:P14)</f>
        <v>0.0880051729712254</v>
      </c>
      <c r="Q15" s="566" t="n">
        <f aca="false">SUM(Q8:Q14)</f>
        <v>0.0943019310650981</v>
      </c>
      <c r="R15" s="566" t="n">
        <f aca="false">+'T. Profits'!R15/'T. Profits'!R33</f>
        <v>0.0783487564311271</v>
      </c>
    </row>
    <row r="16" customFormat="false" ht="12.75" hidden="false" customHeight="false" outlineLevel="0" collapsed="false">
      <c r="A16" s="0" t="s">
        <v>737</v>
      </c>
      <c r="E16" s="566" t="n">
        <f aca="false">+'T. Profits'!E16/'T. Profits'!$O$33</f>
        <v>0</v>
      </c>
      <c r="F16" s="566" t="n">
        <f aca="false">+'T. Profits'!F16/'T. Profits'!$P$33</f>
        <v>6.46621403168445E-005</v>
      </c>
      <c r="G16" s="566" t="n">
        <f aca="false">+'T. Profits'!G16/'T. Profits'!$Q$33</f>
        <v>0.00317087865047405</v>
      </c>
      <c r="H16" s="567" t="s">
        <v>722</v>
      </c>
      <c r="I16" s="479"/>
      <c r="J16" s="479"/>
      <c r="K16" s="479"/>
      <c r="L16" s="479"/>
      <c r="M16" s="479"/>
      <c r="N16" s="479"/>
      <c r="O16" s="566"/>
      <c r="P16" s="566"/>
      <c r="Q16" s="566"/>
      <c r="R16" s="566"/>
    </row>
    <row r="17" customFormat="false" ht="12.75" hidden="false" customHeight="false" outlineLevel="0" collapsed="false">
      <c r="A17" s="0" t="s">
        <v>739</v>
      </c>
      <c r="E17" s="566" t="n">
        <f aca="false">+'T. Profits'!E17/'T. Profits'!$O$33</f>
        <v>0.0133696192142379</v>
      </c>
      <c r="F17" s="566" t="n">
        <f aca="false">+'T. Profits'!F17/'T. Profits'!$P$33</f>
        <v>0.00430003233107016</v>
      </c>
      <c r="G17" s="566" t="n">
        <f aca="false">+'T. Profits'!G17/'T. Profits'!$Q$33</f>
        <v>0.00168056568475124</v>
      </c>
      <c r="H17" s="567" t="s">
        <v>722</v>
      </c>
      <c r="I17" s="479"/>
      <c r="J17" s="479"/>
      <c r="K17" s="568" t="s">
        <v>741</v>
      </c>
      <c r="L17" s="479"/>
      <c r="M17" s="479"/>
      <c r="N17" s="479"/>
      <c r="O17" s="566"/>
      <c r="P17" s="566"/>
      <c r="Q17" s="566"/>
      <c r="R17" s="566"/>
    </row>
    <row r="18" customFormat="false" ht="12.75" hidden="false" customHeight="false" outlineLevel="0" collapsed="false">
      <c r="A18" s="0" t="s">
        <v>779</v>
      </c>
      <c r="E18" s="566" t="n">
        <f aca="false">+'T. Profits'!E18/'T. Profits'!$O$33</f>
        <v>0.0287911185986738</v>
      </c>
      <c r="F18" s="566" t="n">
        <f aca="false">+'T. Profits'!F18/'T. Profits'!$P$33</f>
        <v>0.00375040413837698</v>
      </c>
      <c r="G18" s="566" t="n">
        <f aca="false">+'T. Profits'!G18/'T. Profits'!$Q$33</f>
        <v>0</v>
      </c>
      <c r="H18" s="567" t="s">
        <v>722</v>
      </c>
      <c r="I18" s="479"/>
      <c r="J18" s="479"/>
      <c r="K18" s="479" t="s">
        <v>743</v>
      </c>
      <c r="L18" s="479"/>
      <c r="M18" s="479"/>
      <c r="N18" s="479"/>
      <c r="O18" s="567" t="n">
        <f aca="false">+'T. Profits'!O18/'T. Profits'!$O$33</f>
        <v>0.0844294693189918</v>
      </c>
      <c r="P18" s="567" t="n">
        <f aca="false">+'T. Profits'!P18/'T. Profits'!$P$33</f>
        <v>0.0887164565147106</v>
      </c>
      <c r="Q18" s="567" t="n">
        <f aca="false">+'T. Profits'!Q18/'T. Profits'!$Q$33</f>
        <v>0.0655209225142954</v>
      </c>
      <c r="R18" s="567" t="n">
        <f aca="false">+'T. Profits'!R18/'T. Profits'!$R$33</f>
        <v>0.0815175283578971</v>
      </c>
    </row>
    <row r="19" customFormat="false" ht="12.75" hidden="false" customHeight="false" outlineLevel="0" collapsed="false">
      <c r="A19" s="0" t="s">
        <v>740</v>
      </c>
      <c r="E19" s="566" t="n">
        <f aca="false">+'T. Profits'!E19/'T. Profits'!$O$33</f>
        <v>0.00438454394263375</v>
      </c>
      <c r="F19" s="566" t="n">
        <f aca="false">+'T. Profits'!F19/'T. Profits'!$P$33</f>
        <v>-0.000598124797930812</v>
      </c>
      <c r="G19" s="566" t="n">
        <f aca="false">+'T. Profits'!G19/'T. Profits'!$Q$33</f>
        <v>0.00323429622348353</v>
      </c>
      <c r="H19" s="567" t="s">
        <v>722</v>
      </c>
      <c r="I19" s="479"/>
      <c r="J19" s="479"/>
      <c r="K19" s="479" t="s">
        <v>745</v>
      </c>
      <c r="L19" s="479"/>
      <c r="M19" s="479"/>
      <c r="N19" s="479"/>
      <c r="O19" s="571" t="n">
        <f aca="false">+'T. Profits'!O19/'T. Profits'!$O$33</f>
        <v>0.0431974772673276</v>
      </c>
      <c r="P19" s="571" t="n">
        <f aca="false">+'T. Profits'!P19/'T. Profits'!$P$33</f>
        <v>0.0113643711606854</v>
      </c>
      <c r="Q19" s="571" t="n">
        <f aca="false">+'T. Profits'!Q19/'T. Profits'!$Q$33</f>
        <v>0.0138356005115684</v>
      </c>
      <c r="R19" s="571" t="s">
        <v>722</v>
      </c>
    </row>
    <row r="20" customFormat="false" ht="12.75" hidden="false" customHeight="false" outlineLevel="0" collapsed="false">
      <c r="A20" s="0" t="s">
        <v>742</v>
      </c>
      <c r="E20" s="566" t="n">
        <f aca="false">+'T. Profits'!E20/'T. Profits'!$O$33</f>
        <v>0.00045357351130694</v>
      </c>
      <c r="F20" s="566" t="n">
        <f aca="false">+'T. Profits'!F20/'T. Profits'!$P$33</f>
        <v>0.00103459424506951</v>
      </c>
      <c r="G20" s="566" t="n">
        <f aca="false">+'T. Profits'!G20/'T. Profits'!$Q$33</f>
        <v>0.0029806259314456</v>
      </c>
      <c r="H20" s="567" t="s">
        <v>722</v>
      </c>
      <c r="I20" s="479"/>
      <c r="J20" s="479"/>
      <c r="K20" s="479" t="s">
        <v>738</v>
      </c>
      <c r="L20" s="479"/>
      <c r="M20" s="479"/>
      <c r="N20" s="479"/>
      <c r="O20" s="566" t="n">
        <f aca="false">SUM(O18:O19)</f>
        <v>0.127626946586319</v>
      </c>
      <c r="P20" s="566" t="n">
        <f aca="false">SUM(P18:P19)</f>
        <v>0.100080827675396</v>
      </c>
      <c r="Q20" s="566" t="n">
        <f aca="false">SUM(Q18:Q19)</f>
        <v>0.0793565230258638</v>
      </c>
      <c r="R20" s="566" t="n">
        <f aca="false">SUM(R18:R19)</f>
        <v>0.0815175283578971</v>
      </c>
    </row>
    <row r="21" customFormat="false" ht="12.75" hidden="false" customHeight="false" outlineLevel="0" collapsed="false">
      <c r="A21" s="0" t="s">
        <v>744</v>
      </c>
      <c r="E21" s="566" t="n">
        <f aca="false">+'T. Profits'!E21/'T. Profits'!$O$33</f>
        <v>0.00164150413615845</v>
      </c>
      <c r="F21" s="566" t="n">
        <f aca="false">+'T. Profits'!F21/'T. Profits'!$P$33</f>
        <v>0.000678952473326867</v>
      </c>
      <c r="G21" s="566" t="n">
        <f aca="false">+'T. Profits'!G21/'T. Profits'!$Q$33</f>
        <v>0.000401644629060046</v>
      </c>
      <c r="H21" s="567" t="s">
        <v>722</v>
      </c>
      <c r="I21" s="479"/>
      <c r="J21" s="479"/>
      <c r="K21" s="479"/>
      <c r="L21" s="479"/>
      <c r="M21" s="479"/>
      <c r="N21" s="479"/>
      <c r="O21" s="566"/>
      <c r="P21" s="566"/>
      <c r="Q21" s="566"/>
      <c r="R21" s="566"/>
    </row>
    <row r="22" customFormat="false" ht="12.75" hidden="false" customHeight="false" outlineLevel="0" collapsed="false">
      <c r="A22" s="0" t="s">
        <v>746</v>
      </c>
      <c r="E22" s="566" t="n">
        <f aca="false">+'T. Profits'!E22/'T. Profits'!$O$33</f>
        <v>0</v>
      </c>
      <c r="F22" s="566" t="n">
        <f aca="false">+'T. Profits'!F22/'T. Profits'!$P$33</f>
        <v>0.00216618170061429</v>
      </c>
      <c r="G22" s="566" t="n">
        <f aca="false">+'T. Profits'!G22/'T. Profits'!$Q$33</f>
        <v>0.0104850387375675</v>
      </c>
      <c r="H22" s="567" t="s">
        <v>722</v>
      </c>
      <c r="I22" s="479"/>
      <c r="J22" s="479"/>
      <c r="K22" s="568" t="s">
        <v>749</v>
      </c>
      <c r="L22" s="479"/>
      <c r="M22" s="479"/>
      <c r="N22" s="479"/>
      <c r="O22" s="566"/>
      <c r="P22" s="566"/>
      <c r="Q22" s="566"/>
      <c r="R22" s="566"/>
    </row>
    <row r="23" customFormat="false" ht="12.75" hidden="false" customHeight="false" outlineLevel="0" collapsed="false">
      <c r="A23" s="0" t="s">
        <v>747</v>
      </c>
      <c r="E23" s="566" t="n">
        <f aca="false">+'T. Profits'!E23/'T. Profits'!$O$33</f>
        <v>0</v>
      </c>
      <c r="F23" s="566" t="n">
        <f aca="false">+'T. Profits'!F23/'T. Profits'!$P$33</f>
        <v>3.23310701584222E-005</v>
      </c>
      <c r="G23" s="566" t="n">
        <f aca="false">+'T. Profits'!G23/'T. Profits'!$Q$33</f>
        <v>0.000317087865047405</v>
      </c>
      <c r="H23" s="567" t="s">
        <v>722</v>
      </c>
      <c r="I23" s="479"/>
      <c r="J23" s="479"/>
      <c r="K23" s="479" t="s">
        <v>721</v>
      </c>
      <c r="L23" s="479"/>
      <c r="M23" s="479"/>
      <c r="N23" s="479"/>
      <c r="O23" s="567" t="n">
        <f aca="false">+'T. Profits'!O23/'T. Profits'!$O$33</f>
        <v>0.0579926132313873</v>
      </c>
      <c r="P23" s="567" t="n">
        <f aca="false">+'T. Profits'!P23/'T. Profits'!$P$33</f>
        <v>0.00190753313934691</v>
      </c>
      <c r="Q23" s="567" t="n">
        <f aca="false">+'T. Profits'!Q23/'T. Profits'!$Q$33</f>
        <v>0.00678568031201446</v>
      </c>
      <c r="R23" s="567" t="s">
        <v>751</v>
      </c>
    </row>
    <row r="24" customFormat="false" ht="12.75" hidden="false" customHeight="false" outlineLevel="0" collapsed="false">
      <c r="A24" s="0" t="s">
        <v>748</v>
      </c>
      <c r="E24" s="566" t="n">
        <f aca="false">+'T. Profits'!E24/'T. Profits'!$O$33</f>
        <v>0</v>
      </c>
      <c r="F24" s="566" t="n">
        <f aca="false">+'T. Profits'!F24/'T. Profits'!$P$33</f>
        <v>0.0023278370514064</v>
      </c>
      <c r="G24" s="566" t="n">
        <f aca="false">+'T. Profits'!G24/'T. Profits'!$Q$33</f>
        <v>0.000253670292037924</v>
      </c>
      <c r="H24" s="567" t="s">
        <v>722</v>
      </c>
      <c r="I24" s="479"/>
      <c r="J24" s="479"/>
      <c r="K24" s="479" t="s">
        <v>730</v>
      </c>
      <c r="L24" s="479"/>
      <c r="M24" s="479"/>
      <c r="N24" s="479"/>
      <c r="O24" s="567" t="n">
        <f aca="false">+'T. Profits'!O24/'T. Profits'!$O$33</f>
        <v>0.00980582733968336</v>
      </c>
      <c r="P24" s="567" t="n">
        <f aca="false">+'T. Profits'!P24/'T. Profits'!$P$33</f>
        <v>-0.0201745877788555</v>
      </c>
      <c r="Q24" s="567" t="n">
        <f aca="false">+'T. Profits'!Q24/'T. Profits'!$Q$33</f>
        <v>0</v>
      </c>
      <c r="R24" s="567" t="s">
        <v>751</v>
      </c>
    </row>
    <row r="25" customFormat="false" ht="12.75" hidden="false" customHeight="false" outlineLevel="0" collapsed="false">
      <c r="A25" s="0" t="s">
        <v>750</v>
      </c>
      <c r="E25" s="566" t="n">
        <f aca="false">+'T. Profits'!E25/'T. Profits'!$O$33</f>
        <v>0.00848830428302987</v>
      </c>
      <c r="F25" s="566" t="n">
        <f aca="false">+'T. Profits'!F25/'T. Profits'!$P$33</f>
        <v>0.00488199159392176</v>
      </c>
      <c r="G25" s="566" t="n">
        <f aca="false">+'T. Profits'!G25/'T. Profits'!$Q$33</f>
        <v>-3.17087865047405E-005</v>
      </c>
      <c r="H25" s="567" t="s">
        <v>722</v>
      </c>
      <c r="I25" s="479"/>
      <c r="J25" s="479"/>
      <c r="K25" s="479" t="s">
        <v>734</v>
      </c>
      <c r="L25" s="479"/>
      <c r="M25" s="479"/>
      <c r="N25" s="479"/>
      <c r="O25" s="567" t="n">
        <f aca="false">+'T. Profits'!O25/'T. Profits'!$O$33</f>
        <v>-0.0100434134646537</v>
      </c>
      <c r="P25" s="567" t="n">
        <f aca="false">+'T. Profits'!P25/'T. Profits'!$P$33</f>
        <v>0.0228257355318461</v>
      </c>
      <c r="Q25" s="567" t="n">
        <f aca="false">+'T. Profits'!Q25/'T. Profits'!$Q$33</f>
        <v>0</v>
      </c>
      <c r="R25" s="567" t="s">
        <v>751</v>
      </c>
    </row>
    <row r="26" customFormat="false" ht="12.75" hidden="false" customHeight="false" outlineLevel="0" collapsed="false">
      <c r="A26" s="0" t="s">
        <v>752</v>
      </c>
      <c r="E26" s="566" t="n">
        <f aca="false">+'T. Profits'!E26/'T. Profits'!$O$33</f>
        <v>0</v>
      </c>
      <c r="F26" s="566" t="n">
        <f aca="false">+'T. Profits'!F26/'T. Profits'!$P$33</f>
        <v>0</v>
      </c>
      <c r="G26" s="566" t="n">
        <f aca="false">+'T. Profits'!G26/'T. Profits'!$Q$33</f>
        <v>6.34175730094809E-005</v>
      </c>
      <c r="H26" s="567" t="s">
        <v>722</v>
      </c>
      <c r="I26" s="479"/>
      <c r="J26" s="479"/>
      <c r="K26" s="479" t="s">
        <v>736</v>
      </c>
      <c r="L26" s="479"/>
      <c r="M26" s="479"/>
      <c r="N26" s="479"/>
      <c r="O26" s="567" t="n">
        <f aca="false">+'T. Profits'!O26/'T. Profits'!$O$33</f>
        <v>0.00509730231754466</v>
      </c>
      <c r="P26" s="567" t="n">
        <f aca="false">+'T. Profits'!P26/'T. Profits'!$P$33</f>
        <v>-0.00224700937601035</v>
      </c>
      <c r="Q26" s="567" t="n">
        <f aca="false">+'T. Profits'!Q26/'T. Profits'!$Q$33</f>
        <v>0</v>
      </c>
      <c r="R26" s="567" t="s">
        <v>751</v>
      </c>
    </row>
    <row r="27" customFormat="false" ht="12.75" hidden="false" customHeight="false" outlineLevel="0" collapsed="false">
      <c r="A27" s="0" t="s">
        <v>753</v>
      </c>
      <c r="E27" s="566" t="n">
        <f aca="false">+'T. Profits'!E27/'T. Profits'!$O$33</f>
        <v>0.0092442601352081</v>
      </c>
      <c r="F27" s="566" t="n">
        <f aca="false">+'T. Profits'!F27/'T. Profits'!$P$33</f>
        <v>0.00215001616553508</v>
      </c>
      <c r="G27" s="566" t="n">
        <f aca="false">+'T. Profits'!G27/'T. Profits'!$Q$33</f>
        <v>0</v>
      </c>
      <c r="H27" s="567" t="s">
        <v>722</v>
      </c>
      <c r="I27" s="479"/>
      <c r="J27" s="479"/>
      <c r="K27" s="479" t="s">
        <v>780</v>
      </c>
      <c r="L27" s="479"/>
      <c r="M27" s="479"/>
      <c r="N27" s="479"/>
      <c r="O27" s="567" t="n">
        <f aca="false">+'T. Profits'!O27/'T. Profits'!$O$33</f>
        <v>0.0174949782932677</v>
      </c>
      <c r="P27" s="567" t="n">
        <f aca="false">+'T. Profits'!P27/'T. Profits'!$P$33</f>
        <v>0.000420303912059489</v>
      </c>
      <c r="Q27" s="567" t="n">
        <f aca="false">+'T. Profits'!Q27/'T. Profits'!$Q$33</f>
        <v>0</v>
      </c>
      <c r="R27" s="567" t="s">
        <v>751</v>
      </c>
    </row>
    <row r="28" customFormat="false" ht="12.75" hidden="false" customHeight="false" outlineLevel="0" collapsed="false">
      <c r="A28" s="0" t="s">
        <v>754</v>
      </c>
      <c r="E28" s="566" t="n">
        <f aca="false">+'T. Profits'!E28/'T. Profits'!$O$33</f>
        <v>0.000367178556772285</v>
      </c>
      <c r="F28" s="566" t="n">
        <f aca="false">+'T. Profits'!F28/'T. Profits'!$P$33</f>
        <v>0</v>
      </c>
      <c r="G28" s="566" t="n">
        <f aca="false">+'T. Profits'!G28/'T. Profits'!$Q$33</f>
        <v>7.39871685110611E-005</v>
      </c>
      <c r="H28" s="567" t="s">
        <v>722</v>
      </c>
      <c r="I28" s="479"/>
      <c r="J28" s="479"/>
      <c r="K28" s="479" t="s">
        <v>781</v>
      </c>
      <c r="L28" s="479"/>
      <c r="M28" s="479"/>
      <c r="N28" s="479"/>
      <c r="O28" s="567" t="n">
        <f aca="false">+'T. Profits'!O28/'T. Profits'!$O$33</f>
        <v>0.0252705242013866</v>
      </c>
      <c r="P28" s="567" t="n">
        <f aca="false">+'T. Profits'!P28/'T. Profits'!$P$33</f>
        <v>0.00657937277723893</v>
      </c>
      <c r="Q28" s="567" t="n">
        <f aca="false">+'T. Profits'!Q28/'T. Profits'!$Q$33</f>
        <v>0.000644745325596389</v>
      </c>
      <c r="R28" s="571" t="s">
        <v>751</v>
      </c>
    </row>
    <row r="29" customFormat="false" ht="12.75" hidden="false" customHeight="false" outlineLevel="0" collapsed="false">
      <c r="A29" s="0" t="s">
        <v>755</v>
      </c>
      <c r="E29" s="566" t="n">
        <f aca="false">+'T. Profits'!E29/'T. Profits'!$O$33</f>
        <v>0</v>
      </c>
      <c r="F29" s="566" t="n">
        <f aca="false">+'T. Profits'!F29/'T. Profits'!$P$33</f>
        <v>0</v>
      </c>
      <c r="G29" s="566" t="n">
        <f aca="false">+'T. Profits'!G29/'T. Profits'!$Q$33</f>
        <v>0</v>
      </c>
      <c r="H29" s="567" t="s">
        <v>722</v>
      </c>
      <c r="I29" s="479"/>
      <c r="J29" s="479"/>
      <c r="K29" s="479" t="s">
        <v>738</v>
      </c>
      <c r="L29" s="479"/>
      <c r="M29" s="479"/>
      <c r="N29" s="479"/>
      <c r="O29" s="566" t="n">
        <f aca="false">SUM(O23:O28)</f>
        <v>0.105617831918616</v>
      </c>
      <c r="P29" s="566" t="n">
        <f aca="false">SUM(P23:P28)</f>
        <v>0.00931134820562561</v>
      </c>
      <c r="Q29" s="566" t="n">
        <f aca="false">SUM(Q23:Q28)</f>
        <v>0.00743042563761085</v>
      </c>
      <c r="R29" s="566" t="n">
        <v>0</v>
      </c>
    </row>
    <row r="30" customFormat="false" ht="12.75" hidden="false" customHeight="false" outlineLevel="0" collapsed="false">
      <c r="A30" s="0" t="s">
        <v>778</v>
      </c>
      <c r="E30" s="570" t="n">
        <f aca="false">+'T. Profits'!E30/'T. Profits'!$O$33</f>
        <v>0.148059353333765</v>
      </c>
      <c r="F30" s="570" t="n">
        <f aca="false">+'T. Profits'!F30/'T. Profits'!$P$33</f>
        <v>0.0747655997413514</v>
      </c>
      <c r="G30" s="570" t="n">
        <f aca="false">+'T. Profits'!G30/'T. Profits'!$Q$33</f>
        <v>-0.0104638995465644</v>
      </c>
      <c r="H30" s="571" t="s">
        <v>722</v>
      </c>
      <c r="I30" s="479"/>
      <c r="J30" s="479"/>
      <c r="K30" s="479"/>
      <c r="L30" s="479"/>
      <c r="M30" s="479"/>
      <c r="N30" s="479"/>
      <c r="O30" s="566"/>
      <c r="P30" s="566"/>
      <c r="Q30" s="566"/>
      <c r="R30" s="566"/>
    </row>
    <row r="31" customFormat="false" ht="12.75" hidden="false" customHeight="false" outlineLevel="0" collapsed="false">
      <c r="A31" s="0" t="s">
        <v>738</v>
      </c>
      <c r="E31" s="566" t="n">
        <f aca="false">SUM(E7:E30)</f>
        <v>0.504308948357416</v>
      </c>
      <c r="F31" s="566" t="n">
        <f aca="false">SUM(F7:F30)</f>
        <v>0.464128677659231</v>
      </c>
      <c r="G31" s="566" t="n">
        <f aca="false">SUM(G7:G30)</f>
        <v>0.54709283275729</v>
      </c>
      <c r="H31" s="567" t="n">
        <f aca="false">+'T. Profits'!H31/'T. Profits'!$R$33</f>
        <v>0.581130137284432</v>
      </c>
      <c r="I31" s="479"/>
      <c r="J31" s="479"/>
      <c r="K31" s="479" t="s">
        <v>782</v>
      </c>
      <c r="L31" s="479"/>
      <c r="M31" s="479"/>
      <c r="N31" s="479"/>
      <c r="O31" s="566" t="n">
        <f aca="false">+'T. Profits'!O31/'T. Profits'!O33</f>
        <v>0.132421866562993</v>
      </c>
      <c r="P31" s="566" t="n">
        <f aca="false">+'T. Profits'!P31/'T. Profits'!P33</f>
        <v>0.122001293242806</v>
      </c>
      <c r="Q31" s="566" t="n">
        <f aca="false">+'T. Profits'!Q31/'T. Profits'!Q33</f>
        <v>0.149052435763283</v>
      </c>
      <c r="R31" s="566" t="n">
        <f aca="false">+'T. Profits'!R31/'T. Profits'!R33</f>
        <v>0.137127734589235</v>
      </c>
    </row>
    <row r="32" customFormat="false" ht="12.75" hidden="false" customHeight="false" outlineLevel="0" collapsed="false">
      <c r="E32" s="566"/>
      <c r="F32" s="566"/>
      <c r="G32" s="566"/>
      <c r="H32" s="566"/>
      <c r="I32" s="479"/>
      <c r="J32" s="479"/>
      <c r="K32" s="479"/>
      <c r="L32" s="479"/>
      <c r="M32" s="479"/>
      <c r="N32" s="479"/>
      <c r="O32" s="566"/>
      <c r="P32" s="566"/>
      <c r="Q32" s="566"/>
      <c r="R32" s="566"/>
    </row>
    <row r="33" customFormat="false" ht="12.75" hidden="false" customHeight="false" outlineLevel="0" collapsed="false">
      <c r="A33" s="53" t="s">
        <v>757</v>
      </c>
      <c r="E33" s="566"/>
      <c r="F33" s="566"/>
      <c r="G33" s="566"/>
      <c r="H33" s="566"/>
      <c r="I33" s="479"/>
      <c r="J33" s="479"/>
      <c r="K33" s="573" t="s">
        <v>756</v>
      </c>
      <c r="L33" s="574"/>
      <c r="M33" s="574"/>
      <c r="N33" s="574"/>
      <c r="O33" s="575" t="n">
        <f aca="false">+E31+E53+O15+O20+O29+O31</f>
        <v>1</v>
      </c>
      <c r="P33" s="575" t="n">
        <f aca="false">+F31+F53+P15+P20+P29+P31</f>
        <v>1</v>
      </c>
      <c r="Q33" s="575" t="n">
        <f aca="false">+G31+G53+Q15+Q20+Q29+Q31</f>
        <v>1</v>
      </c>
      <c r="R33" s="575" t="n">
        <f aca="false">+H31+H53+R15+R20+R29+R31</f>
        <v>1</v>
      </c>
    </row>
    <row r="34" customFormat="false" ht="12.75" hidden="true" customHeight="false" outlineLevel="1" collapsed="false">
      <c r="A34" s="0" t="s">
        <v>758</v>
      </c>
      <c r="E34" s="566"/>
      <c r="F34" s="566"/>
      <c r="G34" s="566"/>
      <c r="H34" s="566"/>
      <c r="I34" s="479"/>
      <c r="J34" s="479"/>
      <c r="K34" s="479"/>
      <c r="L34" s="479"/>
      <c r="M34" s="479"/>
      <c r="N34" s="479"/>
      <c r="O34" s="569"/>
      <c r="P34" s="569"/>
      <c r="Q34" s="569"/>
      <c r="R34" s="569"/>
    </row>
    <row r="35" customFormat="false" ht="12.75" hidden="true" customHeight="false" outlineLevel="1" collapsed="false">
      <c r="A35" s="0" t="s">
        <v>759</v>
      </c>
      <c r="E35" s="566"/>
      <c r="F35" s="566"/>
      <c r="G35" s="566"/>
      <c r="H35" s="566"/>
      <c r="I35" s="479"/>
      <c r="J35" s="479"/>
      <c r="K35" s="479"/>
      <c r="L35" s="479"/>
      <c r="M35" s="479"/>
      <c r="N35" s="479"/>
      <c r="O35" s="479"/>
      <c r="P35" s="479"/>
      <c r="Q35" s="479"/>
      <c r="R35" s="479"/>
    </row>
    <row r="36" customFormat="false" ht="12.75" hidden="true" customHeight="false" outlineLevel="1" collapsed="false">
      <c r="A36" s="0" t="s">
        <v>760</v>
      </c>
      <c r="E36" s="566"/>
      <c r="F36" s="566"/>
      <c r="G36" s="566"/>
      <c r="H36" s="566"/>
      <c r="I36" s="479"/>
      <c r="J36" s="479"/>
      <c r="K36" s="479"/>
      <c r="L36" s="479"/>
      <c r="M36" s="479"/>
      <c r="N36" s="479"/>
      <c r="O36" s="479"/>
      <c r="P36" s="479"/>
      <c r="Q36" s="479"/>
      <c r="R36" s="479"/>
    </row>
    <row r="37" customFormat="false" ht="12.75" hidden="true" customHeight="false" outlineLevel="1" collapsed="false">
      <c r="A37" s="0" t="s">
        <v>761</v>
      </c>
      <c r="E37" s="566"/>
      <c r="F37" s="566"/>
      <c r="G37" s="566"/>
      <c r="H37" s="566"/>
      <c r="I37" s="479"/>
      <c r="J37" s="479"/>
      <c r="K37" s="479"/>
      <c r="L37" s="479"/>
      <c r="M37" s="479"/>
      <c r="N37" s="479"/>
      <c r="O37" s="479"/>
      <c r="P37" s="479"/>
      <c r="Q37" s="479"/>
      <c r="R37" s="479"/>
    </row>
    <row r="38" customFormat="false" ht="12.75" hidden="true" customHeight="false" outlineLevel="1" collapsed="false">
      <c r="A38" s="0" t="s">
        <v>762</v>
      </c>
      <c r="E38" s="566"/>
      <c r="F38" s="566"/>
      <c r="G38" s="566"/>
      <c r="H38" s="566"/>
      <c r="I38" s="479"/>
      <c r="J38" s="479"/>
      <c r="K38" s="479"/>
      <c r="L38" s="479"/>
      <c r="M38" s="479"/>
      <c r="N38" s="479"/>
      <c r="O38" s="479"/>
      <c r="P38" s="479"/>
      <c r="Q38" s="479"/>
      <c r="R38" s="479"/>
    </row>
    <row r="39" customFormat="false" ht="12.75" hidden="true" customHeight="false" outlineLevel="1" collapsed="false">
      <c r="A39" s="0" t="s">
        <v>763</v>
      </c>
      <c r="E39" s="566"/>
      <c r="F39" s="566"/>
      <c r="G39" s="566"/>
      <c r="H39" s="566"/>
      <c r="I39" s="479"/>
      <c r="J39" s="479"/>
      <c r="K39" s="479"/>
      <c r="L39" s="479"/>
      <c r="M39" s="479"/>
      <c r="N39" s="479"/>
      <c r="O39" s="479"/>
      <c r="P39" s="479"/>
      <c r="Q39" s="479"/>
      <c r="R39" s="479"/>
    </row>
    <row r="40" customFormat="false" ht="12.75" hidden="true" customHeight="false" outlineLevel="1" collapsed="false">
      <c r="A40" s="0" t="s">
        <v>764</v>
      </c>
      <c r="E40" s="566"/>
      <c r="F40" s="566"/>
      <c r="G40" s="566"/>
      <c r="H40" s="566"/>
      <c r="I40" s="479"/>
      <c r="J40" s="479"/>
      <c r="K40" s="479"/>
      <c r="L40" s="479"/>
      <c r="M40" s="479"/>
      <c r="N40" s="479"/>
      <c r="O40" s="479"/>
      <c r="P40" s="479"/>
      <c r="Q40" s="479"/>
      <c r="R40" s="479"/>
    </row>
    <row r="41" customFormat="false" ht="12.75" hidden="true" customHeight="false" outlineLevel="1" collapsed="false">
      <c r="A41" s="0" t="s">
        <v>765</v>
      </c>
      <c r="E41" s="566"/>
      <c r="F41" s="566"/>
      <c r="G41" s="566"/>
      <c r="H41" s="566"/>
      <c r="I41" s="479"/>
      <c r="J41" s="479"/>
      <c r="K41" s="479"/>
      <c r="L41" s="479"/>
      <c r="M41" s="479"/>
      <c r="N41" s="479"/>
      <c r="O41" s="479"/>
      <c r="P41" s="479"/>
      <c r="Q41" s="479"/>
      <c r="R41" s="479"/>
    </row>
    <row r="42" customFormat="false" ht="12.75" hidden="true" customHeight="false" outlineLevel="1" collapsed="false">
      <c r="A42" s="0" t="s">
        <v>766</v>
      </c>
      <c r="E42" s="566"/>
      <c r="F42" s="566"/>
      <c r="G42" s="566"/>
      <c r="H42" s="566"/>
      <c r="I42" s="479"/>
      <c r="J42" s="479"/>
      <c r="K42" s="479"/>
      <c r="L42" s="479"/>
      <c r="M42" s="479"/>
      <c r="N42" s="479"/>
      <c r="O42" s="479"/>
      <c r="P42" s="479"/>
      <c r="Q42" s="479"/>
      <c r="R42" s="479"/>
    </row>
    <row r="43" customFormat="false" ht="12.75" hidden="true" customHeight="false" outlineLevel="1" collapsed="false">
      <c r="A43" s="0" t="s">
        <v>767</v>
      </c>
      <c r="E43" s="566"/>
      <c r="F43" s="566"/>
      <c r="G43" s="566"/>
      <c r="H43" s="566"/>
      <c r="I43" s="479"/>
      <c r="J43" s="479"/>
      <c r="K43" s="479"/>
      <c r="L43" s="479"/>
      <c r="M43" s="479"/>
      <c r="N43" s="479"/>
      <c r="O43" s="479"/>
      <c r="P43" s="479"/>
      <c r="Q43" s="479"/>
      <c r="R43" s="479"/>
    </row>
    <row r="44" customFormat="false" ht="12.75" hidden="true" customHeight="false" outlineLevel="1" collapsed="false">
      <c r="A44" s="0" t="s">
        <v>768</v>
      </c>
      <c r="E44" s="566"/>
      <c r="F44" s="566"/>
      <c r="G44" s="566"/>
      <c r="H44" s="566"/>
      <c r="I44" s="479"/>
      <c r="J44" s="479"/>
      <c r="K44" s="479"/>
      <c r="L44" s="479"/>
      <c r="M44" s="479"/>
      <c r="N44" s="479"/>
      <c r="O44" s="479"/>
      <c r="P44" s="479"/>
      <c r="Q44" s="479"/>
      <c r="R44" s="479"/>
    </row>
    <row r="45" customFormat="false" ht="12.75" hidden="true" customHeight="false" outlineLevel="1" collapsed="false">
      <c r="A45" s="0" t="s">
        <v>769</v>
      </c>
      <c r="E45" s="566"/>
      <c r="F45" s="566"/>
      <c r="G45" s="566"/>
      <c r="H45" s="566"/>
      <c r="I45" s="479"/>
      <c r="J45" s="479"/>
      <c r="K45" s="479"/>
      <c r="L45" s="479"/>
      <c r="M45" s="479"/>
      <c r="N45" s="479"/>
      <c r="O45" s="479"/>
      <c r="P45" s="479"/>
      <c r="Q45" s="479"/>
      <c r="R45" s="479"/>
    </row>
    <row r="46" customFormat="false" ht="12.75" hidden="true" customHeight="false" outlineLevel="1" collapsed="false">
      <c r="A46" s="0" t="s">
        <v>770</v>
      </c>
      <c r="E46" s="566"/>
      <c r="F46" s="566"/>
      <c r="G46" s="566"/>
      <c r="H46" s="566"/>
      <c r="I46" s="479"/>
      <c r="J46" s="479"/>
      <c r="K46" s="479"/>
      <c r="L46" s="479"/>
      <c r="M46" s="479"/>
      <c r="N46" s="479"/>
      <c r="O46" s="479"/>
      <c r="P46" s="479"/>
      <c r="Q46" s="479"/>
      <c r="R46" s="479"/>
    </row>
    <row r="47" customFormat="false" ht="12.75" hidden="true" customHeight="false" outlineLevel="1" collapsed="false">
      <c r="A47" s="0" t="s">
        <v>771</v>
      </c>
      <c r="E47" s="566"/>
      <c r="F47" s="566"/>
      <c r="G47" s="566"/>
      <c r="H47" s="566"/>
      <c r="I47" s="479"/>
      <c r="J47" s="479"/>
      <c r="K47" s="479"/>
      <c r="L47" s="479"/>
      <c r="M47" s="479"/>
      <c r="N47" s="479"/>
      <c r="O47" s="479"/>
      <c r="P47" s="479"/>
      <c r="Q47" s="479"/>
      <c r="R47" s="479"/>
    </row>
    <row r="48" customFormat="false" ht="12.75" hidden="true" customHeight="false" outlineLevel="1" collapsed="false">
      <c r="A48" s="0" t="s">
        <v>772</v>
      </c>
      <c r="E48" s="566"/>
      <c r="F48" s="566"/>
      <c r="G48" s="566"/>
      <c r="H48" s="566"/>
      <c r="I48" s="479"/>
      <c r="J48" s="479"/>
      <c r="K48" s="479"/>
      <c r="L48" s="479"/>
      <c r="M48" s="479"/>
      <c r="N48" s="479"/>
      <c r="O48" s="479"/>
      <c r="P48" s="479"/>
      <c r="Q48" s="479"/>
      <c r="R48" s="479"/>
    </row>
    <row r="49" customFormat="false" ht="12.75" hidden="true" customHeight="false" outlineLevel="1" collapsed="false">
      <c r="A49" s="0" t="s">
        <v>773</v>
      </c>
      <c r="E49" s="566"/>
      <c r="F49" s="566"/>
      <c r="G49" s="566"/>
      <c r="H49" s="566"/>
      <c r="I49" s="479"/>
      <c r="J49" s="479"/>
      <c r="K49" s="479"/>
      <c r="L49" s="479"/>
      <c r="M49" s="479"/>
      <c r="N49" s="479"/>
      <c r="O49" s="479"/>
      <c r="P49" s="479"/>
      <c r="Q49" s="479"/>
      <c r="R49" s="479"/>
    </row>
    <row r="50" customFormat="false" ht="12.75" hidden="true" customHeight="false" outlineLevel="1" collapsed="false">
      <c r="A50" s="0" t="s">
        <v>774</v>
      </c>
      <c r="E50" s="566"/>
      <c r="F50" s="566"/>
      <c r="G50" s="566"/>
      <c r="H50" s="566"/>
      <c r="I50" s="479"/>
      <c r="J50" s="479"/>
      <c r="K50" s="479"/>
      <c r="L50" s="479"/>
      <c r="M50" s="479"/>
      <c r="N50" s="479"/>
      <c r="O50" s="479"/>
      <c r="P50" s="479"/>
      <c r="Q50" s="479"/>
      <c r="R50" s="479"/>
    </row>
    <row r="51" customFormat="false" ht="12.75" hidden="true" customHeight="false" outlineLevel="1" collapsed="false">
      <c r="A51" s="0" t="s">
        <v>775</v>
      </c>
      <c r="E51" s="566"/>
      <c r="F51" s="566"/>
      <c r="G51" s="566"/>
      <c r="H51" s="566"/>
      <c r="I51" s="479"/>
      <c r="J51" s="479"/>
      <c r="K51" s="479"/>
      <c r="L51" s="479"/>
      <c r="M51" s="479"/>
      <c r="N51" s="479"/>
      <c r="O51" s="479"/>
      <c r="P51" s="479"/>
      <c r="Q51" s="479"/>
      <c r="R51" s="479"/>
    </row>
    <row r="52" customFormat="false" ht="12.75" hidden="true" customHeight="false" outlineLevel="1" collapsed="false">
      <c r="A52" s="0" t="s">
        <v>776</v>
      </c>
      <c r="E52" s="570"/>
      <c r="F52" s="570"/>
      <c r="G52" s="570"/>
      <c r="H52" s="570"/>
      <c r="I52" s="479"/>
      <c r="J52" s="479"/>
      <c r="K52" s="479"/>
      <c r="L52" s="479"/>
      <c r="M52" s="479"/>
      <c r="N52" s="479"/>
      <c r="O52" s="479"/>
      <c r="P52" s="479"/>
      <c r="Q52" s="479"/>
      <c r="R52" s="479"/>
    </row>
    <row r="53" customFormat="false" ht="12.75" hidden="false" customHeight="false" outlineLevel="0" collapsed="false">
      <c r="A53" s="0" t="s">
        <v>738</v>
      </c>
      <c r="E53" s="566" t="n">
        <f aca="false">+'T. Profits'!E53/'T. Profits'!$O$33</f>
        <v>0.0682088166051103</v>
      </c>
      <c r="F53" s="566" t="n">
        <f aca="false">+'T. Profits'!F53/'T. Profits'!$P$33</f>
        <v>0.216472680245716</v>
      </c>
      <c r="G53" s="566" t="n">
        <f aca="false">+'T. Profits'!G53/'T. Profits'!$Q$33</f>
        <v>0.122765851750854</v>
      </c>
      <c r="H53" s="567" t="n">
        <f aca="false">+'T. Profits'!H53/'T. Profits'!$R$33</f>
        <v>0.121875843337309</v>
      </c>
      <c r="I53" s="479"/>
      <c r="J53" s="479"/>
      <c r="K53" s="479"/>
      <c r="L53" s="479"/>
      <c r="M53" s="479"/>
      <c r="N53" s="479"/>
      <c r="O53" s="479"/>
      <c r="P53" s="479"/>
      <c r="Q53" s="479"/>
      <c r="R53" s="479"/>
    </row>
    <row r="54" customFormat="false" ht="12.75" hidden="false" customHeight="false" outlineLevel="0" collapsed="false">
      <c r="E54" s="569"/>
      <c r="F54" s="569"/>
      <c r="G54" s="569"/>
      <c r="H54" s="569"/>
      <c r="I54" s="479"/>
      <c r="J54" s="479"/>
      <c r="K54" s="479"/>
      <c r="L54" s="479"/>
      <c r="M54" s="479"/>
      <c r="N54" s="479"/>
      <c r="O54" s="479"/>
      <c r="P54" s="479"/>
      <c r="Q54" s="479"/>
      <c r="R54" s="479"/>
    </row>
    <row r="55" customFormat="false" ht="12.75" hidden="false" customHeight="false" outlineLevel="0" collapsed="false">
      <c r="O55" s="479"/>
      <c r="P55" s="479"/>
      <c r="Q55" s="479"/>
    </row>
  </sheetData>
  <mergeCells count="1">
    <mergeCell ref="A1:R1"/>
  </mergeCells>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U3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2.7"/>
    <col collapsed="false" customWidth="true" hidden="false" outlineLevel="0" max="2" min="2" style="0" width="10.71"/>
    <col collapsed="false" customWidth="true" hidden="false" outlineLevel="0" max="3" min="3" style="0" width="11.85"/>
    <col collapsed="false" customWidth="true" hidden="false" outlineLevel="0" max="4" min="4" style="0" width="8.41"/>
    <col collapsed="false" customWidth="true" hidden="false" outlineLevel="0" max="5" min="5" style="0" width="2.28"/>
    <col collapsed="false" customWidth="true" hidden="false" outlineLevel="0" max="7" min="7" style="0" width="1.7"/>
    <col collapsed="false" customWidth="true" hidden="false" outlineLevel="0" max="8" min="8" style="0" width="13.85"/>
    <col collapsed="false" customWidth="true" hidden="false" outlineLevel="0" max="9" min="9" style="0" width="2.13"/>
    <col collapsed="false" customWidth="true" hidden="false" outlineLevel="0" max="10" min="10" style="0" width="11.28"/>
    <col collapsed="false" customWidth="true" hidden="false" outlineLevel="0" max="11" min="11" style="0" width="1.56"/>
    <col collapsed="false" customWidth="true" hidden="false" outlineLevel="0" max="12" min="12" style="0" width="12.14"/>
    <col collapsed="false" customWidth="true" hidden="false" outlineLevel="0" max="13" min="13" style="0" width="13.14"/>
    <col collapsed="false" customWidth="true" hidden="false" outlineLevel="0" max="14" min="14" style="0" width="11.56"/>
    <col collapsed="false" customWidth="true" hidden="false" outlineLevel="0" max="15" min="15" style="0" width="11.28"/>
    <col collapsed="false" customWidth="true" hidden="false" outlineLevel="0" max="16" min="16" style="0" width="2.56"/>
    <col collapsed="false" customWidth="true" hidden="false" outlineLevel="0" max="17" min="17" style="0" width="11.99"/>
    <col collapsed="false" customWidth="true" hidden="false" outlineLevel="0" max="19" min="18" style="0" width="10.13"/>
    <col collapsed="false" customWidth="true" hidden="false" outlineLevel="0" max="20" min="20" style="0" width="9.85"/>
  </cols>
  <sheetData>
    <row r="2" customFormat="false" ht="18" hidden="false" customHeight="false" outlineLevel="0" collapsed="false">
      <c r="B2" s="110" t="s">
        <v>785</v>
      </c>
    </row>
    <row r="4" customFormat="false" ht="63.75" hidden="false" customHeight="false" outlineLevel="0" collapsed="false">
      <c r="A4" s="577"/>
      <c r="B4" s="577"/>
      <c r="C4" s="577"/>
      <c r="D4" s="577"/>
      <c r="E4" s="577"/>
      <c r="F4" s="578" t="s">
        <v>786</v>
      </c>
      <c r="G4" s="578"/>
      <c r="H4" s="578" t="s">
        <v>787</v>
      </c>
      <c r="I4" s="578"/>
      <c r="J4" s="578" t="s">
        <v>788</v>
      </c>
      <c r="K4" s="578"/>
      <c r="L4" s="578" t="s">
        <v>789</v>
      </c>
      <c r="M4" s="578" t="s">
        <v>790</v>
      </c>
      <c r="N4" s="578" t="s">
        <v>791</v>
      </c>
      <c r="O4" s="578" t="s">
        <v>792</v>
      </c>
      <c r="P4" s="578"/>
      <c r="Q4" s="578" t="s">
        <v>793</v>
      </c>
      <c r="R4" s="578" t="s">
        <v>794</v>
      </c>
      <c r="S4" s="578" t="s">
        <v>795</v>
      </c>
      <c r="T4" s="578" t="s">
        <v>796</v>
      </c>
      <c r="U4" s="418"/>
    </row>
    <row r="5" customFormat="false" ht="15.75" hidden="false" customHeight="false" outlineLevel="0" collapsed="false">
      <c r="A5" s="58"/>
      <c r="B5" s="579" t="s">
        <v>797</v>
      </c>
      <c r="C5" s="58"/>
      <c r="D5" s="58"/>
      <c r="E5" s="58"/>
      <c r="F5" s="58"/>
      <c r="G5" s="58"/>
      <c r="H5" s="58"/>
      <c r="I5" s="58"/>
      <c r="J5" s="58"/>
      <c r="K5" s="58"/>
      <c r="L5" s="58"/>
      <c r="M5" s="58"/>
      <c r="N5" s="58"/>
      <c r="O5" s="58"/>
      <c r="P5" s="58"/>
      <c r="Q5" s="58"/>
      <c r="R5" s="58"/>
      <c r="S5" s="58"/>
      <c r="T5" s="58"/>
    </row>
    <row r="6" customFormat="false" ht="12.75" hidden="false" customHeight="false" outlineLevel="0" collapsed="false">
      <c r="B6" s="0" t="s">
        <v>798</v>
      </c>
      <c r="C6" s="7"/>
      <c r="D6" s="7"/>
      <c r="E6" s="7"/>
      <c r="F6" s="7" t="n">
        <v>9</v>
      </c>
      <c r="G6" s="7"/>
      <c r="H6" s="123" t="n">
        <v>2140366</v>
      </c>
      <c r="J6" s="123" t="n">
        <v>237818</v>
      </c>
      <c r="L6" s="123"/>
      <c r="M6" s="123" t="n">
        <v>2230295</v>
      </c>
      <c r="N6" s="123" t="n">
        <v>734483</v>
      </c>
      <c r="O6" s="123" t="n">
        <v>262076</v>
      </c>
      <c r="Q6" s="123" t="n">
        <f aca="false">L6/$F6</f>
        <v>0</v>
      </c>
      <c r="R6" s="123" t="n">
        <f aca="false">M6/$F6</f>
        <v>247810.555555556</v>
      </c>
      <c r="S6" s="123" t="n">
        <f aca="false">N6/$F6</f>
        <v>81609.2222222222</v>
      </c>
      <c r="T6" s="123" t="n">
        <f aca="false">O6/$F6</f>
        <v>29119.5555555556</v>
      </c>
    </row>
    <row r="7" customFormat="false" ht="12.75" hidden="false" customHeight="false" outlineLevel="0" collapsed="false">
      <c r="B7" s="0" t="s">
        <v>799</v>
      </c>
      <c r="C7" s="580"/>
      <c r="D7" s="7"/>
      <c r="E7" s="7"/>
      <c r="F7" s="7" t="n">
        <v>24</v>
      </c>
      <c r="G7" s="7"/>
      <c r="H7" s="67" t="n">
        <v>1855250</v>
      </c>
      <c r="J7" s="67" t="n">
        <v>77302</v>
      </c>
      <c r="K7" s="67"/>
      <c r="L7" s="67"/>
      <c r="M7" s="67" t="n">
        <v>593615</v>
      </c>
      <c r="N7" s="67" t="n">
        <v>186929</v>
      </c>
      <c r="O7" s="67" t="n">
        <v>167522</v>
      </c>
      <c r="P7" s="67"/>
      <c r="Q7" s="67" t="n">
        <f aca="false">L7/$F7</f>
        <v>0</v>
      </c>
      <c r="R7" s="67" t="n">
        <f aca="false">M7/$F7</f>
        <v>24733.9583333333</v>
      </c>
      <c r="S7" s="67" t="n">
        <f aca="false">N7/$F7</f>
        <v>7788.70833333333</v>
      </c>
      <c r="T7" s="67" t="n">
        <f aca="false">O7/$F7</f>
        <v>6980.08333333333</v>
      </c>
    </row>
    <row r="8" customFormat="false" ht="12.75" hidden="false" customHeight="false" outlineLevel="0" collapsed="false">
      <c r="B8" s="0" t="s">
        <v>800</v>
      </c>
      <c r="C8" s="580"/>
      <c r="D8" s="7"/>
      <c r="E8" s="7"/>
      <c r="F8" s="7" t="n">
        <v>73</v>
      </c>
      <c r="G8" s="7"/>
      <c r="H8" s="67" t="n">
        <v>1989013</v>
      </c>
      <c r="J8" s="67" t="n">
        <v>27247</v>
      </c>
      <c r="L8" s="67"/>
      <c r="M8" s="67" t="n">
        <v>340135</v>
      </c>
      <c r="N8" s="67" t="n">
        <v>107906</v>
      </c>
      <c r="O8" s="67" t="n">
        <v>72035</v>
      </c>
      <c r="Q8" s="67" t="n">
        <f aca="false">L8/$F8</f>
        <v>0</v>
      </c>
      <c r="R8" s="67" t="n">
        <f aca="false">M8/$F8</f>
        <v>4659.38356164384</v>
      </c>
      <c r="S8" s="67" t="n">
        <f aca="false">N8/$F8</f>
        <v>1478.16438356164</v>
      </c>
      <c r="T8" s="67" t="n">
        <f aca="false">O8/$F8</f>
        <v>986.780821917808</v>
      </c>
    </row>
    <row r="9" customFormat="false" ht="12.75" hidden="false" customHeight="false" outlineLevel="0" collapsed="false">
      <c r="B9" s="0" t="s">
        <v>801</v>
      </c>
      <c r="C9" s="580"/>
      <c r="D9" s="7"/>
      <c r="E9" s="7"/>
      <c r="F9" s="124" t="n">
        <v>13</v>
      </c>
      <c r="G9" s="124"/>
      <c r="H9" s="297" t="n">
        <v>667411</v>
      </c>
      <c r="I9" s="480"/>
      <c r="J9" s="297" t="n">
        <v>51339</v>
      </c>
      <c r="K9" s="480"/>
      <c r="L9" s="297"/>
      <c r="M9" s="297" t="n">
        <v>76750</v>
      </c>
      <c r="N9" s="297" t="n">
        <v>48500</v>
      </c>
      <c r="O9" s="297" t="n">
        <v>35300</v>
      </c>
      <c r="P9" s="480"/>
      <c r="Q9" s="297" t="n">
        <f aca="false">L9/$F9</f>
        <v>0</v>
      </c>
      <c r="R9" s="297" t="n">
        <f aca="false">M9/$F9</f>
        <v>5903.84615384615</v>
      </c>
      <c r="S9" s="297" t="n">
        <f aca="false">N9/$F9</f>
        <v>3730.76923076923</v>
      </c>
      <c r="T9" s="297" t="n">
        <f aca="false">O9/$F9</f>
        <v>2715.38461538462</v>
      </c>
    </row>
    <row r="10" customFormat="false" ht="12.75" hidden="false" customHeight="false" outlineLevel="0" collapsed="false">
      <c r="B10" s="581" t="s">
        <v>802</v>
      </c>
      <c r="C10" s="580"/>
      <c r="D10" s="7"/>
      <c r="E10" s="7"/>
      <c r="F10" s="7" t="n">
        <f aca="false">SUM(F6:F9)</f>
        <v>119</v>
      </c>
      <c r="G10" s="7"/>
      <c r="H10" s="123" t="n">
        <f aca="false">SUM(H6:H9)</f>
        <v>6652040</v>
      </c>
      <c r="J10" s="123" t="n">
        <f aca="false">H10/F10</f>
        <v>55899.4957983193</v>
      </c>
      <c r="L10" s="123" t="n">
        <v>11297000</v>
      </c>
      <c r="M10" s="123" t="n">
        <f aca="false">SUM(M6:M9)</f>
        <v>3240795</v>
      </c>
      <c r="N10" s="123" t="n">
        <f aca="false">SUM(N6:N9)</f>
        <v>1077818</v>
      </c>
      <c r="O10" s="123" t="n">
        <f aca="false">SUM(O6:O9)</f>
        <v>536933</v>
      </c>
      <c r="Q10" s="123" t="n">
        <f aca="false">L10/$F10</f>
        <v>94932.7731092437</v>
      </c>
      <c r="R10" s="123" t="n">
        <f aca="false">M10/$F10</f>
        <v>27233.5714285714</v>
      </c>
      <c r="S10" s="123" t="n">
        <f aca="false">N10/$F10</f>
        <v>9057.29411764706</v>
      </c>
      <c r="T10" s="123" t="n">
        <f aca="false">O10/$F10</f>
        <v>4512.04201680672</v>
      </c>
    </row>
    <row r="11" customFormat="false" ht="12.75" hidden="false" customHeight="false" outlineLevel="0" collapsed="false">
      <c r="B11" s="58"/>
      <c r="C11" s="580"/>
      <c r="D11" s="7"/>
      <c r="E11" s="7"/>
      <c r="F11" s="7"/>
      <c r="G11" s="7"/>
    </row>
    <row r="12" customFormat="false" ht="15.75" hidden="false" customHeight="false" outlineLevel="0" collapsed="false">
      <c r="A12" s="58"/>
      <c r="B12" s="579" t="s">
        <v>803</v>
      </c>
      <c r="C12" s="284"/>
      <c r="D12" s="89"/>
      <c r="E12" s="89"/>
      <c r="F12" s="89"/>
      <c r="G12" s="89"/>
      <c r="H12" s="58"/>
      <c r="I12" s="58"/>
      <c r="J12" s="58"/>
      <c r="K12" s="58"/>
      <c r="L12" s="58"/>
      <c r="M12" s="58"/>
      <c r="N12" s="58"/>
      <c r="O12" s="58"/>
      <c r="P12" s="58"/>
      <c r="Q12" s="58"/>
      <c r="R12" s="58"/>
      <c r="S12" s="58"/>
      <c r="T12" s="58"/>
    </row>
    <row r="13" customFormat="false" ht="12.75" hidden="false" customHeight="false" outlineLevel="0" collapsed="false">
      <c r="B13" s="58" t="s">
        <v>804</v>
      </c>
      <c r="C13" s="580"/>
      <c r="D13" s="7"/>
      <c r="E13" s="7"/>
      <c r="F13" s="7" t="n">
        <v>5</v>
      </c>
      <c r="G13" s="7"/>
      <c r="H13" s="123" t="n">
        <v>903535</v>
      </c>
      <c r="J13" s="123" t="n">
        <f aca="false">H13/F13</f>
        <v>180707</v>
      </c>
      <c r="L13" s="123"/>
      <c r="M13" s="123" t="n">
        <v>100000</v>
      </c>
      <c r="N13" s="123" t="n">
        <v>360000</v>
      </c>
      <c r="O13" s="123" t="n">
        <v>0</v>
      </c>
      <c r="Q13" s="123" t="n">
        <f aca="false">L13/$F13</f>
        <v>0</v>
      </c>
      <c r="R13" s="123" t="n">
        <f aca="false">M13/$F13</f>
        <v>20000</v>
      </c>
      <c r="S13" s="123" t="n">
        <f aca="false">N13/$F13</f>
        <v>72000</v>
      </c>
      <c r="T13" s="123" t="n">
        <f aca="false">O13/$F13</f>
        <v>0</v>
      </c>
    </row>
    <row r="14" customFormat="false" ht="12.75" hidden="false" customHeight="false" outlineLevel="0" collapsed="false">
      <c r="B14" s="58" t="s">
        <v>800</v>
      </c>
      <c r="C14" s="580"/>
      <c r="D14" s="7"/>
      <c r="E14" s="7"/>
      <c r="F14" s="7" t="n">
        <v>3</v>
      </c>
      <c r="G14" s="7"/>
      <c r="H14" s="67" t="n">
        <v>155492</v>
      </c>
      <c r="J14" s="67" t="n">
        <f aca="false">H14/F14</f>
        <v>51830.6666666667</v>
      </c>
      <c r="L14" s="67"/>
      <c r="M14" s="67" t="n">
        <v>23000</v>
      </c>
      <c r="N14" s="67" t="n">
        <v>83500</v>
      </c>
      <c r="O14" s="67" t="n">
        <v>3500</v>
      </c>
      <c r="Q14" s="67" t="n">
        <f aca="false">L14/$F14</f>
        <v>0</v>
      </c>
      <c r="R14" s="67" t="n">
        <f aca="false">M14/$F14</f>
        <v>7666.66666666667</v>
      </c>
      <c r="S14" s="67" t="n">
        <f aca="false">N14/$F14</f>
        <v>27833.3333333333</v>
      </c>
      <c r="T14" s="67" t="n">
        <f aca="false">O14/$F14</f>
        <v>1166.66666666667</v>
      </c>
    </row>
    <row r="15" customFormat="false" ht="13.5" hidden="false" customHeight="false" outlineLevel="0" collapsed="false">
      <c r="B15" s="58" t="s">
        <v>801</v>
      </c>
      <c r="C15" s="580"/>
      <c r="D15" s="7"/>
      <c r="E15" s="7"/>
      <c r="F15" s="124" t="n">
        <v>2</v>
      </c>
      <c r="G15" s="124"/>
      <c r="H15" s="297" t="n">
        <v>63006</v>
      </c>
      <c r="I15" s="480"/>
      <c r="J15" s="297" t="n">
        <f aca="false">H15/F15</f>
        <v>31503</v>
      </c>
      <c r="K15" s="480"/>
      <c r="L15" s="297"/>
      <c r="M15" s="297" t="n">
        <v>0</v>
      </c>
      <c r="N15" s="297" t="n">
        <v>0</v>
      </c>
      <c r="O15" s="297" t="n">
        <v>0</v>
      </c>
      <c r="P15" s="480"/>
      <c r="Q15" s="297" t="n">
        <f aca="false">L15/$F15</f>
        <v>0</v>
      </c>
      <c r="R15" s="297" t="n">
        <f aca="false">M15/$F15</f>
        <v>0</v>
      </c>
      <c r="S15" s="297" t="n">
        <f aca="false">N15/$F15</f>
        <v>0</v>
      </c>
      <c r="T15" s="297" t="n">
        <f aca="false">O15/$F15</f>
        <v>0</v>
      </c>
    </row>
    <row r="16" customFormat="false" ht="13.5" hidden="false" customHeight="false" outlineLevel="0" collapsed="false">
      <c r="B16" s="582" t="s">
        <v>805</v>
      </c>
      <c r="C16" s="580"/>
      <c r="D16" s="7"/>
      <c r="E16" s="7"/>
      <c r="F16" s="7" t="n">
        <f aca="false">SUM(F13:F15)</f>
        <v>10</v>
      </c>
      <c r="G16" s="7"/>
      <c r="H16" s="583" t="n">
        <f aca="false">SUM(H11:H15)</f>
        <v>1122033</v>
      </c>
      <c r="J16" s="123" t="n">
        <f aca="false">H16/F16</f>
        <v>112203.3</v>
      </c>
      <c r="L16" s="123" t="n">
        <f aca="false">SUM(L12:L15)</f>
        <v>0</v>
      </c>
      <c r="M16" s="123" t="n">
        <f aca="false">SUM(M12:M15)</f>
        <v>123000</v>
      </c>
      <c r="N16" s="123" t="n">
        <f aca="false">SUM(N12:N15)</f>
        <v>443500</v>
      </c>
      <c r="O16" s="123" t="n">
        <f aca="false">SUM(O12:O15)</f>
        <v>3500</v>
      </c>
      <c r="Q16" s="123" t="n">
        <f aca="false">L16/$F16</f>
        <v>0</v>
      </c>
      <c r="R16" s="123" t="n">
        <f aca="false">M16/$F16</f>
        <v>12300</v>
      </c>
      <c r="S16" s="123" t="n">
        <f aca="false">N16/$F16</f>
        <v>44350</v>
      </c>
      <c r="T16" s="123" t="n">
        <f aca="false">O16/$F16</f>
        <v>350</v>
      </c>
    </row>
    <row r="17" customFormat="false" ht="12.75" hidden="false" customHeight="false" outlineLevel="0" collapsed="false">
      <c r="B17" s="58"/>
      <c r="C17" s="580"/>
      <c r="D17" s="7"/>
      <c r="E17" s="7"/>
      <c r="F17" s="7"/>
      <c r="G17" s="7"/>
    </row>
    <row r="18" customFormat="false" ht="15.75" hidden="false" customHeight="false" outlineLevel="0" collapsed="false">
      <c r="B18" s="579" t="s">
        <v>806</v>
      </c>
      <c r="C18" s="580"/>
      <c r="D18" s="7"/>
      <c r="E18" s="7"/>
      <c r="F18" s="7"/>
      <c r="G18" s="7"/>
    </row>
    <row r="19" customFormat="false" ht="12.75" hidden="false" customHeight="false" outlineLevel="0" collapsed="false">
      <c r="B19" s="58" t="s">
        <v>804</v>
      </c>
      <c r="C19" s="580"/>
      <c r="D19" s="7"/>
      <c r="E19" s="7"/>
      <c r="F19" s="7" t="n">
        <v>8</v>
      </c>
      <c r="G19" s="7"/>
      <c r="H19" s="123" t="n">
        <v>1801894</v>
      </c>
      <c r="J19" s="123" t="n">
        <f aca="false">H19/F19</f>
        <v>225236.75</v>
      </c>
      <c r="L19" s="123"/>
      <c r="M19" s="123" t="n">
        <v>1837000</v>
      </c>
      <c r="N19" s="123" t="n">
        <v>0</v>
      </c>
      <c r="O19" s="123" t="n">
        <v>10000</v>
      </c>
      <c r="Q19" s="123" t="n">
        <f aca="false">L19/$F19</f>
        <v>0</v>
      </c>
      <c r="R19" s="123" t="n">
        <f aca="false">M19/$F19</f>
        <v>229625</v>
      </c>
      <c r="S19" s="123" t="n">
        <f aca="false">N19/$F19</f>
        <v>0</v>
      </c>
      <c r="T19" s="123" t="n">
        <f aca="false">O19/$F19</f>
        <v>1250</v>
      </c>
    </row>
    <row r="20" customFormat="false" ht="12.75" hidden="false" customHeight="false" outlineLevel="0" collapsed="false">
      <c r="B20" s="58" t="s">
        <v>800</v>
      </c>
      <c r="C20" s="580"/>
      <c r="D20" s="7"/>
      <c r="E20" s="7"/>
      <c r="F20" s="7" t="n">
        <v>7</v>
      </c>
      <c r="G20" s="7"/>
      <c r="H20" s="67" t="n">
        <v>474426</v>
      </c>
      <c r="J20" s="67" t="n">
        <f aca="false">H20/F20</f>
        <v>67775.1428571429</v>
      </c>
      <c r="L20" s="67"/>
      <c r="M20" s="67" t="n">
        <v>55000</v>
      </c>
      <c r="N20" s="67" t="n">
        <v>0</v>
      </c>
      <c r="O20" s="67" t="n">
        <v>3000</v>
      </c>
      <c r="Q20" s="67" t="n">
        <f aca="false">L20/$F20</f>
        <v>0</v>
      </c>
      <c r="R20" s="67" t="n">
        <f aca="false">M20/$F20</f>
        <v>7857.14285714286</v>
      </c>
      <c r="S20" s="67" t="n">
        <f aca="false">N20/$F20</f>
        <v>0</v>
      </c>
      <c r="T20" s="67" t="n">
        <f aca="false">O20/$F20</f>
        <v>428.571428571429</v>
      </c>
    </row>
    <row r="21" customFormat="false" ht="12.75" hidden="false" customHeight="false" outlineLevel="0" collapsed="false">
      <c r="B21" s="58" t="s">
        <v>801</v>
      </c>
      <c r="C21" s="580"/>
      <c r="D21" s="7"/>
      <c r="E21" s="7"/>
      <c r="F21" s="124" t="n">
        <v>6</v>
      </c>
      <c r="G21" s="124"/>
      <c r="H21" s="297" t="n">
        <v>338429</v>
      </c>
      <c r="I21" s="480"/>
      <c r="J21" s="297" t="n">
        <f aca="false">H21/F21</f>
        <v>56404.8333333333</v>
      </c>
      <c r="K21" s="480"/>
      <c r="L21" s="297"/>
      <c r="M21" s="297" t="n">
        <v>31000</v>
      </c>
      <c r="N21" s="297" t="n">
        <v>0</v>
      </c>
      <c r="O21" s="297" t="n">
        <v>0</v>
      </c>
      <c r="P21" s="480"/>
      <c r="Q21" s="297" t="n">
        <f aca="false">L21/$F21</f>
        <v>0</v>
      </c>
      <c r="R21" s="297" t="n">
        <f aca="false">M21/$F21</f>
        <v>5166.66666666667</v>
      </c>
      <c r="S21" s="297" t="n">
        <f aca="false">N21/$F21</f>
        <v>0</v>
      </c>
      <c r="T21" s="297" t="n">
        <f aca="false">O21/$F21</f>
        <v>0</v>
      </c>
    </row>
    <row r="22" customFormat="false" ht="12.75" hidden="false" customHeight="false" outlineLevel="0" collapsed="false">
      <c r="B22" s="582" t="s">
        <v>807</v>
      </c>
      <c r="C22" s="580"/>
      <c r="D22" s="7"/>
      <c r="E22" s="7"/>
      <c r="F22" s="7" t="n">
        <f aca="false">SUM(F19:F21)</f>
        <v>21</v>
      </c>
      <c r="G22" s="7"/>
      <c r="H22" s="123" t="n">
        <f aca="false">SUM(H18:H21)</f>
        <v>2614749</v>
      </c>
      <c r="J22" s="123" t="n">
        <f aca="false">H22/F22</f>
        <v>124511.857142857</v>
      </c>
      <c r="L22" s="123" t="n">
        <v>1434000</v>
      </c>
      <c r="M22" s="123" t="n">
        <f aca="false">SUM(M18:M21)</f>
        <v>1923000</v>
      </c>
      <c r="N22" s="123" t="n">
        <f aca="false">SUM(N18:N21)</f>
        <v>0</v>
      </c>
      <c r="O22" s="123" t="n">
        <f aca="false">SUM(O18:O21)</f>
        <v>13000</v>
      </c>
      <c r="Q22" s="123" t="n">
        <f aca="false">L22/$F22</f>
        <v>68285.7142857143</v>
      </c>
      <c r="R22" s="123" t="n">
        <f aca="false">M22/$F22</f>
        <v>91571.4285714286</v>
      </c>
      <c r="S22" s="123" t="n">
        <f aca="false">N22/$F22</f>
        <v>0</v>
      </c>
      <c r="T22" s="123" t="n">
        <f aca="false">O22/$F22</f>
        <v>619.047619047619</v>
      </c>
    </row>
    <row r="23" customFormat="false" ht="12.75" hidden="false" customHeight="false" outlineLevel="0" collapsed="false">
      <c r="B23" s="58"/>
      <c r="C23" s="580"/>
      <c r="D23" s="7"/>
      <c r="E23" s="7"/>
      <c r="F23" s="7"/>
      <c r="G23" s="7"/>
    </row>
    <row r="24" customFormat="false" ht="15.75" hidden="false" customHeight="false" outlineLevel="0" collapsed="false">
      <c r="B24" s="579" t="s">
        <v>808</v>
      </c>
      <c r="C24" s="580"/>
      <c r="D24" s="7"/>
      <c r="E24" s="7"/>
      <c r="F24" s="7"/>
      <c r="G24" s="7"/>
    </row>
    <row r="25" customFormat="false" ht="12.75" hidden="false" customHeight="false" outlineLevel="0" collapsed="false">
      <c r="B25" s="58" t="s">
        <v>804</v>
      </c>
      <c r="C25" s="580"/>
      <c r="D25" s="7"/>
      <c r="E25" s="7"/>
      <c r="F25" s="7" t="n">
        <v>2</v>
      </c>
      <c r="G25" s="7"/>
      <c r="H25" s="123" t="n">
        <v>575000</v>
      </c>
      <c r="J25" s="123" t="n">
        <f aca="false">H25/F25</f>
        <v>287500</v>
      </c>
      <c r="L25" s="123"/>
      <c r="M25" s="123" t="n">
        <v>1613730</v>
      </c>
      <c r="N25" s="123" t="n">
        <v>764818</v>
      </c>
      <c r="O25" s="123" t="n">
        <v>813791</v>
      </c>
      <c r="Q25" s="123" t="n">
        <f aca="false">L25/$F25</f>
        <v>0</v>
      </c>
      <c r="R25" s="123" t="n">
        <f aca="false">M25/$F25</f>
        <v>806865</v>
      </c>
      <c r="S25" s="123" t="n">
        <f aca="false">N25/$F25</f>
        <v>382409</v>
      </c>
      <c r="T25" s="123" t="n">
        <f aca="false">O25/$F25</f>
        <v>406895.5</v>
      </c>
    </row>
    <row r="26" customFormat="false" ht="12.75" hidden="false" customHeight="false" outlineLevel="0" collapsed="false">
      <c r="B26" s="58" t="s">
        <v>800</v>
      </c>
      <c r="C26" s="580"/>
      <c r="D26" s="7"/>
      <c r="E26" s="7"/>
      <c r="F26" s="7" t="n">
        <v>29</v>
      </c>
      <c r="G26" s="7"/>
      <c r="H26" s="67" t="n">
        <v>1496565</v>
      </c>
      <c r="J26" s="67" t="n">
        <f aca="false">H26/F26</f>
        <v>51605.6896551724</v>
      </c>
      <c r="L26" s="67"/>
      <c r="M26" s="67" t="n">
        <v>127500</v>
      </c>
      <c r="N26" s="67" t="n">
        <v>112500</v>
      </c>
      <c r="O26" s="67" t="n">
        <v>106000</v>
      </c>
      <c r="Q26" s="67" t="n">
        <f aca="false">L26/$F26</f>
        <v>0</v>
      </c>
      <c r="R26" s="67" t="n">
        <f aca="false">M26/$F26</f>
        <v>4396.55172413793</v>
      </c>
      <c r="S26" s="67" t="n">
        <f aca="false">N26/$F26</f>
        <v>3879.31034482759</v>
      </c>
      <c r="T26" s="67" t="n">
        <f aca="false">O26/$F26</f>
        <v>3655.1724137931</v>
      </c>
    </row>
    <row r="27" customFormat="false" ht="12.75" hidden="false" customHeight="false" outlineLevel="0" collapsed="false">
      <c r="B27" s="58" t="s">
        <v>801</v>
      </c>
      <c r="C27" s="580"/>
      <c r="D27" s="7"/>
      <c r="E27" s="7"/>
      <c r="F27" s="124" t="n">
        <v>2</v>
      </c>
      <c r="G27" s="124"/>
      <c r="H27" s="297" t="n">
        <v>90500</v>
      </c>
      <c r="I27" s="480"/>
      <c r="J27" s="297" t="n">
        <f aca="false">H27/F27</f>
        <v>45250</v>
      </c>
      <c r="K27" s="480"/>
      <c r="L27" s="297"/>
      <c r="M27" s="297" t="n">
        <v>6200</v>
      </c>
      <c r="N27" s="297" t="n">
        <v>6000</v>
      </c>
      <c r="O27" s="297" t="n">
        <v>8000</v>
      </c>
      <c r="P27" s="480"/>
      <c r="Q27" s="297" t="n">
        <f aca="false">L27/$F27</f>
        <v>0</v>
      </c>
      <c r="R27" s="297" t="n">
        <f aca="false">M27/$F27</f>
        <v>3100</v>
      </c>
      <c r="S27" s="297" t="n">
        <f aca="false">N27/$F27</f>
        <v>3000</v>
      </c>
      <c r="T27" s="297" t="n">
        <f aca="false">O27/$F27</f>
        <v>4000</v>
      </c>
    </row>
    <row r="28" customFormat="false" ht="12.75" hidden="false" customHeight="false" outlineLevel="0" collapsed="false">
      <c r="B28" s="582" t="s">
        <v>809</v>
      </c>
      <c r="C28" s="580"/>
      <c r="D28" s="7"/>
      <c r="E28" s="7"/>
      <c r="F28" s="7" t="n">
        <f aca="false">SUM(F25:F27)</f>
        <v>33</v>
      </c>
      <c r="G28" s="7"/>
      <c r="H28" s="123" t="n">
        <f aca="false">SUM(H24:H27)</f>
        <v>2162065</v>
      </c>
      <c r="J28" s="123" t="n">
        <f aca="false">H28/F28</f>
        <v>65517.1212121212</v>
      </c>
      <c r="L28" s="123" t="n">
        <f aca="false">(0+2227+631)*1000</f>
        <v>2858000</v>
      </c>
      <c r="M28" s="123" t="n">
        <f aca="false">SUM(M24:M27)</f>
        <v>1747430</v>
      </c>
      <c r="N28" s="123" t="n">
        <f aca="false">SUM(N24:N27)</f>
        <v>883318</v>
      </c>
      <c r="O28" s="123" t="n">
        <f aca="false">SUM(O24:O27)</f>
        <v>927791</v>
      </c>
      <c r="Q28" s="123" t="n">
        <f aca="false">L28/$F28</f>
        <v>86606.0606060606</v>
      </c>
      <c r="R28" s="123" t="n">
        <f aca="false">M28/$F28</f>
        <v>52952.4242424242</v>
      </c>
      <c r="S28" s="123" t="n">
        <f aca="false">N28/$F28</f>
        <v>26767.2121212121</v>
      </c>
      <c r="T28" s="123" t="n">
        <f aca="false">O28/$F28</f>
        <v>28114.8787878788</v>
      </c>
    </row>
    <row r="29" customFormat="false" ht="12.75" hidden="false" customHeight="false" outlineLevel="0" collapsed="false">
      <c r="B29" s="581"/>
      <c r="C29" s="580"/>
      <c r="D29" s="7"/>
      <c r="E29" s="7"/>
      <c r="F29" s="7"/>
      <c r="G29" s="7"/>
      <c r="H29" s="123"/>
      <c r="J29" s="123"/>
      <c r="L29" s="123"/>
      <c r="M29" s="123"/>
      <c r="N29" s="123"/>
      <c r="O29" s="123"/>
      <c r="Q29" s="123"/>
      <c r="R29" s="123"/>
      <c r="S29" s="123"/>
      <c r="T29" s="123"/>
    </row>
    <row r="30" customFormat="false" ht="15.75" hidden="false" customHeight="false" outlineLevel="0" collapsed="false">
      <c r="B30" s="579" t="s">
        <v>810</v>
      </c>
      <c r="C30" s="580"/>
      <c r="D30" s="7"/>
      <c r="E30" s="7"/>
      <c r="F30" s="7"/>
      <c r="G30" s="7"/>
    </row>
    <row r="31" customFormat="false" ht="12.75" hidden="false" customHeight="false" outlineLevel="0" collapsed="false">
      <c r="B31" s="58" t="s">
        <v>811</v>
      </c>
      <c r="C31" s="580"/>
      <c r="D31" s="7"/>
      <c r="E31" s="7"/>
      <c r="F31" s="7" t="n">
        <v>8</v>
      </c>
      <c r="G31" s="7"/>
      <c r="H31" s="123" t="n">
        <v>3488000</v>
      </c>
      <c r="J31" s="123" t="n">
        <f aca="false">H31/F31</f>
        <v>436000</v>
      </c>
      <c r="L31" s="123"/>
      <c r="M31" s="123" t="n">
        <v>2674955</v>
      </c>
      <c r="N31" s="123" t="n">
        <v>119432</v>
      </c>
      <c r="O31" s="123" t="n">
        <v>68817</v>
      </c>
      <c r="Q31" s="123" t="n">
        <f aca="false">L31/$F31</f>
        <v>0</v>
      </c>
      <c r="R31" s="123" t="n">
        <f aca="false">M31/$F31</f>
        <v>334369.375</v>
      </c>
      <c r="S31" s="123" t="n">
        <f aca="false">N31/$F31</f>
        <v>14929</v>
      </c>
      <c r="T31" s="123" t="n">
        <f aca="false">O31/$F31</f>
        <v>8602.125</v>
      </c>
    </row>
    <row r="32" customFormat="false" ht="12.75" hidden="false" customHeight="false" outlineLevel="0" collapsed="false">
      <c r="B32" s="58" t="s">
        <v>812</v>
      </c>
      <c r="C32" s="580"/>
      <c r="D32" s="7"/>
      <c r="E32" s="7"/>
      <c r="F32" s="7" t="n">
        <v>4</v>
      </c>
      <c r="G32" s="7"/>
      <c r="H32" s="67" t="n">
        <v>700000</v>
      </c>
      <c r="J32" s="67" t="n">
        <f aca="false">H32/F32</f>
        <v>175000</v>
      </c>
      <c r="L32" s="67"/>
      <c r="M32" s="67" t="n">
        <v>462500</v>
      </c>
      <c r="N32" s="67" t="n">
        <v>333000</v>
      </c>
      <c r="O32" s="67" t="n">
        <v>6500</v>
      </c>
      <c r="Q32" s="67" t="n">
        <f aca="false">L32/$F32</f>
        <v>0</v>
      </c>
      <c r="R32" s="67" t="n">
        <f aca="false">M32/$F32</f>
        <v>115625</v>
      </c>
      <c r="S32" s="67" t="n">
        <f aca="false">N32/$F32</f>
        <v>83250</v>
      </c>
      <c r="T32" s="67" t="n">
        <f aca="false">O32/$F32</f>
        <v>1625</v>
      </c>
    </row>
    <row r="33" customFormat="false" ht="12.75" hidden="false" customHeight="false" outlineLevel="0" collapsed="false">
      <c r="B33" s="58" t="s">
        <v>813</v>
      </c>
      <c r="C33" s="580"/>
      <c r="D33" s="7"/>
      <c r="E33" s="7"/>
      <c r="F33" s="7" t="n">
        <v>5</v>
      </c>
      <c r="G33" s="7"/>
      <c r="H33" s="67" t="n">
        <v>464000</v>
      </c>
      <c r="J33" s="67" t="n">
        <f aca="false">H33/F33</f>
        <v>92800</v>
      </c>
      <c r="L33" s="67"/>
      <c r="M33" s="67" t="n">
        <v>12000</v>
      </c>
      <c r="N33" s="67" t="n">
        <v>10000</v>
      </c>
      <c r="O33" s="67" t="n">
        <v>9000</v>
      </c>
      <c r="Q33" s="67" t="n">
        <f aca="false">L33/$F33</f>
        <v>0</v>
      </c>
      <c r="R33" s="67" t="n">
        <f aca="false">M33/$F33</f>
        <v>2400</v>
      </c>
      <c r="S33" s="67" t="n">
        <f aca="false">N33/$F33</f>
        <v>2000</v>
      </c>
      <c r="T33" s="67" t="n">
        <f aca="false">O33/$F33</f>
        <v>1800</v>
      </c>
    </row>
    <row r="34" customFormat="false" ht="12.75" hidden="false" customHeight="false" outlineLevel="0" collapsed="false">
      <c r="B34" s="58" t="s">
        <v>814</v>
      </c>
      <c r="C34" s="580"/>
      <c r="D34" s="7"/>
      <c r="E34" s="7"/>
      <c r="F34" s="124" t="n">
        <v>31</v>
      </c>
      <c r="G34" s="124"/>
      <c r="H34" s="297" t="n">
        <v>2970295</v>
      </c>
      <c r="I34" s="480"/>
      <c r="J34" s="27" t="n">
        <f aca="false">H34/F34</f>
        <v>95815.9677419355</v>
      </c>
      <c r="K34" s="480"/>
      <c r="L34" s="297"/>
      <c r="M34" s="297" t="n">
        <v>968500</v>
      </c>
      <c r="N34" s="297" t="n">
        <v>695450</v>
      </c>
      <c r="O34" s="297" t="n">
        <v>130750</v>
      </c>
      <c r="P34" s="480"/>
      <c r="Q34" s="297" t="n">
        <f aca="false">L34/$F34</f>
        <v>0</v>
      </c>
      <c r="R34" s="297" t="n">
        <f aca="false">M34/$F34</f>
        <v>31241.935483871</v>
      </c>
      <c r="S34" s="297" t="n">
        <f aca="false">N34/$F34</f>
        <v>22433.8709677419</v>
      </c>
      <c r="T34" s="297" t="n">
        <f aca="false">O34/$F34</f>
        <v>4217.74193548387</v>
      </c>
    </row>
    <row r="35" customFormat="false" ht="12.75" hidden="false" customHeight="false" outlineLevel="0" collapsed="false">
      <c r="B35" s="582" t="s">
        <v>815</v>
      </c>
      <c r="C35" s="580"/>
      <c r="D35" s="7"/>
      <c r="E35" s="7"/>
      <c r="F35" s="7" t="n">
        <f aca="false">SUM(F31:F34)</f>
        <v>48</v>
      </c>
      <c r="G35" s="7"/>
      <c r="H35" s="123" t="n">
        <f aca="false">SUM(H30:H34)</f>
        <v>7622295</v>
      </c>
      <c r="J35" s="123" t="n">
        <f aca="false">H35/F35</f>
        <v>158797.8125</v>
      </c>
      <c r="L35" s="123" t="n">
        <f aca="false">(2775+7000)*1000</f>
        <v>9775000</v>
      </c>
      <c r="M35" s="123" t="n">
        <f aca="false">SUM(M30:M34)</f>
        <v>4117955</v>
      </c>
      <c r="N35" s="123" t="n">
        <f aca="false">SUM(N30:N34)</f>
        <v>1157882</v>
      </c>
      <c r="O35" s="123" t="n">
        <f aca="false">SUM(O30:O34)</f>
        <v>215067</v>
      </c>
      <c r="Q35" s="123" t="n">
        <f aca="false">L35/$F35</f>
        <v>203645.833333333</v>
      </c>
      <c r="R35" s="123" t="n">
        <f aca="false">M35/$F35</f>
        <v>85790.7291666667</v>
      </c>
      <c r="S35" s="123" t="n">
        <f aca="false">N35/$F35</f>
        <v>24122.5416666667</v>
      </c>
      <c r="T35" s="123" t="n">
        <f aca="false">O35/$F35</f>
        <v>4480.5625</v>
      </c>
    </row>
    <row r="36" customFormat="false" ht="12.75" hidden="false" customHeight="false" outlineLevel="0" collapsed="false">
      <c r="B36" s="582"/>
      <c r="C36" s="580"/>
      <c r="D36" s="7"/>
      <c r="E36" s="7"/>
      <c r="F36" s="7"/>
      <c r="G36" s="7"/>
      <c r="H36" s="123"/>
      <c r="J36" s="123"/>
      <c r="L36" s="123"/>
      <c r="M36" s="123"/>
      <c r="N36" s="123"/>
      <c r="O36" s="123"/>
      <c r="Q36" s="123"/>
      <c r="R36" s="123"/>
      <c r="S36" s="123"/>
      <c r="T36" s="123"/>
    </row>
    <row r="37" customFormat="false" ht="12.75" hidden="false" customHeight="false" outlineLevel="0" collapsed="false">
      <c r="B37" s="0" t="s">
        <v>816</v>
      </c>
      <c r="C37" s="580"/>
      <c r="D37" s="7"/>
      <c r="E37" s="7"/>
      <c r="F37" s="7" t="n">
        <f aca="false">F28+F22+F16+F10+F35</f>
        <v>231</v>
      </c>
      <c r="G37" s="123"/>
      <c r="H37" s="584" t="n">
        <f aca="false">H28+H22+H16+H10+H35</f>
        <v>20173182</v>
      </c>
      <c r="I37" s="584"/>
      <c r="J37" s="584" t="n">
        <f aca="false">H37/F37</f>
        <v>87329.7922077922</v>
      </c>
      <c r="K37" s="584"/>
      <c r="L37" s="584" t="n">
        <f aca="false">L28+L22+L16+L10+L35</f>
        <v>25364000</v>
      </c>
      <c r="M37" s="584" t="n">
        <f aca="false">M28+M22+M16+M10+M35</f>
        <v>11152180</v>
      </c>
      <c r="N37" s="584" t="n">
        <f aca="false">N28+N22+N16+N10+N35</f>
        <v>3562518</v>
      </c>
      <c r="O37" s="584" t="n">
        <f aca="false">O28+O22+O16+O10+O35</f>
        <v>1696291</v>
      </c>
      <c r="P37" s="584"/>
      <c r="Q37" s="584" t="n">
        <f aca="false">L37/$F37</f>
        <v>109800.865800866</v>
      </c>
      <c r="R37" s="584" t="n">
        <f aca="false">M37/$F37</f>
        <v>48277.8354978355</v>
      </c>
      <c r="S37" s="584" t="n">
        <f aca="false">N37/$F37</f>
        <v>15422.1558441558</v>
      </c>
      <c r="T37" s="584" t="n">
        <f aca="false">O37/$F37</f>
        <v>7343.25108225108</v>
      </c>
    </row>
    <row r="38" customFormat="false" ht="12.75" hidden="false" customHeight="false" outlineLevel="0" collapsed="false">
      <c r="C38" s="580"/>
      <c r="D38" s="7"/>
      <c r="E38" s="7"/>
      <c r="F38" s="7"/>
      <c r="G38" s="7"/>
    </row>
  </sheetData>
  <printOptions headings="false" gridLines="false" gridLinesSet="true" horizontalCentered="false" verticalCentered="false"/>
  <pageMargins left="0.25" right="0.25"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G3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2.7"/>
    <col collapsed="false" customWidth="true" hidden="false" outlineLevel="0" max="2" min="2" style="0" width="10.71"/>
    <col collapsed="false" customWidth="true" hidden="false" outlineLevel="0" max="3" min="3" style="0" width="11.85"/>
    <col collapsed="false" customWidth="true" hidden="false" outlineLevel="0" max="4" min="4" style="0" width="11.7"/>
  </cols>
  <sheetData>
    <row r="2" customFormat="false" ht="18" hidden="false" customHeight="false" outlineLevel="0" collapsed="false">
      <c r="B2" s="110" t="s">
        <v>385</v>
      </c>
    </row>
    <row r="4" customFormat="false" ht="15.75" hidden="false" customHeight="false" outlineLevel="0" collapsed="false">
      <c r="A4" s="418"/>
      <c r="B4" s="585" t="s">
        <v>817</v>
      </c>
      <c r="C4" s="418"/>
      <c r="D4" s="418"/>
    </row>
    <row r="5" customFormat="false" ht="12.75" hidden="false" customHeight="false" outlineLevel="0" collapsed="false">
      <c r="C5" s="7" t="s">
        <v>818</v>
      </c>
      <c r="D5" s="7" t="s">
        <v>819</v>
      </c>
      <c r="E5" s="7" t="s">
        <v>820</v>
      </c>
      <c r="F5" s="7" t="s">
        <v>821</v>
      </c>
      <c r="G5" s="7" t="s">
        <v>822</v>
      </c>
    </row>
    <row r="6" customFormat="false" ht="12.75" hidden="false" customHeight="false" outlineLevel="0" collapsed="false">
      <c r="B6" s="0" t="s">
        <v>823</v>
      </c>
      <c r="C6" s="580" t="n">
        <v>0.29</v>
      </c>
      <c r="D6" s="7" t="n">
        <v>12</v>
      </c>
      <c r="E6" s="7" t="s">
        <v>824</v>
      </c>
      <c r="F6" s="7" t="s">
        <v>825</v>
      </c>
      <c r="G6" s="7" t="s">
        <v>826</v>
      </c>
    </row>
    <row r="7" customFormat="false" ht="12.75" hidden="false" customHeight="false" outlineLevel="0" collapsed="false">
      <c r="B7" s="0" t="s">
        <v>827</v>
      </c>
      <c r="C7" s="580" t="n">
        <v>0.12</v>
      </c>
      <c r="D7" s="7" t="n">
        <v>1</v>
      </c>
      <c r="E7" s="7" t="s">
        <v>828</v>
      </c>
      <c r="F7" s="7" t="s">
        <v>829</v>
      </c>
      <c r="G7" s="7" t="s">
        <v>828</v>
      </c>
    </row>
    <row r="8" customFormat="false" ht="12.75" hidden="false" customHeight="false" outlineLevel="0" collapsed="false">
      <c r="B8" s="0" t="s">
        <v>830</v>
      </c>
      <c r="C8" s="580" t="n">
        <v>0.12</v>
      </c>
      <c r="D8" s="7" t="n">
        <v>11</v>
      </c>
      <c r="E8" s="7" t="s">
        <v>831</v>
      </c>
      <c r="F8" s="7" t="s">
        <v>832</v>
      </c>
      <c r="G8" s="7" t="s">
        <v>831</v>
      </c>
    </row>
    <row r="9" customFormat="false" ht="12.75" hidden="false" customHeight="false" outlineLevel="0" collapsed="false">
      <c r="B9" s="0" t="s">
        <v>833</v>
      </c>
      <c r="C9" s="580" t="n">
        <v>0.05</v>
      </c>
      <c r="D9" s="7" t="n">
        <v>11</v>
      </c>
      <c r="E9" s="7" t="s">
        <v>824</v>
      </c>
      <c r="F9" s="7" t="s">
        <v>834</v>
      </c>
      <c r="G9" s="7" t="s">
        <v>824</v>
      </c>
    </row>
    <row r="10" customFormat="false" ht="12.75" hidden="false" customHeight="false" outlineLevel="0" collapsed="false">
      <c r="B10" s="0" t="s">
        <v>835</v>
      </c>
      <c r="C10" s="580" t="n">
        <v>0.05</v>
      </c>
      <c r="D10" s="7" t="n">
        <v>1</v>
      </c>
      <c r="E10" s="7" t="s">
        <v>836</v>
      </c>
      <c r="F10" s="7" t="s">
        <v>837</v>
      </c>
      <c r="G10" s="7" t="s">
        <v>838</v>
      </c>
    </row>
    <row r="11" customFormat="false" ht="12.75" hidden="false" customHeight="false" outlineLevel="0" collapsed="false">
      <c r="B11" s="0" t="s">
        <v>839</v>
      </c>
      <c r="C11" s="580" t="n">
        <v>0.03</v>
      </c>
      <c r="D11" s="7" t="n">
        <v>11</v>
      </c>
      <c r="E11" s="7" t="s">
        <v>831</v>
      </c>
      <c r="F11" s="7" t="s">
        <v>831</v>
      </c>
      <c r="G11" s="7" t="s">
        <v>831</v>
      </c>
    </row>
    <row r="12" customFormat="false" ht="12.75" hidden="false" customHeight="false" outlineLevel="0" collapsed="false">
      <c r="B12" s="0" t="s">
        <v>840</v>
      </c>
      <c r="C12" s="580" t="n">
        <v>0.03</v>
      </c>
      <c r="D12" s="7" t="n">
        <v>11</v>
      </c>
      <c r="E12" s="7" t="s">
        <v>831</v>
      </c>
      <c r="F12" s="7" t="s">
        <v>831</v>
      </c>
      <c r="G12" s="7" t="s">
        <v>831</v>
      </c>
    </row>
    <row r="13" customFormat="false" ht="12.75" hidden="false" customHeight="false" outlineLevel="0" collapsed="false">
      <c r="B13" s="0" t="s">
        <v>841</v>
      </c>
      <c r="C13" s="580" t="n">
        <v>0.02</v>
      </c>
      <c r="D13" s="7" t="n">
        <v>9</v>
      </c>
      <c r="E13" s="7" t="s">
        <v>842</v>
      </c>
      <c r="F13" s="7" t="s">
        <v>843</v>
      </c>
      <c r="G13" s="7" t="s">
        <v>842</v>
      </c>
    </row>
    <row r="14" customFormat="false" ht="12.75" hidden="false" customHeight="false" outlineLevel="0" collapsed="false">
      <c r="B14" s="418" t="s">
        <v>844</v>
      </c>
      <c r="C14" s="586" t="n">
        <v>0.29</v>
      </c>
      <c r="D14" s="441"/>
      <c r="E14" s="441"/>
      <c r="F14" s="441"/>
      <c r="G14" s="441"/>
    </row>
    <row r="15" customFormat="false" ht="12.75" hidden="false" customHeight="false" outlineLevel="0" collapsed="false">
      <c r="B15" s="0" t="s">
        <v>552</v>
      </c>
      <c r="C15" s="580" t="n">
        <f aca="false">SUM(C6:C14)</f>
        <v>1</v>
      </c>
      <c r="D15" s="7"/>
      <c r="E15" s="7"/>
      <c r="F15" s="7"/>
      <c r="G15" s="7"/>
    </row>
    <row r="17" customFormat="false" ht="15.75" hidden="false" customHeight="false" outlineLevel="0" collapsed="false">
      <c r="A17" s="418"/>
      <c r="B17" s="585" t="s">
        <v>845</v>
      </c>
      <c r="C17" s="418"/>
      <c r="D17" s="418"/>
    </row>
    <row r="18" customFormat="false" ht="12.75" hidden="false" customHeight="false" outlineLevel="0" collapsed="false">
      <c r="C18" s="0" t="s">
        <v>818</v>
      </c>
      <c r="D18" s="7" t="s">
        <v>819</v>
      </c>
      <c r="E18" s="7" t="s">
        <v>820</v>
      </c>
      <c r="F18" s="7" t="s">
        <v>821</v>
      </c>
      <c r="G18" s="7" t="s">
        <v>822</v>
      </c>
    </row>
    <row r="19" customFormat="false" ht="12.75" hidden="false" customHeight="false" outlineLevel="0" collapsed="false">
      <c r="B19" s="0" t="s">
        <v>827</v>
      </c>
      <c r="C19" s="580" t="n">
        <v>0.16</v>
      </c>
      <c r="D19" s="7" t="n">
        <v>1</v>
      </c>
      <c r="E19" s="7" t="s">
        <v>828</v>
      </c>
      <c r="F19" s="7" t="s">
        <v>829</v>
      </c>
      <c r="G19" s="7" t="s">
        <v>828</v>
      </c>
    </row>
    <row r="20" customFormat="false" ht="12.75" hidden="false" customHeight="false" outlineLevel="0" collapsed="false">
      <c r="B20" s="0" t="s">
        <v>846</v>
      </c>
      <c r="C20" s="580" t="n">
        <v>0.12</v>
      </c>
      <c r="D20" s="7" t="n">
        <v>7</v>
      </c>
      <c r="E20" s="7" t="s">
        <v>847</v>
      </c>
      <c r="F20" s="7" t="s">
        <v>848</v>
      </c>
      <c r="G20" s="7" t="s">
        <v>849</v>
      </c>
    </row>
    <row r="21" customFormat="false" ht="12.75" hidden="false" customHeight="false" outlineLevel="0" collapsed="false">
      <c r="B21" s="0" t="s">
        <v>850</v>
      </c>
      <c r="C21" s="580" t="n">
        <v>0.12</v>
      </c>
      <c r="D21" s="7" t="n">
        <v>9</v>
      </c>
      <c r="E21" s="7" t="s">
        <v>394</v>
      </c>
      <c r="F21" s="7" t="s">
        <v>843</v>
      </c>
      <c r="G21" s="7" t="s">
        <v>842</v>
      </c>
    </row>
    <row r="22" customFormat="false" ht="12.75" hidden="false" customHeight="false" outlineLevel="0" collapsed="false">
      <c r="B22" s="0" t="s">
        <v>851</v>
      </c>
      <c r="C22" s="580" t="n">
        <v>0.07</v>
      </c>
      <c r="D22" s="7" t="n">
        <v>8</v>
      </c>
      <c r="E22" s="7" t="s">
        <v>842</v>
      </c>
      <c r="F22" s="7" t="s">
        <v>843</v>
      </c>
      <c r="G22" s="7" t="s">
        <v>842</v>
      </c>
    </row>
    <row r="23" customFormat="false" ht="12.75" hidden="false" customHeight="false" outlineLevel="0" collapsed="false">
      <c r="B23" s="0" t="s">
        <v>852</v>
      </c>
      <c r="C23" s="580" t="n">
        <v>0.07</v>
      </c>
      <c r="D23" s="7" t="n">
        <v>5</v>
      </c>
      <c r="E23" s="7" t="s">
        <v>853</v>
      </c>
      <c r="F23" s="7" t="s">
        <v>854</v>
      </c>
      <c r="G23" s="7" t="s">
        <v>855</v>
      </c>
    </row>
    <row r="24" customFormat="false" ht="12.75" hidden="false" customHeight="false" outlineLevel="0" collapsed="false">
      <c r="B24" s="0" t="s">
        <v>856</v>
      </c>
      <c r="C24" s="580" t="n">
        <v>0.04</v>
      </c>
      <c r="D24" s="7" t="n">
        <v>2</v>
      </c>
      <c r="E24" s="7" t="s">
        <v>838</v>
      </c>
      <c r="F24" s="7" t="s">
        <v>857</v>
      </c>
      <c r="G24" s="7" t="s">
        <v>858</v>
      </c>
    </row>
    <row r="25" customFormat="false" ht="12.75" hidden="false" customHeight="false" outlineLevel="0" collapsed="false">
      <c r="B25" s="0" t="s">
        <v>859</v>
      </c>
      <c r="C25" s="580" t="n">
        <v>0.03</v>
      </c>
      <c r="D25" s="7" t="n">
        <v>4</v>
      </c>
      <c r="E25" s="7" t="s">
        <v>849</v>
      </c>
      <c r="F25" s="7" t="s">
        <v>860</v>
      </c>
      <c r="G25" s="7" t="s">
        <v>849</v>
      </c>
    </row>
    <row r="26" customFormat="false" ht="12.75" hidden="false" customHeight="false" outlineLevel="0" collapsed="false">
      <c r="B26" s="0" t="s">
        <v>861</v>
      </c>
      <c r="C26" s="580" t="n">
        <v>0.03</v>
      </c>
      <c r="D26" s="7" t="n">
        <v>8</v>
      </c>
      <c r="E26" s="7" t="s">
        <v>855</v>
      </c>
      <c r="F26" s="7" t="s">
        <v>862</v>
      </c>
      <c r="G26" s="7" t="s">
        <v>853</v>
      </c>
    </row>
    <row r="27" customFormat="false" ht="12.75" hidden="false" customHeight="false" outlineLevel="0" collapsed="false">
      <c r="B27" s="0" t="s">
        <v>863</v>
      </c>
      <c r="C27" s="580" t="n">
        <v>0.03</v>
      </c>
      <c r="D27" s="7" t="n">
        <v>2</v>
      </c>
      <c r="E27" s="7" t="s">
        <v>836</v>
      </c>
      <c r="F27" s="7" t="s">
        <v>864</v>
      </c>
      <c r="G27" s="7" t="s">
        <v>836</v>
      </c>
    </row>
    <row r="28" customFormat="false" ht="12.75" hidden="false" customHeight="false" outlineLevel="0" collapsed="false">
      <c r="B28" s="0" t="s">
        <v>865</v>
      </c>
      <c r="C28" s="580" t="n">
        <v>0.03</v>
      </c>
      <c r="D28" s="7" t="n">
        <v>10</v>
      </c>
      <c r="E28" s="7" t="s">
        <v>831</v>
      </c>
      <c r="F28" s="7" t="s">
        <v>843</v>
      </c>
      <c r="G28" s="7" t="s">
        <v>831</v>
      </c>
    </row>
    <row r="29" customFormat="false" ht="12.75" hidden="false" customHeight="false" outlineLevel="0" collapsed="false">
      <c r="B29" s="418" t="s">
        <v>844</v>
      </c>
      <c r="C29" s="586" t="n">
        <v>0.3</v>
      </c>
      <c r="D29" s="441"/>
      <c r="E29" s="441"/>
      <c r="F29" s="441"/>
      <c r="G29" s="441"/>
    </row>
    <row r="30" customFormat="false" ht="12.75" hidden="false" customHeight="false" outlineLevel="0" collapsed="false">
      <c r="B30" s="0" t="s">
        <v>552</v>
      </c>
      <c r="C30" s="580" t="n">
        <f aca="false">SUM(C19:C29)</f>
        <v>1</v>
      </c>
      <c r="D30" s="7"/>
      <c r="E30" s="7"/>
      <c r="F30" s="7"/>
      <c r="G30" s="7"/>
    </row>
  </sheetData>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O39"/>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A30" activeCellId="0" sqref="A30"/>
    </sheetView>
  </sheetViews>
  <sheetFormatPr defaultColWidth="9.13671875" defaultRowHeight="12.75" customHeight="true" zeroHeight="false" outlineLevelRow="0" outlineLevelCol="0"/>
  <cols>
    <col collapsed="false" customWidth="false" hidden="false" outlineLevel="0" max="2" min="1" style="14" width="9.14"/>
    <col collapsed="false" customWidth="true" hidden="false" outlineLevel="0" max="3" min="3" style="14" width="28.99"/>
    <col collapsed="false" customWidth="true" hidden="false" outlineLevel="0" max="5" min="4" style="14" width="12.7"/>
    <col collapsed="false" customWidth="true" hidden="false" outlineLevel="0" max="6" min="6" style="14" width="11.42"/>
    <col collapsed="false" customWidth="true" hidden="false" outlineLevel="0" max="7" min="7" style="14" width="4.56"/>
    <col collapsed="false" customWidth="false" hidden="false" outlineLevel="0" max="12" min="8" style="14" width="9.14"/>
    <col collapsed="false" customWidth="true" hidden="false" outlineLevel="0" max="13" min="13" style="14" width="11.99"/>
    <col collapsed="false" customWidth="false" hidden="false" outlineLevel="0" max="257" min="14" style="14" width="9.14"/>
  </cols>
  <sheetData>
    <row r="1" customFormat="false" ht="15.75" hidden="false" customHeight="false" outlineLevel="0" collapsed="false">
      <c r="F1" s="587" t="s">
        <v>866</v>
      </c>
    </row>
    <row r="2" customFormat="false" ht="15.75" hidden="false" customHeight="false" outlineLevel="0" collapsed="false">
      <c r="F2" s="587"/>
    </row>
    <row r="3" customFormat="false" ht="12.75" hidden="false" customHeight="false" outlineLevel="0" collapsed="false">
      <c r="C3" s="588" t="s">
        <v>867</v>
      </c>
      <c r="I3" s="145"/>
      <c r="J3" s="588" t="s">
        <v>868</v>
      </c>
    </row>
    <row r="4" customFormat="false" ht="12.75" hidden="false" customHeight="false" outlineLevel="0" collapsed="false">
      <c r="C4" s="14" t="s">
        <v>869</v>
      </c>
      <c r="D4" s="24" t="n">
        <v>8</v>
      </c>
      <c r="E4" s="25" t="n">
        <v>9</v>
      </c>
      <c r="I4" s="145"/>
      <c r="J4" s="145" t="s">
        <v>870</v>
      </c>
      <c r="M4" s="15" t="n">
        <f aca="false">+D8</f>
        <v>26697</v>
      </c>
    </row>
    <row r="5" customFormat="false" ht="12.75" hidden="false" customHeight="false" outlineLevel="0" collapsed="false">
      <c r="C5" s="14" t="s">
        <v>871</v>
      </c>
      <c r="D5" s="15" t="n">
        <f aca="false">+'Valuation - DCF'!L32*2</f>
        <v>33528.7093333333</v>
      </c>
      <c r="E5" s="15" t="n">
        <f aca="false">+D5</f>
        <v>33528.7093333333</v>
      </c>
      <c r="I5" s="589" t="n">
        <v>0.95</v>
      </c>
      <c r="J5" s="145" t="s">
        <v>872</v>
      </c>
      <c r="M5" s="15" t="n">
        <f aca="false">F26</f>
        <v>352903.15</v>
      </c>
    </row>
    <row r="6" customFormat="false" ht="12.75" hidden="false" customHeight="false" outlineLevel="0" collapsed="false">
      <c r="C6" s="203" t="s">
        <v>873</v>
      </c>
      <c r="D6" s="15" t="n">
        <f aca="false">+D4*D5</f>
        <v>268229.674666667</v>
      </c>
      <c r="E6" s="15" t="n">
        <f aca="false">+E4*E5</f>
        <v>301758.384</v>
      </c>
      <c r="I6" s="589" t="n">
        <v>0.9</v>
      </c>
      <c r="J6" s="145" t="s">
        <v>874</v>
      </c>
      <c r="M6" s="15" t="n">
        <f aca="false">F27</f>
        <v>140767.2</v>
      </c>
    </row>
    <row r="7" customFormat="false" ht="12.75" hidden="false" customHeight="false" outlineLevel="0" collapsed="false">
      <c r="C7" s="14" t="s">
        <v>875</v>
      </c>
      <c r="D7" s="15" t="n">
        <f aca="false">+'Balance Sheet'!F27+'Balance Sheet'!F33</f>
        <v>180400</v>
      </c>
      <c r="E7" s="15" t="n">
        <f aca="false">+D7</f>
        <v>180400</v>
      </c>
      <c r="I7" s="589" t="n">
        <v>0.9</v>
      </c>
      <c r="J7" s="145" t="s">
        <v>876</v>
      </c>
      <c r="M7" s="590" t="n">
        <f aca="false">F28</f>
        <v>2949.3</v>
      </c>
    </row>
    <row r="8" customFormat="false" ht="12.75" hidden="false" customHeight="false" outlineLevel="0" collapsed="false">
      <c r="C8" s="14" t="s">
        <v>877</v>
      </c>
      <c r="D8" s="591" t="n">
        <f aca="false">IF('S &amp; U'!$U$31=0,0,'Balance Sheet'!F10+'Balance Sheet'!F11)</f>
        <v>26697</v>
      </c>
      <c r="E8" s="15" t="n">
        <f aca="false">+D8</f>
        <v>26697</v>
      </c>
      <c r="I8" s="145"/>
      <c r="J8" s="145" t="s">
        <v>878</v>
      </c>
      <c r="M8" s="15" t="n">
        <f aca="false">F29</f>
        <v>523316.65</v>
      </c>
    </row>
    <row r="9" customFormat="false" ht="12.75" hidden="false" customHeight="false" outlineLevel="0" collapsed="false">
      <c r="C9" s="592" t="s">
        <v>55</v>
      </c>
      <c r="D9" s="593" t="n">
        <f aca="false">+D6-D7+D8</f>
        <v>114526.674666667</v>
      </c>
      <c r="E9" s="593" t="n">
        <f aca="false">+E6-E7+E8</f>
        <v>148055.384</v>
      </c>
      <c r="I9" s="145"/>
      <c r="J9" s="145"/>
      <c r="M9" s="15"/>
    </row>
    <row r="10" customFormat="false" ht="12.75" hidden="false" customHeight="false" outlineLevel="0" collapsed="false">
      <c r="I10" s="145"/>
      <c r="J10" s="14" t="s">
        <v>879</v>
      </c>
      <c r="M10" s="15" t="n">
        <f aca="false">+AVERAGE(Segments!N6)</f>
        <v>6191</v>
      </c>
    </row>
    <row r="11" customFormat="false" ht="12.75" hidden="false" customHeight="false" outlineLevel="0" collapsed="false">
      <c r="C11" s="588" t="s">
        <v>880</v>
      </c>
      <c r="D11" s="594" t="n">
        <v>0.7</v>
      </c>
      <c r="E11" s="595" t="n">
        <v>0.9</v>
      </c>
      <c r="I11" s="145"/>
      <c r="J11" s="14" t="s">
        <v>881</v>
      </c>
      <c r="M11" s="596" t="n">
        <v>7</v>
      </c>
    </row>
    <row r="12" customFormat="false" ht="12.75" hidden="false" customHeight="false" outlineLevel="0" collapsed="false">
      <c r="C12" s="597" t="s">
        <v>882</v>
      </c>
      <c r="D12" s="598" t="n">
        <f aca="false">+'Balance Sheet'!F37</f>
        <v>122925</v>
      </c>
      <c r="E12" s="598" t="n">
        <f aca="false">D12</f>
        <v>122925</v>
      </c>
      <c r="I12" s="145"/>
      <c r="J12" s="14" t="s">
        <v>883</v>
      </c>
      <c r="M12" s="15" t="n">
        <f aca="false">+M10*M11</f>
        <v>43337</v>
      </c>
    </row>
    <row r="13" customFormat="false" ht="12.75" hidden="false" customHeight="false" outlineLevel="0" collapsed="false">
      <c r="C13" s="597" t="s">
        <v>884</v>
      </c>
      <c r="D13" s="598" t="n">
        <f aca="false">+D11*D12</f>
        <v>86047.5</v>
      </c>
      <c r="E13" s="598" t="n">
        <f aca="false">+E11*E12</f>
        <v>110632.5</v>
      </c>
      <c r="I13" s="145"/>
      <c r="J13" s="14" t="s">
        <v>885</v>
      </c>
      <c r="M13" s="590" t="n">
        <v>20000</v>
      </c>
    </row>
    <row r="14" customFormat="false" ht="12.75" hidden="false" customHeight="false" outlineLevel="0" collapsed="false">
      <c r="C14" s="592" t="s">
        <v>55</v>
      </c>
      <c r="D14" s="599" t="n">
        <f aca="false">+D13</f>
        <v>86047.5</v>
      </c>
      <c r="E14" s="599" t="n">
        <f aca="false">+E13</f>
        <v>110632.5</v>
      </c>
      <c r="I14" s="145"/>
      <c r="J14" s="14" t="s">
        <v>886</v>
      </c>
      <c r="M14" s="15" t="n">
        <f aca="false">M13+M12</f>
        <v>63337</v>
      </c>
    </row>
    <row r="15" customFormat="false" ht="12.75" hidden="false" customHeight="false" outlineLevel="0" collapsed="false">
      <c r="C15" s="14" t="s">
        <v>14</v>
      </c>
      <c r="D15" s="47" t="n">
        <f aca="false">+D7</f>
        <v>180400</v>
      </c>
      <c r="E15" s="47" t="n">
        <f aca="false">+E7</f>
        <v>180400</v>
      </c>
      <c r="I15" s="589" t="n">
        <v>0.75</v>
      </c>
      <c r="J15" s="14" t="s">
        <v>887</v>
      </c>
      <c r="M15" s="590" t="n">
        <f aca="false">(1534.14+4826.45)*I15</f>
        <v>4770.4425</v>
      </c>
    </row>
    <row r="16" customFormat="false" ht="12.75" hidden="false" customHeight="false" outlineLevel="0" collapsed="false">
      <c r="C16" s="203" t="s">
        <v>873</v>
      </c>
      <c r="D16" s="600" t="n">
        <f aca="false">D14+D15</f>
        <v>266447.5</v>
      </c>
      <c r="E16" s="600" t="n">
        <f aca="false">E14+E15</f>
        <v>291032.5</v>
      </c>
      <c r="I16" s="601"/>
      <c r="J16" s="145" t="s">
        <v>888</v>
      </c>
      <c r="M16" s="15" t="n">
        <f aca="false">M14+M15</f>
        <v>68107.4425</v>
      </c>
    </row>
    <row r="17" customFormat="false" ht="12.75" hidden="false" customHeight="false" outlineLevel="0" collapsed="false">
      <c r="I17" s="601"/>
      <c r="M17" s="15"/>
    </row>
    <row r="18" customFormat="false" ht="12.75" hidden="false" customHeight="false" outlineLevel="0" collapsed="false">
      <c r="C18" s="588" t="s">
        <v>889</v>
      </c>
      <c r="H18" s="145"/>
      <c r="I18" s="145"/>
      <c r="J18" s="145" t="s">
        <v>890</v>
      </c>
      <c r="K18" s="145"/>
      <c r="L18" s="145"/>
      <c r="M18" s="15" t="n">
        <f aca="false">M8+M16</f>
        <v>591424.0925</v>
      </c>
      <c r="N18" s="145"/>
      <c r="O18" s="145"/>
    </row>
    <row r="19" customFormat="false" ht="12.75" hidden="false" customHeight="false" outlineLevel="0" collapsed="false">
      <c r="C19" s="14" t="s">
        <v>873</v>
      </c>
      <c r="D19" s="15" t="n">
        <f aca="false">+'Valuation - DCF'!E56</f>
        <v>466195.407835604</v>
      </c>
      <c r="H19" s="145"/>
      <c r="I19" s="145"/>
      <c r="J19" s="145" t="s">
        <v>891</v>
      </c>
      <c r="M19" s="590" t="n">
        <f aca="false">F32</f>
        <v>460945</v>
      </c>
      <c r="N19" s="145"/>
      <c r="O19" s="145"/>
    </row>
    <row r="20" customFormat="false" ht="12.75" hidden="false" customHeight="false" outlineLevel="0" collapsed="false">
      <c r="C20" s="14" t="s">
        <v>875</v>
      </c>
      <c r="D20" s="47" t="n">
        <f aca="false">D15</f>
        <v>180400</v>
      </c>
      <c r="H20" s="145"/>
      <c r="I20" s="145"/>
      <c r="J20" s="602" t="s">
        <v>892</v>
      </c>
      <c r="K20" s="592"/>
      <c r="L20" s="592"/>
      <c r="M20" s="593" t="n">
        <f aca="false">+M18-M19</f>
        <v>130479.0925</v>
      </c>
      <c r="N20" s="145"/>
      <c r="O20" s="145"/>
    </row>
    <row r="21" customFormat="false" ht="12.75" hidden="false" customHeight="false" outlineLevel="0" collapsed="false">
      <c r="C21" s="14" t="s">
        <v>877</v>
      </c>
      <c r="D21" s="47" t="n">
        <f aca="false">+D8</f>
        <v>26697</v>
      </c>
      <c r="H21" s="145"/>
      <c r="I21" s="145"/>
      <c r="J21" s="145"/>
      <c r="K21" s="145"/>
      <c r="L21" s="145"/>
      <c r="M21" s="145"/>
      <c r="N21" s="145"/>
      <c r="O21" s="145"/>
    </row>
    <row r="22" customFormat="false" ht="12.75" hidden="false" customHeight="false" outlineLevel="0" collapsed="false">
      <c r="C22" s="592" t="s">
        <v>892</v>
      </c>
      <c r="D22" s="593" t="n">
        <f aca="false">+D19-D20+D21</f>
        <v>312492.407835604</v>
      </c>
      <c r="H22" s="145"/>
      <c r="J22" s="588" t="s">
        <v>893</v>
      </c>
      <c r="N22" s="145"/>
      <c r="O22" s="145"/>
    </row>
    <row r="23" customFormat="false" ht="12.75" hidden="false" customHeight="false" outlineLevel="0" collapsed="false">
      <c r="H23" s="145"/>
      <c r="J23" s="14" t="s">
        <v>894</v>
      </c>
      <c r="M23" s="15" t="n">
        <f aca="false">Segments!P6</f>
        <v>9364</v>
      </c>
      <c r="N23" s="145"/>
      <c r="O23" s="145"/>
    </row>
    <row r="24" customFormat="false" ht="12.75" hidden="false" customHeight="false" outlineLevel="0" collapsed="false">
      <c r="B24" s="145"/>
      <c r="C24" s="603" t="s">
        <v>64</v>
      </c>
      <c r="D24" s="145"/>
      <c r="E24" s="145"/>
      <c r="F24" s="145"/>
      <c r="H24" s="145"/>
      <c r="J24" s="14" t="s">
        <v>881</v>
      </c>
      <c r="M24" s="596" t="n">
        <v>7.5</v>
      </c>
      <c r="N24" s="145"/>
      <c r="O24" s="145"/>
    </row>
    <row r="25" customFormat="false" ht="12.75" hidden="false" customHeight="false" outlineLevel="0" collapsed="false">
      <c r="B25" s="145"/>
      <c r="C25" s="145" t="s">
        <v>870</v>
      </c>
      <c r="D25" s="145"/>
      <c r="E25" s="145"/>
      <c r="F25" s="15" t="n">
        <f aca="false">+D8</f>
        <v>26697</v>
      </c>
      <c r="H25" s="145"/>
      <c r="J25" s="14" t="s">
        <v>886</v>
      </c>
      <c r="M25" s="15" t="n">
        <f aca="false">+M23*M24</f>
        <v>70230</v>
      </c>
      <c r="N25" s="145"/>
      <c r="O25" s="145"/>
    </row>
    <row r="26" customFormat="false" ht="12.75" hidden="false" customHeight="false" outlineLevel="0" collapsed="false">
      <c r="B26" s="589" t="n">
        <v>0.95</v>
      </c>
      <c r="C26" s="145" t="s">
        <v>872</v>
      </c>
      <c r="D26" s="145"/>
      <c r="E26" s="145"/>
      <c r="F26" s="15" t="n">
        <f aca="false">+'Balance Sheet'!F13*Value!$B$26</f>
        <v>352903.15</v>
      </c>
      <c r="H26" s="145"/>
      <c r="J26" s="14" t="s">
        <v>887</v>
      </c>
      <c r="M26" s="590" t="n">
        <f aca="false">(1534.14+4826.45)*I15</f>
        <v>4770.4425</v>
      </c>
      <c r="N26" s="145"/>
      <c r="O26" s="145"/>
    </row>
    <row r="27" customFormat="false" ht="12.75" hidden="false" customHeight="false" outlineLevel="0" collapsed="false">
      <c r="B27" s="589" t="n">
        <v>0.9</v>
      </c>
      <c r="C27" s="145" t="s">
        <v>874</v>
      </c>
      <c r="D27" s="145"/>
      <c r="E27" s="145"/>
      <c r="F27" s="15" t="n">
        <f aca="false">+'Balance Sheet'!F14*Value!$B$27</f>
        <v>140767.2</v>
      </c>
      <c r="H27" s="145"/>
      <c r="J27" s="145" t="s">
        <v>888</v>
      </c>
      <c r="M27" s="15" t="n">
        <f aca="false">M25+M26</f>
        <v>75000.4425</v>
      </c>
      <c r="N27" s="145"/>
      <c r="O27" s="145"/>
    </row>
    <row r="28" customFormat="false" ht="12.75" hidden="false" customHeight="false" outlineLevel="0" collapsed="false">
      <c r="B28" s="589" t="n">
        <v>0.9</v>
      </c>
      <c r="C28" s="145" t="s">
        <v>876</v>
      </c>
      <c r="D28" s="145"/>
      <c r="E28" s="145"/>
      <c r="F28" s="590" t="n">
        <f aca="false">+'Balance Sheet'!F15*Value!$B$28</f>
        <v>2949.3</v>
      </c>
      <c r="H28" s="145"/>
      <c r="O28" s="145"/>
    </row>
    <row r="29" customFormat="false" ht="12.75" hidden="false" customHeight="false" outlineLevel="0" collapsed="false">
      <c r="B29" s="145"/>
      <c r="C29" s="145" t="s">
        <v>878</v>
      </c>
      <c r="D29" s="145"/>
      <c r="E29" s="145"/>
      <c r="F29" s="15" t="n">
        <f aca="false">SUM(F25:F28)</f>
        <v>523316.65</v>
      </c>
      <c r="H29" s="145"/>
      <c r="J29" s="145" t="s">
        <v>895</v>
      </c>
      <c r="K29" s="145"/>
      <c r="L29" s="145"/>
      <c r="M29" s="15" t="n">
        <f aca="false">'Balance Sheet'!F10+'Balance Sheet'!F11</f>
        <v>26697</v>
      </c>
      <c r="N29" s="145"/>
      <c r="O29" s="145"/>
    </row>
    <row r="30" customFormat="false" ht="12.75" hidden="false" customHeight="false" outlineLevel="0" collapsed="false">
      <c r="B30" s="145"/>
      <c r="C30" s="145" t="s">
        <v>896</v>
      </c>
      <c r="D30" s="145"/>
      <c r="E30" s="145"/>
      <c r="F30" s="590" t="n">
        <f aca="false">+'Balance Sheet'!F20+'Balance Sheet'!F18</f>
        <v>33122</v>
      </c>
      <c r="J30" s="145" t="s">
        <v>872</v>
      </c>
      <c r="K30" s="145"/>
      <c r="L30" s="145"/>
      <c r="M30" s="15" t="n">
        <f aca="false">+'Balance Sheet'!F13*Value!B26</f>
        <v>352903.15</v>
      </c>
      <c r="O30" s="145"/>
    </row>
    <row r="31" customFormat="false" ht="12.75" hidden="false" customHeight="false" outlineLevel="0" collapsed="false">
      <c r="B31" s="145"/>
      <c r="C31" s="145" t="s">
        <v>897</v>
      </c>
      <c r="D31" s="145"/>
      <c r="E31" s="145"/>
      <c r="F31" s="15" t="n">
        <f aca="false">+F29+F30</f>
        <v>556438.65</v>
      </c>
      <c r="J31" s="145" t="s">
        <v>874</v>
      </c>
      <c r="K31" s="145"/>
      <c r="L31" s="145"/>
      <c r="M31" s="15" t="n">
        <f aca="false">+'Balance Sheet'!F14*Value!$B$27</f>
        <v>140767.2</v>
      </c>
    </row>
    <row r="32" customFormat="false" ht="12.75" hidden="false" customHeight="false" outlineLevel="0" collapsed="false">
      <c r="B32" s="145"/>
      <c r="C32" s="145" t="s">
        <v>891</v>
      </c>
      <c r="D32" s="145"/>
      <c r="E32" s="145"/>
      <c r="F32" s="590" t="n">
        <f aca="false">+'Balance Sheet'!F31+'Balance Sheet'!F33</f>
        <v>460945</v>
      </c>
      <c r="J32" s="145" t="s">
        <v>876</v>
      </c>
      <c r="K32" s="145"/>
      <c r="L32" s="145"/>
      <c r="M32" s="590" t="n">
        <f aca="false">+'Balance Sheet'!F15*Value!$B$28</f>
        <v>2949.3</v>
      </c>
    </row>
    <row r="33" customFormat="false" ht="12.75" hidden="false" customHeight="false" outlineLevel="0" collapsed="false">
      <c r="B33" s="145"/>
      <c r="C33" s="602" t="s">
        <v>892</v>
      </c>
      <c r="D33" s="602"/>
      <c r="E33" s="602"/>
      <c r="F33" s="593" t="n">
        <f aca="false">+F31-F32</f>
        <v>95493.6499999999</v>
      </c>
      <c r="J33" s="14" t="s">
        <v>898</v>
      </c>
      <c r="M33" s="47" t="n">
        <f aca="false">SUM(M27:M32)</f>
        <v>598317.0925</v>
      </c>
    </row>
    <row r="35" customFormat="false" ht="12.75" hidden="false" customHeight="false" outlineLevel="0" collapsed="false">
      <c r="J35" s="145" t="s">
        <v>891</v>
      </c>
      <c r="K35" s="145"/>
      <c r="L35" s="145"/>
      <c r="M35" s="590" t="n">
        <f aca="false">+'Balance Sheet'!F31+'Balance Sheet'!F33</f>
        <v>460945</v>
      </c>
    </row>
    <row r="36" customFormat="false" ht="12.75" hidden="false" customHeight="false" outlineLevel="0" collapsed="false">
      <c r="J36" s="602" t="s">
        <v>892</v>
      </c>
      <c r="K36" s="602"/>
      <c r="L36" s="602"/>
      <c r="M36" s="593" t="n">
        <f aca="false">+M33-M35</f>
        <v>137372.0925</v>
      </c>
    </row>
    <row r="37" customFormat="false" ht="12.75" hidden="false" customHeight="false" outlineLevel="0" collapsed="false">
      <c r="J37" s="204"/>
      <c r="K37" s="204"/>
      <c r="L37" s="204"/>
      <c r="M37" s="15"/>
    </row>
    <row r="38" customFormat="false" ht="12.75" hidden="false" customHeight="false" outlineLevel="0" collapsed="false">
      <c r="J38" s="145" t="s">
        <v>899</v>
      </c>
      <c r="M38" s="47" t="n">
        <v>-240000</v>
      </c>
    </row>
    <row r="39" customFormat="false" ht="12.75" hidden="false" customHeight="false" outlineLevel="0" collapsed="false">
      <c r="J39" s="602" t="s">
        <v>900</v>
      </c>
      <c r="K39" s="602"/>
      <c r="L39" s="602"/>
      <c r="M39" s="593" t="n">
        <f aca="false">-M36-M38</f>
        <v>102627.9075</v>
      </c>
    </row>
  </sheetData>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54"/>
  <sheetViews>
    <sheetView showFormulas="false" showGridLines="false" showRowColHeaders="true" showZeros="true" rightToLeft="false" tabSelected="false" showOutlineSymbols="true" defaultGridColor="true" view="normal" topLeftCell="A1" colorId="64" zoomScale="65" zoomScaleNormal="65"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4" min="4" style="0" width="6.13"/>
    <col collapsed="false" customWidth="true" hidden="false" outlineLevel="0" max="5" min="5" style="0" width="9.56"/>
    <col collapsed="false" customWidth="true" hidden="false" outlineLevel="0" max="9" min="6" style="0" width="10.28"/>
    <col collapsed="false" customWidth="true" hidden="false" outlineLevel="0" max="10" min="10" style="0" width="5.13"/>
    <col collapsed="false" customWidth="true" hidden="false" outlineLevel="0" max="11" min="11" style="0" width="1.7"/>
    <col collapsed="false" customWidth="true" hidden="false" outlineLevel="0" max="12" min="12" style="0" width="10.71"/>
    <col collapsed="false" customWidth="true" hidden="false" outlineLevel="0" max="13" min="13" style="0" width="10.99"/>
    <col collapsed="false" customWidth="true" hidden="false" outlineLevel="0" max="15" min="14" style="0" width="11.28"/>
    <col collapsed="false" customWidth="true" hidden="false" outlineLevel="0" max="16" min="16" style="0" width="9.99"/>
    <col collapsed="false" customWidth="true" hidden="false" outlineLevel="0" max="17" min="17" style="0" width="4.99"/>
    <col collapsed="false" customWidth="true" hidden="false" outlineLevel="0" max="18" min="18" style="0" width="10.13"/>
    <col collapsed="false" customWidth="true" hidden="false" outlineLevel="0" max="19" min="19" style="0" width="8.28"/>
    <col collapsed="false" customWidth="true" hidden="false" outlineLevel="0" max="20" min="20" style="0" width="9.99"/>
    <col collapsed="false" customWidth="true" hidden="false" outlineLevel="0" max="21" min="21" style="0" width="9.7"/>
    <col collapsed="false" customWidth="true" hidden="false" outlineLevel="0" max="22" min="22" style="0" width="9.56"/>
    <col collapsed="false" customWidth="true" hidden="false" outlineLevel="0" max="23" min="23" style="0" width="9.99"/>
  </cols>
  <sheetData>
    <row r="1" customFormat="false" ht="15.75" hidden="false" customHeight="false" outlineLevel="0" collapsed="false">
      <c r="A1" s="139" t="s">
        <v>901</v>
      </c>
      <c r="E1" s="604" t="s">
        <v>902</v>
      </c>
      <c r="F1" s="604"/>
      <c r="G1" s="604"/>
      <c r="H1" s="604"/>
      <c r="I1" s="604"/>
      <c r="J1" s="604"/>
      <c r="K1" s="53"/>
      <c r="L1" s="604" t="s">
        <v>903</v>
      </c>
      <c r="M1" s="604"/>
      <c r="N1" s="604"/>
      <c r="O1" s="604"/>
      <c r="P1" s="604"/>
      <c r="Q1" s="604"/>
      <c r="R1" s="604" t="s">
        <v>904</v>
      </c>
      <c r="S1" s="604"/>
      <c r="T1" s="604"/>
      <c r="U1" s="604"/>
      <c r="V1" s="604"/>
      <c r="W1" s="53"/>
    </row>
    <row r="2" customFormat="false" ht="12.75" hidden="false" customHeight="false" outlineLevel="0" collapsed="false">
      <c r="E2" s="559" t="n">
        <v>1997</v>
      </c>
      <c r="F2" s="517" t="n">
        <v>1998</v>
      </c>
      <c r="G2" s="497" t="n">
        <v>1999</v>
      </c>
      <c r="H2" s="497" t="n">
        <v>2000</v>
      </c>
      <c r="I2" s="605" t="n">
        <v>2001</v>
      </c>
      <c r="J2" s="58"/>
      <c r="L2" s="559" t="n">
        <v>1997</v>
      </c>
      <c r="M2" s="517" t="n">
        <f aca="false">+F2</f>
        <v>1998</v>
      </c>
      <c r="N2" s="517" t="n">
        <f aca="false">+G2</f>
        <v>1999</v>
      </c>
      <c r="O2" s="517" t="n">
        <f aca="false">+H2</f>
        <v>2000</v>
      </c>
      <c r="P2" s="606" t="n">
        <f aca="false">+I2</f>
        <v>2001</v>
      </c>
      <c r="Q2" s="58"/>
      <c r="R2" s="559" t="n">
        <v>1997</v>
      </c>
      <c r="S2" s="517" t="n">
        <v>1998</v>
      </c>
      <c r="T2" s="497" t="n">
        <v>1999</v>
      </c>
      <c r="U2" s="497" t="n">
        <v>2000</v>
      </c>
      <c r="V2" s="605" t="n">
        <v>2001</v>
      </c>
    </row>
    <row r="3" customFormat="false" ht="12.75" hidden="false" customHeight="false" outlineLevel="0" collapsed="false">
      <c r="F3" s="607"/>
      <c r="I3" s="608"/>
      <c r="M3" s="607"/>
      <c r="P3" s="609"/>
      <c r="S3" s="607"/>
      <c r="V3" s="608"/>
    </row>
    <row r="4" customFormat="false" ht="12.75" hidden="false" customHeight="false" outlineLevel="0" collapsed="false">
      <c r="A4" s="0" t="s">
        <v>654</v>
      </c>
      <c r="E4" s="67" t="n">
        <v>1743</v>
      </c>
      <c r="F4" s="462" t="n">
        <v>1834</v>
      </c>
      <c r="G4" s="67" t="n">
        <v>1608</v>
      </c>
      <c r="H4" s="67" t="n">
        <v>62</v>
      </c>
      <c r="I4" s="610" t="n">
        <v>0</v>
      </c>
      <c r="J4" s="67"/>
      <c r="L4" s="86" t="n">
        <v>-10881</v>
      </c>
      <c r="M4" s="86" t="n">
        <v>4890</v>
      </c>
      <c r="N4" s="123" t="n">
        <v>576</v>
      </c>
      <c r="O4" s="123" t="n">
        <v>703</v>
      </c>
      <c r="P4" s="611" t="s">
        <v>331</v>
      </c>
      <c r="Q4" s="123"/>
      <c r="R4" s="612" t="n">
        <f aca="false">+L4/$L$12</f>
        <v>-0.291520428667113</v>
      </c>
      <c r="S4" s="612" t="n">
        <f aca="false">+M4/$M$12</f>
        <v>0.105617831918616</v>
      </c>
      <c r="T4" s="612" t="n">
        <f aca="false">+N4/$N$12</f>
        <v>0.00931134820562561</v>
      </c>
      <c r="U4" s="612" t="n">
        <f aca="false">+O4/$O$12</f>
        <v>0.00743042563761085</v>
      </c>
      <c r="V4" s="613" t="str">
        <f aca="false">+P4</f>
        <v>N/A</v>
      </c>
    </row>
    <row r="5" customFormat="false" ht="12.75" hidden="false" customHeight="false" outlineLevel="0" collapsed="false">
      <c r="A5" s="0" t="s">
        <v>266</v>
      </c>
      <c r="E5" s="67" t="n">
        <v>767</v>
      </c>
      <c r="F5" s="67" t="n">
        <v>1022</v>
      </c>
      <c r="G5" s="67" t="n">
        <v>1421</v>
      </c>
      <c r="H5" s="67" t="n">
        <v>1255</v>
      </c>
      <c r="I5" s="610" t="n">
        <v>1300</v>
      </c>
      <c r="J5" s="67"/>
      <c r="L5" s="86" t="n">
        <v>2098</v>
      </c>
      <c r="M5" s="123" t="n">
        <v>2862</v>
      </c>
      <c r="N5" s="123" t="n">
        <v>5444</v>
      </c>
      <c r="O5" s="123" t="n">
        <v>8922</v>
      </c>
      <c r="P5" s="614" t="n">
        <v>9000</v>
      </c>
      <c r="Q5" s="123"/>
      <c r="R5" s="612" t="n">
        <f aca="false">+L5/$L$12</f>
        <v>0.0562089752176825</v>
      </c>
      <c r="S5" s="612" t="n">
        <f aca="false">+M5/$M$12</f>
        <v>0.0618155899695458</v>
      </c>
      <c r="T5" s="612" t="n">
        <f aca="false">+N5/$N$12</f>
        <v>0.0880051729712253</v>
      </c>
      <c r="U5" s="612" t="n">
        <f aca="false">+O5/$O$12</f>
        <v>0.0943019310650981</v>
      </c>
      <c r="V5" s="613" t="n">
        <f aca="false">+P5/$P$12</f>
        <v>0.0783487564311271</v>
      </c>
    </row>
    <row r="6" customFormat="false" ht="12.75" hidden="false" customHeight="false" outlineLevel="0" collapsed="false">
      <c r="A6" s="0" t="s">
        <v>260</v>
      </c>
      <c r="E6" s="67" t="n">
        <v>264</v>
      </c>
      <c r="F6" s="67" t="n">
        <v>260</v>
      </c>
      <c r="G6" s="67" t="n">
        <v>239</v>
      </c>
      <c r="H6" s="67" t="n">
        <v>412</v>
      </c>
      <c r="I6" s="610" t="n">
        <v>374</v>
      </c>
      <c r="J6" s="67"/>
      <c r="L6" s="86" t="n">
        <v>6958</v>
      </c>
      <c r="M6" s="123" t="n">
        <v>5909</v>
      </c>
      <c r="N6" s="123" t="n">
        <v>6191</v>
      </c>
      <c r="O6" s="123" t="n">
        <v>7508</v>
      </c>
      <c r="P6" s="614" t="n">
        <v>9364</v>
      </c>
      <c r="Q6" s="123"/>
      <c r="R6" s="612" t="n">
        <f aca="false">+L6/$L$12</f>
        <v>0.186416610850636</v>
      </c>
      <c r="S6" s="612" t="n">
        <f aca="false">+M6/$M$12</f>
        <v>0.127626946586319</v>
      </c>
      <c r="T6" s="612" t="n">
        <f aca="false">+N6/$N$12</f>
        <v>0.100080827675396</v>
      </c>
      <c r="U6" s="612" t="n">
        <f aca="false">+O6/$O$12</f>
        <v>0.0793565230258638</v>
      </c>
      <c r="V6" s="613" t="n">
        <f aca="false">+P6/$P$12</f>
        <v>0.0815175283578971</v>
      </c>
    </row>
    <row r="7" customFormat="false" ht="12.75" hidden="false" customHeight="false" outlineLevel="0" collapsed="false">
      <c r="A7" s="0" t="s">
        <v>267</v>
      </c>
      <c r="E7" s="67" t="n">
        <v>1249</v>
      </c>
      <c r="F7" s="67" t="n">
        <v>1282</v>
      </c>
      <c r="G7" s="67" t="n">
        <v>1623</v>
      </c>
      <c r="H7" s="67" t="n">
        <v>2267</v>
      </c>
      <c r="I7" s="610" t="n">
        <v>2436</v>
      </c>
      <c r="J7" s="67"/>
      <c r="L7" s="86" t="n">
        <v>3488</v>
      </c>
      <c r="M7" s="123" t="n">
        <v>3752</v>
      </c>
      <c r="N7" s="123" t="n">
        <v>3242</v>
      </c>
      <c r="O7" s="123" t="n">
        <v>10300</v>
      </c>
      <c r="P7" s="614" t="n">
        <v>11150</v>
      </c>
      <c r="Q7" s="123"/>
      <c r="R7" s="612" t="n">
        <f aca="false">+L7/$L$12</f>
        <v>0.0934494306764903</v>
      </c>
      <c r="S7" s="612" t="n">
        <f aca="false">+M7/$M$12</f>
        <v>0.0810384673535066</v>
      </c>
      <c r="T7" s="612" t="n">
        <f aca="false">+N7/$N$12</f>
        <v>0.0524086647268025</v>
      </c>
      <c r="U7" s="612" t="n">
        <f aca="false">+O7/$O$12</f>
        <v>0.108866833666276</v>
      </c>
      <c r="V7" s="613" t="n">
        <f aca="false">+P7/$P$12</f>
        <v>0.0970654038007852</v>
      </c>
    </row>
    <row r="8" customFormat="false" ht="12.75" hidden="false" customHeight="false" outlineLevel="0" collapsed="false">
      <c r="A8" s="0" t="s">
        <v>268</v>
      </c>
      <c r="E8" s="67" t="n">
        <f aca="false">6486-E7</f>
        <v>5237</v>
      </c>
      <c r="F8" s="67" t="n">
        <v>4422</v>
      </c>
      <c r="G8" s="67" t="n">
        <v>6451</v>
      </c>
      <c r="H8" s="67" t="n">
        <v>9380</v>
      </c>
      <c r="I8" s="610" t="n">
        <v>11121</v>
      </c>
      <c r="J8" s="67"/>
      <c r="L8" s="86" t="n">
        <f aca="false">24960-3488</f>
        <v>21472</v>
      </c>
      <c r="M8" s="123" t="n">
        <v>19597</v>
      </c>
      <c r="N8" s="123" t="n">
        <v>25469</v>
      </c>
      <c r="O8" s="123" t="n">
        <v>41461</v>
      </c>
      <c r="P8" s="614" t="n">
        <v>55605</v>
      </c>
      <c r="Q8" s="123"/>
      <c r="R8" s="612" t="n">
        <f aca="false">+L8/$L$12</f>
        <v>0.575271265907569</v>
      </c>
      <c r="S8" s="612" t="n">
        <f aca="false">+M8/$M$12</f>
        <v>0.423270481003909</v>
      </c>
      <c r="T8" s="612" t="n">
        <f aca="false">+N8/$N$12</f>
        <v>0.411720012932428</v>
      </c>
      <c r="U8" s="612" t="n">
        <f aca="false">+O8/$O$12</f>
        <v>0.438225999091015</v>
      </c>
      <c r="V8" s="613" t="n">
        <f aca="false">+P8/$P$12</f>
        <v>0.484064733483647</v>
      </c>
    </row>
    <row r="9" customFormat="false" ht="12.75" hidden="false" customHeight="false" outlineLevel="0" collapsed="false">
      <c r="A9" s="0" t="s">
        <v>269</v>
      </c>
      <c r="E9" s="67" t="n">
        <v>2112</v>
      </c>
      <c r="F9" s="67" t="n">
        <v>3510</v>
      </c>
      <c r="G9" s="67" t="n">
        <v>2890</v>
      </c>
      <c r="H9" s="67" t="n">
        <v>3841</v>
      </c>
      <c r="I9" s="610" t="n">
        <v>4000</v>
      </c>
      <c r="J9" s="67"/>
      <c r="L9" s="86" t="n">
        <v>5945</v>
      </c>
      <c r="M9" s="123" t="n">
        <v>3158</v>
      </c>
      <c r="N9" s="123" t="n">
        <v>13391</v>
      </c>
      <c r="O9" s="123" t="n">
        <v>11615</v>
      </c>
      <c r="P9" s="614" t="n">
        <v>14000</v>
      </c>
      <c r="Q9" s="123"/>
      <c r="R9" s="612" t="n">
        <f aca="false">+L9/$L$12</f>
        <v>0.159276624246484</v>
      </c>
      <c r="S9" s="612" t="n">
        <f aca="false">+M9/$M$12</f>
        <v>0.0682088166051103</v>
      </c>
      <c r="T9" s="612" t="n">
        <f aca="false">+N9/$N$12</f>
        <v>0.216472680245716</v>
      </c>
      <c r="U9" s="612" t="n">
        <f aca="false">+O9/$O$12</f>
        <v>0.122765851750854</v>
      </c>
      <c r="V9" s="613" t="n">
        <f aca="false">+P9/$P$12</f>
        <v>0.121875843337309</v>
      </c>
    </row>
    <row r="10" customFormat="false" ht="15" hidden="false" customHeight="false" outlineLevel="0" collapsed="false">
      <c r="A10" s="0" t="s">
        <v>347</v>
      </c>
      <c r="E10" s="297" t="n">
        <v>0</v>
      </c>
      <c r="F10" s="615" t="n">
        <v>0</v>
      </c>
      <c r="G10" s="615" t="n">
        <v>0</v>
      </c>
      <c r="H10" s="615" t="n">
        <v>0</v>
      </c>
      <c r="I10" s="616" t="n">
        <v>0</v>
      </c>
      <c r="J10" s="615"/>
      <c r="K10" s="480"/>
      <c r="L10" s="564" t="n">
        <v>8245</v>
      </c>
      <c r="M10" s="27" t="n">
        <v>6131</v>
      </c>
      <c r="N10" s="27" t="n">
        <v>7547</v>
      </c>
      <c r="O10" s="27" t="n">
        <v>14102</v>
      </c>
      <c r="P10" s="617" t="n">
        <v>15752</v>
      </c>
      <c r="Q10" s="27"/>
      <c r="R10" s="618" t="n">
        <f aca="false">+L10/$L$12</f>
        <v>0.220897521768252</v>
      </c>
      <c r="S10" s="618" t="n">
        <f aca="false">+M10/$M$12</f>
        <v>0.132421866562993</v>
      </c>
      <c r="T10" s="618" t="n">
        <f aca="false">+N10/$N$12</f>
        <v>0.122001293242806</v>
      </c>
      <c r="U10" s="618" t="n">
        <f aca="false">+O10/$O$12</f>
        <v>0.149052435763283</v>
      </c>
      <c r="V10" s="619" t="n">
        <f aca="false">+P10/$P$12</f>
        <v>0.137127734589235</v>
      </c>
    </row>
    <row r="11" customFormat="false" ht="12.75" hidden="false" customHeight="false" outlineLevel="0" collapsed="false">
      <c r="F11" s="607"/>
      <c r="I11" s="608"/>
      <c r="M11" s="123"/>
      <c r="N11" s="123"/>
      <c r="O11" s="123"/>
      <c r="P11" s="614"/>
      <c r="Q11" s="123"/>
      <c r="R11" s="612"/>
      <c r="S11" s="612"/>
      <c r="T11" s="612"/>
      <c r="U11" s="612"/>
      <c r="V11" s="613"/>
    </row>
    <row r="12" customFormat="false" ht="12.75" hidden="false" customHeight="false" outlineLevel="0" collapsed="false">
      <c r="A12" s="0" t="s">
        <v>905</v>
      </c>
      <c r="E12" s="620" t="n">
        <f aca="false">SUM(E4:E10)</f>
        <v>11372</v>
      </c>
      <c r="F12" s="620" t="n">
        <f aca="false">SUM(F4:F10)</f>
        <v>12330</v>
      </c>
      <c r="G12" s="620" t="n">
        <f aca="false">SUM(G4:G10)</f>
        <v>14232</v>
      </c>
      <c r="H12" s="620" t="n">
        <f aca="false">SUM(H4:H10)</f>
        <v>17217</v>
      </c>
      <c r="I12" s="621" t="n">
        <f aca="false">SUM(I4:I10)</f>
        <v>19231</v>
      </c>
      <c r="J12" s="620"/>
      <c r="K12" s="622"/>
      <c r="L12" s="584" t="n">
        <f aca="false">SUM(L4:L10)</f>
        <v>37325</v>
      </c>
      <c r="M12" s="584" t="n">
        <f aca="false">SUM(M4:M10)</f>
        <v>46299</v>
      </c>
      <c r="N12" s="584" t="n">
        <f aca="false">SUM(N4:N10)</f>
        <v>61860</v>
      </c>
      <c r="O12" s="584" t="n">
        <f aca="false">SUM(O4:O10)</f>
        <v>94611</v>
      </c>
      <c r="P12" s="623" t="n">
        <f aca="false">SUM(P4:P10)</f>
        <v>114871</v>
      </c>
      <c r="Q12" s="584"/>
      <c r="R12" s="624" t="n">
        <f aca="false">SUM(R4:R10)</f>
        <v>1</v>
      </c>
      <c r="S12" s="624" t="n">
        <f aca="false">SUM(S4:S10)</f>
        <v>1</v>
      </c>
      <c r="T12" s="624" t="n">
        <f aca="false">SUM(T4:T10)</f>
        <v>1</v>
      </c>
      <c r="U12" s="624" t="n">
        <f aca="false">SUM(U4:U10)</f>
        <v>1</v>
      </c>
      <c r="V12" s="625" t="n">
        <f aca="false">SUM(V4:V10)</f>
        <v>1</v>
      </c>
    </row>
    <row r="13" customFormat="false" ht="12.75" hidden="false" customHeight="false" outlineLevel="0" collapsed="false">
      <c r="P13" s="484"/>
    </row>
    <row r="14" customFormat="false" ht="12.75" hidden="false" customHeight="false" outlineLevel="0" collapsed="false">
      <c r="A14" s="0" t="s">
        <v>906</v>
      </c>
      <c r="M14" s="123" t="n">
        <v>35664</v>
      </c>
      <c r="N14" s="123" t="n">
        <v>33799</v>
      </c>
      <c r="O14" s="123" t="n">
        <v>35051</v>
      </c>
      <c r="P14" s="614" t="n">
        <v>35927</v>
      </c>
      <c r="Q14" s="123"/>
    </row>
    <row r="15" customFormat="false" ht="15" hidden="false" customHeight="false" outlineLevel="0" collapsed="false">
      <c r="A15" s="0" t="s">
        <v>125</v>
      </c>
      <c r="M15" s="27" t="n">
        <v>1547</v>
      </c>
      <c r="N15" s="27" t="n">
        <v>3148</v>
      </c>
      <c r="O15" s="27" t="n">
        <v>7978</v>
      </c>
      <c r="P15" s="617" t="n">
        <v>8911</v>
      </c>
      <c r="Q15" s="27"/>
    </row>
    <row r="16" customFormat="false" ht="12.75" hidden="false" customHeight="false" outlineLevel="0" collapsed="false">
      <c r="A16" s="0" t="s">
        <v>907</v>
      </c>
      <c r="M16" s="123" t="n">
        <f aca="false">+M12-M14-M15</f>
        <v>9088</v>
      </c>
      <c r="N16" s="123" t="n">
        <f aca="false">+N12-N14-N15</f>
        <v>24913</v>
      </c>
      <c r="O16" s="123" t="n">
        <f aca="false">+O12-O14-O15</f>
        <v>51582</v>
      </c>
      <c r="P16" s="614" t="n">
        <f aca="false">+P12-P14-P15</f>
        <v>70033</v>
      </c>
      <c r="Q16" s="123"/>
    </row>
    <row r="17" customFormat="false" ht="15" hidden="false" customHeight="false" outlineLevel="0" collapsed="false">
      <c r="A17" s="0" t="s">
        <v>294</v>
      </c>
      <c r="M17" s="27" t="n">
        <v>3563</v>
      </c>
      <c r="N17" s="27" t="n">
        <v>11904</v>
      </c>
      <c r="O17" s="27" t="n">
        <v>26451</v>
      </c>
      <c r="P17" s="617" t="n">
        <v>32915</v>
      </c>
      <c r="Q17" s="27"/>
    </row>
    <row r="18" customFormat="false" ht="12.75" hidden="false" customHeight="false" outlineLevel="0" collapsed="false">
      <c r="A18" s="0" t="s">
        <v>908</v>
      </c>
      <c r="M18" s="123" t="n">
        <f aca="false">+M16-M17</f>
        <v>5525</v>
      </c>
      <c r="N18" s="123" t="n">
        <f aca="false">+N16-N17</f>
        <v>13009</v>
      </c>
      <c r="O18" s="123" t="n">
        <f aca="false">+O16-O17</f>
        <v>25131</v>
      </c>
      <c r="P18" s="614" t="n">
        <f aca="false">+P16-P17</f>
        <v>37118</v>
      </c>
      <c r="Q18" s="123"/>
    </row>
    <row r="19" customFormat="false" ht="12.75" hidden="false" customHeight="false" outlineLevel="0" collapsed="false">
      <c r="A19" s="0" t="s">
        <v>583</v>
      </c>
      <c r="M19" s="123" t="n">
        <v>500</v>
      </c>
      <c r="N19" s="123" t="n">
        <v>1436</v>
      </c>
      <c r="O19" s="123" t="n">
        <v>2403</v>
      </c>
      <c r="P19" s="614" t="n">
        <v>3712</v>
      </c>
      <c r="Q19" s="123"/>
    </row>
    <row r="20" customFormat="false" ht="12.75" hidden="false" customHeight="false" outlineLevel="0" collapsed="false">
      <c r="A20" s="0" t="s">
        <v>65</v>
      </c>
      <c r="M20" s="584" t="n">
        <f aca="false">+M18-M19</f>
        <v>5025</v>
      </c>
      <c r="N20" s="584" t="n">
        <f aca="false">+N18-N19</f>
        <v>11573</v>
      </c>
      <c r="O20" s="584" t="n">
        <f aca="false">+O18-O19</f>
        <v>22728</v>
      </c>
      <c r="P20" s="623" t="n">
        <f aca="false">+P18-P19</f>
        <v>33406</v>
      </c>
      <c r="Q20" s="123"/>
    </row>
    <row r="21" customFormat="false" ht="12.75" hidden="false" customHeight="false" outlineLevel="0" collapsed="false">
      <c r="M21" s="123"/>
      <c r="N21" s="123"/>
      <c r="O21" s="123"/>
      <c r="P21" s="614"/>
      <c r="Q21" s="123"/>
    </row>
    <row r="22" customFormat="false" ht="15" hidden="false" customHeight="false" outlineLevel="0" collapsed="false">
      <c r="A22" s="0" t="s">
        <v>909</v>
      </c>
      <c r="M22" s="27" t="n">
        <v>4942</v>
      </c>
      <c r="N22" s="27" t="n">
        <v>6730</v>
      </c>
      <c r="O22" s="27" t="n">
        <v>13681</v>
      </c>
      <c r="P22" s="617" t="n">
        <v>16623</v>
      </c>
      <c r="Q22" s="123"/>
    </row>
    <row r="23" customFormat="false" ht="12.75" hidden="false" customHeight="false" outlineLevel="0" collapsed="false">
      <c r="A23" s="0" t="s">
        <v>68</v>
      </c>
      <c r="M23" s="626" t="n">
        <f aca="false">+M20+M22</f>
        <v>9967</v>
      </c>
      <c r="N23" s="499" t="n">
        <f aca="false">+N20+N22</f>
        <v>18303</v>
      </c>
      <c r="O23" s="499" t="n">
        <f aca="false">+O20+O22</f>
        <v>36409</v>
      </c>
      <c r="P23" s="627" t="n">
        <f aca="false">+P20+P22</f>
        <v>50029</v>
      </c>
      <c r="Q23" s="499"/>
    </row>
    <row r="24" customFormat="false" ht="12.75" hidden="false" customHeight="false" outlineLevel="0" collapsed="false">
      <c r="V24" s="499"/>
    </row>
    <row r="25" customFormat="false" ht="12.75" hidden="false" customHeight="false" outlineLevel="0" collapsed="false">
      <c r="A25" s="418"/>
      <c r="B25" s="418"/>
      <c r="C25" s="418"/>
      <c r="D25" s="418"/>
      <c r="E25" s="418"/>
      <c r="F25" s="418"/>
      <c r="G25" s="418"/>
      <c r="H25" s="418"/>
      <c r="I25" s="418"/>
      <c r="J25" s="418"/>
      <c r="K25" s="418"/>
      <c r="L25" s="418"/>
      <c r="M25" s="418"/>
      <c r="N25" s="418"/>
      <c r="O25" s="418"/>
      <c r="P25" s="418"/>
      <c r="Q25" s="418"/>
      <c r="R25" s="418"/>
      <c r="S25" s="418"/>
      <c r="T25" s="628"/>
      <c r="U25" s="418"/>
      <c r="V25" s="418"/>
      <c r="W25" s="418"/>
    </row>
    <row r="26" customFormat="false" ht="12.75" hidden="false" customHeight="false" outlineLevel="0" collapsed="false">
      <c r="T26" s="499"/>
    </row>
    <row r="28" customFormat="false" ht="12.75" hidden="false" customHeight="false" outlineLevel="0" collapsed="false">
      <c r="M28" s="499"/>
      <c r="N28" s="499"/>
      <c r="O28" s="499"/>
    </row>
    <row r="29" customFormat="false" ht="12.75" hidden="false" customHeight="false" outlineLevel="0" collapsed="false">
      <c r="M29" s="499"/>
      <c r="N29" s="499"/>
      <c r="O29" s="499"/>
    </row>
    <row r="30" customFormat="false" ht="12.75" hidden="false" customHeight="false" outlineLevel="0" collapsed="false">
      <c r="K30" s="58"/>
      <c r="L30" s="58"/>
      <c r="M30" s="629"/>
      <c r="N30" s="629"/>
      <c r="O30" s="629"/>
      <c r="P30" s="629"/>
      <c r="Q30" s="58"/>
    </row>
    <row r="31" customFormat="false" ht="12.75" hidden="false" customHeight="false" outlineLevel="0" collapsed="false">
      <c r="K31" s="58"/>
      <c r="L31" s="58"/>
      <c r="M31" s="629"/>
      <c r="N31" s="629"/>
      <c r="O31" s="629"/>
      <c r="P31" s="58"/>
      <c r="Q31" s="58"/>
    </row>
    <row r="32" customFormat="false" ht="12.75" hidden="false" customHeight="false" outlineLevel="0" collapsed="false">
      <c r="K32" s="58"/>
      <c r="L32" s="58"/>
      <c r="M32" s="629"/>
      <c r="N32" s="629"/>
      <c r="O32" s="629"/>
      <c r="P32" s="58"/>
      <c r="Q32" s="58"/>
    </row>
    <row r="33" customFormat="false" ht="12.75" hidden="false" customHeight="false" outlineLevel="0" collapsed="false">
      <c r="K33" s="58"/>
      <c r="L33" s="58"/>
      <c r="M33" s="629"/>
      <c r="N33" s="629"/>
      <c r="O33" s="629"/>
      <c r="P33" s="58"/>
      <c r="Q33" s="58"/>
    </row>
    <row r="34" customFormat="false" ht="12.75" hidden="false" customHeight="false" outlineLevel="0" collapsed="false">
      <c r="K34" s="58"/>
      <c r="L34" s="58"/>
      <c r="M34" s="630"/>
      <c r="N34" s="630"/>
      <c r="O34" s="630"/>
      <c r="P34" s="58"/>
      <c r="Q34" s="58"/>
    </row>
    <row r="35" customFormat="false" ht="12.75" hidden="false" customHeight="false" outlineLevel="0" collapsed="false">
      <c r="K35" s="58"/>
      <c r="L35" s="58"/>
      <c r="M35" s="629"/>
      <c r="N35" s="629"/>
      <c r="O35" s="629"/>
      <c r="P35" s="58"/>
      <c r="Q35" s="58"/>
    </row>
    <row r="36" customFormat="false" ht="12.75" hidden="false" customHeight="false" outlineLevel="0" collapsed="false">
      <c r="K36" s="58"/>
      <c r="L36" s="58"/>
      <c r="M36" s="58"/>
      <c r="N36" s="58"/>
      <c r="O36" s="58"/>
      <c r="P36" s="58"/>
      <c r="Q36" s="58"/>
    </row>
    <row r="37" customFormat="false" ht="12.75" hidden="false" customHeight="false" outlineLevel="0" collapsed="false">
      <c r="K37" s="58"/>
      <c r="L37" s="58"/>
      <c r="M37" s="58"/>
      <c r="N37" s="629"/>
      <c r="O37" s="58"/>
      <c r="P37" s="58"/>
      <c r="Q37" s="58"/>
    </row>
    <row r="38" customFormat="false" ht="12.75" hidden="false" customHeight="false" outlineLevel="0" collapsed="false">
      <c r="K38" s="58"/>
      <c r="L38" s="58"/>
      <c r="M38" s="58"/>
      <c r="N38" s="58"/>
      <c r="O38" s="58"/>
      <c r="P38" s="58"/>
      <c r="Q38" s="58"/>
    </row>
    <row r="39" customFormat="false" ht="12.75" hidden="false" customHeight="false" outlineLevel="0" collapsed="false">
      <c r="K39" s="58"/>
      <c r="L39" s="58"/>
      <c r="M39" s="58"/>
      <c r="N39" s="58"/>
      <c r="O39" s="58"/>
      <c r="P39" s="58"/>
      <c r="Q39" s="58"/>
    </row>
    <row r="40" customFormat="false" ht="12.75" hidden="false" customHeight="false" outlineLevel="0" collapsed="false">
      <c r="K40" s="58"/>
      <c r="L40" s="58"/>
      <c r="M40" s="58"/>
      <c r="N40" s="58"/>
      <c r="O40" s="58"/>
      <c r="P40" s="58"/>
      <c r="Q40" s="58"/>
    </row>
    <row r="41" customFormat="false" ht="12.75" hidden="false" customHeight="false" outlineLevel="0" collapsed="false">
      <c r="K41" s="58"/>
      <c r="L41" s="58"/>
      <c r="M41" s="58"/>
      <c r="N41" s="58"/>
      <c r="O41" s="58"/>
      <c r="P41" s="58"/>
      <c r="Q41" s="58"/>
    </row>
    <row r="42" customFormat="false" ht="12.75" hidden="false" customHeight="false" outlineLevel="0" collapsed="false">
      <c r="K42" s="58"/>
      <c r="L42" s="58"/>
      <c r="M42" s="58"/>
      <c r="N42" s="58"/>
      <c r="O42" s="58"/>
      <c r="P42" s="58"/>
      <c r="Q42" s="58"/>
      <c r="R42" s="58"/>
      <c r="S42" s="58"/>
      <c r="T42" s="58"/>
      <c r="U42" s="58"/>
      <c r="V42" s="58"/>
      <c r="W42" s="629"/>
      <c r="X42" s="58"/>
    </row>
    <row r="43" customFormat="false" ht="12.75" hidden="false" customHeight="false" outlineLevel="0" collapsed="false">
      <c r="K43" s="58"/>
      <c r="L43" s="58"/>
      <c r="M43" s="58"/>
      <c r="N43" s="58"/>
      <c r="O43" s="58"/>
      <c r="P43" s="58"/>
      <c r="Q43" s="58"/>
      <c r="R43" s="58"/>
      <c r="S43" s="58"/>
      <c r="T43" s="58"/>
      <c r="U43" s="58"/>
      <c r="V43" s="58"/>
      <c r="W43" s="58"/>
      <c r="X43" s="58"/>
    </row>
    <row r="44" customFormat="false" ht="12.75" hidden="false" customHeight="false" outlineLevel="0" collapsed="false">
      <c r="K44" s="58"/>
      <c r="L44" s="58"/>
      <c r="M44" s="58"/>
      <c r="N44" s="58"/>
      <c r="O44" s="58"/>
      <c r="P44" s="58"/>
      <c r="Q44" s="58"/>
      <c r="R44" s="58"/>
      <c r="S44" s="58"/>
      <c r="T44" s="58"/>
      <c r="U44" s="58"/>
      <c r="V44" s="58"/>
      <c r="W44" s="58"/>
      <c r="X44" s="58"/>
    </row>
    <row r="45" customFormat="false" ht="12.75" hidden="false" customHeight="false" outlineLevel="0" collapsed="false">
      <c r="P45" s="58"/>
      <c r="Q45" s="58"/>
      <c r="R45" s="58"/>
      <c r="S45" s="58"/>
      <c r="T45" s="58"/>
      <c r="U45" s="58"/>
      <c r="V45" s="58"/>
      <c r="W45" s="58"/>
      <c r="X45" s="58"/>
    </row>
    <row r="46" customFormat="false" ht="12.75" hidden="false" customHeight="false" outlineLevel="0" collapsed="false">
      <c r="P46" s="58"/>
      <c r="Q46" s="58"/>
      <c r="R46" s="58"/>
      <c r="S46" s="58"/>
      <c r="T46" s="58"/>
      <c r="U46" s="58"/>
      <c r="V46" s="58"/>
      <c r="W46" s="58"/>
      <c r="X46" s="58"/>
    </row>
    <row r="47" customFormat="false" ht="12.75" hidden="false" customHeight="false" outlineLevel="0" collapsed="false">
      <c r="F47" s="123"/>
      <c r="G47" s="123"/>
      <c r="H47" s="123"/>
      <c r="P47" s="58"/>
      <c r="Q47" s="58"/>
      <c r="R47" s="58"/>
      <c r="S47" s="58"/>
      <c r="T47" s="58"/>
      <c r="U47" s="631"/>
      <c r="V47" s="631"/>
      <c r="W47" s="631"/>
      <c r="X47" s="58"/>
    </row>
    <row r="48" customFormat="false" ht="12.75" hidden="false" customHeight="false" outlineLevel="0" collapsed="false">
      <c r="G48" s="123"/>
      <c r="H48" s="123"/>
      <c r="I48" s="123"/>
      <c r="P48" s="58"/>
      <c r="Q48" s="364"/>
      <c r="R48" s="364"/>
      <c r="S48" s="364"/>
      <c r="T48" s="632"/>
      <c r="U48" s="632"/>
      <c r="V48" s="632"/>
      <c r="W48" s="632"/>
      <c r="X48" s="58"/>
    </row>
    <row r="49" customFormat="false" ht="12.75" hidden="false" customHeight="false" outlineLevel="0" collapsed="false">
      <c r="P49" s="58"/>
      <c r="Q49" s="364"/>
      <c r="R49" s="364"/>
      <c r="S49" s="364"/>
      <c r="T49" s="364"/>
      <c r="U49" s="632"/>
      <c r="V49" s="632"/>
      <c r="W49" s="632"/>
      <c r="X49" s="58"/>
    </row>
    <row r="50" customFormat="false" ht="12.75" hidden="false" customHeight="false" outlineLevel="0" collapsed="false">
      <c r="P50" s="58"/>
      <c r="Q50" s="364"/>
      <c r="R50" s="364"/>
      <c r="S50" s="364"/>
      <c r="T50" s="364"/>
      <c r="U50" s="633"/>
      <c r="V50" s="633"/>
      <c r="W50" s="633"/>
      <c r="X50" s="58"/>
    </row>
    <row r="51" customFormat="false" ht="15" hidden="false" customHeight="false" outlineLevel="0" collapsed="false">
      <c r="P51" s="58"/>
      <c r="Q51" s="364"/>
      <c r="R51" s="364"/>
      <c r="S51" s="364"/>
      <c r="T51" s="364"/>
      <c r="U51" s="634"/>
      <c r="V51" s="635"/>
      <c r="W51" s="635"/>
      <c r="X51" s="58"/>
    </row>
    <row r="52" customFormat="false" ht="12.75" hidden="false" customHeight="false" outlineLevel="0" collapsed="false">
      <c r="P52" s="58"/>
      <c r="Q52" s="364"/>
      <c r="R52" s="364"/>
      <c r="S52" s="364"/>
      <c r="T52" s="364"/>
      <c r="U52" s="632"/>
      <c r="V52" s="632"/>
      <c r="W52" s="632"/>
      <c r="X52" s="58"/>
    </row>
    <row r="53" customFormat="false" ht="12.75" hidden="false" customHeight="false" outlineLevel="0" collapsed="false">
      <c r="P53" s="58"/>
      <c r="Q53" s="364"/>
      <c r="R53" s="364"/>
      <c r="S53" s="364"/>
      <c r="T53" s="364"/>
      <c r="U53" s="633"/>
      <c r="V53" s="633"/>
      <c r="W53" s="633"/>
      <c r="X53" s="58"/>
    </row>
    <row r="54" customFormat="false" ht="12.75" hidden="false" customHeight="false" outlineLevel="0" collapsed="false">
      <c r="P54" s="58"/>
      <c r="Q54" s="364"/>
      <c r="R54" s="364"/>
      <c r="S54" s="364"/>
      <c r="T54" s="364"/>
      <c r="U54" s="632"/>
      <c r="V54" s="632"/>
      <c r="W54" s="632"/>
      <c r="X54" s="58"/>
    </row>
    <row r="55" customFormat="false" ht="15" hidden="false" customHeight="false" outlineLevel="0" collapsed="false">
      <c r="P55" s="58"/>
      <c r="Q55" s="364"/>
      <c r="R55" s="364"/>
      <c r="S55" s="364"/>
      <c r="T55" s="364"/>
      <c r="U55" s="634"/>
      <c r="V55" s="634"/>
      <c r="W55" s="634"/>
      <c r="X55" s="58"/>
    </row>
    <row r="56" customFormat="false" ht="12.75" hidden="false" customHeight="false" outlineLevel="0" collapsed="false">
      <c r="P56" s="58"/>
      <c r="Q56" s="364"/>
      <c r="R56" s="364"/>
      <c r="S56" s="364"/>
      <c r="T56" s="364"/>
      <c r="U56" s="632"/>
      <c r="V56" s="632"/>
      <c r="W56" s="632"/>
      <c r="X56" s="58"/>
    </row>
    <row r="57" customFormat="false" ht="12.75" hidden="false" customHeight="false" outlineLevel="0" collapsed="false">
      <c r="P57" s="58"/>
      <c r="Q57" s="58"/>
      <c r="R57" s="58"/>
      <c r="S57" s="58"/>
      <c r="T57" s="58"/>
      <c r="U57" s="58"/>
      <c r="V57" s="58"/>
      <c r="W57" s="58"/>
      <c r="X57" s="58"/>
    </row>
    <row r="58" customFormat="false" ht="12.75" hidden="false" customHeight="false" outlineLevel="0" collapsed="false">
      <c r="P58" s="58"/>
      <c r="Q58" s="58"/>
      <c r="R58" s="58"/>
      <c r="S58" s="58"/>
      <c r="T58" s="58"/>
      <c r="U58" s="58"/>
      <c r="V58" s="58"/>
      <c r="W58" s="58"/>
      <c r="X58" s="58"/>
    </row>
    <row r="59" customFormat="false" ht="12.75" hidden="false" customHeight="false" outlineLevel="0" collapsed="false">
      <c r="P59" s="58"/>
      <c r="Q59" s="364"/>
      <c r="R59" s="58"/>
      <c r="S59" s="58"/>
      <c r="T59" s="58"/>
      <c r="U59" s="58"/>
      <c r="V59" s="58"/>
      <c r="W59" s="629"/>
      <c r="X59" s="58"/>
    </row>
    <row r="60" customFormat="false" ht="12.75" hidden="false" customHeight="false" outlineLevel="0" collapsed="false">
      <c r="P60" s="58"/>
      <c r="Q60" s="58"/>
      <c r="R60" s="58"/>
      <c r="S60" s="58"/>
      <c r="T60" s="58"/>
      <c r="U60" s="58"/>
      <c r="V60" s="629"/>
      <c r="W60" s="629"/>
      <c r="X60" s="58"/>
    </row>
    <row r="61" customFormat="false" ht="15" hidden="false" customHeight="false" outlineLevel="0" collapsed="false">
      <c r="P61" s="58"/>
      <c r="Q61" s="58"/>
      <c r="R61" s="58"/>
      <c r="S61" s="58"/>
      <c r="T61" s="58"/>
      <c r="U61" s="58"/>
      <c r="V61" s="636"/>
      <c r="W61" s="636"/>
      <c r="X61" s="58"/>
    </row>
    <row r="62" customFormat="false" ht="12.75" hidden="false" customHeight="false" outlineLevel="0" collapsed="false">
      <c r="P62" s="58"/>
      <c r="Q62" s="58"/>
      <c r="R62" s="58"/>
      <c r="S62" s="58"/>
      <c r="T62" s="58"/>
      <c r="U62" s="58"/>
      <c r="V62" s="629"/>
      <c r="W62" s="629"/>
      <c r="X62" s="58"/>
    </row>
    <row r="63" customFormat="false" ht="15" hidden="false" customHeight="false" outlineLevel="0" collapsed="false">
      <c r="P63" s="58"/>
      <c r="Q63" s="58"/>
      <c r="R63" s="58"/>
      <c r="S63" s="58"/>
      <c r="T63" s="58"/>
      <c r="U63" s="58"/>
      <c r="V63" s="636"/>
      <c r="W63" s="636"/>
      <c r="X63" s="58"/>
    </row>
    <row r="64" customFormat="false" ht="12.75" hidden="false" customHeight="false" outlineLevel="0" collapsed="false">
      <c r="P64" s="58"/>
      <c r="Q64" s="58"/>
      <c r="R64" s="58"/>
      <c r="S64" s="58"/>
      <c r="T64" s="58"/>
      <c r="U64" s="58"/>
      <c r="V64" s="629"/>
      <c r="W64" s="629"/>
      <c r="X64" s="58"/>
    </row>
    <row r="65" customFormat="false" ht="12.75" hidden="false" customHeight="false" outlineLevel="0" collapsed="false">
      <c r="P65" s="58"/>
      <c r="Q65" s="58"/>
      <c r="R65" s="58"/>
      <c r="S65" s="58"/>
      <c r="T65" s="58"/>
      <c r="U65" s="58"/>
      <c r="V65" s="58"/>
      <c r="W65" s="58"/>
      <c r="X65" s="58"/>
    </row>
    <row r="66" customFormat="false" ht="12.75" hidden="false" customHeight="false" outlineLevel="0" collapsed="false">
      <c r="E66" s="58"/>
      <c r="F66" s="58"/>
      <c r="G66" s="58"/>
      <c r="H66" s="58"/>
      <c r="I66" s="58"/>
      <c r="J66" s="58"/>
      <c r="K66" s="58"/>
      <c r="L66" s="58"/>
      <c r="M66" s="58"/>
      <c r="N66" s="58"/>
      <c r="O66" s="58"/>
      <c r="P66" s="58"/>
      <c r="Q66" s="58"/>
      <c r="R66" s="58"/>
      <c r="S66" s="58"/>
      <c r="T66" s="58"/>
      <c r="U66" s="58"/>
      <c r="V66" s="629"/>
      <c r="W66" s="629"/>
      <c r="X66" s="58"/>
    </row>
    <row r="67" customFormat="false" ht="15" hidden="false" customHeight="false" outlineLevel="0" collapsed="false">
      <c r="E67" s="58"/>
      <c r="F67" s="58"/>
      <c r="G67" s="58"/>
      <c r="H67" s="58"/>
      <c r="I67" s="58"/>
      <c r="J67" s="58"/>
      <c r="K67" s="58"/>
      <c r="L67" s="58"/>
      <c r="M67" s="58"/>
      <c r="N67" s="58"/>
      <c r="O67" s="58"/>
      <c r="P67" s="58"/>
      <c r="Q67" s="58"/>
      <c r="R67" s="58"/>
      <c r="S67" s="58"/>
      <c r="T67" s="58"/>
      <c r="U67" s="58"/>
      <c r="V67" s="636"/>
      <c r="W67" s="636"/>
      <c r="X67" s="58"/>
    </row>
    <row r="68" customFormat="false" ht="12.75" hidden="false" customHeight="false" outlineLevel="0" collapsed="false">
      <c r="E68" s="58"/>
      <c r="F68" s="58"/>
      <c r="G68" s="58"/>
      <c r="H68" s="58"/>
      <c r="I68" s="58"/>
      <c r="J68" s="58"/>
      <c r="K68" s="58"/>
      <c r="L68" s="58"/>
      <c r="M68" s="123"/>
      <c r="N68" s="123"/>
      <c r="O68" s="123"/>
      <c r="P68" s="58"/>
      <c r="Q68" s="58"/>
      <c r="R68" s="58"/>
      <c r="S68" s="58"/>
      <c r="T68" s="58"/>
      <c r="U68" s="58"/>
      <c r="V68" s="629"/>
      <c r="W68" s="629"/>
      <c r="X68" s="58"/>
    </row>
    <row r="69" customFormat="false" ht="12.75" hidden="false" customHeight="false" outlineLevel="0" collapsed="false">
      <c r="E69" s="58"/>
      <c r="F69" s="58"/>
      <c r="G69" s="58"/>
      <c r="H69" s="58"/>
      <c r="I69" s="58"/>
      <c r="J69" s="58"/>
      <c r="K69" s="58"/>
      <c r="L69" s="58"/>
      <c r="M69" s="629"/>
      <c r="N69" s="629"/>
      <c r="O69" s="629"/>
      <c r="P69" s="58"/>
      <c r="Q69" s="58"/>
      <c r="R69" s="58"/>
      <c r="S69" s="58"/>
      <c r="T69" s="58"/>
      <c r="U69" s="58"/>
      <c r="V69" s="58"/>
      <c r="W69" s="58"/>
      <c r="X69" s="58"/>
    </row>
    <row r="70" customFormat="false" ht="15" hidden="false" customHeight="false" outlineLevel="0" collapsed="false">
      <c r="E70" s="58"/>
      <c r="F70" s="58"/>
      <c r="G70" s="58"/>
      <c r="H70" s="58"/>
      <c r="I70" s="58"/>
      <c r="J70" s="58"/>
      <c r="K70" s="58"/>
      <c r="L70" s="58"/>
      <c r="M70" s="636"/>
      <c r="N70" s="636"/>
      <c r="O70" s="636"/>
      <c r="P70" s="58"/>
      <c r="Q70" s="58"/>
      <c r="R70" s="58"/>
      <c r="S70" s="58"/>
      <c r="T70" s="58"/>
      <c r="U70" s="58"/>
      <c r="V70" s="58"/>
      <c r="W70" s="58"/>
      <c r="X70" s="58"/>
    </row>
    <row r="71" customFormat="false" ht="12.75" hidden="false" customHeight="false" outlineLevel="0" collapsed="false">
      <c r="E71" s="58"/>
      <c r="F71" s="58"/>
      <c r="G71" s="58"/>
      <c r="H71" s="58"/>
      <c r="I71" s="58"/>
      <c r="J71" s="58"/>
      <c r="K71" s="58"/>
      <c r="L71" s="58"/>
      <c r="M71" s="629"/>
      <c r="N71" s="629"/>
      <c r="O71" s="629"/>
    </row>
    <row r="72" customFormat="false" ht="12.75" hidden="false" customHeight="false" outlineLevel="0" collapsed="false">
      <c r="E72" s="58"/>
      <c r="F72" s="58"/>
      <c r="G72" s="58"/>
      <c r="H72" s="58"/>
      <c r="I72" s="58"/>
      <c r="J72" s="58"/>
      <c r="K72" s="58"/>
      <c r="L72" s="58"/>
      <c r="M72" s="58"/>
      <c r="N72" s="58"/>
      <c r="O72" s="58"/>
    </row>
    <row r="73" customFormat="false" ht="12.75" hidden="false" customHeight="false" outlineLevel="0" collapsed="false">
      <c r="E73" s="58"/>
      <c r="F73" s="58"/>
      <c r="G73" s="58"/>
      <c r="H73" s="58"/>
      <c r="I73" s="58"/>
      <c r="J73" s="58"/>
      <c r="K73" s="58"/>
      <c r="L73" s="58"/>
      <c r="M73" s="629"/>
      <c r="N73" s="629"/>
      <c r="O73" s="629"/>
    </row>
    <row r="74" customFormat="false" ht="12.75" hidden="false" customHeight="false" outlineLevel="0" collapsed="false">
      <c r="E74" s="58"/>
      <c r="F74" s="58"/>
      <c r="G74" s="58"/>
      <c r="H74" s="58"/>
      <c r="I74" s="58"/>
      <c r="J74" s="58"/>
      <c r="K74" s="58"/>
      <c r="L74" s="58"/>
      <c r="M74" s="327"/>
      <c r="N74" s="327"/>
      <c r="O74" s="327"/>
    </row>
    <row r="75" customFormat="false" ht="15" hidden="false" customHeight="false" outlineLevel="0" collapsed="false">
      <c r="E75" s="58"/>
      <c r="F75" s="58"/>
      <c r="G75" s="58"/>
      <c r="H75" s="58"/>
      <c r="I75" s="58"/>
      <c r="J75" s="58"/>
      <c r="K75" s="58"/>
      <c r="L75" s="58"/>
      <c r="M75" s="636"/>
      <c r="N75" s="636"/>
      <c r="O75" s="636"/>
    </row>
    <row r="76" customFormat="false" ht="12.75" hidden="false" customHeight="false" outlineLevel="0" collapsed="false">
      <c r="E76" s="58"/>
      <c r="F76" s="58"/>
      <c r="G76" s="58"/>
      <c r="H76" s="58"/>
      <c r="I76" s="58"/>
      <c r="J76" s="58"/>
      <c r="K76" s="58"/>
      <c r="L76" s="58"/>
      <c r="M76" s="123"/>
      <c r="N76" s="123"/>
      <c r="O76" s="123"/>
    </row>
    <row r="77" customFormat="false" ht="12.75" hidden="false" customHeight="false" outlineLevel="0" collapsed="false">
      <c r="E77" s="58"/>
      <c r="F77" s="58"/>
      <c r="G77" s="58"/>
      <c r="H77" s="58"/>
      <c r="I77" s="58"/>
      <c r="J77" s="58"/>
      <c r="K77" s="58"/>
      <c r="L77" s="58"/>
      <c r="M77" s="58"/>
      <c r="N77" s="58"/>
      <c r="O77" s="58"/>
    </row>
    <row r="78" customFormat="false" ht="12.75" hidden="false" customHeight="false" outlineLevel="0" collapsed="false">
      <c r="E78" s="58"/>
      <c r="F78" s="58"/>
      <c r="G78" s="58"/>
      <c r="H78" s="58"/>
      <c r="I78" s="58"/>
      <c r="J78" s="58"/>
      <c r="K78" s="58"/>
      <c r="L78" s="58"/>
      <c r="M78" s="629"/>
      <c r="N78" s="629"/>
      <c r="O78" s="629"/>
    </row>
    <row r="79" customFormat="false" ht="12.75" hidden="false" customHeight="false" outlineLevel="0" collapsed="false">
      <c r="E79" s="58"/>
      <c r="F79" s="58"/>
      <c r="G79" s="58"/>
      <c r="H79" s="58"/>
      <c r="I79" s="58"/>
      <c r="J79" s="58"/>
      <c r="K79" s="58"/>
      <c r="L79" s="58"/>
      <c r="M79" s="58"/>
      <c r="N79" s="58"/>
      <c r="O79" s="58"/>
    </row>
    <row r="80" customFormat="false" ht="12.75" hidden="false" customHeight="false" outlineLevel="0" collapsed="false">
      <c r="E80" s="58"/>
      <c r="F80" s="58"/>
      <c r="G80" s="58"/>
      <c r="H80" s="58"/>
      <c r="I80" s="58"/>
      <c r="J80" s="58"/>
      <c r="K80" s="58"/>
      <c r="L80" s="58"/>
      <c r="M80" s="629"/>
      <c r="N80" s="629"/>
      <c r="O80" s="629"/>
    </row>
    <row r="81" customFormat="false" ht="12.75" hidden="false" customHeight="false" outlineLevel="0" collapsed="false">
      <c r="E81" s="58"/>
      <c r="F81" s="58"/>
      <c r="G81" s="58"/>
      <c r="H81" s="58"/>
      <c r="I81" s="58"/>
      <c r="J81" s="58"/>
      <c r="K81" s="58"/>
      <c r="L81" s="58"/>
      <c r="M81" s="629"/>
      <c r="N81" s="629"/>
      <c r="O81" s="629"/>
    </row>
    <row r="82" customFormat="false" ht="12.75" hidden="false" customHeight="false" outlineLevel="0" collapsed="false">
      <c r="E82" s="58"/>
      <c r="F82" s="58"/>
      <c r="G82" s="58"/>
      <c r="H82" s="58"/>
      <c r="I82" s="58"/>
      <c r="J82" s="58"/>
      <c r="K82" s="58"/>
      <c r="L82" s="58"/>
      <c r="M82" s="629"/>
      <c r="N82" s="629"/>
      <c r="O82" s="629"/>
    </row>
    <row r="83" customFormat="false" ht="12.75" hidden="false" customHeight="false" outlineLevel="0" collapsed="false">
      <c r="E83" s="58"/>
      <c r="F83" s="58"/>
      <c r="G83" s="58"/>
      <c r="H83" s="58"/>
      <c r="I83" s="58"/>
      <c r="J83" s="58"/>
      <c r="K83" s="58"/>
      <c r="L83" s="58"/>
      <c r="M83" s="58"/>
      <c r="N83" s="58"/>
      <c r="O83" s="58"/>
    </row>
    <row r="84" customFormat="false" ht="12.75" hidden="false" customHeight="false" outlineLevel="0" collapsed="false">
      <c r="E84" s="58"/>
      <c r="F84" s="58"/>
      <c r="G84" s="58"/>
      <c r="H84" s="58"/>
      <c r="I84" s="58"/>
      <c r="J84" s="58"/>
      <c r="K84" s="58"/>
      <c r="L84" s="58"/>
      <c r="M84" s="629"/>
      <c r="N84" s="629"/>
      <c r="O84" s="629"/>
    </row>
    <row r="85" customFormat="false" ht="12.75" hidden="false" customHeight="false" outlineLevel="0" collapsed="false">
      <c r="E85" s="58"/>
      <c r="F85" s="58"/>
      <c r="G85" s="58"/>
      <c r="H85" s="58"/>
      <c r="I85" s="58"/>
      <c r="J85" s="58"/>
      <c r="K85" s="58"/>
      <c r="L85" s="58"/>
      <c r="M85" s="58"/>
      <c r="N85" s="58"/>
      <c r="O85" s="58"/>
    </row>
    <row r="86" customFormat="false" ht="12.75" hidden="false" customHeight="false" outlineLevel="0" collapsed="false">
      <c r="E86" s="58"/>
      <c r="F86" s="58"/>
      <c r="G86" s="58"/>
      <c r="H86" s="58"/>
      <c r="I86" s="58"/>
      <c r="J86" s="58"/>
      <c r="K86" s="58"/>
      <c r="L86" s="58"/>
      <c r="M86" s="58"/>
      <c r="N86" s="58"/>
      <c r="O86" s="58"/>
    </row>
    <row r="87" customFormat="false" ht="12.75" hidden="false" customHeight="false" outlineLevel="0" collapsed="false">
      <c r="E87" s="58"/>
      <c r="F87" s="58"/>
      <c r="G87" s="58"/>
      <c r="H87" s="58"/>
      <c r="I87" s="58"/>
      <c r="J87" s="58"/>
      <c r="K87" s="58"/>
      <c r="L87" s="58"/>
      <c r="M87" s="629"/>
      <c r="N87" s="629"/>
      <c r="O87" s="629"/>
    </row>
    <row r="88" customFormat="false" ht="12.75" hidden="false" customHeight="false" outlineLevel="0" collapsed="false">
      <c r="E88" s="58"/>
      <c r="F88" s="58"/>
      <c r="G88" s="58"/>
      <c r="H88" s="58"/>
      <c r="I88" s="58"/>
      <c r="J88" s="58"/>
      <c r="K88" s="58"/>
      <c r="L88" s="58"/>
      <c r="M88" s="629"/>
      <c r="N88" s="629"/>
      <c r="O88" s="629"/>
      <c r="R88" s="499"/>
    </row>
    <row r="89" customFormat="false" ht="12.75" hidden="false" customHeight="false" outlineLevel="0" collapsed="false">
      <c r="E89" s="58"/>
      <c r="F89" s="58"/>
      <c r="G89" s="58"/>
      <c r="H89" s="58"/>
      <c r="I89" s="58"/>
      <c r="J89" s="58"/>
      <c r="K89" s="58"/>
      <c r="L89" s="58"/>
      <c r="M89" s="294"/>
      <c r="N89" s="294"/>
      <c r="O89" s="294"/>
    </row>
    <row r="90" customFormat="false" ht="12.75" hidden="false" customHeight="false" outlineLevel="0" collapsed="false">
      <c r="E90" s="58"/>
      <c r="F90" s="58"/>
      <c r="G90" s="58"/>
      <c r="H90" s="58"/>
      <c r="I90" s="58"/>
      <c r="J90" s="58"/>
      <c r="K90" s="58"/>
      <c r="L90" s="58"/>
      <c r="M90" s="629"/>
      <c r="N90" s="629"/>
      <c r="O90" s="629"/>
    </row>
    <row r="91" customFormat="false" ht="12.75" hidden="false" customHeight="false" outlineLevel="0" collapsed="false">
      <c r="E91" s="58"/>
      <c r="F91" s="58"/>
      <c r="G91" s="58"/>
      <c r="H91" s="58"/>
      <c r="I91" s="58"/>
      <c r="J91" s="58"/>
      <c r="K91" s="58"/>
      <c r="L91" s="58"/>
      <c r="M91" s="294"/>
      <c r="N91" s="294"/>
      <c r="O91" s="294"/>
    </row>
    <row r="92" customFormat="false" ht="12.75" hidden="false" customHeight="false" outlineLevel="0" collapsed="false">
      <c r="E92" s="58"/>
      <c r="F92" s="58"/>
      <c r="G92" s="58"/>
      <c r="H92" s="58"/>
      <c r="I92" s="58"/>
      <c r="J92" s="58"/>
      <c r="K92" s="58"/>
      <c r="L92" s="58"/>
      <c r="M92" s="58"/>
      <c r="N92" s="58"/>
      <c r="O92" s="58"/>
    </row>
    <row r="93" customFormat="false" ht="12.75" hidden="false" customHeight="false" outlineLevel="0" collapsed="false">
      <c r="E93" s="58"/>
      <c r="F93" s="58"/>
      <c r="G93" s="58"/>
      <c r="H93" s="58"/>
      <c r="I93" s="58"/>
      <c r="J93" s="58"/>
      <c r="K93" s="58"/>
      <c r="L93" s="58"/>
      <c r="M93" s="58"/>
      <c r="N93" s="58"/>
      <c r="O93" s="294"/>
      <c r="P93" s="294"/>
    </row>
    <row r="94" customFormat="false" ht="12.75" hidden="false" customHeight="false" outlineLevel="0" collapsed="false">
      <c r="E94" s="58"/>
      <c r="F94" s="58"/>
      <c r="G94" s="58"/>
      <c r="H94" s="58"/>
      <c r="I94" s="58"/>
      <c r="J94" s="58"/>
      <c r="K94" s="58"/>
      <c r="L94" s="58"/>
      <c r="M94" s="58"/>
      <c r="N94" s="58"/>
      <c r="O94" s="294"/>
    </row>
    <row r="95" customFormat="false" ht="12.75" hidden="false" customHeight="false" outlineLevel="0" collapsed="false">
      <c r="E95" s="58"/>
      <c r="F95" s="58"/>
      <c r="G95" s="58"/>
      <c r="H95" s="58"/>
      <c r="I95" s="58"/>
      <c r="J95" s="58"/>
      <c r="K95" s="58"/>
      <c r="L95" s="58"/>
      <c r="M95" s="58"/>
      <c r="N95" s="58"/>
      <c r="O95" s="58"/>
    </row>
    <row r="96" customFormat="false" ht="12.75" hidden="false" customHeight="false" outlineLevel="0" collapsed="false">
      <c r="E96" s="58"/>
      <c r="F96" s="58"/>
      <c r="G96" s="58"/>
      <c r="H96" s="58"/>
      <c r="I96" s="58"/>
      <c r="J96" s="58"/>
      <c r="K96" s="58"/>
      <c r="L96" s="58"/>
      <c r="M96" s="58"/>
      <c r="N96" s="58"/>
      <c r="O96" s="629"/>
    </row>
    <row r="97" customFormat="false" ht="12.75" hidden="false" customHeight="false" outlineLevel="0" collapsed="false">
      <c r="E97" s="58"/>
      <c r="F97" s="58"/>
      <c r="G97" s="58"/>
      <c r="H97" s="58"/>
      <c r="I97" s="58"/>
      <c r="J97" s="58"/>
      <c r="K97" s="58"/>
      <c r="L97" s="58"/>
      <c r="M97" s="58"/>
      <c r="N97" s="58"/>
      <c r="O97" s="629"/>
    </row>
    <row r="98" customFormat="false" ht="12.75" hidden="false" customHeight="false" outlineLevel="0" collapsed="false">
      <c r="E98" s="58"/>
      <c r="F98" s="58"/>
      <c r="G98" s="58"/>
      <c r="H98" s="58"/>
      <c r="I98" s="58"/>
      <c r="J98" s="58"/>
      <c r="K98" s="58"/>
      <c r="L98" s="58"/>
      <c r="M98" s="58"/>
      <c r="N98" s="58"/>
      <c r="O98" s="629"/>
    </row>
    <row r="99" customFormat="false" ht="12.75" hidden="false" customHeight="false" outlineLevel="0" collapsed="false">
      <c r="E99" s="58"/>
      <c r="F99" s="58"/>
      <c r="G99" s="58"/>
      <c r="H99" s="58"/>
      <c r="I99" s="58"/>
      <c r="J99" s="58"/>
      <c r="K99" s="58"/>
      <c r="L99" s="58"/>
      <c r="M99" s="58"/>
      <c r="N99" s="58"/>
      <c r="O99" s="58"/>
    </row>
    <row r="100" customFormat="false" ht="12.75" hidden="false" customHeight="false" outlineLevel="0" collapsed="false">
      <c r="E100" s="58"/>
      <c r="F100" s="58"/>
      <c r="G100" s="58"/>
      <c r="H100" s="58"/>
      <c r="I100" s="58"/>
      <c r="J100" s="58"/>
      <c r="K100" s="58"/>
      <c r="L100" s="58"/>
      <c r="M100" s="58"/>
      <c r="N100" s="58"/>
      <c r="O100" s="58"/>
    </row>
    <row r="101" customFormat="false" ht="12.75" hidden="false" customHeight="false" outlineLevel="0" collapsed="false">
      <c r="E101" s="58"/>
      <c r="F101" s="58"/>
      <c r="G101" s="58"/>
      <c r="H101" s="58"/>
      <c r="I101" s="58"/>
      <c r="J101" s="58"/>
      <c r="K101" s="58"/>
      <c r="L101" s="58"/>
      <c r="M101" s="58"/>
      <c r="N101" s="123"/>
      <c r="O101" s="123"/>
    </row>
    <row r="102" customFormat="false" ht="12.75" hidden="false" customHeight="false" outlineLevel="0" collapsed="false">
      <c r="N102" s="123"/>
      <c r="O102" s="123"/>
    </row>
    <row r="103" customFormat="false" ht="12.75" hidden="false" customHeight="false" outlineLevel="0" collapsed="false">
      <c r="N103" s="123"/>
      <c r="O103" s="123"/>
    </row>
    <row r="104" customFormat="false" ht="12.75" hidden="false" customHeight="false" outlineLevel="0" collapsed="false">
      <c r="N104" s="123"/>
      <c r="O104" s="123"/>
    </row>
    <row r="105" customFormat="false" ht="12.75" hidden="false" customHeight="false" outlineLevel="0" collapsed="false">
      <c r="N105" s="123"/>
      <c r="O105" s="123"/>
    </row>
    <row r="106" customFormat="false" ht="12.75" hidden="false" customHeight="false" outlineLevel="0" collapsed="false">
      <c r="N106" s="123"/>
      <c r="O106" s="123"/>
      <c r="P106" s="499"/>
    </row>
    <row r="107" customFormat="false" ht="12.75" hidden="false" customHeight="false" outlineLevel="0" collapsed="false">
      <c r="N107" s="123"/>
      <c r="O107" s="123"/>
    </row>
    <row r="108" customFormat="false" ht="12.75" hidden="false" customHeight="false" outlineLevel="0" collapsed="false">
      <c r="N108" s="123"/>
      <c r="O108" s="123"/>
      <c r="P108" s="499"/>
    </row>
    <row r="109" customFormat="false" ht="12.75" hidden="false" customHeight="false" outlineLevel="0" collapsed="false">
      <c r="N109" s="123"/>
      <c r="O109" s="123"/>
    </row>
    <row r="110" customFormat="false" ht="12.75" hidden="false" customHeight="false" outlineLevel="0" collapsed="false">
      <c r="N110" s="123"/>
      <c r="O110" s="123"/>
      <c r="P110" s="123"/>
    </row>
    <row r="111" customFormat="false" ht="12.75" hidden="false" customHeight="false" outlineLevel="0" collapsed="false">
      <c r="N111" s="123"/>
      <c r="O111" s="123"/>
    </row>
    <row r="112" customFormat="false" ht="12.75" hidden="false" customHeight="false" outlineLevel="0" collapsed="false">
      <c r="N112" s="123"/>
      <c r="O112" s="123"/>
    </row>
    <row r="113" customFormat="false" ht="12.75" hidden="false" customHeight="false" outlineLevel="0" collapsed="false">
      <c r="N113" s="123"/>
      <c r="O113" s="123"/>
    </row>
    <row r="114" customFormat="false" ht="12.75" hidden="false" customHeight="false" outlineLevel="0" collapsed="false">
      <c r="N114" s="123"/>
      <c r="O114" s="123"/>
    </row>
    <row r="115" customFormat="false" ht="12.75" hidden="false" customHeight="false" outlineLevel="0" collapsed="false">
      <c r="N115" s="123"/>
      <c r="O115" s="123"/>
    </row>
    <row r="116" customFormat="false" ht="12.75" hidden="false" customHeight="false" outlineLevel="0" collapsed="false">
      <c r="N116" s="123"/>
      <c r="O116" s="123"/>
    </row>
    <row r="117" customFormat="false" ht="12.75" hidden="false" customHeight="false" outlineLevel="0" collapsed="false">
      <c r="N117" s="123"/>
      <c r="O117" s="123"/>
    </row>
    <row r="118" customFormat="false" ht="12.75" hidden="false" customHeight="false" outlineLevel="0" collapsed="false">
      <c r="N118" s="123"/>
      <c r="O118" s="123"/>
    </row>
    <row r="119" customFormat="false" ht="12.75" hidden="false" customHeight="false" outlineLevel="0" collapsed="false">
      <c r="N119" s="123"/>
      <c r="O119" s="123"/>
    </row>
    <row r="120" customFormat="false" ht="12.75" hidden="false" customHeight="false" outlineLevel="0" collapsed="false">
      <c r="N120" s="123"/>
      <c r="O120" s="123"/>
    </row>
    <row r="121" customFormat="false" ht="12.75" hidden="false" customHeight="false" outlineLevel="0" collapsed="false">
      <c r="N121" s="123"/>
      <c r="O121" s="123"/>
    </row>
    <row r="122" customFormat="false" ht="12.75" hidden="false" customHeight="false" outlineLevel="0" collapsed="false">
      <c r="N122" s="123"/>
      <c r="O122" s="123"/>
    </row>
    <row r="123" customFormat="false" ht="12.75" hidden="false" customHeight="false" outlineLevel="0" collapsed="false">
      <c r="N123" s="123"/>
      <c r="O123" s="123"/>
    </row>
    <row r="124" customFormat="false" ht="12.75" hidden="false" customHeight="false" outlineLevel="0" collapsed="false">
      <c r="N124" s="123"/>
      <c r="O124" s="123"/>
    </row>
    <row r="125" customFormat="false" ht="12.75" hidden="false" customHeight="false" outlineLevel="0" collapsed="false">
      <c r="N125" s="123"/>
      <c r="O125" s="123"/>
    </row>
    <row r="126" customFormat="false" ht="12.75" hidden="false" customHeight="false" outlineLevel="0" collapsed="false">
      <c r="N126" s="123"/>
      <c r="O126" s="123"/>
    </row>
    <row r="127" customFormat="false" ht="12.75" hidden="false" customHeight="false" outlineLevel="0" collapsed="false">
      <c r="N127" s="123"/>
      <c r="O127" s="123"/>
    </row>
    <row r="128" customFormat="false" ht="12.75" hidden="false" customHeight="false" outlineLevel="0" collapsed="false">
      <c r="N128" s="123"/>
      <c r="O128" s="123"/>
    </row>
    <row r="129" customFormat="false" ht="12.75" hidden="false" customHeight="false" outlineLevel="0" collapsed="false">
      <c r="N129" s="123"/>
      <c r="O129" s="123"/>
    </row>
    <row r="130" customFormat="false" ht="12.75" hidden="false" customHeight="false" outlineLevel="0" collapsed="false">
      <c r="N130" s="123"/>
      <c r="O130" s="123"/>
    </row>
    <row r="131" customFormat="false" ht="12.75" hidden="false" customHeight="false" outlineLevel="0" collapsed="false">
      <c r="N131" s="123"/>
      <c r="O131" s="123"/>
    </row>
    <row r="132" customFormat="false" ht="12.75" hidden="false" customHeight="false" outlineLevel="0" collapsed="false">
      <c r="N132" s="123"/>
      <c r="O132" s="123"/>
    </row>
    <row r="133" customFormat="false" ht="12.75" hidden="false" customHeight="false" outlineLevel="0" collapsed="false">
      <c r="N133" s="123"/>
      <c r="O133" s="123"/>
    </row>
    <row r="134" customFormat="false" ht="12.75" hidden="false" customHeight="false" outlineLevel="0" collapsed="false">
      <c r="N134" s="123"/>
      <c r="O134" s="123"/>
    </row>
    <row r="135" customFormat="false" ht="12.75" hidden="false" customHeight="false" outlineLevel="0" collapsed="false">
      <c r="N135" s="123"/>
      <c r="O135" s="123"/>
    </row>
    <row r="136" customFormat="false" ht="12.75" hidden="false" customHeight="false" outlineLevel="0" collapsed="false">
      <c r="N136" s="123"/>
      <c r="O136" s="123"/>
    </row>
    <row r="137" customFormat="false" ht="12.75" hidden="false" customHeight="false" outlineLevel="0" collapsed="false">
      <c r="N137" s="123"/>
      <c r="O137" s="123"/>
    </row>
    <row r="138" customFormat="false" ht="12.75" hidden="false" customHeight="false" outlineLevel="0" collapsed="false">
      <c r="N138" s="123"/>
      <c r="O138" s="123"/>
    </row>
    <row r="139" customFormat="false" ht="12.75" hidden="false" customHeight="false" outlineLevel="0" collapsed="false">
      <c r="N139" s="123"/>
      <c r="O139" s="123"/>
    </row>
    <row r="140" customFormat="false" ht="12.75" hidden="false" customHeight="false" outlineLevel="0" collapsed="false">
      <c r="N140" s="123"/>
      <c r="O140" s="123"/>
    </row>
    <row r="141" customFormat="false" ht="12.75" hidden="false" customHeight="false" outlineLevel="0" collapsed="false">
      <c r="N141" s="123"/>
      <c r="O141" s="123"/>
    </row>
    <row r="142" customFormat="false" ht="12.75" hidden="false" customHeight="false" outlineLevel="0" collapsed="false">
      <c r="N142" s="123"/>
      <c r="O142" s="123"/>
    </row>
    <row r="143" customFormat="false" ht="12.75" hidden="false" customHeight="false" outlineLevel="0" collapsed="false">
      <c r="N143" s="123"/>
      <c r="O143" s="123"/>
    </row>
    <row r="144" customFormat="false" ht="12.75" hidden="false" customHeight="false" outlineLevel="0" collapsed="false">
      <c r="N144" s="123"/>
      <c r="O144" s="123"/>
    </row>
    <row r="145" customFormat="false" ht="12.75" hidden="false" customHeight="false" outlineLevel="0" collapsed="false">
      <c r="N145" s="123"/>
      <c r="O145" s="123"/>
    </row>
    <row r="146" customFormat="false" ht="12.75" hidden="false" customHeight="false" outlineLevel="0" collapsed="false">
      <c r="N146" s="123"/>
      <c r="O146" s="123"/>
    </row>
    <row r="147" customFormat="false" ht="12.75" hidden="false" customHeight="false" outlineLevel="0" collapsed="false">
      <c r="N147" s="123"/>
      <c r="O147" s="123"/>
    </row>
    <row r="148" customFormat="false" ht="12.75" hidden="false" customHeight="false" outlineLevel="0" collapsed="false">
      <c r="N148" s="123"/>
      <c r="O148" s="123"/>
    </row>
    <row r="149" customFormat="false" ht="12.75" hidden="false" customHeight="false" outlineLevel="0" collapsed="false">
      <c r="N149" s="123"/>
      <c r="O149" s="123"/>
    </row>
    <row r="150" customFormat="false" ht="12.75" hidden="false" customHeight="false" outlineLevel="0" collapsed="false">
      <c r="N150" s="123"/>
      <c r="O150" s="123"/>
    </row>
    <row r="151" customFormat="false" ht="12.75" hidden="false" customHeight="false" outlineLevel="0" collapsed="false">
      <c r="N151" s="123"/>
      <c r="O151" s="123"/>
    </row>
    <row r="152" customFormat="false" ht="12.75" hidden="false" customHeight="false" outlineLevel="0" collapsed="false">
      <c r="N152" s="123"/>
      <c r="O152" s="123"/>
    </row>
    <row r="153" customFormat="false" ht="12.75" hidden="false" customHeight="false" outlineLevel="0" collapsed="false">
      <c r="N153" s="123"/>
      <c r="O153" s="123"/>
    </row>
    <row r="154" customFormat="false" ht="12.75" hidden="false" customHeight="false" outlineLevel="0" collapsed="false">
      <c r="N154" s="123"/>
      <c r="O154" s="123"/>
    </row>
  </sheetData>
  <mergeCells count="3">
    <mergeCell ref="E1:J1"/>
    <mergeCell ref="L1:Q1"/>
    <mergeCell ref="R1:V1"/>
  </mergeCells>
  <printOptions headings="false" gridLines="false" gridLinesSet="true" horizontalCentered="false" verticalCentered="false"/>
  <pageMargins left="0.25" right="0.25" top="0.984027777777778"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P35"/>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4.7"/>
    <col collapsed="false" customWidth="true" hidden="false" outlineLevel="0" max="2" min="2" style="0" width="14.28"/>
    <col collapsed="false" customWidth="true" hidden="false" outlineLevel="0" max="7" min="3" style="0" width="12.28"/>
    <col collapsed="false" customWidth="true" hidden="false" outlineLevel="0" max="8" min="8" style="0" width="5.99"/>
    <col collapsed="false" customWidth="true" hidden="false" outlineLevel="0" max="11" min="9" style="0" width="12.28"/>
    <col collapsed="false" customWidth="true" hidden="false" outlineLevel="0" max="12" min="12" style="0" width="12.42"/>
    <col collapsed="false" customWidth="true" hidden="false" outlineLevel="0" max="14" min="13" style="0" width="11.13"/>
  </cols>
  <sheetData>
    <row r="1" customFormat="false" ht="23.25" hidden="false" customHeight="false" outlineLevel="0" collapsed="false">
      <c r="G1" s="637" t="s">
        <v>310</v>
      </c>
    </row>
    <row r="2" customFormat="false" ht="12.75" hidden="false" customHeight="false" outlineLevel="0" collapsed="false">
      <c r="O2" s="457"/>
      <c r="P2" s="459"/>
    </row>
    <row r="3" customFormat="false" ht="12.75" hidden="false" customHeight="false" outlineLevel="0" collapsed="false">
      <c r="C3" s="638" t="n">
        <v>1999</v>
      </c>
      <c r="D3" s="638"/>
      <c r="E3" s="638"/>
      <c r="F3" s="638"/>
      <c r="G3" s="89"/>
      <c r="H3" s="7"/>
      <c r="I3" s="638" t="n">
        <v>2000</v>
      </c>
      <c r="J3" s="638"/>
      <c r="K3" s="638"/>
      <c r="L3" s="638"/>
      <c r="O3" s="484"/>
      <c r="P3" s="512"/>
    </row>
    <row r="4" customFormat="false" ht="12.75" hidden="false" customHeight="false" outlineLevel="0" collapsed="false">
      <c r="C4" s="468" t="s">
        <v>910</v>
      </c>
      <c r="D4" s="418" t="s">
        <v>911</v>
      </c>
      <c r="E4" s="418" t="s">
        <v>912</v>
      </c>
      <c r="F4" s="469" t="s">
        <v>913</v>
      </c>
      <c r="G4" s="639" t="s">
        <v>914</v>
      </c>
      <c r="I4" s="468" t="s">
        <v>910</v>
      </c>
      <c r="J4" s="418" t="s">
        <v>911</v>
      </c>
      <c r="K4" s="418" t="s">
        <v>912</v>
      </c>
      <c r="L4" s="469" t="s">
        <v>913</v>
      </c>
      <c r="M4" s="639" t="s">
        <v>914</v>
      </c>
      <c r="N4" s="639"/>
      <c r="O4" s="640" t="s">
        <v>915</v>
      </c>
      <c r="P4" s="512"/>
    </row>
    <row r="5" customFormat="false" ht="12.75" hidden="false" customHeight="false" outlineLevel="0" collapsed="false">
      <c r="O5" s="484"/>
      <c r="P5" s="512"/>
    </row>
    <row r="6" customFormat="false" ht="12.75" hidden="false" customHeight="false" outlineLevel="0" collapsed="false">
      <c r="B6" s="0" t="s">
        <v>916</v>
      </c>
      <c r="C6" s="641" t="n">
        <f aca="false">AVERAGE(C9:F9)</f>
        <v>3.35504895033564</v>
      </c>
      <c r="I6" s="641" t="n">
        <f aca="false">AVERAGE(I9:L9)</f>
        <v>8.99997109981262</v>
      </c>
      <c r="O6" s="484"/>
      <c r="P6" s="512"/>
    </row>
    <row r="7" customFormat="false" ht="12.75" hidden="false" customHeight="false" outlineLevel="0" collapsed="false">
      <c r="B7" s="0" t="s">
        <v>917</v>
      </c>
      <c r="C7" s="123" t="n">
        <v>47398</v>
      </c>
      <c r="D7" s="123" t="n">
        <v>32385</v>
      </c>
      <c r="E7" s="123" t="n">
        <v>41450</v>
      </c>
      <c r="F7" s="123" t="n">
        <v>64239</v>
      </c>
      <c r="G7" s="642" t="n">
        <f aca="false">SUM(C7:F7)</f>
        <v>185472</v>
      </c>
      <c r="H7" s="123"/>
      <c r="I7" s="123" t="n">
        <v>87311</v>
      </c>
      <c r="J7" s="123" t="n">
        <v>30960</v>
      </c>
      <c r="K7" s="123" t="n">
        <v>62296</v>
      </c>
      <c r="L7" s="123" t="n">
        <v>111599</v>
      </c>
      <c r="M7" s="643" t="n">
        <f aca="false">SUM(I7:L7)</f>
        <v>292166</v>
      </c>
      <c r="O7" s="484"/>
      <c r="P7" s="512"/>
    </row>
    <row r="8" customFormat="false" ht="12.75" hidden="false" customHeight="false" outlineLevel="0" collapsed="false">
      <c r="B8" s="0" t="s">
        <v>918</v>
      </c>
      <c r="C8" s="123" t="n">
        <v>0</v>
      </c>
      <c r="D8" s="123" t="n">
        <v>447</v>
      </c>
      <c r="E8" s="123" t="n">
        <v>0</v>
      </c>
      <c r="F8" s="123" t="n">
        <v>8561</v>
      </c>
      <c r="G8" s="644" t="n">
        <f aca="false">+F8</f>
        <v>8561</v>
      </c>
      <c r="H8" s="123"/>
      <c r="I8" s="123" t="n">
        <v>0</v>
      </c>
      <c r="J8" s="123" t="n">
        <v>353</v>
      </c>
      <c r="K8" s="123" t="n">
        <v>1479</v>
      </c>
      <c r="L8" s="123" t="n">
        <v>40106</v>
      </c>
      <c r="M8" s="645" t="n">
        <f aca="false">+L8</f>
        <v>40106</v>
      </c>
      <c r="O8" s="484"/>
      <c r="P8" s="512"/>
    </row>
    <row r="9" customFormat="false" ht="12.75" hidden="false" customHeight="false" outlineLevel="0" collapsed="false">
      <c r="B9" s="0" t="s">
        <v>919</v>
      </c>
      <c r="C9" s="641" t="n">
        <v>0</v>
      </c>
      <c r="D9" s="641" t="n">
        <f aca="false">+(365/4)/(D7/D8)</f>
        <v>1.25949513663733</v>
      </c>
      <c r="E9" s="641" t="n">
        <v>0</v>
      </c>
      <c r="F9" s="641" t="n">
        <f aca="false">+(365/4)/(F7/F8)</f>
        <v>12.1607006647052</v>
      </c>
      <c r="G9" s="646" t="n">
        <f aca="false">+(365)/(G7/G8)</f>
        <v>16.8476373792271</v>
      </c>
      <c r="I9" s="641" t="n">
        <v>0</v>
      </c>
      <c r="J9" s="641" t="n">
        <f aca="false">+(365/4)/(J7/J8)</f>
        <v>1.04041505167959</v>
      </c>
      <c r="K9" s="641" t="n">
        <f aca="false">+(365/4)/(K7/K8)</f>
        <v>2.16641116604597</v>
      </c>
      <c r="L9" s="641" t="n">
        <f aca="false">+(365/4)/(L7/L8)</f>
        <v>32.7930581815249</v>
      </c>
      <c r="M9" s="646" t="n">
        <f aca="false">+(365)/(M7/M8)</f>
        <v>50.1040162099628</v>
      </c>
      <c r="N9" s="647"/>
      <c r="O9" s="648" t="n">
        <f aca="false">+(C6+I6)/2</f>
        <v>6.17751002507413</v>
      </c>
      <c r="P9" s="649"/>
    </row>
    <row r="10" customFormat="false" ht="12.75" hidden="false" customHeight="false" outlineLevel="0" collapsed="false">
      <c r="G10" s="650"/>
      <c r="M10" s="650"/>
      <c r="O10" s="648"/>
      <c r="P10" s="649"/>
    </row>
    <row r="11" customFormat="false" ht="12.75" hidden="false" customHeight="false" outlineLevel="0" collapsed="false">
      <c r="B11" s="0" t="s">
        <v>920</v>
      </c>
      <c r="C11" s="641" t="n">
        <f aca="false">AVERAGE(C14:F14)</f>
        <v>50.8516012063015</v>
      </c>
      <c r="G11" s="650"/>
      <c r="I11" s="641" t="n">
        <f aca="false">AVERAGE(I14:L14)</f>
        <v>72.1212026817148</v>
      </c>
      <c r="M11" s="650"/>
      <c r="O11" s="648"/>
      <c r="P11" s="649"/>
    </row>
    <row r="12" customFormat="false" ht="12.75" hidden="false" customHeight="false" outlineLevel="0" collapsed="false">
      <c r="B12" s="0" t="s">
        <v>917</v>
      </c>
      <c r="C12" s="123" t="n">
        <v>13515</v>
      </c>
      <c r="D12" s="123" t="n">
        <v>8129</v>
      </c>
      <c r="E12" s="123" t="n">
        <v>6749</v>
      </c>
      <c r="F12" s="123" t="n">
        <v>20641</v>
      </c>
      <c r="G12" s="644" t="n">
        <f aca="false">SUM(C12:F12)</f>
        <v>49034</v>
      </c>
      <c r="H12" s="123"/>
      <c r="I12" s="123" t="n">
        <v>35683</v>
      </c>
      <c r="J12" s="123" t="n">
        <v>14921</v>
      </c>
      <c r="K12" s="123" t="n">
        <v>17045</v>
      </c>
      <c r="L12" s="123" t="n">
        <v>32146</v>
      </c>
      <c r="M12" s="645" t="n">
        <f aca="false">SUM(I12:L12)</f>
        <v>99795</v>
      </c>
      <c r="O12" s="648"/>
      <c r="P12" s="649"/>
    </row>
    <row r="13" customFormat="false" ht="12.75" hidden="false" customHeight="false" outlineLevel="0" collapsed="false">
      <c r="B13" s="0" t="s">
        <v>918</v>
      </c>
      <c r="C13" s="123" t="n">
        <v>1925</v>
      </c>
      <c r="D13" s="123" t="n">
        <v>2160</v>
      </c>
      <c r="E13" s="123" t="n">
        <v>10988</v>
      </c>
      <c r="F13" s="123" t="n">
        <v>3981</v>
      </c>
      <c r="G13" s="644" t="n">
        <f aca="false">+F13</f>
        <v>3981</v>
      </c>
      <c r="H13" s="123"/>
      <c r="I13" s="123" t="n">
        <v>4121</v>
      </c>
      <c r="J13" s="123" t="n">
        <v>18013</v>
      </c>
      <c r="K13" s="123" t="n">
        <v>13416</v>
      </c>
      <c r="L13" s="123" t="n">
        <v>33807</v>
      </c>
      <c r="M13" s="645" t="n">
        <f aca="false">+L13</f>
        <v>33807</v>
      </c>
      <c r="N13" s="641"/>
      <c r="O13" s="648"/>
      <c r="P13" s="649"/>
    </row>
    <row r="14" customFormat="false" ht="12.75" hidden="false" customHeight="false" outlineLevel="0" collapsed="false">
      <c r="B14" s="0" t="s">
        <v>919</v>
      </c>
      <c r="C14" s="641" t="n">
        <f aca="false">+(365/4)/(C12/C13)</f>
        <v>12.9971328153903</v>
      </c>
      <c r="D14" s="641" t="n">
        <f aca="false">+(365/4)/(D12/D13)</f>
        <v>24.2465247877968</v>
      </c>
      <c r="E14" s="641" t="n">
        <f aca="false">+(365/4)/(E12/E13)</f>
        <v>148.563490887539</v>
      </c>
      <c r="F14" s="641" t="n">
        <f aca="false">+(365/4)/(F12/F13)</f>
        <v>17.5992563344799</v>
      </c>
      <c r="G14" s="646" t="n">
        <f aca="false">+(365)/(G12/G13)</f>
        <v>29.6338255088306</v>
      </c>
      <c r="I14" s="641" t="n">
        <f aca="false">+(365/4)/(I12/I13)</f>
        <v>10.538386626685</v>
      </c>
      <c r="J14" s="641" t="n">
        <f aca="false">+(365/4)/(J12/J13)</f>
        <v>110.159255411836</v>
      </c>
      <c r="K14" s="641" t="n">
        <f aca="false">+(365/4)/(K12/K13)</f>
        <v>71.8222352596069</v>
      </c>
      <c r="L14" s="641" t="n">
        <f aca="false">+(365/4)/(L12/L13)</f>
        <v>95.9649334287314</v>
      </c>
      <c r="M14" s="646" t="n">
        <f aca="false">+(365)/(M12/M13)</f>
        <v>123.649030512551</v>
      </c>
      <c r="N14" s="647"/>
      <c r="O14" s="648" t="n">
        <f aca="false">+(C11+I11)/2</f>
        <v>61.4864019440081</v>
      </c>
      <c r="P14" s="649"/>
    </row>
    <row r="15" customFormat="false" ht="12.75" hidden="false" customHeight="false" outlineLevel="0" collapsed="false">
      <c r="G15" s="650"/>
      <c r="M15" s="650"/>
      <c r="O15" s="648"/>
      <c r="P15" s="649"/>
    </row>
    <row r="16" customFormat="false" ht="12.75" hidden="false" customHeight="false" outlineLevel="0" collapsed="false">
      <c r="B16" s="0" t="s">
        <v>921</v>
      </c>
      <c r="C16" s="641" t="n">
        <f aca="false">AVERAGE(C19:F19)</f>
        <v>10.0145845313571</v>
      </c>
      <c r="G16" s="650"/>
      <c r="I16" s="641" t="n">
        <f aca="false">AVERAGE(I19:L19)</f>
        <v>15.3600563533594</v>
      </c>
      <c r="M16" s="650"/>
      <c r="O16" s="648"/>
      <c r="P16" s="649"/>
    </row>
    <row r="17" customFormat="false" ht="12.75" hidden="false" customHeight="false" outlineLevel="0" collapsed="false">
      <c r="B17" s="0" t="s">
        <v>917</v>
      </c>
      <c r="C17" s="123" t="n">
        <v>160232</v>
      </c>
      <c r="D17" s="123" t="n">
        <v>194987</v>
      </c>
      <c r="E17" s="123" t="n">
        <v>196776</v>
      </c>
      <c r="F17" s="123" t="n">
        <v>212065</v>
      </c>
      <c r="G17" s="644" t="n">
        <f aca="false">SUM(C17:F17)</f>
        <v>764060</v>
      </c>
      <c r="H17" s="123"/>
      <c r="I17" s="123" t="n">
        <v>278953</v>
      </c>
      <c r="J17" s="123" t="n">
        <v>269396</v>
      </c>
      <c r="K17" s="123" t="n">
        <v>365429</v>
      </c>
      <c r="L17" s="123" t="n">
        <v>355177</v>
      </c>
      <c r="M17" s="645" t="n">
        <f aca="false">SUM(I17:L17)</f>
        <v>1268955</v>
      </c>
      <c r="O17" s="648"/>
      <c r="P17" s="649"/>
    </row>
    <row r="18" customFormat="false" ht="12.75" hidden="false" customHeight="false" outlineLevel="0" collapsed="false">
      <c r="B18" s="0" t="s">
        <v>918</v>
      </c>
      <c r="C18" s="123" t="n">
        <v>15842</v>
      </c>
      <c r="D18" s="123" t="n">
        <v>11982</v>
      </c>
      <c r="E18" s="123" t="n">
        <v>19350</v>
      </c>
      <c r="F18" s="123" t="n">
        <v>38244</v>
      </c>
      <c r="G18" s="644" t="n">
        <f aca="false">+F18</f>
        <v>38244</v>
      </c>
      <c r="H18" s="123"/>
      <c r="I18" s="123" t="n">
        <v>23098</v>
      </c>
      <c r="J18" s="123" t="n">
        <v>66703</v>
      </c>
      <c r="K18" s="123" t="n">
        <v>47307</v>
      </c>
      <c r="L18" s="123" t="n">
        <v>75815</v>
      </c>
      <c r="M18" s="645" t="n">
        <f aca="false">+L18</f>
        <v>75815</v>
      </c>
      <c r="O18" s="648"/>
      <c r="P18" s="649"/>
    </row>
    <row r="19" customFormat="false" ht="12.75" hidden="false" customHeight="false" outlineLevel="0" collapsed="false">
      <c r="B19" s="0" t="s">
        <v>919</v>
      </c>
      <c r="C19" s="641" t="n">
        <f aca="false">+(365/4)/(C17/C18)</f>
        <v>9.02180900194718</v>
      </c>
      <c r="D19" s="641" t="n">
        <f aca="false">+(365/4)/(D17/D18)</f>
        <v>5.60733536081893</v>
      </c>
      <c r="E19" s="641" t="n">
        <f aca="false">+(365/4)/(E17/E18)</f>
        <v>8.97308360775704</v>
      </c>
      <c r="F19" s="641" t="n">
        <f aca="false">+(365/4)/(F17/F18)</f>
        <v>16.4561101549053</v>
      </c>
      <c r="G19" s="646" t="n">
        <f aca="false">+(365)/(G17/G18)</f>
        <v>18.2695861581551</v>
      </c>
      <c r="I19" s="641" t="n">
        <f aca="false">+(365/4)/(I17/I18)</f>
        <v>7.55572623345151</v>
      </c>
      <c r="J19" s="641" t="n">
        <f aca="false">+(365/4)/(J17/J18)</f>
        <v>22.5936864318698</v>
      </c>
      <c r="K19" s="641" t="n">
        <f aca="false">+(365/4)/(K17/K18)</f>
        <v>11.8128658371394</v>
      </c>
      <c r="L19" s="641" t="n">
        <f aca="false">+(365/4)/(L17/L18)</f>
        <v>19.4779469109768</v>
      </c>
      <c r="M19" s="646" t="n">
        <f aca="false">+(365)/(M17/M18)</f>
        <v>21.8072941908894</v>
      </c>
      <c r="N19" s="647"/>
      <c r="O19" s="648" t="n">
        <f aca="false">+(C16+I16)/2</f>
        <v>12.6873204423582</v>
      </c>
      <c r="P19" s="649"/>
    </row>
    <row r="20" customFormat="false" ht="12.75" hidden="false" customHeight="false" outlineLevel="0" collapsed="false">
      <c r="G20" s="650"/>
      <c r="M20" s="650"/>
      <c r="O20" s="648"/>
      <c r="P20" s="649"/>
    </row>
    <row r="21" customFormat="false" ht="12.75" hidden="false" customHeight="false" outlineLevel="0" collapsed="false">
      <c r="B21" s="0" t="s">
        <v>922</v>
      </c>
      <c r="C21" s="641" t="n">
        <f aca="false">AVERAGE(C24:F24)</f>
        <v>1.79080902303391</v>
      </c>
      <c r="G21" s="650"/>
      <c r="I21" s="641" t="n">
        <f aca="false">AVERAGE(I24:L24)</f>
        <v>2.247628953728</v>
      </c>
      <c r="M21" s="650"/>
      <c r="O21" s="648"/>
      <c r="P21" s="649"/>
    </row>
    <row r="22" customFormat="false" ht="12.75" hidden="false" customHeight="false" outlineLevel="0" collapsed="false">
      <c r="B22" s="0" t="s">
        <v>917</v>
      </c>
      <c r="C22" s="123" t="n">
        <v>81508</v>
      </c>
      <c r="D22" s="123" t="n">
        <v>113220</v>
      </c>
      <c r="E22" s="123" t="n">
        <v>114413</v>
      </c>
      <c r="F22" s="123" t="n">
        <v>91755</v>
      </c>
      <c r="G22" s="644" t="n">
        <f aca="false">SUM(C22:F22)</f>
        <v>400896</v>
      </c>
      <c r="H22" s="123"/>
      <c r="I22" s="123" t="n">
        <v>180873</v>
      </c>
      <c r="J22" s="123" t="n">
        <v>222055</v>
      </c>
      <c r="K22" s="123" t="n">
        <v>172943</v>
      </c>
      <c r="L22" s="123" t="n">
        <v>195314</v>
      </c>
      <c r="M22" s="645" t="n">
        <f aca="false">SUM(I22:L22)</f>
        <v>771185</v>
      </c>
      <c r="O22" s="648"/>
      <c r="P22" s="649"/>
    </row>
    <row r="23" customFormat="false" ht="12.75" hidden="false" customHeight="false" outlineLevel="0" collapsed="false">
      <c r="B23" s="0" t="s">
        <v>918</v>
      </c>
      <c r="C23" s="123" t="n">
        <v>1535</v>
      </c>
      <c r="D23" s="123" t="n">
        <v>931</v>
      </c>
      <c r="E23" s="123" t="n">
        <v>3366</v>
      </c>
      <c r="F23" s="123" t="n">
        <v>2021</v>
      </c>
      <c r="G23" s="644" t="n">
        <f aca="false">+F23</f>
        <v>2021</v>
      </c>
      <c r="H23" s="123"/>
      <c r="I23" s="123" t="n">
        <v>5164</v>
      </c>
      <c r="J23" s="123" t="n">
        <v>2478</v>
      </c>
      <c r="K23" s="123" t="n">
        <v>4257</v>
      </c>
      <c r="L23" s="123" t="n">
        <v>6680</v>
      </c>
      <c r="M23" s="645" t="n">
        <f aca="false">+L23</f>
        <v>6680</v>
      </c>
      <c r="O23" s="648"/>
      <c r="P23" s="649"/>
    </row>
    <row r="24" customFormat="false" ht="12.75" hidden="false" customHeight="false" outlineLevel="0" collapsed="false">
      <c r="B24" s="0" t="s">
        <v>919</v>
      </c>
      <c r="C24" s="641" t="n">
        <f aca="false">+(365/4)/(C22/C23)</f>
        <v>1.71846628551799</v>
      </c>
      <c r="D24" s="641" t="n">
        <f aca="false">+(365/4)/(D22/D23)</f>
        <v>0.750342254018725</v>
      </c>
      <c r="E24" s="641" t="n">
        <f aca="false">+(365/4)/(E22/E23)</f>
        <v>2.68455070665047</v>
      </c>
      <c r="F24" s="641" t="n">
        <f aca="false">+(365/4)/(F22/F23)</f>
        <v>2.00987684594845</v>
      </c>
      <c r="G24" s="651" t="n">
        <f aca="false">+(365)/(G22/G23)</f>
        <v>1.84004080858876</v>
      </c>
      <c r="I24" s="641" t="n">
        <f aca="false">+(365/4)/(I22/I23)</f>
        <v>2.60522576614531</v>
      </c>
      <c r="J24" s="641" t="n">
        <f aca="false">+(365/4)/(J22/J23)</f>
        <v>1.01829501700029</v>
      </c>
      <c r="K24" s="641" t="n">
        <f aca="false">+(365/4)/(K22/K23)</f>
        <v>2.24612300006361</v>
      </c>
      <c r="L24" s="641" t="n">
        <f aca="false">+(365/4)/(L22/L23)</f>
        <v>3.1208720317028</v>
      </c>
      <c r="M24" s="651" t="n">
        <f aca="false">+(365)/(M22/M23)</f>
        <v>3.16162788435978</v>
      </c>
      <c r="N24" s="647"/>
      <c r="O24" s="648" t="n">
        <f aca="false">+(C21+I21)/2</f>
        <v>2.01921898838095</v>
      </c>
      <c r="P24" s="649"/>
    </row>
    <row r="25" customFormat="false" ht="12.75" hidden="false" customHeight="false" outlineLevel="0" collapsed="false">
      <c r="O25" s="652"/>
      <c r="P25" s="512"/>
    </row>
    <row r="26" customFormat="false" ht="12.75" hidden="false" customHeight="false" outlineLevel="0" collapsed="false">
      <c r="O26" s="652"/>
      <c r="P26" s="512"/>
    </row>
    <row r="27" customFormat="false" ht="12.75" hidden="false" customHeight="false" outlineLevel="0" collapsed="false">
      <c r="B27" s="418"/>
      <c r="C27" s="418"/>
      <c r="D27" s="418"/>
      <c r="E27" s="418"/>
      <c r="F27" s="418"/>
      <c r="G27" s="418"/>
      <c r="H27" s="418"/>
      <c r="I27" s="418"/>
      <c r="J27" s="418"/>
      <c r="K27" s="418"/>
      <c r="L27" s="418"/>
      <c r="M27" s="418"/>
      <c r="N27" s="418"/>
      <c r="O27" s="653"/>
      <c r="P27" s="469"/>
    </row>
    <row r="28" customFormat="false" ht="12.75" hidden="false" customHeight="false" outlineLevel="0" collapsed="false">
      <c r="C28" s="499" t="n">
        <f aca="false">+C7+C12+C17+C22</f>
        <v>302653</v>
      </c>
      <c r="D28" s="499" t="n">
        <f aca="false">+D7+D12+D17+D22</f>
        <v>348721</v>
      </c>
      <c r="E28" s="499" t="n">
        <f aca="false">+E7+E12+E17+E22</f>
        <v>359388</v>
      </c>
      <c r="F28" s="499" t="n">
        <f aca="false">+F7+F12+F17+F22</f>
        <v>388700</v>
      </c>
      <c r="G28" s="499" t="n">
        <f aca="false">SUM(C28:F28)</f>
        <v>1399462</v>
      </c>
      <c r="I28" s="499" t="n">
        <f aca="false">+I7+I12+I17+I22</f>
        <v>582820</v>
      </c>
      <c r="J28" s="499" t="n">
        <f aca="false">+J7+J12+J17+J22</f>
        <v>537332</v>
      </c>
      <c r="K28" s="499" t="n">
        <f aca="false">+K7+K12+K17+K22</f>
        <v>617713</v>
      </c>
      <c r="L28" s="499" t="n">
        <f aca="false">+L7+L12+L17+L22</f>
        <v>694236</v>
      </c>
      <c r="M28" s="499" t="n">
        <f aca="false">SUM(I28:L28)</f>
        <v>2432101</v>
      </c>
      <c r="O28" s="652"/>
      <c r="P28" s="512"/>
    </row>
    <row r="29" customFormat="false" ht="12.75" hidden="false" customHeight="false" outlineLevel="0" collapsed="false">
      <c r="C29" s="499" t="n">
        <f aca="false">+C8+C13+C18+C23</f>
        <v>19302</v>
      </c>
      <c r="D29" s="499" t="n">
        <f aca="false">+D8+D13+D18+D23</f>
        <v>15520</v>
      </c>
      <c r="E29" s="499" t="n">
        <f aca="false">+E8+E13+E18+E23</f>
        <v>33704</v>
      </c>
      <c r="F29" s="499" t="n">
        <f aca="false">+F8+F13+F18+F23</f>
        <v>52807</v>
      </c>
      <c r="G29" s="499" t="n">
        <f aca="false">+F29</f>
        <v>52807</v>
      </c>
      <c r="I29" s="499" t="n">
        <f aca="false">+I8+I13+I18+I23</f>
        <v>32383</v>
      </c>
      <c r="J29" s="499" t="n">
        <f aca="false">+J8+J13+J18+J23</f>
        <v>87547</v>
      </c>
      <c r="K29" s="499" t="n">
        <f aca="false">+K8+K13+K18+K23</f>
        <v>66459</v>
      </c>
      <c r="L29" s="499" t="n">
        <f aca="false">+L8+L13+L18+L23</f>
        <v>156408</v>
      </c>
      <c r="M29" s="499" t="n">
        <f aca="false">+L29</f>
        <v>156408</v>
      </c>
      <c r="O29" s="652"/>
      <c r="P29" s="512"/>
    </row>
    <row r="30" customFormat="false" ht="12.75" hidden="false" customHeight="false" outlineLevel="0" collapsed="false">
      <c r="C30" s="641" t="n">
        <f aca="false">+(365/4)/(C28/C29)</f>
        <v>5.81956068500891</v>
      </c>
      <c r="D30" s="641" t="n">
        <f aca="false">+(365/4)/(D28/D29)</f>
        <v>4.06112622985137</v>
      </c>
      <c r="E30" s="641" t="n">
        <f aca="false">+(365/4)/(E28/E29)</f>
        <v>8.55757565639365</v>
      </c>
      <c r="F30" s="641" t="n">
        <f aca="false">+(365/4)/(F28/F29)</f>
        <v>12.3968066632364</v>
      </c>
      <c r="G30" s="641" t="n">
        <f aca="false">+(365)/(G28/G29)</f>
        <v>13.7728319882926</v>
      </c>
      <c r="H30" s="641"/>
      <c r="I30" s="641" t="n">
        <f aca="false">+(365/4)/(I28/I29)</f>
        <v>5.0700881061048</v>
      </c>
      <c r="J30" s="641" t="n">
        <f aca="false">+(365/4)/(J28/J29)</f>
        <v>14.867277121035</v>
      </c>
      <c r="K30" s="641" t="n">
        <f aca="false">+(365/4)/(K28/K29)</f>
        <v>9.81747793878387</v>
      </c>
      <c r="L30" s="641" t="n">
        <f aca="false">+(365/4)/(L28/L29)</f>
        <v>20.5581819438923</v>
      </c>
      <c r="M30" s="641" t="n">
        <f aca="false">+(365)/(M28/M29)</f>
        <v>23.4730876719347</v>
      </c>
      <c r="N30" s="641"/>
      <c r="O30" s="654" t="n">
        <f aca="false">+(G30+M30)/2</f>
        <v>18.6229598301137</v>
      </c>
      <c r="P30" s="512"/>
    </row>
    <row r="31" customFormat="false" ht="12.75" hidden="false" customHeight="false" outlineLevel="0" collapsed="false">
      <c r="O31" s="484"/>
      <c r="P31" s="512"/>
    </row>
    <row r="32" customFormat="false" ht="12.75" hidden="false" customHeight="false" outlineLevel="0" collapsed="false">
      <c r="O32" s="468"/>
      <c r="P32" s="469"/>
    </row>
    <row r="35" customFormat="false" ht="12.75" hidden="false" customHeight="false" outlineLevel="0" collapsed="false">
      <c r="O35" s="655"/>
    </row>
  </sheetData>
  <mergeCells count="2">
    <mergeCell ref="C3:F3"/>
    <mergeCell ref="I3:L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2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1" min="1" style="0" width="1.85"/>
    <col collapsed="false" customWidth="true" hidden="false" outlineLevel="0" max="2" min="2" style="0" width="11.99"/>
    <col collapsed="false" customWidth="true" hidden="false" outlineLevel="0" max="3" min="3" style="0" width="12.56"/>
    <col collapsed="false" customWidth="true" hidden="false" outlineLevel="0" max="4" min="4" style="0" width="5.85"/>
    <col collapsed="false" customWidth="true" hidden="false" outlineLevel="0" max="5" min="5" style="0" width="26.28"/>
    <col collapsed="false" customWidth="true" hidden="false" outlineLevel="0" max="6" min="6" style="0" width="26.7"/>
    <col collapsed="false" customWidth="true" hidden="false" outlineLevel="0" max="7" min="7" style="0" width="13.7"/>
    <col collapsed="false" customWidth="true" hidden="false" outlineLevel="0" max="8" min="8" style="0" width="11.13"/>
    <col collapsed="false" customWidth="true" hidden="false" outlineLevel="0" max="10" min="10" style="0" width="7.7"/>
    <col collapsed="false" customWidth="true" hidden="false" outlineLevel="0" max="11" min="11" style="0" width="14.99"/>
    <col collapsed="false" customWidth="true" hidden="false" outlineLevel="0" max="13" min="13" style="0" width="10.13"/>
  </cols>
  <sheetData>
    <row r="1" customFormat="false" ht="21" hidden="false" customHeight="false" outlineLevel="0" collapsed="false">
      <c r="A1" s="1" t="s">
        <v>0</v>
      </c>
      <c r="B1" s="2"/>
      <c r="C1" s="2"/>
      <c r="D1" s="3"/>
      <c r="E1" s="3"/>
      <c r="F1" s="3"/>
      <c r="G1" s="4"/>
      <c r="H1" s="3"/>
      <c r="I1" s="3"/>
      <c r="J1" s="4"/>
      <c r="K1" s="16" t="s">
        <v>45</v>
      </c>
      <c r="L1" s="4"/>
      <c r="M1" s="4"/>
      <c r="N1" s="58"/>
    </row>
    <row r="2" customFormat="false" ht="12.75" hidden="false" customHeight="false" outlineLevel="0" collapsed="false">
      <c r="A2" s="58"/>
      <c r="B2" s="88"/>
      <c r="C2" s="89"/>
      <c r="D2" s="89"/>
      <c r="E2" s="89"/>
      <c r="F2" s="58"/>
      <c r="G2" s="58"/>
      <c r="H2" s="58"/>
      <c r="I2" s="58"/>
      <c r="J2" s="58"/>
      <c r="K2" s="58"/>
      <c r="L2" s="58"/>
      <c r="M2" s="58"/>
      <c r="N2" s="58"/>
    </row>
    <row r="3" customFormat="false" ht="15.75" hidden="false" customHeight="false" outlineLevel="0" collapsed="false">
      <c r="A3" s="58"/>
      <c r="B3" s="58"/>
      <c r="C3" s="58"/>
      <c r="D3" s="58"/>
      <c r="E3" s="58"/>
      <c r="F3" s="58"/>
      <c r="G3" s="58"/>
      <c r="H3" s="58"/>
      <c r="I3" s="58"/>
      <c r="J3" s="58"/>
      <c r="K3" s="90" t="s">
        <v>29</v>
      </c>
      <c r="L3" s="58"/>
      <c r="M3" s="58"/>
      <c r="N3" s="58"/>
    </row>
    <row r="4" customFormat="false" ht="12.75" hidden="false" customHeight="false" outlineLevel="0" collapsed="false">
      <c r="A4" s="58"/>
      <c r="F4" s="59"/>
      <c r="G4" s="58"/>
      <c r="H4" s="58"/>
      <c r="I4" s="58"/>
      <c r="J4" s="58"/>
      <c r="K4" s="58"/>
      <c r="L4" s="58"/>
      <c r="M4" s="58"/>
      <c r="N4" s="58"/>
    </row>
    <row r="5" customFormat="false" ht="12.75" hidden="false" customHeight="false" outlineLevel="0" collapsed="false">
      <c r="A5" s="58"/>
      <c r="F5" s="59"/>
      <c r="G5" s="58"/>
      <c r="H5" s="58"/>
      <c r="I5" s="58"/>
      <c r="J5" s="58"/>
      <c r="K5" s="58"/>
      <c r="L5" s="58"/>
      <c r="M5" s="58"/>
      <c r="N5" s="58"/>
    </row>
    <row r="6" customFormat="false" ht="12.75" hidden="false" customHeight="false" outlineLevel="0" collapsed="false">
      <c r="A6" s="58"/>
      <c r="F6" s="59"/>
      <c r="G6" s="58"/>
      <c r="H6" s="58"/>
      <c r="I6" s="58"/>
      <c r="J6" s="58"/>
      <c r="K6" s="58"/>
      <c r="L6" s="58"/>
      <c r="M6" s="58"/>
      <c r="N6" s="58"/>
    </row>
    <row r="7" customFormat="false" ht="12.75" hidden="false" customHeight="false" outlineLevel="0" collapsed="false">
      <c r="A7" s="58"/>
      <c r="F7" s="59"/>
      <c r="G7" s="58"/>
      <c r="H7" s="58"/>
      <c r="I7" s="58"/>
      <c r="J7" s="58"/>
      <c r="K7" s="58"/>
      <c r="L7" s="58"/>
      <c r="M7" s="58"/>
      <c r="N7" s="58"/>
    </row>
    <row r="8" customFormat="false" ht="12.75" hidden="false" customHeight="false" outlineLevel="0" collapsed="false">
      <c r="A8" s="58"/>
      <c r="F8" s="58"/>
      <c r="G8" s="58"/>
      <c r="H8" s="58"/>
      <c r="I8" s="58"/>
      <c r="J8" s="58"/>
      <c r="K8" s="58"/>
      <c r="L8" s="58"/>
      <c r="M8" s="58"/>
      <c r="N8" s="58"/>
    </row>
    <row r="9" customFormat="false" ht="20.25" hidden="false" customHeight="false" outlineLevel="0" collapsed="false">
      <c r="A9" s="58"/>
      <c r="E9" s="91"/>
      <c r="F9" s="91"/>
      <c r="G9" s="92"/>
      <c r="H9" s="92"/>
      <c r="I9" s="58"/>
    </row>
    <row r="10" customFormat="false" ht="18" hidden="false" customHeight="false" outlineLevel="0" collapsed="false">
      <c r="A10" s="58"/>
      <c r="D10" s="93" t="s">
        <v>46</v>
      </c>
      <c r="E10" s="17"/>
      <c r="F10" s="17"/>
      <c r="G10" s="17"/>
      <c r="H10" s="93"/>
      <c r="I10" s="59"/>
    </row>
    <row r="11" customFormat="false" ht="18" hidden="false" customHeight="false" outlineLevel="0" collapsed="false">
      <c r="A11" s="58"/>
      <c r="D11" s="93" t="s">
        <v>47</v>
      </c>
      <c r="F11" s="93"/>
      <c r="G11" s="36"/>
      <c r="I11" s="94" t="n">
        <f aca="false">'Sea-3 NH '!D34/1000</f>
        <v>24.145862525677</v>
      </c>
    </row>
    <row r="12" customFormat="false" ht="18" hidden="false" customHeight="false" outlineLevel="0" collapsed="false">
      <c r="A12" s="58"/>
      <c r="D12" s="95" t="s">
        <v>48</v>
      </c>
      <c r="F12" s="93"/>
      <c r="G12" s="93"/>
      <c r="I12" s="96"/>
    </row>
    <row r="13" customFormat="false" ht="18" hidden="false" customHeight="false" outlineLevel="0" collapsed="false">
      <c r="A13" s="58"/>
      <c r="D13" s="93"/>
      <c r="F13" s="93"/>
      <c r="G13" s="93"/>
      <c r="I13" s="96"/>
    </row>
    <row r="14" customFormat="false" ht="20.25" hidden="false" customHeight="false" outlineLevel="0" collapsed="false">
      <c r="A14" s="58"/>
      <c r="D14" s="93" t="s">
        <v>49</v>
      </c>
      <c r="F14" s="93"/>
      <c r="G14" s="97"/>
      <c r="I14" s="98" t="n">
        <f aca="false">+'Sea-3 Tampa'!D34/1000</f>
        <v>27.8834759977148</v>
      </c>
    </row>
    <row r="15" customFormat="false" ht="18" hidden="false" customHeight="false" outlineLevel="0" collapsed="false">
      <c r="A15" s="58"/>
      <c r="D15" s="95" t="s">
        <v>48</v>
      </c>
      <c r="F15" s="93"/>
      <c r="G15" s="93"/>
      <c r="I15" s="96"/>
    </row>
    <row r="16" customFormat="false" ht="18" hidden="false" customHeight="false" outlineLevel="0" collapsed="false">
      <c r="A16" s="58"/>
      <c r="D16" s="95"/>
      <c r="F16" s="93"/>
      <c r="G16" s="93"/>
      <c r="I16" s="96"/>
    </row>
    <row r="17" customFormat="false" ht="20.25" hidden="false" customHeight="false" outlineLevel="0" collapsed="false">
      <c r="A17" s="58"/>
      <c r="D17" s="93" t="s">
        <v>50</v>
      </c>
      <c r="F17" s="93"/>
      <c r="G17" s="97"/>
      <c r="I17" s="99" t="n">
        <f aca="false">'Rail Ops'!D31/1000</f>
        <v>23.7799651315411</v>
      </c>
    </row>
    <row r="18" customFormat="false" ht="18" hidden="false" customHeight="false" outlineLevel="0" collapsed="false">
      <c r="A18" s="58"/>
      <c r="D18" s="95" t="s">
        <v>48</v>
      </c>
      <c r="F18" s="93"/>
      <c r="G18" s="93"/>
      <c r="I18" s="96"/>
    </row>
    <row r="19" customFormat="false" ht="18" hidden="false" customHeight="false" outlineLevel="0" collapsed="false">
      <c r="A19" s="58"/>
      <c r="D19" s="93"/>
      <c r="F19" s="93"/>
      <c r="G19" s="93"/>
      <c r="I19" s="96"/>
    </row>
    <row r="20" customFormat="false" ht="18" hidden="false" customHeight="false" outlineLevel="0" collapsed="false">
      <c r="A20" s="58"/>
      <c r="D20" s="100" t="s">
        <v>51</v>
      </c>
      <c r="F20" s="100"/>
      <c r="G20" s="101"/>
      <c r="I20" s="102" t="n">
        <f aca="false">+I11+I14+I17</f>
        <v>75.809303654933</v>
      </c>
    </row>
    <row r="21" customFormat="false" ht="18" hidden="false" customHeight="false" outlineLevel="0" collapsed="false">
      <c r="A21" s="58"/>
      <c r="D21" s="93"/>
      <c r="F21" s="93"/>
      <c r="G21" s="93"/>
      <c r="I21" s="96"/>
    </row>
    <row r="22" customFormat="false" ht="20.25" hidden="false" customHeight="false" outlineLevel="0" collapsed="false">
      <c r="A22" s="58"/>
      <c r="D22" s="93" t="s">
        <v>52</v>
      </c>
      <c r="F22" s="93"/>
      <c r="I22" s="103" t="n">
        <v>-20</v>
      </c>
    </row>
    <row r="23" customFormat="false" ht="18" hidden="false" customHeight="false" outlineLevel="0" collapsed="false">
      <c r="A23" s="58"/>
      <c r="D23" s="93"/>
      <c r="F23" s="93"/>
      <c r="G23" s="93"/>
      <c r="I23" s="96"/>
    </row>
    <row r="24" customFormat="false" ht="18" hidden="false" customHeight="false" outlineLevel="0" collapsed="false">
      <c r="A24" s="58"/>
      <c r="D24" s="93" t="s">
        <v>53</v>
      </c>
      <c r="F24" s="104"/>
      <c r="G24" s="105"/>
      <c r="I24" s="106" t="n">
        <f aca="false">I20+I22</f>
        <v>55.809303654933</v>
      </c>
    </row>
    <row r="25" customFormat="false" ht="18" hidden="false" customHeight="false" outlineLevel="0" collapsed="false">
      <c r="A25" s="58"/>
      <c r="E25" s="93"/>
      <c r="F25" s="93"/>
      <c r="G25" s="93"/>
      <c r="H25" s="107"/>
      <c r="I25" s="58"/>
    </row>
    <row r="26" customFormat="false" ht="18" hidden="false" customHeight="false" outlineLevel="0" collapsed="false">
      <c r="A26" s="58"/>
      <c r="B26" s="59"/>
      <c r="E26" s="100"/>
      <c r="F26" s="100"/>
      <c r="G26" s="108"/>
      <c r="H26" s="109"/>
      <c r="I26" s="58"/>
    </row>
    <row r="27" customFormat="false" ht="18" hidden="false" customHeight="false" outlineLevel="0" collapsed="false">
      <c r="E27" s="110"/>
      <c r="F27" s="110"/>
      <c r="G27" s="17"/>
      <c r="H27" s="102"/>
    </row>
    <row r="28" customFormat="false" ht="15" hidden="false" customHeight="false" outlineLevel="0" collapsed="false">
      <c r="E28" s="111"/>
      <c r="F28" s="111"/>
      <c r="G28" s="111"/>
      <c r="H28" s="111"/>
    </row>
  </sheetData>
  <mergeCells count="1">
    <mergeCell ref="G9:H9"/>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P35"/>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G1" activeCellId="0" sqref="G1"/>
    </sheetView>
  </sheetViews>
  <sheetFormatPr defaultColWidth="9.0546875" defaultRowHeight="12.75" customHeight="true" zeroHeight="false" outlineLevelRow="0" outlineLevelCol="0"/>
  <cols>
    <col collapsed="false" customWidth="true" hidden="false" outlineLevel="0" max="1" min="1" style="0" width="4.7"/>
    <col collapsed="false" customWidth="true" hidden="false" outlineLevel="0" max="2" min="2" style="0" width="14.28"/>
    <col collapsed="false" customWidth="true" hidden="false" outlineLevel="0" max="7" min="3" style="0" width="12.28"/>
    <col collapsed="false" customWidth="true" hidden="false" outlineLevel="0" max="8" min="8" style="0" width="5.99"/>
    <col collapsed="false" customWidth="true" hidden="false" outlineLevel="0" max="11" min="9" style="0" width="12.28"/>
    <col collapsed="false" customWidth="true" hidden="false" outlineLevel="0" max="12" min="12" style="0" width="12.42"/>
    <col collapsed="false" customWidth="true" hidden="false" outlineLevel="0" max="14" min="13" style="0" width="11.13"/>
  </cols>
  <sheetData>
    <row r="1" customFormat="false" ht="23.25" hidden="false" customHeight="false" outlineLevel="0" collapsed="false">
      <c r="B1" s="637"/>
      <c r="G1" s="637" t="s">
        <v>309</v>
      </c>
    </row>
    <row r="2" customFormat="false" ht="12.75" hidden="false" customHeight="false" outlineLevel="0" collapsed="false">
      <c r="O2" s="457"/>
      <c r="P2" s="459"/>
    </row>
    <row r="3" customFormat="false" ht="12.75" hidden="false" customHeight="false" outlineLevel="0" collapsed="false">
      <c r="C3" s="638" t="n">
        <v>1999</v>
      </c>
      <c r="D3" s="638"/>
      <c r="E3" s="638"/>
      <c r="F3" s="638"/>
      <c r="G3" s="89"/>
      <c r="H3" s="7"/>
      <c r="I3" s="638" t="n">
        <v>2000</v>
      </c>
      <c r="J3" s="638"/>
      <c r="K3" s="638"/>
      <c r="L3" s="638"/>
      <c r="O3" s="484"/>
      <c r="P3" s="512"/>
    </row>
    <row r="4" customFormat="false" ht="12.75" hidden="false" customHeight="false" outlineLevel="0" collapsed="false">
      <c r="C4" s="468" t="s">
        <v>910</v>
      </c>
      <c r="D4" s="418" t="s">
        <v>911</v>
      </c>
      <c r="E4" s="418" t="s">
        <v>912</v>
      </c>
      <c r="F4" s="469" t="s">
        <v>913</v>
      </c>
      <c r="G4" s="639" t="s">
        <v>914</v>
      </c>
      <c r="I4" s="468" t="s">
        <v>910</v>
      </c>
      <c r="J4" s="418" t="s">
        <v>911</v>
      </c>
      <c r="K4" s="418" t="s">
        <v>912</v>
      </c>
      <c r="L4" s="469" t="s">
        <v>913</v>
      </c>
      <c r="M4" s="639" t="s">
        <v>914</v>
      </c>
      <c r="N4" s="639"/>
      <c r="O4" s="640" t="s">
        <v>915</v>
      </c>
      <c r="P4" s="512"/>
    </row>
    <row r="5" customFormat="false" ht="12.75" hidden="false" customHeight="false" outlineLevel="0" collapsed="false">
      <c r="O5" s="484"/>
      <c r="P5" s="512"/>
    </row>
    <row r="6" customFormat="false" ht="12.75" hidden="false" customHeight="false" outlineLevel="0" collapsed="false">
      <c r="B6" s="0" t="s">
        <v>916</v>
      </c>
      <c r="C6" s="641" t="n">
        <f aca="false">AVERAGE(C9:F9)</f>
        <v>20.5868253075243</v>
      </c>
      <c r="I6" s="641" t="n">
        <f aca="false">AVERAGE(I9:L9)</f>
        <v>15.2793241223516</v>
      </c>
      <c r="O6" s="484"/>
      <c r="P6" s="512"/>
    </row>
    <row r="7" customFormat="false" ht="12.75" hidden="false" customHeight="false" outlineLevel="0" collapsed="false">
      <c r="B7" s="0" t="s">
        <v>917</v>
      </c>
      <c r="C7" s="123" t="n">
        <v>47398</v>
      </c>
      <c r="D7" s="123" t="n">
        <v>32385</v>
      </c>
      <c r="E7" s="123" t="n">
        <v>41450</v>
      </c>
      <c r="F7" s="123" t="n">
        <v>64239</v>
      </c>
      <c r="G7" s="642" t="n">
        <f aca="false">SUM(C7:F7)</f>
        <v>185472</v>
      </c>
      <c r="H7" s="123"/>
      <c r="I7" s="123" t="n">
        <v>87311</v>
      </c>
      <c r="J7" s="123" t="n">
        <v>30960</v>
      </c>
      <c r="K7" s="123" t="n">
        <v>62296</v>
      </c>
      <c r="L7" s="123" t="n">
        <v>111599</v>
      </c>
      <c r="M7" s="643" t="n">
        <f aca="false">SUM(I7:L7)</f>
        <v>292166</v>
      </c>
      <c r="O7" s="484"/>
      <c r="P7" s="512"/>
    </row>
    <row r="8" customFormat="false" ht="12.75" hidden="false" customHeight="false" outlineLevel="0" collapsed="false">
      <c r="B8" s="0" t="s">
        <v>923</v>
      </c>
      <c r="C8" s="123" t="n">
        <v>4821</v>
      </c>
      <c r="D8" s="123" t="n">
        <v>11373</v>
      </c>
      <c r="E8" s="123" t="n">
        <v>10857</v>
      </c>
      <c r="F8" s="123" t="n">
        <v>12052</v>
      </c>
      <c r="G8" s="644" t="n">
        <f aca="false">+F8</f>
        <v>12052</v>
      </c>
      <c r="H8" s="123"/>
      <c r="I8" s="123" t="n">
        <v>6297</v>
      </c>
      <c r="J8" s="123" t="n">
        <v>4500</v>
      </c>
      <c r="K8" s="123" t="n">
        <v>15294</v>
      </c>
      <c r="L8" s="123" t="n">
        <v>23079</v>
      </c>
      <c r="M8" s="645" t="n">
        <f aca="false">+L8</f>
        <v>23079</v>
      </c>
      <c r="O8" s="484"/>
      <c r="P8" s="512"/>
    </row>
    <row r="9" customFormat="false" ht="12.75" hidden="false" customHeight="false" outlineLevel="0" collapsed="false">
      <c r="B9" s="0" t="s">
        <v>919</v>
      </c>
      <c r="C9" s="641" t="n">
        <f aca="false">+(365/4)/(C7/C8)</f>
        <v>9.28132516139922</v>
      </c>
      <c r="D9" s="641" t="n">
        <f aca="false">+(365/4)/(D7/D8)</f>
        <v>32.0452755905512</v>
      </c>
      <c r="E9" s="641" t="n">
        <f aca="false">+(365/4)/(E7/E8)</f>
        <v>23.9011158021713</v>
      </c>
      <c r="F9" s="641" t="n">
        <f aca="false">+(365/4)/(F7/F8)</f>
        <v>17.1195846759757</v>
      </c>
      <c r="G9" s="646" t="n">
        <f aca="false">+(365)/(G7/G8)</f>
        <v>23.7177579365079</v>
      </c>
      <c r="I9" s="641" t="n">
        <f aca="false">+(365/4)/(I7/I8)</f>
        <v>6.58108657557467</v>
      </c>
      <c r="J9" s="641" t="n">
        <f aca="false">+(365/4)/(J7/J8)</f>
        <v>13.2630813953488</v>
      </c>
      <c r="K9" s="641" t="n">
        <f aca="false">+(365/4)/(K7/K8)</f>
        <v>22.4023613073071</v>
      </c>
      <c r="L9" s="641" t="n">
        <f aca="false">+(365/4)/(L7/L8)</f>
        <v>18.8707672111757</v>
      </c>
      <c r="M9" s="646" t="n">
        <f aca="false">+(365)/(M7/M8)</f>
        <v>28.8323590013896</v>
      </c>
      <c r="N9" s="641"/>
      <c r="O9" s="648" t="n">
        <f aca="false">+(C6+I6)/2</f>
        <v>17.933074714938</v>
      </c>
      <c r="P9" s="649"/>
    </row>
    <row r="10" customFormat="false" ht="12.75" hidden="false" customHeight="false" outlineLevel="0" collapsed="false">
      <c r="G10" s="650"/>
      <c r="M10" s="650"/>
      <c r="O10" s="648"/>
      <c r="P10" s="649"/>
    </row>
    <row r="11" customFormat="false" ht="12.75" hidden="false" customHeight="false" outlineLevel="0" collapsed="false">
      <c r="B11" s="0" t="s">
        <v>920</v>
      </c>
      <c r="C11" s="641" t="n">
        <f aca="false">AVERAGE(C14:F14)</f>
        <v>35.4001305548972</v>
      </c>
      <c r="G11" s="650"/>
      <c r="I11" s="641" t="n">
        <f aca="false">AVERAGE(I14:L14)</f>
        <v>32.1893460810141</v>
      </c>
      <c r="M11" s="650"/>
      <c r="O11" s="648"/>
      <c r="P11" s="649"/>
    </row>
    <row r="12" customFormat="false" ht="12.75" hidden="false" customHeight="false" outlineLevel="0" collapsed="false">
      <c r="B12" s="0" t="s">
        <v>917</v>
      </c>
      <c r="C12" s="123" t="n">
        <v>13515</v>
      </c>
      <c r="D12" s="123" t="n">
        <v>8129</v>
      </c>
      <c r="E12" s="123" t="n">
        <v>6749</v>
      </c>
      <c r="F12" s="123" t="n">
        <v>20641</v>
      </c>
      <c r="G12" s="644" t="n">
        <f aca="false">SUM(C12:F12)</f>
        <v>49034</v>
      </c>
      <c r="H12" s="123"/>
      <c r="I12" s="123" t="n">
        <v>35683</v>
      </c>
      <c r="J12" s="123" t="n">
        <v>14921</v>
      </c>
      <c r="K12" s="123" t="n">
        <v>17045</v>
      </c>
      <c r="L12" s="123" t="n">
        <v>32146</v>
      </c>
      <c r="M12" s="645" t="n">
        <f aca="false">SUM(I12:L12)</f>
        <v>99795</v>
      </c>
      <c r="O12" s="648"/>
      <c r="P12" s="649"/>
    </row>
    <row r="13" customFormat="false" ht="12.75" hidden="false" customHeight="false" outlineLevel="0" collapsed="false">
      <c r="B13" s="0" t="s">
        <v>923</v>
      </c>
      <c r="C13" s="123" t="n">
        <v>3735</v>
      </c>
      <c r="D13" s="123" t="n">
        <v>2379</v>
      </c>
      <c r="E13" s="123" t="n">
        <v>4049</v>
      </c>
      <c r="F13" s="123" t="n">
        <v>7902</v>
      </c>
      <c r="G13" s="644" t="n">
        <f aca="false">+F13</f>
        <v>7902</v>
      </c>
      <c r="H13" s="123"/>
      <c r="I13" s="123" t="n">
        <v>8261</v>
      </c>
      <c r="J13" s="123" t="n">
        <v>2672</v>
      </c>
      <c r="K13" s="123" t="n">
        <v>7448</v>
      </c>
      <c r="L13" s="123" t="n">
        <v>18114</v>
      </c>
      <c r="M13" s="645" t="n">
        <f aca="false">+L13</f>
        <v>18114</v>
      </c>
      <c r="N13" s="641"/>
      <c r="O13" s="648"/>
      <c r="P13" s="649"/>
    </row>
    <row r="14" customFormat="false" ht="12.75" hidden="false" customHeight="false" outlineLevel="0" collapsed="false">
      <c r="B14" s="0" t="s">
        <v>919</v>
      </c>
      <c r="C14" s="641" t="n">
        <f aca="false">+(365/4)/(C12/C13)</f>
        <v>25.2178135405105</v>
      </c>
      <c r="D14" s="641" t="n">
        <f aca="false">+(365/4)/(D12/D13)</f>
        <v>26.7048529954484</v>
      </c>
      <c r="E14" s="641" t="n">
        <f aca="false">+(365/4)/(E12/E13)</f>
        <v>54.7445917913765</v>
      </c>
      <c r="F14" s="641" t="n">
        <f aca="false">+(365/4)/(F12/F13)</f>
        <v>34.9332638922533</v>
      </c>
      <c r="G14" s="646" t="n">
        <f aca="false">+(365)/(G12/G13)</f>
        <v>58.8210221478974</v>
      </c>
      <c r="I14" s="641" t="n">
        <f aca="false">+(365/4)/(I12/I13)</f>
        <v>21.1253608160749</v>
      </c>
      <c r="J14" s="641" t="n">
        <f aca="false">+(365/4)/(J12/J13)</f>
        <v>16.3407278332551</v>
      </c>
      <c r="K14" s="641" t="n">
        <f aca="false">+(365/4)/(K12/K13)</f>
        <v>39.8726899383984</v>
      </c>
      <c r="L14" s="641" t="n">
        <f aca="false">+(365/4)/(L12/L13)</f>
        <v>51.418605736328</v>
      </c>
      <c r="M14" s="646" t="n">
        <f aca="false">+(365)/(M12/M13)</f>
        <v>66.2519164286788</v>
      </c>
      <c r="N14" s="641"/>
      <c r="O14" s="648" t="n">
        <f aca="false">+(C11+I11)/2</f>
        <v>33.7947383179556</v>
      </c>
      <c r="P14" s="649"/>
    </row>
    <row r="15" customFormat="false" ht="12.75" hidden="false" customHeight="false" outlineLevel="0" collapsed="false">
      <c r="G15" s="650"/>
      <c r="M15" s="650"/>
      <c r="O15" s="648"/>
      <c r="P15" s="649"/>
    </row>
    <row r="16" customFormat="false" ht="12.75" hidden="false" customHeight="false" outlineLevel="0" collapsed="false">
      <c r="B16" s="0" t="s">
        <v>921</v>
      </c>
      <c r="C16" s="641" t="n">
        <f aca="false">AVERAGE(C19:F19)</f>
        <v>63.413583102785</v>
      </c>
      <c r="G16" s="650"/>
      <c r="I16" s="641" t="n">
        <f aca="false">AVERAGE(I19:L19)</f>
        <v>70.2857549413522</v>
      </c>
      <c r="M16" s="650"/>
      <c r="O16" s="648"/>
      <c r="P16" s="649"/>
    </row>
    <row r="17" customFormat="false" ht="12.75" hidden="false" customHeight="false" outlineLevel="0" collapsed="false">
      <c r="B17" s="0" t="s">
        <v>917</v>
      </c>
      <c r="C17" s="123" t="n">
        <v>160232</v>
      </c>
      <c r="D17" s="123" t="n">
        <v>194987</v>
      </c>
      <c r="E17" s="123" t="n">
        <v>196776</v>
      </c>
      <c r="F17" s="123" t="n">
        <v>212065</v>
      </c>
      <c r="G17" s="644" t="n">
        <f aca="false">SUM(C17:F17)</f>
        <v>764060</v>
      </c>
      <c r="H17" s="123"/>
      <c r="I17" s="123" t="n">
        <v>278953</v>
      </c>
      <c r="J17" s="123" t="n">
        <v>269396</v>
      </c>
      <c r="K17" s="123" t="n">
        <v>365429</v>
      </c>
      <c r="L17" s="123" t="n">
        <v>355177</v>
      </c>
      <c r="M17" s="645" t="n">
        <f aca="false">SUM(I17:L17)</f>
        <v>1268955</v>
      </c>
      <c r="O17" s="648"/>
      <c r="P17" s="649"/>
    </row>
    <row r="18" customFormat="false" ht="12.75" hidden="false" customHeight="false" outlineLevel="0" collapsed="false">
      <c r="B18" s="0" t="s">
        <v>923</v>
      </c>
      <c r="C18" s="123" t="n">
        <v>135011</v>
      </c>
      <c r="D18" s="123" t="n">
        <v>126869</v>
      </c>
      <c r="E18" s="123" t="n">
        <v>120409</v>
      </c>
      <c r="F18" s="123" t="n">
        <v>143062</v>
      </c>
      <c r="G18" s="644" t="n">
        <f aca="false">+F18</f>
        <v>143062</v>
      </c>
      <c r="H18" s="123"/>
      <c r="I18" s="123" t="n">
        <v>239753</v>
      </c>
      <c r="J18" s="123" t="n">
        <v>200137</v>
      </c>
      <c r="K18" s="123" t="n">
        <v>243700</v>
      </c>
      <c r="L18" s="123" t="n">
        <v>288314</v>
      </c>
      <c r="M18" s="645" t="n">
        <f aca="false">+L18</f>
        <v>288314</v>
      </c>
      <c r="O18" s="648"/>
      <c r="P18" s="649"/>
    </row>
    <row r="19" customFormat="false" ht="12.75" hidden="false" customHeight="false" outlineLevel="0" collapsed="false">
      <c r="B19" s="0" t="s">
        <v>919</v>
      </c>
      <c r="C19" s="641" t="n">
        <f aca="false">+(365/4)/(C17/C18)</f>
        <v>76.8869748240052</v>
      </c>
      <c r="D19" s="641" t="n">
        <f aca="false">+(365/4)/(D17/D18)</f>
        <v>59.3721440403719</v>
      </c>
      <c r="E19" s="641" t="n">
        <f aca="false">+(365/4)/(E17/E18)</f>
        <v>55.8366937533032</v>
      </c>
      <c r="F19" s="641" t="n">
        <f aca="false">+(365/4)/(F17/F18)</f>
        <v>61.5585197934596</v>
      </c>
      <c r="G19" s="646" t="n">
        <f aca="false">+(365)/(G17/G18)</f>
        <v>68.3423160484779</v>
      </c>
      <c r="I19" s="641" t="n">
        <f aca="false">+(365/4)/(I17/I18)</f>
        <v>78.4270513312278</v>
      </c>
      <c r="J19" s="641" t="n">
        <f aca="false">+(365/4)/(J17/J18)</f>
        <v>67.790543475033</v>
      </c>
      <c r="K19" s="641" t="n">
        <f aca="false">+(365/4)/(K17/K18)</f>
        <v>60.8534763250864</v>
      </c>
      <c r="L19" s="641" t="n">
        <f aca="false">+(365/4)/(L17/L18)</f>
        <v>74.0719486340613</v>
      </c>
      <c r="M19" s="646" t="n">
        <f aca="false">+(365)/(M17/M18)</f>
        <v>82.9301354263941</v>
      </c>
      <c r="N19" s="641"/>
      <c r="O19" s="648" t="n">
        <f aca="false">+(C16+I16)/2</f>
        <v>66.8496690220686</v>
      </c>
      <c r="P19" s="649"/>
    </row>
    <row r="20" customFormat="false" ht="12.75" hidden="false" customHeight="false" outlineLevel="0" collapsed="false">
      <c r="G20" s="650"/>
      <c r="M20" s="650"/>
      <c r="O20" s="648"/>
      <c r="P20" s="649"/>
    </row>
    <row r="21" customFormat="false" ht="12.75" hidden="false" customHeight="false" outlineLevel="0" collapsed="false">
      <c r="B21" s="0" t="s">
        <v>922</v>
      </c>
      <c r="C21" s="641" t="n">
        <f aca="false">AVERAGE(C24:F24)</f>
        <v>20.5183237353559</v>
      </c>
      <c r="G21" s="650"/>
      <c r="I21" s="641" t="n">
        <f aca="false">AVERAGE(I24:L24)</f>
        <v>18.1448238603249</v>
      </c>
      <c r="M21" s="650"/>
      <c r="O21" s="648"/>
      <c r="P21" s="649"/>
    </row>
    <row r="22" customFormat="false" ht="12.75" hidden="false" customHeight="false" outlineLevel="0" collapsed="false">
      <c r="B22" s="0" t="s">
        <v>917</v>
      </c>
      <c r="C22" s="123" t="n">
        <v>81508</v>
      </c>
      <c r="D22" s="123" t="n">
        <v>113220</v>
      </c>
      <c r="E22" s="123" t="n">
        <v>114413</v>
      </c>
      <c r="F22" s="123" t="n">
        <v>91755</v>
      </c>
      <c r="G22" s="644" t="n">
        <f aca="false">SUM(C22:F22)</f>
        <v>400896</v>
      </c>
      <c r="H22" s="123"/>
      <c r="I22" s="123" t="n">
        <v>180873</v>
      </c>
      <c r="J22" s="123" t="n">
        <v>222055</v>
      </c>
      <c r="K22" s="123" t="n">
        <v>172943</v>
      </c>
      <c r="L22" s="123" t="n">
        <v>195314</v>
      </c>
      <c r="M22" s="645" t="n">
        <f aca="false">SUM(I22:L22)</f>
        <v>771185</v>
      </c>
      <c r="O22" s="648"/>
      <c r="P22" s="649"/>
    </row>
    <row r="23" customFormat="false" ht="12.75" hidden="false" customHeight="false" outlineLevel="0" collapsed="false">
      <c r="B23" s="0" t="s">
        <v>923</v>
      </c>
      <c r="C23" s="123" t="n">
        <v>23718</v>
      </c>
      <c r="D23" s="123" t="n">
        <v>18505</v>
      </c>
      <c r="E23" s="123" t="n">
        <v>25591</v>
      </c>
      <c r="F23" s="123" t="n">
        <v>20308</v>
      </c>
      <c r="G23" s="644" t="n">
        <f aca="false">+F23</f>
        <v>20308</v>
      </c>
      <c r="H23" s="123"/>
      <c r="I23" s="123" t="n">
        <v>40239</v>
      </c>
      <c r="J23" s="123" t="n">
        <v>39289</v>
      </c>
      <c r="K23" s="123" t="n">
        <v>31320</v>
      </c>
      <c r="L23" s="123" t="n">
        <v>41970</v>
      </c>
      <c r="M23" s="645" t="n">
        <f aca="false">+L23</f>
        <v>41970</v>
      </c>
      <c r="O23" s="648"/>
      <c r="P23" s="649"/>
    </row>
    <row r="24" customFormat="false" ht="12.75" hidden="false" customHeight="false" outlineLevel="0" collapsed="false">
      <c r="B24" s="0" t="s">
        <v>919</v>
      </c>
      <c r="C24" s="641" t="n">
        <f aca="false">+(365/4)/(C22/C23)</f>
        <v>26.5528230357756</v>
      </c>
      <c r="D24" s="641" t="n">
        <f aca="false">+(365/4)/(D22/D23)</f>
        <v>14.9141604840134</v>
      </c>
      <c r="E24" s="641" t="n">
        <f aca="false">+(365/4)/(E22/E23)</f>
        <v>20.4100823333013</v>
      </c>
      <c r="F24" s="641" t="n">
        <f aca="false">+(365/4)/(F22/F23)</f>
        <v>20.1962290883331</v>
      </c>
      <c r="G24" s="651" t="n">
        <f aca="false">+(365)/(G22/G23)</f>
        <v>18.4896332215837</v>
      </c>
      <c r="I24" s="641" t="n">
        <f aca="false">+(365/4)/(I22/I23)</f>
        <v>20.3004801711698</v>
      </c>
      <c r="J24" s="641" t="n">
        <f aca="false">+(365/4)/(J22/J23)</f>
        <v>16.1451948841503</v>
      </c>
      <c r="K24" s="641" t="n">
        <f aca="false">+(365/4)/(K22/K23)</f>
        <v>16.5253869772121</v>
      </c>
      <c r="L24" s="641" t="n">
        <f aca="false">+(365/4)/(L22/L23)</f>
        <v>19.6082334087674</v>
      </c>
      <c r="M24" s="651" t="n">
        <f aca="false">+(365)/(M22/M23)</f>
        <v>19.864299746494</v>
      </c>
      <c r="N24" s="641"/>
      <c r="O24" s="648" t="n">
        <f aca="false">+(C21+I21)/2</f>
        <v>19.3315737978404</v>
      </c>
      <c r="P24" s="649"/>
    </row>
    <row r="25" customFormat="false" ht="12.75" hidden="false" customHeight="false" outlineLevel="0" collapsed="false">
      <c r="O25" s="656"/>
      <c r="P25" s="512"/>
    </row>
    <row r="26" customFormat="false" ht="12.75" hidden="false" customHeight="false" outlineLevel="0" collapsed="false">
      <c r="O26" s="656"/>
      <c r="P26" s="512"/>
    </row>
    <row r="27" customFormat="false" ht="12.75" hidden="false" customHeight="false" outlineLevel="0" collapsed="false">
      <c r="B27" s="418"/>
      <c r="C27" s="418"/>
      <c r="D27" s="418"/>
      <c r="E27" s="418"/>
      <c r="F27" s="418"/>
      <c r="G27" s="418"/>
      <c r="H27" s="418"/>
      <c r="I27" s="418"/>
      <c r="J27" s="418"/>
      <c r="K27" s="418"/>
      <c r="L27" s="418"/>
      <c r="M27" s="418"/>
      <c r="N27" s="418"/>
      <c r="O27" s="657"/>
      <c r="P27" s="469"/>
    </row>
    <row r="28" customFormat="false" ht="12.75" hidden="false" customHeight="false" outlineLevel="0" collapsed="false">
      <c r="C28" s="499" t="n">
        <f aca="false">+C7+C12+C17+C22</f>
        <v>302653</v>
      </c>
      <c r="D28" s="499" t="n">
        <f aca="false">+D7+D12+D17+D22</f>
        <v>348721</v>
      </c>
      <c r="E28" s="499" t="n">
        <f aca="false">+E7+E12+E17+E22</f>
        <v>359388</v>
      </c>
      <c r="F28" s="499" t="n">
        <f aca="false">+F7+F12+F17+F22</f>
        <v>388700</v>
      </c>
      <c r="G28" s="499" t="n">
        <f aca="false">SUM(C28:F28)</f>
        <v>1399462</v>
      </c>
      <c r="I28" s="499" t="n">
        <f aca="false">+I7+I12+I17+I22</f>
        <v>582820</v>
      </c>
      <c r="J28" s="499" t="n">
        <f aca="false">+J7+J12+J17+J22</f>
        <v>537332</v>
      </c>
      <c r="K28" s="499" t="n">
        <f aca="false">+K7+K12+K17+K22</f>
        <v>617713</v>
      </c>
      <c r="L28" s="499" t="n">
        <f aca="false">+L7+L12+L17+L22</f>
        <v>694236</v>
      </c>
      <c r="M28" s="499" t="n">
        <f aca="false">SUM(I28:L28)</f>
        <v>2432101</v>
      </c>
      <c r="O28" s="656"/>
      <c r="P28" s="512"/>
    </row>
    <row r="29" customFormat="false" ht="12.75" hidden="false" customHeight="false" outlineLevel="0" collapsed="false">
      <c r="C29" s="499" t="n">
        <f aca="false">+C8+C13+C18+C23</f>
        <v>167285</v>
      </c>
      <c r="D29" s="499" t="n">
        <f aca="false">+D8+D13+D18+D23</f>
        <v>159126</v>
      </c>
      <c r="E29" s="499" t="n">
        <f aca="false">+E8+E13+E18+E23</f>
        <v>160906</v>
      </c>
      <c r="F29" s="499" t="n">
        <f aca="false">+F8+F13+F18+F23</f>
        <v>183324</v>
      </c>
      <c r="G29" s="499" t="n">
        <f aca="false">+F29</f>
        <v>183324</v>
      </c>
      <c r="I29" s="499" t="n">
        <f aca="false">+I8+I13+I18+I23</f>
        <v>294550</v>
      </c>
      <c r="J29" s="499" t="n">
        <f aca="false">+J8+J13+J18+J23</f>
        <v>246598</v>
      </c>
      <c r="K29" s="499" t="n">
        <f aca="false">+K8+K13+K18+K23</f>
        <v>297762</v>
      </c>
      <c r="L29" s="499" t="n">
        <f aca="false">+L8+L13+L18+L23</f>
        <v>371477</v>
      </c>
      <c r="M29" s="499" t="n">
        <f aca="false">+L29</f>
        <v>371477</v>
      </c>
      <c r="O29" s="656"/>
      <c r="P29" s="512"/>
    </row>
    <row r="30" customFormat="false" ht="12.75" hidden="false" customHeight="false" outlineLevel="0" collapsed="false">
      <c r="C30" s="641" t="n">
        <f aca="false">+(365/4)/(C28/C29)</f>
        <v>50.4364941038087</v>
      </c>
      <c r="D30" s="641" t="n">
        <f aca="false">+(365/4)/(D28/D29)</f>
        <v>41.6385806991836</v>
      </c>
      <c r="E30" s="641" t="n">
        <f aca="false">+(365/4)/(E28/E29)</f>
        <v>40.8546543012009</v>
      </c>
      <c r="F30" s="641" t="n">
        <f aca="false">+(365/4)/(F28/F29)</f>
        <v>43.0365706200154</v>
      </c>
      <c r="G30" s="641" t="n">
        <f aca="false">+(365)/(G28/G29)</f>
        <v>47.8135597822592</v>
      </c>
      <c r="H30" s="641"/>
      <c r="I30" s="641" t="n">
        <f aca="false">+(365/4)/(I28/I29)</f>
        <v>46.1166183384235</v>
      </c>
      <c r="J30" s="641" t="n">
        <f aca="false">+(365/4)/(J28/J29)</f>
        <v>41.8774007503741</v>
      </c>
      <c r="K30" s="641" t="n">
        <f aca="false">+(365/4)/(K28/K29)</f>
        <v>43.9860946750352</v>
      </c>
      <c r="L30" s="641" t="n">
        <f aca="false">+(365/4)/(L28/L29)</f>
        <v>48.8267336323671</v>
      </c>
      <c r="M30" s="641" t="n">
        <f aca="false">+(365)/(M28/M29)</f>
        <v>55.7497838288788</v>
      </c>
      <c r="N30" s="641"/>
      <c r="O30" s="658" t="n">
        <f aca="false">+(G30+M30)/2</f>
        <v>51.781671805569</v>
      </c>
      <c r="P30" s="512"/>
    </row>
    <row r="31" customFormat="false" ht="12.75" hidden="false" customHeight="false" outlineLevel="0" collapsed="false">
      <c r="O31" s="484"/>
      <c r="P31" s="512"/>
    </row>
    <row r="32" customFormat="false" ht="12.75" hidden="false" customHeight="false" outlineLevel="0" collapsed="false">
      <c r="O32" s="468"/>
      <c r="P32" s="469"/>
    </row>
    <row r="35" customFormat="false" ht="12.75" hidden="false" customHeight="false" outlineLevel="0" collapsed="false">
      <c r="O35" s="655"/>
    </row>
  </sheetData>
  <mergeCells count="2">
    <mergeCell ref="C3:F3"/>
    <mergeCell ref="I3:L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P35"/>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G2" activeCellId="0" sqref="G2"/>
    </sheetView>
  </sheetViews>
  <sheetFormatPr defaultColWidth="9.0546875" defaultRowHeight="12.75" customHeight="true" zeroHeight="false" outlineLevelRow="0" outlineLevelCol="0"/>
  <cols>
    <col collapsed="false" customWidth="true" hidden="false" outlineLevel="0" max="1" min="1" style="0" width="4.7"/>
    <col collapsed="false" customWidth="true" hidden="false" outlineLevel="0" max="2" min="2" style="0" width="14.28"/>
    <col collapsed="false" customWidth="true" hidden="false" outlineLevel="0" max="7" min="3" style="0" width="12.28"/>
    <col collapsed="false" customWidth="true" hidden="false" outlineLevel="0" max="8" min="8" style="0" width="5.99"/>
    <col collapsed="false" customWidth="true" hidden="false" outlineLevel="0" max="11" min="9" style="0" width="12.28"/>
    <col collapsed="false" customWidth="true" hidden="false" outlineLevel="0" max="12" min="12" style="0" width="12.42"/>
    <col collapsed="false" customWidth="true" hidden="false" outlineLevel="0" max="14" min="13" style="0" width="11.13"/>
  </cols>
  <sheetData>
    <row r="1" customFormat="false" ht="23.25" hidden="false" customHeight="false" outlineLevel="0" collapsed="false">
      <c r="G1" s="637" t="s">
        <v>213</v>
      </c>
    </row>
    <row r="2" customFormat="false" ht="12.75" hidden="false" customHeight="false" outlineLevel="0" collapsed="false">
      <c r="O2" s="457"/>
      <c r="P2" s="459"/>
    </row>
    <row r="3" customFormat="false" ht="12.75" hidden="false" customHeight="false" outlineLevel="0" collapsed="false">
      <c r="C3" s="638" t="n">
        <v>1999</v>
      </c>
      <c r="D3" s="638"/>
      <c r="E3" s="638"/>
      <c r="F3" s="638"/>
      <c r="G3" s="89"/>
      <c r="H3" s="7"/>
      <c r="I3" s="638" t="n">
        <v>2000</v>
      </c>
      <c r="J3" s="638"/>
      <c r="K3" s="638"/>
      <c r="L3" s="638"/>
      <c r="O3" s="484"/>
      <c r="P3" s="512"/>
    </row>
    <row r="4" customFormat="false" ht="12.75" hidden="false" customHeight="false" outlineLevel="0" collapsed="false">
      <c r="C4" s="468" t="s">
        <v>910</v>
      </c>
      <c r="D4" s="418" t="s">
        <v>911</v>
      </c>
      <c r="E4" s="418" t="s">
        <v>912</v>
      </c>
      <c r="F4" s="469" t="s">
        <v>913</v>
      </c>
      <c r="G4" s="639" t="s">
        <v>914</v>
      </c>
      <c r="I4" s="468" t="s">
        <v>910</v>
      </c>
      <c r="J4" s="418" t="s">
        <v>911</v>
      </c>
      <c r="K4" s="418" t="s">
        <v>912</v>
      </c>
      <c r="L4" s="469" t="s">
        <v>913</v>
      </c>
      <c r="M4" s="639" t="s">
        <v>914</v>
      </c>
      <c r="N4" s="639"/>
      <c r="O4" s="640" t="s">
        <v>915</v>
      </c>
      <c r="P4" s="512"/>
    </row>
    <row r="5" customFormat="false" ht="12.75" hidden="false" customHeight="false" outlineLevel="0" collapsed="false">
      <c r="O5" s="484"/>
      <c r="P5" s="512"/>
    </row>
    <row r="6" customFormat="false" ht="12.75" hidden="false" customHeight="false" outlineLevel="0" collapsed="false">
      <c r="B6" s="0" t="s">
        <v>916</v>
      </c>
      <c r="C6" s="641" t="n">
        <f aca="false">AVERAGE(C9:F9)</f>
        <v>27.5918238140131</v>
      </c>
      <c r="I6" s="641" t="n">
        <f aca="false">AVERAGE(I9:L9)</f>
        <v>27.7123297768909</v>
      </c>
      <c r="O6" s="484"/>
      <c r="P6" s="512"/>
    </row>
    <row r="7" customFormat="false" ht="12.75" hidden="false" customHeight="false" outlineLevel="0" collapsed="false">
      <c r="B7" s="0" t="s">
        <v>575</v>
      </c>
      <c r="C7" s="123" t="n">
        <v>47400</v>
      </c>
      <c r="D7" s="123" t="n">
        <v>30654</v>
      </c>
      <c r="E7" s="123" t="n">
        <v>39808</v>
      </c>
      <c r="F7" s="123" t="n">
        <v>62166</v>
      </c>
      <c r="G7" s="642" t="n">
        <f aca="false">SUM(C7:F7)</f>
        <v>180028</v>
      </c>
      <c r="H7" s="123"/>
      <c r="I7" s="123" t="n">
        <v>84071</v>
      </c>
      <c r="J7" s="123" t="n">
        <v>30016</v>
      </c>
      <c r="K7" s="123" t="n">
        <v>60771</v>
      </c>
      <c r="L7" s="123" t="n">
        <v>108276</v>
      </c>
      <c r="M7" s="643" t="n">
        <f aca="false">SUM(I7:L7)</f>
        <v>283134</v>
      </c>
      <c r="O7" s="484"/>
      <c r="P7" s="512"/>
    </row>
    <row r="8" customFormat="false" ht="12.75" hidden="false" customHeight="false" outlineLevel="0" collapsed="false">
      <c r="B8" s="0" t="s">
        <v>924</v>
      </c>
      <c r="C8" s="123" t="n">
        <v>6136</v>
      </c>
      <c r="D8" s="123" t="n">
        <v>12915</v>
      </c>
      <c r="E8" s="123" t="n">
        <v>12476</v>
      </c>
      <c r="F8" s="123" t="n">
        <v>21468</v>
      </c>
      <c r="G8" s="644" t="n">
        <f aca="false">+F8</f>
        <v>21468</v>
      </c>
      <c r="H8" s="123"/>
      <c r="I8" s="123" t="n">
        <v>8156</v>
      </c>
      <c r="J8" s="123" t="n">
        <v>5366</v>
      </c>
      <c r="K8" s="123" t="n">
        <v>20113</v>
      </c>
      <c r="L8" s="123" t="n">
        <v>65836</v>
      </c>
      <c r="M8" s="645" t="n">
        <f aca="false">+L8</f>
        <v>65836</v>
      </c>
      <c r="O8" s="484"/>
      <c r="P8" s="512"/>
    </row>
    <row r="9" customFormat="false" ht="12.75" hidden="false" customHeight="false" outlineLevel="0" collapsed="false">
      <c r="B9" s="0" t="s">
        <v>925</v>
      </c>
      <c r="C9" s="641" t="n">
        <f aca="false">+(365/4)/(C7/C8)</f>
        <v>11.812447257384</v>
      </c>
      <c r="D9" s="641" t="n">
        <f aca="false">+(365/4)/(D7/D8)</f>
        <v>38.4450234879624</v>
      </c>
      <c r="E9" s="641" t="n">
        <f aca="false">+(365/4)/(E7/E8)</f>
        <v>28.5981461012862</v>
      </c>
      <c r="F9" s="641" t="n">
        <f aca="false">+(365/4)/(F7/F8)</f>
        <v>31.5116784094199</v>
      </c>
      <c r="G9" s="646" t="n">
        <f aca="false">+(365)/(G7/G8)</f>
        <v>43.5255626902482</v>
      </c>
      <c r="I9" s="641" t="n">
        <f aca="false">+(365/4)/(I7/I8)</f>
        <v>8.85245804141737</v>
      </c>
      <c r="J9" s="641" t="n">
        <f aca="false">+(365/4)/(J7/J8)</f>
        <v>16.3128831289979</v>
      </c>
      <c r="K9" s="641" t="n">
        <f aca="false">+(365/4)/(K7/K8)</f>
        <v>30.2004451136233</v>
      </c>
      <c r="L9" s="641" t="n">
        <f aca="false">+(365/4)/(L7/L8)</f>
        <v>55.4835328235251</v>
      </c>
      <c r="M9" s="646" t="n">
        <f aca="false">+(365)/(M7/M8)</f>
        <v>84.8719687497793</v>
      </c>
      <c r="N9" s="647"/>
      <c r="O9" s="648" t="n">
        <f aca="false">+(C6+I6)/2</f>
        <v>27.652076795452</v>
      </c>
      <c r="P9" s="649"/>
    </row>
    <row r="10" customFormat="false" ht="12.75" hidden="false" customHeight="false" outlineLevel="0" collapsed="false">
      <c r="G10" s="650"/>
      <c r="M10" s="650"/>
      <c r="O10" s="648"/>
      <c r="P10" s="649"/>
    </row>
    <row r="11" customFormat="false" ht="12.75" hidden="false" customHeight="false" outlineLevel="0" collapsed="false">
      <c r="B11" s="0" t="s">
        <v>920</v>
      </c>
      <c r="C11" s="641" t="n">
        <f aca="false">AVERAGE(C14:F14)</f>
        <v>42.5975947735569</v>
      </c>
      <c r="G11" s="650"/>
      <c r="I11" s="641" t="n">
        <f aca="false">AVERAGE(I14:L14)</f>
        <v>48.9225389870153</v>
      </c>
      <c r="M11" s="650"/>
      <c r="O11" s="648"/>
      <c r="P11" s="649"/>
    </row>
    <row r="12" customFormat="false" ht="12.75" hidden="false" customHeight="false" outlineLevel="0" collapsed="false">
      <c r="B12" s="0" t="s">
        <v>575</v>
      </c>
      <c r="C12" s="123" t="n">
        <v>10255</v>
      </c>
      <c r="D12" s="123" t="n">
        <v>7490</v>
      </c>
      <c r="E12" s="123" t="n">
        <v>6263</v>
      </c>
      <c r="F12" s="123" t="n">
        <v>18835</v>
      </c>
      <c r="G12" s="644" t="n">
        <f aca="false">SUM(C12:F12)</f>
        <v>42843</v>
      </c>
      <c r="H12" s="123"/>
      <c r="I12" s="123" t="n">
        <v>32826</v>
      </c>
      <c r="J12" s="123" t="n">
        <v>14986</v>
      </c>
      <c r="K12" s="123" t="n">
        <v>16505</v>
      </c>
      <c r="L12" s="123" t="n">
        <v>27919</v>
      </c>
      <c r="M12" s="645" t="n">
        <f aca="false">SUM(I12:L12)</f>
        <v>92236</v>
      </c>
      <c r="O12" s="648"/>
      <c r="P12" s="649"/>
    </row>
    <row r="13" customFormat="false" ht="12.75" hidden="false" customHeight="false" outlineLevel="0" collapsed="false">
      <c r="B13" s="0" t="s">
        <v>924</v>
      </c>
      <c r="C13" s="123" t="n">
        <v>1341</v>
      </c>
      <c r="D13" s="123" t="n">
        <v>1304</v>
      </c>
      <c r="E13" s="123" t="n">
        <v>9030</v>
      </c>
      <c r="F13" s="123" t="n">
        <v>2272</v>
      </c>
      <c r="G13" s="644" t="n">
        <f aca="false">+F13</f>
        <v>2272</v>
      </c>
      <c r="H13" s="123"/>
      <c r="I13" s="123" t="n">
        <v>6361</v>
      </c>
      <c r="J13" s="123" t="n">
        <v>14489</v>
      </c>
      <c r="K13" s="123" t="n">
        <v>3127</v>
      </c>
      <c r="L13" s="123" t="n">
        <v>22181</v>
      </c>
      <c r="M13" s="645" t="n">
        <f aca="false">+L13</f>
        <v>22181</v>
      </c>
      <c r="N13" s="641"/>
      <c r="O13" s="648"/>
      <c r="P13" s="649"/>
    </row>
    <row r="14" customFormat="false" ht="12.75" hidden="false" customHeight="false" outlineLevel="0" collapsed="false">
      <c r="B14" s="0" t="s">
        <v>925</v>
      </c>
      <c r="C14" s="641" t="n">
        <f aca="false">+(365/4)/(C12/C13)</f>
        <v>11.9323500731351</v>
      </c>
      <c r="D14" s="641" t="n">
        <f aca="false">+(365/4)/(D12/D13)</f>
        <v>15.8865153538051</v>
      </c>
      <c r="E14" s="641" t="n">
        <f aca="false">+(365/4)/(E12/E13)</f>
        <v>131.564346159987</v>
      </c>
      <c r="F14" s="641" t="n">
        <f aca="false">+(365/4)/(F12/F13)</f>
        <v>11.0071675073002</v>
      </c>
      <c r="G14" s="646" t="n">
        <f aca="false">+(365)/(G12/G13)</f>
        <v>19.3562542305628</v>
      </c>
      <c r="I14" s="641" t="n">
        <f aca="false">+(365/4)/(I12/I13)</f>
        <v>17.6823630658624</v>
      </c>
      <c r="J14" s="641" t="n">
        <f aca="false">+(365/4)/(J12/J13)</f>
        <v>88.2237588415855</v>
      </c>
      <c r="K14" s="641" t="n">
        <f aca="false">+(365/4)/(K12/K13)</f>
        <v>17.2880187821872</v>
      </c>
      <c r="L14" s="641" t="n">
        <f aca="false">+(365/4)/(L12/L13)</f>
        <v>72.4960152584262</v>
      </c>
      <c r="M14" s="646" t="n">
        <f aca="false">+(365)/(M12/M13)</f>
        <v>87.7755431718635</v>
      </c>
      <c r="N14" s="647"/>
      <c r="O14" s="648" t="n">
        <f aca="false">+(C11+I11)/2</f>
        <v>45.7600668802861</v>
      </c>
      <c r="P14" s="649"/>
    </row>
    <row r="15" customFormat="false" ht="12.75" hidden="false" customHeight="false" outlineLevel="0" collapsed="false">
      <c r="G15" s="650"/>
      <c r="M15" s="650"/>
      <c r="O15" s="648"/>
      <c r="P15" s="649"/>
    </row>
    <row r="16" customFormat="false" ht="12.75" hidden="false" customHeight="false" outlineLevel="0" collapsed="false">
      <c r="B16" s="0" t="s">
        <v>921</v>
      </c>
      <c r="C16" s="641" t="n">
        <f aca="false">AVERAGE(C19:F19)</f>
        <v>21.6889948434809</v>
      </c>
      <c r="G16" s="650"/>
      <c r="I16" s="641" t="n">
        <f aca="false">AVERAGE(I19:L19)</f>
        <v>31.7684355548269</v>
      </c>
      <c r="M16" s="650"/>
      <c r="O16" s="648"/>
      <c r="P16" s="649"/>
    </row>
    <row r="17" customFormat="false" ht="12.75" hidden="false" customHeight="false" outlineLevel="0" collapsed="false">
      <c r="B17" s="0" t="s">
        <v>575</v>
      </c>
      <c r="C17" s="123" t="n">
        <v>153552</v>
      </c>
      <c r="D17" s="123" t="n">
        <v>186970</v>
      </c>
      <c r="E17" s="123" t="n">
        <v>190308</v>
      </c>
      <c r="F17" s="123" t="n">
        <v>204519</v>
      </c>
      <c r="G17" s="644" t="n">
        <f aca="false">SUM(C17:F17)</f>
        <v>735349</v>
      </c>
      <c r="H17" s="123"/>
      <c r="I17" s="123" t="n">
        <v>267262</v>
      </c>
      <c r="J17" s="123" t="n">
        <v>259049</v>
      </c>
      <c r="K17" s="123" t="n">
        <v>352020</v>
      </c>
      <c r="L17" s="123" t="n">
        <v>338223</v>
      </c>
      <c r="M17" s="645" t="n">
        <f aca="false">SUM(I17:L17)</f>
        <v>1216554</v>
      </c>
      <c r="O17" s="648"/>
      <c r="P17" s="649"/>
    </row>
    <row r="18" customFormat="false" ht="12.75" hidden="false" customHeight="false" outlineLevel="0" collapsed="false">
      <c r="B18" s="0" t="s">
        <v>924</v>
      </c>
      <c r="C18" s="123" t="n">
        <v>36178</v>
      </c>
      <c r="D18" s="123" t="n">
        <v>42288</v>
      </c>
      <c r="E18" s="123" t="n">
        <v>43284</v>
      </c>
      <c r="F18" s="123" t="n">
        <v>53487</v>
      </c>
      <c r="G18" s="644" t="n">
        <f aca="false">+F18</f>
        <v>53487</v>
      </c>
      <c r="H18" s="123"/>
      <c r="I18" s="123" t="n">
        <v>82981</v>
      </c>
      <c r="J18" s="123" t="n">
        <v>95792</v>
      </c>
      <c r="K18" s="123" t="n">
        <v>95933</v>
      </c>
      <c r="L18" s="123" t="n">
        <v>148750</v>
      </c>
      <c r="M18" s="645" t="n">
        <f aca="false">+L18</f>
        <v>148750</v>
      </c>
      <c r="O18" s="648"/>
      <c r="P18" s="649"/>
    </row>
    <row r="19" customFormat="false" ht="12.75" hidden="false" customHeight="false" outlineLevel="0" collapsed="false">
      <c r="B19" s="0" t="s">
        <v>925</v>
      </c>
      <c r="C19" s="641" t="n">
        <f aca="false">+(365/4)/(C17/C18)</f>
        <v>21.4991826872981</v>
      </c>
      <c r="D19" s="641" t="n">
        <f aca="false">+(365/4)/(D17/D18)</f>
        <v>20.6384981547842</v>
      </c>
      <c r="E19" s="641" t="n">
        <f aca="false">+(365/4)/(E17/E18)</f>
        <v>20.7540670912416</v>
      </c>
      <c r="F19" s="641" t="n">
        <f aca="false">+(365/4)/(F17/F18)</f>
        <v>23.8642314405997</v>
      </c>
      <c r="G19" s="646" t="n">
        <f aca="false">+(365)/(G17/G18)</f>
        <v>26.5489651852386</v>
      </c>
      <c r="I19" s="641" t="n">
        <f aca="false">+(365/4)/(I17/I18)</f>
        <v>28.3318101712926</v>
      </c>
      <c r="J19" s="641" t="n">
        <f aca="false">+(365/4)/(J17/J18)</f>
        <v>33.7427282097209</v>
      </c>
      <c r="K19" s="641" t="n">
        <f aca="false">+(365/4)/(K17/K18)</f>
        <v>24.8675820976081</v>
      </c>
      <c r="L19" s="641" t="n">
        <f aca="false">+(365/4)/(L17/L18)</f>
        <v>40.1316217406859</v>
      </c>
      <c r="M19" s="646" t="n">
        <f aca="false">+(365)/(M17/M18)</f>
        <v>44.629132779967</v>
      </c>
      <c r="N19" s="647"/>
      <c r="O19" s="648" t="n">
        <f aca="false">+(C16+I16)/2</f>
        <v>26.7287151991539</v>
      </c>
      <c r="P19" s="649"/>
    </row>
    <row r="20" customFormat="false" ht="12.75" hidden="false" customHeight="false" outlineLevel="0" collapsed="false">
      <c r="G20" s="650"/>
      <c r="M20" s="650"/>
      <c r="O20" s="648"/>
      <c r="P20" s="649"/>
    </row>
    <row r="21" customFormat="false" ht="12.75" hidden="false" customHeight="false" outlineLevel="0" collapsed="false">
      <c r="B21" s="0" t="s">
        <v>922</v>
      </c>
      <c r="C21" s="641" t="n">
        <f aca="false">AVERAGE(C24:F24)</f>
        <v>20.1660354588177</v>
      </c>
      <c r="G21" s="650"/>
      <c r="I21" s="641" t="n">
        <f aca="false">AVERAGE(I24:L24)</f>
        <v>15.6170967369197</v>
      </c>
      <c r="M21" s="650"/>
      <c r="O21" s="648"/>
      <c r="P21" s="649"/>
    </row>
    <row r="22" customFormat="false" ht="12.75" hidden="false" customHeight="false" outlineLevel="0" collapsed="false">
      <c r="B22" s="0" t="s">
        <v>575</v>
      </c>
      <c r="C22" s="123" t="n">
        <v>79422</v>
      </c>
      <c r="D22" s="123" t="n">
        <v>107644</v>
      </c>
      <c r="E22" s="123" t="n">
        <v>110641</v>
      </c>
      <c r="F22" s="123" t="n">
        <v>89798</v>
      </c>
      <c r="G22" s="644" t="n">
        <f aca="false">SUM(C22:F22)</f>
        <v>387505</v>
      </c>
      <c r="H22" s="123"/>
      <c r="I22" s="123" t="n">
        <v>176128</v>
      </c>
      <c r="J22" s="123" t="n">
        <v>214237</v>
      </c>
      <c r="K22" s="123" t="n">
        <v>170833</v>
      </c>
      <c r="L22" s="123" t="n">
        <v>198901</v>
      </c>
      <c r="M22" s="645" t="n">
        <f aca="false">SUM(I22:L22)</f>
        <v>760099</v>
      </c>
      <c r="O22" s="648"/>
      <c r="P22" s="649"/>
    </row>
    <row r="23" customFormat="false" ht="12.75" hidden="false" customHeight="false" outlineLevel="0" collapsed="false">
      <c r="B23" s="0" t="s">
        <v>924</v>
      </c>
      <c r="C23" s="123" t="n">
        <v>24388</v>
      </c>
      <c r="D23" s="123" t="n">
        <v>18705</v>
      </c>
      <c r="E23" s="123" t="n">
        <v>20721</v>
      </c>
      <c r="F23" s="123" t="n">
        <v>19385</v>
      </c>
      <c r="G23" s="644" t="n">
        <f aca="false">+F23</f>
        <v>19385</v>
      </c>
      <c r="H23" s="123"/>
      <c r="I23" s="123" t="n">
        <v>42570</v>
      </c>
      <c r="J23" s="123" t="n">
        <v>30189</v>
      </c>
      <c r="K23" s="123" t="n">
        <v>26631</v>
      </c>
      <c r="L23" s="123" t="n">
        <v>29056</v>
      </c>
      <c r="M23" s="645" t="n">
        <f aca="false">+L23</f>
        <v>29056</v>
      </c>
      <c r="O23" s="648"/>
      <c r="P23" s="649"/>
    </row>
    <row r="24" customFormat="false" ht="12.75" hidden="false" customHeight="false" outlineLevel="0" collapsed="false">
      <c r="B24" s="0" t="s">
        <v>925</v>
      </c>
      <c r="C24" s="641" t="n">
        <f aca="false">+(365/4)/(C22/C23)</f>
        <v>28.0200070509431</v>
      </c>
      <c r="D24" s="641" t="n">
        <f aca="false">+(365/4)/(D22/D23)</f>
        <v>15.8562599866226</v>
      </c>
      <c r="E24" s="641" t="n">
        <f aca="false">+(365/4)/(E22/E23)</f>
        <v>17.0894266140039</v>
      </c>
      <c r="F24" s="641" t="n">
        <f aca="false">+(365/4)/(F22/F23)</f>
        <v>19.6984481837012</v>
      </c>
      <c r="G24" s="651" t="n">
        <f aca="false">+(365)/(G22/G23)</f>
        <v>18.2591837524677</v>
      </c>
      <c r="I24" s="641" t="n">
        <f aca="false">+(365/4)/(I22/I23)</f>
        <v>22.0550537109375</v>
      </c>
      <c r="J24" s="641" t="n">
        <f aca="false">+(365/4)/(J22/J23)</f>
        <v>12.8584056442165</v>
      </c>
      <c r="K24" s="641" t="n">
        <f aca="false">+(365/4)/(K22/K23)</f>
        <v>14.2248789753736</v>
      </c>
      <c r="L24" s="641" t="n">
        <f aca="false">+(365/4)/(L22/L23)</f>
        <v>13.3300486171512</v>
      </c>
      <c r="M24" s="651" t="n">
        <f aca="false">+(365)/(M22/M23)</f>
        <v>13.9527087918811</v>
      </c>
      <c r="N24" s="647"/>
      <c r="O24" s="648" t="n">
        <f aca="false">+(C21+I21)/2</f>
        <v>17.8915660978687</v>
      </c>
      <c r="P24" s="649"/>
    </row>
    <row r="25" customFormat="false" ht="12.75" hidden="false" customHeight="false" outlineLevel="0" collapsed="false">
      <c r="O25" s="652"/>
      <c r="P25" s="512"/>
    </row>
    <row r="26" customFormat="false" ht="12.75" hidden="false" customHeight="false" outlineLevel="0" collapsed="false">
      <c r="O26" s="652"/>
      <c r="P26" s="512"/>
    </row>
    <row r="27" customFormat="false" ht="12.75" hidden="false" customHeight="false" outlineLevel="0" collapsed="false">
      <c r="B27" s="418"/>
      <c r="C27" s="418"/>
      <c r="D27" s="418"/>
      <c r="E27" s="418"/>
      <c r="F27" s="418"/>
      <c r="G27" s="418"/>
      <c r="H27" s="418"/>
      <c r="I27" s="418"/>
      <c r="J27" s="418"/>
      <c r="K27" s="418"/>
      <c r="L27" s="418"/>
      <c r="M27" s="418"/>
      <c r="N27" s="418"/>
      <c r="O27" s="653"/>
      <c r="P27" s="469"/>
    </row>
    <row r="28" customFormat="false" ht="12.75" hidden="false" customHeight="false" outlineLevel="0" collapsed="false">
      <c r="C28" s="499" t="n">
        <f aca="false">+C7+C12+C17+C22</f>
        <v>290629</v>
      </c>
      <c r="D28" s="499" t="n">
        <f aca="false">+D7+D12+D17+D22</f>
        <v>332758</v>
      </c>
      <c r="E28" s="499" t="n">
        <f aca="false">+E7+E12+E17+E22</f>
        <v>347020</v>
      </c>
      <c r="F28" s="499" t="n">
        <f aca="false">+F7+F12+F17+F22</f>
        <v>375318</v>
      </c>
      <c r="G28" s="499" t="n">
        <f aca="false">SUM(C28:F28)</f>
        <v>1345725</v>
      </c>
      <c r="I28" s="499" t="n">
        <f aca="false">+I7+I12+I17+I22</f>
        <v>560287</v>
      </c>
      <c r="J28" s="499" t="n">
        <f aca="false">+J7+J12+J17+J22</f>
        <v>518288</v>
      </c>
      <c r="K28" s="499" t="n">
        <f aca="false">+K7+K12+K17+K22</f>
        <v>600129</v>
      </c>
      <c r="L28" s="499" t="n">
        <f aca="false">+L7+L12+L17+L22</f>
        <v>673319</v>
      </c>
      <c r="M28" s="499" t="n">
        <f aca="false">SUM(I28:L28)</f>
        <v>2352023</v>
      </c>
      <c r="O28" s="652"/>
      <c r="P28" s="512"/>
    </row>
    <row r="29" customFormat="false" ht="12.75" hidden="false" customHeight="false" outlineLevel="0" collapsed="false">
      <c r="C29" s="499" t="n">
        <f aca="false">+C8+C13+C18+C23</f>
        <v>68043</v>
      </c>
      <c r="D29" s="499" t="n">
        <f aca="false">+D8+D13+D18+D23</f>
        <v>75212</v>
      </c>
      <c r="E29" s="499" t="n">
        <f aca="false">+E8+E13+E18+E23</f>
        <v>85511</v>
      </c>
      <c r="F29" s="499" t="n">
        <f aca="false">+F8+F13+F18+F23</f>
        <v>96612</v>
      </c>
      <c r="G29" s="499" t="n">
        <f aca="false">+F29</f>
        <v>96612</v>
      </c>
      <c r="I29" s="499" t="n">
        <f aca="false">+I8+I13+I18+I23</f>
        <v>140068</v>
      </c>
      <c r="J29" s="499" t="n">
        <f aca="false">+J8+J13+J18+J23</f>
        <v>145836</v>
      </c>
      <c r="K29" s="499" t="n">
        <f aca="false">+K8+K13+K18+K23</f>
        <v>145804</v>
      </c>
      <c r="L29" s="499" t="n">
        <f aca="false">+L8+L13+L18+L23</f>
        <v>265823</v>
      </c>
      <c r="M29" s="499" t="n">
        <f aca="false">+L29</f>
        <v>265823</v>
      </c>
      <c r="O29" s="652"/>
      <c r="P29" s="512"/>
    </row>
    <row r="30" customFormat="false" ht="12.75" hidden="false" customHeight="false" outlineLevel="0" collapsed="false">
      <c r="C30" s="641" t="n">
        <f aca="false">+(365/4)/(C28/C29)</f>
        <v>21.3637446710411</v>
      </c>
      <c r="D30" s="641" t="n">
        <f aca="false">+(365/4)/(D28/D29)</f>
        <v>20.6248835490056</v>
      </c>
      <c r="E30" s="641" t="n">
        <f aca="false">+(365/4)/(E28/E29)</f>
        <v>22.4853862889747</v>
      </c>
      <c r="F30" s="641" t="n">
        <f aca="false">+(365/4)/(F28/F29)</f>
        <v>23.4890013268748</v>
      </c>
      <c r="G30" s="641" t="n">
        <f aca="false">+(365)/(G28/G29)</f>
        <v>26.2040015604971</v>
      </c>
      <c r="H30" s="641"/>
      <c r="I30" s="641" t="n">
        <f aca="false">+(365/4)/(I28/I29)</f>
        <v>22.8118892638951</v>
      </c>
      <c r="J30" s="641" t="n">
        <f aca="false">+(365/4)/(J28/J29)</f>
        <v>25.6759465779644</v>
      </c>
      <c r="K30" s="641" t="n">
        <f aca="false">+(365/4)/(K28/K29)</f>
        <v>22.1695918710811</v>
      </c>
      <c r="L30" s="641" t="n">
        <f aca="false">+(365/4)/(L28/L29)</f>
        <v>36.0250471915986</v>
      </c>
      <c r="M30" s="641" t="n">
        <f aca="false">+(365)/(M28/M29)</f>
        <v>41.251890393929</v>
      </c>
      <c r="N30" s="641"/>
      <c r="O30" s="654" t="n">
        <f aca="false">+(G30+M30)/2</f>
        <v>33.7279459772131</v>
      </c>
      <c r="P30" s="512"/>
    </row>
    <row r="31" customFormat="false" ht="12.75" hidden="false" customHeight="false" outlineLevel="0" collapsed="false">
      <c r="O31" s="484"/>
      <c r="P31" s="512"/>
    </row>
    <row r="32" customFormat="false" ht="12.75" hidden="false" customHeight="false" outlineLevel="0" collapsed="false">
      <c r="O32" s="468"/>
      <c r="P32" s="469"/>
    </row>
    <row r="35" customFormat="false" ht="12.75" hidden="false" customHeight="false" outlineLevel="0" collapsed="false">
      <c r="O35" s="655"/>
    </row>
  </sheetData>
  <mergeCells count="2">
    <mergeCell ref="C3:F3"/>
    <mergeCell ref="I3:L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65536"/>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8.28"/>
    <col collapsed="false" customWidth="true" hidden="false" outlineLevel="0" max="2" min="2" style="0" width="7.28"/>
    <col collapsed="false" customWidth="true" hidden="false" outlineLevel="0" max="3" min="3" style="0" width="14.85"/>
    <col collapsed="false" customWidth="true" hidden="false" outlineLevel="0" max="4" min="4" style="0" width="7.85"/>
    <col collapsed="false" customWidth="true" hidden="false" outlineLevel="0" max="5" min="5" style="0" width="12.7"/>
    <col collapsed="false" customWidth="true" hidden="false" outlineLevel="0" max="12" min="6" style="0" width="10.71"/>
  </cols>
  <sheetData>
    <row r="1" customFormat="false" ht="18.75" hidden="false" customHeight="false" outlineLevel="0" collapsed="false">
      <c r="A1" s="48" t="s">
        <v>0</v>
      </c>
      <c r="B1" s="112"/>
      <c r="C1" s="112"/>
      <c r="D1" s="113"/>
      <c r="E1" s="113"/>
      <c r="F1" s="113"/>
      <c r="G1" s="4"/>
      <c r="H1" s="659" t="s">
        <v>926</v>
      </c>
      <c r="I1" s="4"/>
      <c r="J1" s="4"/>
      <c r="K1" s="4"/>
      <c r="L1" s="4"/>
      <c r="M1" s="660"/>
      <c r="N1" s="57"/>
    </row>
    <row r="2" customFormat="false" ht="12.75" hidden="false" customHeight="false" outlineLevel="0" collapsed="false">
      <c r="A2" s="53"/>
    </row>
    <row r="3" customFormat="false" ht="15.75" hidden="false" customHeight="false" outlineLevel="0" collapsed="false">
      <c r="A3" s="53"/>
      <c r="L3" s="139" t="s">
        <v>29</v>
      </c>
    </row>
    <row r="4" customFormat="false" ht="12.75" hidden="false" customHeight="false" outlineLevel="0" collapsed="false">
      <c r="A4" s="53"/>
    </row>
    <row r="5" customFormat="false" ht="12.75" hidden="false" customHeight="false" outlineLevel="0" collapsed="false">
      <c r="A5" s="53"/>
      <c r="E5" s="54"/>
      <c r="F5" s="54"/>
      <c r="G5" s="56"/>
      <c r="H5" s="54"/>
      <c r="I5" s="54"/>
      <c r="J5" s="54"/>
      <c r="K5" s="54"/>
    </row>
    <row r="7" customFormat="false" ht="12.75" hidden="false" customHeight="false" outlineLevel="0" collapsed="false">
      <c r="B7" s="0" t="s">
        <v>61</v>
      </c>
      <c r="E7" s="54" t="n">
        <f aca="false">'AVP - Trading'!E7</f>
        <v>262.444680440508</v>
      </c>
      <c r="F7" s="54" t="n">
        <f aca="false">'AVP - Trading'!F7</f>
        <v>282.444680440508</v>
      </c>
      <c r="G7" s="55" t="n">
        <f aca="false">'AVP - Trading'!G7</f>
        <v>302.444680440508</v>
      </c>
      <c r="H7" s="54" t="n">
        <f aca="false">'AVP - Trading'!H7</f>
        <v>322.444680440508</v>
      </c>
      <c r="I7" s="56" t="n">
        <f aca="false">'AVP - Trading'!I7</f>
        <v>342.444680440508</v>
      </c>
      <c r="J7" s="54" t="n">
        <f aca="false">'AVP - Trading'!J7</f>
        <v>362.444680440508</v>
      </c>
      <c r="K7" s="54" t="n">
        <f aca="false">'AVP - Trading'!K7</f>
        <v>382.444680440508</v>
      </c>
      <c r="L7" s="65"/>
    </row>
    <row r="8" customFormat="false" ht="12.75" hidden="false" customHeight="false" outlineLevel="0" collapsed="false">
      <c r="B8" s="0" t="s">
        <v>875</v>
      </c>
      <c r="E8" s="115" t="n">
        <f aca="false">-'S &amp; U'!$J$14</f>
        <v>-180.4</v>
      </c>
      <c r="F8" s="115" t="n">
        <f aca="false">-'S &amp; U'!$J$14</f>
        <v>-180.4</v>
      </c>
      <c r="G8" s="71" t="n">
        <f aca="false">-'S &amp; U'!$J$14</f>
        <v>-180.4</v>
      </c>
      <c r="H8" s="115" t="n">
        <f aca="false">-'S &amp; U'!$J$14</f>
        <v>-180.4</v>
      </c>
      <c r="I8" s="72" t="n">
        <f aca="false">-'S &amp; U'!$J$14</f>
        <v>-180.4</v>
      </c>
      <c r="J8" s="115" t="n">
        <f aca="false">-'S &amp; U'!$J$14</f>
        <v>-180.4</v>
      </c>
      <c r="K8" s="115" t="n">
        <f aca="false">-'S &amp; U'!$J$14</f>
        <v>-180.4</v>
      </c>
      <c r="L8" s="64"/>
    </row>
    <row r="9" customFormat="false" ht="12.75" hidden="false" customHeight="false" outlineLevel="0" collapsed="false">
      <c r="B9" s="0" t="s">
        <v>877</v>
      </c>
      <c r="E9" s="62" t="n">
        <f aca="false">Assumptions!$B$46</f>
        <v>37.9553195594923</v>
      </c>
      <c r="F9" s="62" t="n">
        <f aca="false">Assumptions!$B$46</f>
        <v>37.9553195594923</v>
      </c>
      <c r="G9" s="62" t="n">
        <f aca="false">Assumptions!$B$46</f>
        <v>37.9553195594923</v>
      </c>
      <c r="H9" s="62" t="n">
        <f aca="false">Assumptions!$B$46</f>
        <v>37.9553195594923</v>
      </c>
      <c r="I9" s="63" t="n">
        <f aca="false">Assumptions!$B$46</f>
        <v>37.9553195594923</v>
      </c>
      <c r="J9" s="62" t="n">
        <f aca="false">Assumptions!$B$46</f>
        <v>37.9553195594923</v>
      </c>
      <c r="K9" s="62" t="n">
        <f aca="false">Assumptions!$B$46</f>
        <v>37.9553195594923</v>
      </c>
      <c r="L9" s="64"/>
    </row>
    <row r="10" customFormat="false" ht="12.75" hidden="false" customHeight="false" outlineLevel="0" collapsed="false">
      <c r="B10" s="0" t="s">
        <v>55</v>
      </c>
      <c r="E10" s="54" t="n">
        <f aca="false">SUM(E7:E9)</f>
        <v>120</v>
      </c>
      <c r="F10" s="54" t="n">
        <f aca="false">SUM(F7:F9)</f>
        <v>140</v>
      </c>
      <c r="G10" s="54" t="n">
        <f aca="false">SUM(G7:G9)</f>
        <v>160</v>
      </c>
      <c r="H10" s="54" t="n">
        <f aca="false">SUM(H7:H9)</f>
        <v>180</v>
      </c>
      <c r="I10" s="56" t="n">
        <f aca="false">SUM(I7:I9)</f>
        <v>200</v>
      </c>
      <c r="J10" s="54" t="n">
        <f aca="false">SUM(J7:J9)</f>
        <v>220</v>
      </c>
      <c r="K10" s="54" t="n">
        <f aca="false">SUM(K7:K9)</f>
        <v>240</v>
      </c>
      <c r="L10" s="65"/>
    </row>
    <row r="11" customFormat="false" ht="12.75" hidden="false" customHeight="false" outlineLevel="0" collapsed="false">
      <c r="F11" s="123"/>
      <c r="G11" s="661"/>
      <c r="H11" s="123"/>
      <c r="I11" s="518"/>
      <c r="J11" s="123"/>
      <c r="K11" s="123"/>
      <c r="L11" s="118"/>
    </row>
    <row r="12" customFormat="false" ht="12.75" hidden="false" customHeight="false" outlineLevel="0" collapsed="false">
      <c r="G12" s="662"/>
      <c r="I12" s="59"/>
      <c r="J12" s="58"/>
      <c r="L12" s="66"/>
    </row>
    <row r="13" customFormat="false" ht="12.75" hidden="false" customHeight="false" outlineLevel="0" collapsed="false">
      <c r="B13" s="121" t="s">
        <v>927</v>
      </c>
      <c r="C13" s="7"/>
      <c r="D13" s="7"/>
      <c r="E13" s="7"/>
      <c r="G13" s="23"/>
      <c r="I13" s="59"/>
      <c r="J13" s="58"/>
      <c r="L13" s="66"/>
    </row>
    <row r="14" customFormat="false" ht="12.75" hidden="false" customHeight="false" outlineLevel="0" collapsed="false">
      <c r="B14" s="0" t="n">
        <v>2000</v>
      </c>
      <c r="C14" s="0" t="s">
        <v>63</v>
      </c>
      <c r="D14" s="122" t="n">
        <f aca="false">+'Balance Sheet'!F37/1000</f>
        <v>122.925</v>
      </c>
      <c r="E14" s="80" t="n">
        <f aca="false">+E$10/$D14</f>
        <v>0.976205003050641</v>
      </c>
      <c r="F14" s="80" t="n">
        <f aca="false">+F10/$D$14</f>
        <v>1.13890583689241</v>
      </c>
      <c r="G14" s="81" t="n">
        <f aca="false">+G10/$D$14</f>
        <v>1.30160667073419</v>
      </c>
      <c r="H14" s="80" t="n">
        <f aca="false">+H10/$D$14</f>
        <v>1.46430750457596</v>
      </c>
      <c r="I14" s="82" t="n">
        <f aca="false">+I10/$D$14</f>
        <v>1.62700833841773</v>
      </c>
      <c r="J14" s="80" t="n">
        <f aca="false">+J10/$D$14</f>
        <v>1.78970917225951</v>
      </c>
      <c r="K14" s="80" t="n">
        <f aca="false">+K10/$D$14</f>
        <v>1.95241000610128</v>
      </c>
      <c r="L14" s="83"/>
    </row>
    <row r="15" customFormat="false" ht="12.75" hidden="false" customHeight="false" outlineLevel="0" collapsed="false">
      <c r="A15" s="71" t="n">
        <v>-1</v>
      </c>
      <c r="B15" s="0" t="n">
        <v>2000</v>
      </c>
      <c r="C15" s="0" t="s">
        <v>64</v>
      </c>
      <c r="D15" s="122" t="n">
        <v>160</v>
      </c>
      <c r="E15" s="80" t="n">
        <f aca="false">+E$10/$D15</f>
        <v>0.75</v>
      </c>
      <c r="F15" s="80" t="n">
        <f aca="false">+F$10/$D15</f>
        <v>0.875</v>
      </c>
      <c r="G15" s="81" t="n">
        <f aca="false">+G$10/$D15</f>
        <v>1</v>
      </c>
      <c r="H15" s="80" t="n">
        <f aca="false">+H$10/$D15</f>
        <v>1.125</v>
      </c>
      <c r="I15" s="82" t="n">
        <f aca="false">+I$10/$D15</f>
        <v>1.25</v>
      </c>
      <c r="J15" s="80" t="n">
        <f aca="false">+J$10/$D15</f>
        <v>1.375</v>
      </c>
      <c r="K15" s="80" t="n">
        <f aca="false">+K$10/$D15</f>
        <v>1.5</v>
      </c>
      <c r="L15" s="83"/>
    </row>
    <row r="16" customFormat="false" ht="12.75" hidden="false" customHeight="false" outlineLevel="0" collapsed="false">
      <c r="G16" s="23"/>
      <c r="I16" s="53"/>
      <c r="L16" s="83"/>
    </row>
    <row r="17" customFormat="false" ht="12.75" hidden="false" customHeight="false" outlineLevel="0" collapsed="false">
      <c r="B17" s="0" t="n">
        <v>2000</v>
      </c>
      <c r="C17" s="0" t="s">
        <v>65</v>
      </c>
      <c r="D17" s="122" t="n">
        <f aca="false">'Valuation - DCF'!J67/1000</f>
        <v>24.12865</v>
      </c>
      <c r="E17" s="80" t="n">
        <f aca="false">+E10/$D$17</f>
        <v>4.97334082097424</v>
      </c>
      <c r="F17" s="80" t="n">
        <f aca="false">+F10/$D$17</f>
        <v>5.80223095780328</v>
      </c>
      <c r="G17" s="81" t="n">
        <f aca="false">+G10/$D$17</f>
        <v>6.63112109463232</v>
      </c>
      <c r="H17" s="80" t="n">
        <f aca="false">+H10/$D$17</f>
        <v>7.46001123146135</v>
      </c>
      <c r="I17" s="82" t="n">
        <f aca="false">+I10/$D$17</f>
        <v>8.28890136829039</v>
      </c>
      <c r="J17" s="80" t="n">
        <f aca="false">+J10/$D$17</f>
        <v>9.11779150511943</v>
      </c>
      <c r="K17" s="80" t="n">
        <f aca="false">+K10/$D$17</f>
        <v>9.94668164194847</v>
      </c>
      <c r="L17" s="83"/>
    </row>
    <row r="18" customFormat="false" ht="12.75" hidden="false" customHeight="false" outlineLevel="0" collapsed="false">
      <c r="A18" s="71" t="n">
        <v>-2</v>
      </c>
      <c r="B18" s="0" t="n">
        <v>2001</v>
      </c>
      <c r="C18" s="0" t="s">
        <v>65</v>
      </c>
      <c r="D18" s="122" t="n">
        <f aca="false">'Valuation - DCF'!K67/1000+'Valuation - DCF'!L67/1000</f>
        <v>12.9850183643132</v>
      </c>
      <c r="E18" s="80" t="n">
        <f aca="false">+E10/$D$18</f>
        <v>9.24141935215096</v>
      </c>
      <c r="F18" s="80" t="n">
        <f aca="false">+F10/$D$18</f>
        <v>10.7816559108428</v>
      </c>
      <c r="G18" s="81" t="n">
        <f aca="false">+G10/$D$18</f>
        <v>12.3218924695346</v>
      </c>
      <c r="H18" s="80" t="n">
        <f aca="false">+H10/$D$18</f>
        <v>13.8621290282264</v>
      </c>
      <c r="I18" s="82" t="n">
        <f aca="false">+I10/$D$18</f>
        <v>15.4023655869183</v>
      </c>
      <c r="J18" s="80" t="n">
        <f aca="false">+J10/$D$18</f>
        <v>16.9426021456101</v>
      </c>
      <c r="K18" s="80" t="n">
        <f aca="false">+K10/$D$18</f>
        <v>18.4828387043019</v>
      </c>
      <c r="L18" s="83"/>
    </row>
    <row r="19" customFormat="false" ht="12.75" hidden="false" customHeight="false" outlineLevel="0" collapsed="false">
      <c r="D19" s="123"/>
      <c r="E19" s="80"/>
      <c r="F19" s="80"/>
      <c r="G19" s="81"/>
      <c r="H19" s="80"/>
      <c r="I19" s="82"/>
      <c r="J19" s="80"/>
      <c r="K19" s="80"/>
      <c r="L19" s="83"/>
    </row>
    <row r="20" customFormat="false" ht="12.75" hidden="false" customHeight="false" outlineLevel="0" collapsed="false">
      <c r="B20" s="0" t="n">
        <v>2000</v>
      </c>
      <c r="C20" s="0" t="s">
        <v>66</v>
      </c>
      <c r="D20" s="122" t="n">
        <f aca="false">'Valuation - DCF'!J71/1000</f>
        <v>19.42865</v>
      </c>
      <c r="E20" s="80" t="n">
        <f aca="false">+E10/$D$20</f>
        <v>6.17644560996261</v>
      </c>
      <c r="F20" s="80" t="n">
        <f aca="false">+F10/$D$20</f>
        <v>7.20585321162304</v>
      </c>
      <c r="G20" s="81" t="n">
        <f aca="false">+G10/$D$20</f>
        <v>8.23526081328348</v>
      </c>
      <c r="H20" s="80" t="n">
        <f aca="false">+H10/$D$20</f>
        <v>9.26466841494391</v>
      </c>
      <c r="I20" s="82" t="n">
        <f aca="false">+I10/$D$20</f>
        <v>10.2940760166043</v>
      </c>
      <c r="J20" s="80" t="n">
        <f aca="false">+J10/$D$20</f>
        <v>11.3234836182648</v>
      </c>
      <c r="K20" s="80" t="n">
        <f aca="false">+K10/$D$20</f>
        <v>12.3528912199252</v>
      </c>
      <c r="L20" s="83"/>
    </row>
    <row r="21" customFormat="false" ht="12.75" hidden="false" customHeight="false" outlineLevel="0" collapsed="false">
      <c r="A21" s="71" t="n">
        <v>-2</v>
      </c>
      <c r="B21" s="0" t="n">
        <v>2001</v>
      </c>
      <c r="C21" s="0" t="s">
        <v>66</v>
      </c>
      <c r="D21" s="122" t="n">
        <f aca="false">'Valuation - DCF'!K71/1000+'Valuation - DCF'!L71/1000</f>
        <v>19.2771949405442</v>
      </c>
      <c r="E21" s="80" t="n">
        <f aca="false">+E10/$D$21</f>
        <v>6.22497206518432</v>
      </c>
      <c r="F21" s="80" t="n">
        <f aca="false">+F10/$D$21</f>
        <v>7.2624674093817</v>
      </c>
      <c r="G21" s="81" t="n">
        <f aca="false">+G10/$D$21</f>
        <v>8.29996275357909</v>
      </c>
      <c r="H21" s="80" t="n">
        <f aca="false">+H10/$D$21</f>
        <v>9.33745809777648</v>
      </c>
      <c r="I21" s="82" t="n">
        <f aca="false">+I10/$D$21</f>
        <v>10.3749534419739</v>
      </c>
      <c r="J21" s="80" t="n">
        <f aca="false">+J10/$D$21</f>
        <v>11.4124487861712</v>
      </c>
      <c r="K21" s="80" t="n">
        <f aca="false">+K10/$D$21</f>
        <v>12.4499441303686</v>
      </c>
      <c r="L21" s="83"/>
    </row>
    <row r="22" customFormat="false" ht="12.75" hidden="false" customHeight="false" outlineLevel="0" collapsed="false">
      <c r="D22" s="123"/>
      <c r="E22" s="80"/>
      <c r="F22" s="80"/>
      <c r="G22" s="81"/>
      <c r="H22" s="80"/>
      <c r="I22" s="82"/>
      <c r="J22" s="80"/>
      <c r="K22" s="80"/>
      <c r="L22" s="83"/>
    </row>
    <row r="23" customFormat="false" ht="12.75" hidden="false" customHeight="false" outlineLevel="0" collapsed="false">
      <c r="B23" s="121" t="s">
        <v>42</v>
      </c>
      <c r="C23" s="124"/>
      <c r="D23" s="124"/>
      <c r="E23" s="80"/>
      <c r="F23" s="80"/>
      <c r="G23" s="81"/>
      <c r="H23" s="80"/>
      <c r="I23" s="82"/>
      <c r="J23" s="80"/>
      <c r="K23" s="80"/>
      <c r="L23" s="83"/>
    </row>
    <row r="24" customFormat="false" ht="12.75" hidden="false" customHeight="false" outlineLevel="0" collapsed="false">
      <c r="B24" s="0" t="n">
        <v>2000</v>
      </c>
      <c r="C24" s="0" t="s">
        <v>68</v>
      </c>
      <c r="D24" s="122" t="n">
        <f aca="false">'Valuation - DCF'!J72/1000</f>
        <v>48.399</v>
      </c>
      <c r="E24" s="80" t="n">
        <f aca="false">+E7/$D$24</f>
        <v>5.42252278849786</v>
      </c>
      <c r="F24" s="80" t="n">
        <f aca="false">+F7/$D$24</f>
        <v>5.83575446683832</v>
      </c>
      <c r="G24" s="81" t="n">
        <f aca="false">+G7/$D$24</f>
        <v>6.24898614517878</v>
      </c>
      <c r="H24" s="80" t="n">
        <f aca="false">+H7/$D$24</f>
        <v>6.66221782351924</v>
      </c>
      <c r="I24" s="82" t="n">
        <f aca="false">+I7/$D$24</f>
        <v>7.0754495018597</v>
      </c>
      <c r="J24" s="80" t="n">
        <f aca="false">+J7/$D$24</f>
        <v>7.48868118020016</v>
      </c>
      <c r="K24" s="80" t="n">
        <f aca="false">+K7/$D$24</f>
        <v>7.90191285854063</v>
      </c>
      <c r="L24" s="83"/>
    </row>
    <row r="25" customFormat="false" ht="12.75" hidden="false" customHeight="false" outlineLevel="0" collapsed="false">
      <c r="A25" s="71" t="n">
        <v>-2</v>
      </c>
      <c r="B25" s="0" t="n">
        <v>2001</v>
      </c>
      <c r="C25" s="0" t="s">
        <v>68</v>
      </c>
      <c r="D25" s="122" t="n">
        <f aca="false">'Valuation - DCF'!K72/1000+'Valuation - DCF'!L72/1000</f>
        <v>36.017498</v>
      </c>
      <c r="E25" s="80" t="n">
        <f aca="false">+E7/$D$25</f>
        <v>7.28658832549967</v>
      </c>
      <c r="F25" s="80" t="n">
        <f aca="false">+F7/$D$25</f>
        <v>7.84187398137727</v>
      </c>
      <c r="G25" s="81" t="n">
        <f aca="false">+G7/$D$25</f>
        <v>8.39715963725486</v>
      </c>
      <c r="H25" s="80" t="n">
        <f aca="false">+H7/$D$25</f>
        <v>8.95244529313246</v>
      </c>
      <c r="I25" s="82" t="n">
        <f aca="false">+I7/$D$25</f>
        <v>9.50773094901005</v>
      </c>
      <c r="J25" s="80" t="n">
        <f aca="false">+J7/$D$25</f>
        <v>10.0630166048876</v>
      </c>
      <c r="K25" s="80" t="n">
        <f aca="false">+K7/$D$25</f>
        <v>10.6183022607652</v>
      </c>
      <c r="L25" s="83"/>
    </row>
    <row r="26" customFormat="false" ht="12.75" hidden="false" customHeight="false" outlineLevel="0" collapsed="false">
      <c r="D26" s="126"/>
      <c r="E26" s="126"/>
      <c r="F26" s="80"/>
      <c r="G26" s="81"/>
      <c r="H26" s="80"/>
      <c r="I26" s="82"/>
      <c r="J26" s="80"/>
      <c r="K26" s="80"/>
      <c r="L26" s="66"/>
    </row>
    <row r="27" customFormat="false" ht="12.75" hidden="false" customHeight="false" outlineLevel="0" collapsed="false">
      <c r="E27" s="127"/>
      <c r="F27" s="127"/>
      <c r="G27" s="128"/>
      <c r="H27" s="127"/>
      <c r="I27" s="129"/>
      <c r="J27" s="127"/>
      <c r="K27" s="127"/>
      <c r="L27" s="125"/>
    </row>
    <row r="28" customFormat="false" ht="12.75" hidden="false" customHeight="false" outlineLevel="0" collapsed="false">
      <c r="B28" s="0" t="s">
        <v>928</v>
      </c>
      <c r="C28" s="130" t="n">
        <v>0.1</v>
      </c>
      <c r="D28" s="13"/>
      <c r="E28" s="131" t="n">
        <f aca="false">((XNPV($C28,'Valuation - DCF'!$K$53:$Q$53,'Valuation - DCF'!$K$40:$Q$40))/1000)-$E$7</f>
        <v>219.083099800263</v>
      </c>
      <c r="F28" s="131" t="n">
        <f aca="false">((XNPV($C28,'Valuation - DCF'!$K$53:$Q$53,'Valuation - DCF'!$K$40:$Q$40))/1000)-$F$7</f>
        <v>199.083099800263</v>
      </c>
      <c r="G28" s="132" t="n">
        <f aca="false">((XNPV($C28,'Valuation - DCF'!$K$53:$Q$53,'Valuation - DCF'!$K$40:$Q$40))/1000)-$G$7</f>
        <v>179.083099800263</v>
      </c>
      <c r="H28" s="131" t="n">
        <f aca="false">((XNPV($C28,'Valuation - DCF'!$K$53:$Q$53,'Valuation - DCF'!$K$40:$Q$40))/1000)-$H$7</f>
        <v>159.083099800263</v>
      </c>
      <c r="I28" s="133" t="n">
        <f aca="false">((XNPV($C28,'Valuation - DCF'!$K$53:$Q$53,'Valuation - DCF'!$K$40:$Q$40))/1000)-$I$7</f>
        <v>139.083099800263</v>
      </c>
      <c r="J28" s="131" t="n">
        <f aca="false">((XNPV($C28,'Valuation - DCF'!$K$53:$Q$53,'Valuation - DCF'!$K$40:$Q$40))/1000)-$J$7</f>
        <v>119.083099800263</v>
      </c>
      <c r="K28" s="131" t="n">
        <f aca="false">((XNPV($C28,'Valuation - DCF'!$K$53:$Q$53,'Valuation - DCF'!$K$40:$Q$40))/1000)-$K$7</f>
        <v>99.083099800263</v>
      </c>
      <c r="L28" s="125"/>
    </row>
    <row r="29" customFormat="false" ht="12.75" hidden="false" customHeight="false" outlineLevel="0" collapsed="false">
      <c r="B29" s="0" t="s">
        <v>928</v>
      </c>
      <c r="C29" s="130" t="n">
        <v>0.11</v>
      </c>
      <c r="E29" s="131" t="n">
        <f aca="false">((XNPV($C29,'Valuation - DCF'!$K$53:$Q$53,'Valuation - DCF'!$K$40:$Q$40))/1000)-$E$7</f>
        <v>203.750727395096</v>
      </c>
      <c r="F29" s="131" t="n">
        <f aca="false">((XNPV($C29,'Valuation - DCF'!$K$53:$Q$53,'Valuation - DCF'!$K$40:$Q$40))/1000)-$F$7</f>
        <v>183.750727395096</v>
      </c>
      <c r="G29" s="132" t="n">
        <f aca="false">((XNPV($C29,'Valuation - DCF'!$K$53:$Q$53,'Valuation - DCF'!$K$40:$Q$40))/1000)-$G$7</f>
        <v>163.750727395096</v>
      </c>
      <c r="H29" s="131" t="n">
        <f aca="false">((XNPV($C29,'Valuation - DCF'!$K$53:$Q$53,'Valuation - DCF'!$K$40:$Q$40))/1000)-$H$7</f>
        <v>143.750727395096</v>
      </c>
      <c r="I29" s="133" t="n">
        <f aca="false">((XNPV($C29,'Valuation - DCF'!$K$53:$Q$53,'Valuation - DCF'!$K$40:$Q$40))/1000)-$I$7</f>
        <v>123.750727395096</v>
      </c>
      <c r="J29" s="131" t="n">
        <f aca="false">((XNPV($C29,'Valuation - DCF'!$K$53:$Q$53,'Valuation - DCF'!$K$40:$Q$40))/1000)-$J$7</f>
        <v>103.750727395096</v>
      </c>
      <c r="K29" s="131" t="n">
        <f aca="false">((XNPV($C29,'Valuation - DCF'!$K$53:$Q$53,'Valuation - DCF'!$K$40:$Q$40))/1000)-$K$7</f>
        <v>83.7507273950964</v>
      </c>
      <c r="L29" s="125"/>
    </row>
    <row r="30" customFormat="false" ht="12.75" hidden="false" customHeight="false" outlineLevel="0" collapsed="false">
      <c r="B30" s="0" t="s">
        <v>928</v>
      </c>
      <c r="C30" s="130" t="n">
        <v>0.12</v>
      </c>
      <c r="E30" s="131" t="n">
        <f aca="false">((XNPV($C30,'Valuation - DCF'!$K$53:$Q$53,'Valuation - DCF'!$K$40:$Q$40))/1000)-$E$7</f>
        <v>189.114899266048</v>
      </c>
      <c r="F30" s="131" t="n">
        <f aca="false">((XNPV($C30,'Valuation - DCF'!$K$53:$Q$53,'Valuation - DCF'!$K$40:$Q$40))/1000)-$F$7</f>
        <v>169.114899266048</v>
      </c>
      <c r="G30" s="132" t="n">
        <f aca="false">((XNPV($C30,'Valuation - DCF'!$K$53:$Q$53,'Valuation - DCF'!$K$40:$Q$40))/1000)-$G$7</f>
        <v>149.114899266048</v>
      </c>
      <c r="H30" s="131" t="n">
        <f aca="false">((XNPV($C30,'Valuation - DCF'!$K$53:$Q$53,'Valuation - DCF'!$K$40:$Q$40))/1000)-$H$7</f>
        <v>129.114899266048</v>
      </c>
      <c r="I30" s="133" t="n">
        <f aca="false">((XNPV($C30,'Valuation - DCF'!$K$53:$Q$53,'Valuation - DCF'!$K$40:$Q$40))/1000)-$I$7</f>
        <v>109.114899266048</v>
      </c>
      <c r="J30" s="131" t="n">
        <f aca="false">((XNPV($C30,'Valuation - DCF'!$K$53:$Q$53,'Valuation - DCF'!$K$40:$Q$40))/1000)-$J$7</f>
        <v>89.1148992660477</v>
      </c>
      <c r="K30" s="131" t="n">
        <f aca="false">((XNPV($C30,'Valuation - DCF'!$K$53:$Q$53,'Valuation - DCF'!$K$40:$Q$40))/1000)-$K$7</f>
        <v>69.1148992660477</v>
      </c>
      <c r="L30" s="125"/>
    </row>
    <row r="31" customFormat="false" ht="12.75" hidden="false" customHeight="false" outlineLevel="0" collapsed="false">
      <c r="B31" s="0" t="s">
        <v>928</v>
      </c>
      <c r="C31" s="130" t="n">
        <v>0.15</v>
      </c>
      <c r="E31" s="131" t="n">
        <f aca="false">((XNPV($C31,'Valuation - DCF'!$K$53:$Q$53,'Valuation - DCF'!$K$40:$Q$40))/1000)-$E$7</f>
        <v>149.015489772632</v>
      </c>
      <c r="F31" s="131" t="n">
        <f aca="false">((XNPV($C31,'Valuation - DCF'!$K$53:$Q$53,'Valuation - DCF'!$K$40:$Q$40))/1000)-$F$7</f>
        <v>129.015489772632</v>
      </c>
      <c r="G31" s="132" t="n">
        <f aca="false">((XNPV($C31,'Valuation - DCF'!$K$53:$Q$53,'Valuation - DCF'!$K$40:$Q$40))/1000)-$G$7</f>
        <v>109.015489772632</v>
      </c>
      <c r="H31" s="131" t="n">
        <f aca="false">((XNPV($C31,'Valuation - DCF'!$K$53:$Q$53,'Valuation - DCF'!$K$40:$Q$40))/1000)-$H$7</f>
        <v>89.0154897726321</v>
      </c>
      <c r="I31" s="133" t="n">
        <f aca="false">((XNPV($C31,'Valuation - DCF'!$K$53:$Q$53,'Valuation - DCF'!$K$40:$Q$40))/1000)-$I$7</f>
        <v>69.0154897726321</v>
      </c>
      <c r="J31" s="131" t="n">
        <f aca="false">((XNPV($C31,'Valuation - DCF'!$K$53:$Q$53,'Valuation - DCF'!$K$40:$Q$40))/1000)-$J$7</f>
        <v>49.0154897726321</v>
      </c>
      <c r="K31" s="131" t="n">
        <f aca="false">((XNPV($C31,'Valuation - DCF'!$K$53:$Q$53,'Valuation - DCF'!$K$40:$Q$40))/1000)-$K$7</f>
        <v>29.0154897726321</v>
      </c>
      <c r="L31" s="125"/>
    </row>
    <row r="32" customFormat="false" ht="12.75" hidden="false" customHeight="false" outlineLevel="0" collapsed="false">
      <c r="B32" s="0" t="s">
        <v>928</v>
      </c>
      <c r="C32" s="130" t="n">
        <v>0.18</v>
      </c>
      <c r="E32" s="131" t="n">
        <f aca="false">((XNPV($C32,'Valuation - DCF'!$K$53:$Q$53,'Valuation - DCF'!$K$40:$Q$40))/1000)-$E$7</f>
        <v>113.942774811259</v>
      </c>
      <c r="F32" s="131" t="n">
        <f aca="false">((XNPV($C32,'Valuation - DCF'!$K$53:$Q$53,'Valuation - DCF'!$K$40:$Q$40))/1000)-$F$7</f>
        <v>93.9427748112594</v>
      </c>
      <c r="G32" s="132" t="n">
        <f aca="false">((XNPV($C32,'Valuation - DCF'!$K$53:$Q$53,'Valuation - DCF'!$K$40:$Q$40))/1000)-$G$7</f>
        <v>73.9427748112594</v>
      </c>
      <c r="H32" s="131" t="n">
        <f aca="false">((XNPV($C32,'Valuation - DCF'!$K$53:$Q$53,'Valuation - DCF'!$K$40:$Q$40))/1000)-$H$7</f>
        <v>53.9427748112594</v>
      </c>
      <c r="I32" s="133" t="n">
        <f aca="false">((XNPV($C32,'Valuation - DCF'!$K$53:$Q$53,'Valuation - DCF'!$K$40:$Q$40))/1000)-$I$7</f>
        <v>33.9427748112594</v>
      </c>
      <c r="J32" s="131" t="n">
        <f aca="false">((XNPV($C32,'Valuation - DCF'!$K$53:$Q$53,'Valuation - DCF'!$K$40:$Q$40))/1000)-$J$7</f>
        <v>13.9427748112594</v>
      </c>
      <c r="K32" s="131" t="n">
        <f aca="false">((XNPV($C32,'Valuation - DCF'!$K$53:$Q$53,'Valuation - DCF'!$K$40:$Q$40))/1000)-$K$7</f>
        <v>-6.05722518874057</v>
      </c>
    </row>
    <row r="34" customFormat="false" ht="12.75" hidden="false" customHeight="false" outlineLevel="0" collapsed="false">
      <c r="B34" s="87" t="s">
        <v>929</v>
      </c>
    </row>
    <row r="35" customFormat="false" ht="12.75" hidden="false" customHeight="false" outlineLevel="0" collapsed="false">
      <c r="B35" s="87" t="s">
        <v>930</v>
      </c>
    </row>
    <row r="65536" customFormat="false" ht="12.75" hidden="false" customHeight="false" outlineLevel="0" collapsed="false">
      <c r="M65536" s="0" t="s">
        <v>29</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M2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5.71"/>
    <col collapsed="false" customWidth="true" hidden="false" outlineLevel="0" max="2" min="2" style="0" width="8.28"/>
    <col collapsed="false" customWidth="true" hidden="false" outlineLevel="0" max="3" min="3" style="0" width="14.14"/>
    <col collapsed="false" customWidth="true" hidden="false" outlineLevel="0" max="5" min="4" style="0" width="8.85"/>
    <col collapsed="false" customWidth="true" hidden="false" outlineLevel="0" max="6" min="6" style="0" width="9.28"/>
    <col collapsed="false" customWidth="true" hidden="false" outlineLevel="0" max="12" min="7" style="0" width="10.71"/>
  </cols>
  <sheetData>
    <row r="1" customFormat="false" ht="24" hidden="false" customHeight="false" outlineLevel="0" collapsed="false">
      <c r="A1" s="48" t="s">
        <v>0</v>
      </c>
      <c r="B1" s="49"/>
      <c r="C1" s="49"/>
      <c r="D1" s="4"/>
      <c r="E1" s="4"/>
      <c r="F1" s="50"/>
      <c r="G1" s="4"/>
      <c r="H1" s="51"/>
      <c r="I1" s="52"/>
      <c r="J1" s="52"/>
      <c r="K1" s="52"/>
      <c r="L1" s="51"/>
      <c r="M1" s="51" t="s">
        <v>931</v>
      </c>
    </row>
    <row r="2" customFormat="false" ht="12.75" hidden="false" customHeight="false" outlineLevel="0" collapsed="false">
      <c r="A2" s="53"/>
    </row>
    <row r="3" customFormat="false" ht="12.75" hidden="false" customHeight="false" outlineLevel="0" collapsed="false">
      <c r="A3" s="53"/>
      <c r="L3" s="53"/>
      <c r="M3" s="53" t="s">
        <v>29</v>
      </c>
    </row>
    <row r="4" customFormat="false" ht="12.75" hidden="false" customHeight="false" outlineLevel="0" collapsed="false">
      <c r="A4" s="53"/>
    </row>
    <row r="5" customFormat="false" ht="12.75" hidden="false" customHeight="false" outlineLevel="0" collapsed="false">
      <c r="A5" s="53"/>
      <c r="B5" s="0" t="s">
        <v>55</v>
      </c>
      <c r="E5" s="54" t="n">
        <v>120</v>
      </c>
      <c r="F5" s="54" t="n">
        <f aca="false">E5+20</f>
        <v>140</v>
      </c>
      <c r="G5" s="55" t="n">
        <f aca="false">F5+20</f>
        <v>160</v>
      </c>
      <c r="H5" s="54" t="n">
        <f aca="false">G5+20</f>
        <v>180</v>
      </c>
      <c r="I5" s="56" t="n">
        <f aca="false">H5+20</f>
        <v>200</v>
      </c>
      <c r="J5" s="54" t="n">
        <f aca="false">I5+20</f>
        <v>220</v>
      </c>
      <c r="K5" s="54" t="n">
        <f aca="false">J5+20</f>
        <v>240</v>
      </c>
    </row>
    <row r="6" customFormat="false" ht="12.75" hidden="false" customHeight="false" outlineLevel="0" collapsed="false">
      <c r="G6" s="57"/>
      <c r="H6" s="58"/>
      <c r="I6" s="59"/>
      <c r="J6" s="60"/>
    </row>
    <row r="7" customFormat="false" ht="12.75" hidden="false" customHeight="false" outlineLevel="0" collapsed="false">
      <c r="B7" s="0" t="s">
        <v>61</v>
      </c>
      <c r="E7" s="54" t="n">
        <f aca="false">E5+'S &amp; U'!$J$14-Assumptions!$B$46</f>
        <v>262.444680440508</v>
      </c>
      <c r="F7" s="54" t="n">
        <f aca="false">F5+'S &amp; U'!$J$14-Assumptions!$B$46</f>
        <v>282.444680440508</v>
      </c>
      <c r="G7" s="55" t="n">
        <f aca="false">G5+'S &amp; U'!$J$14-Assumptions!$B$46</f>
        <v>302.444680440508</v>
      </c>
      <c r="H7" s="54" t="n">
        <f aca="false">H5+'S &amp; U'!$J$14-Assumptions!$B$46</f>
        <v>322.444680440508</v>
      </c>
      <c r="I7" s="56" t="n">
        <f aca="false">I5+'S &amp; U'!$J$14-Assumptions!$B$46</f>
        <v>342.444680440508</v>
      </c>
      <c r="J7" s="54" t="n">
        <f aca="false">J5+'S &amp; U'!$J$14-Assumptions!$B$46</f>
        <v>362.444680440508</v>
      </c>
      <c r="K7" s="54" t="n">
        <f aca="false">K5+'S &amp; U'!$J$14-Assumptions!$B$46</f>
        <v>382.444680440508</v>
      </c>
      <c r="L7" s="61"/>
    </row>
    <row r="8" customFormat="false" ht="12.75" hidden="false" customHeight="false" outlineLevel="0" collapsed="false">
      <c r="B8" s="0" t="s">
        <v>932</v>
      </c>
      <c r="E8" s="71" t="n">
        <f aca="false">-Dep!$E$108/1000</f>
        <v>-20.4926656381708</v>
      </c>
      <c r="F8" s="71" t="n">
        <f aca="false">-Dep!$E$108/1000</f>
        <v>-20.4926656381708</v>
      </c>
      <c r="G8" s="71" t="n">
        <f aca="false">-Dep!$E$108/1000</f>
        <v>-20.4926656381708</v>
      </c>
      <c r="H8" s="71" t="n">
        <f aca="false">-Dep!$E$108/1000</f>
        <v>-20.4926656381708</v>
      </c>
      <c r="I8" s="72" t="n">
        <f aca="false">-Dep!$E$108/1000</f>
        <v>-20.4926656381708</v>
      </c>
      <c r="J8" s="71" t="n">
        <f aca="false">-Dep!$E$108/1000</f>
        <v>-20.4926656381708</v>
      </c>
      <c r="K8" s="71" t="n">
        <f aca="false">-Dep!$E$108/1000</f>
        <v>-20.4926656381708</v>
      </c>
      <c r="L8" s="61"/>
    </row>
    <row r="9" customFormat="false" ht="12.75" hidden="false" customHeight="false" outlineLevel="0" collapsed="false">
      <c r="B9" s="0" t="s">
        <v>33</v>
      </c>
      <c r="E9" s="62" t="n">
        <f aca="false">-'Asset Valuation'!$I$20</f>
        <v>-75.809303654933</v>
      </c>
      <c r="F9" s="62" t="n">
        <f aca="false">-'Asset Valuation'!$I$20</f>
        <v>-75.809303654933</v>
      </c>
      <c r="G9" s="62" t="n">
        <f aca="false">-'Asset Valuation'!$I$20</f>
        <v>-75.809303654933</v>
      </c>
      <c r="H9" s="62" t="n">
        <f aca="false">-'Asset Valuation'!$I$20</f>
        <v>-75.809303654933</v>
      </c>
      <c r="I9" s="63" t="n">
        <f aca="false">-'Asset Valuation'!$I$20</f>
        <v>-75.809303654933</v>
      </c>
      <c r="J9" s="62" t="n">
        <f aca="false">-'Asset Valuation'!$I$20</f>
        <v>-75.809303654933</v>
      </c>
      <c r="K9" s="62" t="n">
        <f aca="false">-'Asset Valuation'!$I$20</f>
        <v>-75.809303654933</v>
      </c>
      <c r="L9" s="64"/>
    </row>
    <row r="10" customFormat="false" ht="12.75" hidden="false" customHeight="false" outlineLevel="0" collapsed="false">
      <c r="B10" s="0" t="s">
        <v>933</v>
      </c>
      <c r="E10" s="55" t="n">
        <f aca="false">SUM(E7:E9)</f>
        <v>166.142711147404</v>
      </c>
      <c r="F10" s="55" t="n">
        <f aca="false">SUM(F7:F9)</f>
        <v>186.142711147404</v>
      </c>
      <c r="G10" s="55" t="n">
        <f aca="false">SUM(G7:G9)</f>
        <v>206.142711147404</v>
      </c>
      <c r="H10" s="55" t="n">
        <f aca="false">SUM(H7:H9)</f>
        <v>226.142711147404</v>
      </c>
      <c r="I10" s="56" t="n">
        <f aca="false">SUM(I7:I9)</f>
        <v>246.142711147404</v>
      </c>
      <c r="J10" s="55" t="n">
        <f aca="false">SUM(J7:J9)</f>
        <v>266.142711147404</v>
      </c>
      <c r="K10" s="55" t="n">
        <f aca="false">SUM(K7:K9)</f>
        <v>286.142711147404</v>
      </c>
      <c r="L10" s="65"/>
    </row>
    <row r="11" customFormat="false" ht="12.75" hidden="false" customHeight="false" outlineLevel="0" collapsed="false">
      <c r="E11" s="54"/>
      <c r="F11" s="54"/>
      <c r="G11" s="55"/>
      <c r="H11" s="54"/>
      <c r="I11" s="56"/>
      <c r="J11" s="54"/>
      <c r="K11" s="54"/>
      <c r="L11" s="66"/>
    </row>
    <row r="12" customFormat="false" ht="12.75" hidden="false" customHeight="false" outlineLevel="0" collapsed="false">
      <c r="B12" s="0" t="s">
        <v>934</v>
      </c>
      <c r="E12" s="67" t="n">
        <f aca="false">-'S &amp; U'!$J$14</f>
        <v>-180.4</v>
      </c>
      <c r="F12" s="67" t="n">
        <f aca="false">-'S &amp; U'!$J$14</f>
        <v>-180.4</v>
      </c>
      <c r="G12" s="68" t="n">
        <f aca="false">-'S &amp; U'!$J$14</f>
        <v>-180.4</v>
      </c>
      <c r="H12" s="67" t="n">
        <f aca="false">-'S &amp; U'!$J$14</f>
        <v>-180.4</v>
      </c>
      <c r="I12" s="69" t="n">
        <f aca="false">-'S &amp; U'!$J$14</f>
        <v>-180.4</v>
      </c>
      <c r="J12" s="67" t="n">
        <f aca="false">-'S &amp; U'!$J$14</f>
        <v>-180.4</v>
      </c>
      <c r="K12" s="67" t="n">
        <f aca="false">-'S &amp; U'!$J$14</f>
        <v>-180.4</v>
      </c>
      <c r="L12" s="70"/>
    </row>
    <row r="13" customFormat="false" ht="12.75" hidden="false" customHeight="false" outlineLevel="0" collapsed="false">
      <c r="B13" s="0" t="s">
        <v>935</v>
      </c>
      <c r="E13" s="71" t="n">
        <f aca="false">-'Asset Valuation'!$I$22</f>
        <v>20</v>
      </c>
      <c r="F13" s="71" t="n">
        <f aca="false">-'Asset Valuation'!$I$22</f>
        <v>20</v>
      </c>
      <c r="G13" s="71" t="n">
        <f aca="false">-'Asset Valuation'!$I$22</f>
        <v>20</v>
      </c>
      <c r="H13" s="71" t="n">
        <f aca="false">-'Asset Valuation'!$I$22</f>
        <v>20</v>
      </c>
      <c r="I13" s="72" t="n">
        <f aca="false">-'Asset Valuation'!$I$22</f>
        <v>20</v>
      </c>
      <c r="J13" s="71" t="n">
        <f aca="false">-'Asset Valuation'!$I$22</f>
        <v>20</v>
      </c>
      <c r="K13" s="71" t="n">
        <f aca="false">-'Asset Valuation'!$I$22</f>
        <v>20</v>
      </c>
      <c r="L13" s="73"/>
    </row>
    <row r="14" customFormat="false" ht="12.75" hidden="false" customHeight="false" outlineLevel="0" collapsed="false">
      <c r="B14" s="0" t="s">
        <v>877</v>
      </c>
      <c r="E14" s="62" t="n">
        <f aca="false">Assumptions!$B$46</f>
        <v>37.9553195594923</v>
      </c>
      <c r="F14" s="62" t="n">
        <f aca="false">Assumptions!$B$46</f>
        <v>37.9553195594923</v>
      </c>
      <c r="G14" s="62" t="n">
        <f aca="false">Assumptions!$B$46</f>
        <v>37.9553195594923</v>
      </c>
      <c r="H14" s="62" t="n">
        <f aca="false">Assumptions!$B$46</f>
        <v>37.9553195594923</v>
      </c>
      <c r="I14" s="63" t="n">
        <f aca="false">Assumptions!$B$46</f>
        <v>37.9553195594923</v>
      </c>
      <c r="J14" s="62" t="n">
        <f aca="false">Assumptions!$B$46</f>
        <v>37.9553195594923</v>
      </c>
      <c r="K14" s="62" t="n">
        <f aca="false">Assumptions!$B$46</f>
        <v>37.9553195594923</v>
      </c>
      <c r="L14" s="64"/>
    </row>
    <row r="15" customFormat="false" ht="12.75" hidden="false" customHeight="false" outlineLevel="0" collapsed="false">
      <c r="B15" s="0" t="s">
        <v>936</v>
      </c>
      <c r="E15" s="74" t="n">
        <f aca="false">SUM(E10:E14)</f>
        <v>43.6980307068962</v>
      </c>
      <c r="F15" s="74" t="n">
        <f aca="false">SUM(F10:F14)</f>
        <v>63.6980307068962</v>
      </c>
      <c r="G15" s="74" t="n">
        <f aca="false">SUM(G10:G14)</f>
        <v>83.6980307068962</v>
      </c>
      <c r="H15" s="74" t="n">
        <f aca="false">SUM(H10:H14)</f>
        <v>103.698030706896</v>
      </c>
      <c r="I15" s="75" t="n">
        <f aca="false">SUM(I10:I14)</f>
        <v>123.698030706896</v>
      </c>
      <c r="J15" s="74" t="n">
        <f aca="false">SUM(J10:J14)</f>
        <v>143.698030706896</v>
      </c>
      <c r="K15" s="74" t="n">
        <f aca="false">SUM(K10:K14)</f>
        <v>163.698030706896</v>
      </c>
      <c r="L15" s="76"/>
    </row>
    <row r="16" customFormat="false" ht="12.75" hidden="false" customHeight="false" outlineLevel="0" collapsed="false">
      <c r="G16" s="57"/>
      <c r="H16" s="58"/>
      <c r="I16" s="59"/>
      <c r="L16" s="66"/>
    </row>
    <row r="17" customFormat="false" ht="12.75" hidden="false" customHeight="false" outlineLevel="0" collapsed="false">
      <c r="B17" s="77" t="s">
        <v>937</v>
      </c>
      <c r="C17" s="7"/>
      <c r="G17" s="57"/>
      <c r="H17" s="58"/>
      <c r="I17" s="59"/>
      <c r="L17" s="66"/>
    </row>
    <row r="18" customFormat="false" ht="12.75" hidden="false" customHeight="false" outlineLevel="0" collapsed="false">
      <c r="B18" s="0" t="n">
        <v>2000</v>
      </c>
      <c r="C18" s="0" t="s">
        <v>41</v>
      </c>
      <c r="D18" s="79" t="n">
        <f aca="false">('Balance Sheet'!F37-16570-1000)/1000</f>
        <v>105.355</v>
      </c>
      <c r="E18" s="80" t="n">
        <f aca="false">+E15/$D$18</f>
        <v>0.414769405409294</v>
      </c>
      <c r="F18" s="80" t="n">
        <f aca="false">+F15/$D$18</f>
        <v>0.604603774921895</v>
      </c>
      <c r="G18" s="81" t="n">
        <f aca="false">+G15/$D$18</f>
        <v>0.794438144434495</v>
      </c>
      <c r="H18" s="80" t="n">
        <f aca="false">+H15/$D$18</f>
        <v>0.984272513947095</v>
      </c>
      <c r="I18" s="82" t="n">
        <f aca="false">+I15/$D$18</f>
        <v>1.1741068834597</v>
      </c>
      <c r="J18" s="80" t="n">
        <f aca="false">+J15/$D$18</f>
        <v>1.3639412529723</v>
      </c>
      <c r="K18" s="80" t="n">
        <f aca="false">+K15/$D$18</f>
        <v>1.5537756224849</v>
      </c>
      <c r="L18" s="83"/>
    </row>
    <row r="19" customFormat="false" ht="12.75" hidden="false" customHeight="false" outlineLevel="0" collapsed="false">
      <c r="D19" s="84"/>
      <c r="E19" s="85"/>
      <c r="F19" s="80"/>
      <c r="G19" s="81"/>
      <c r="H19" s="80"/>
      <c r="I19" s="82"/>
      <c r="J19" s="80"/>
      <c r="K19" s="80"/>
      <c r="L19" s="83"/>
    </row>
    <row r="20" customFormat="false" ht="12.75" hidden="false" customHeight="false" outlineLevel="0" collapsed="false">
      <c r="B20" s="77" t="s">
        <v>42</v>
      </c>
      <c r="C20" s="7"/>
      <c r="D20" s="86"/>
      <c r="E20" s="80"/>
      <c r="F20" s="80"/>
      <c r="G20" s="81"/>
      <c r="H20" s="80"/>
      <c r="I20" s="82"/>
      <c r="J20" s="80"/>
      <c r="K20" s="80"/>
      <c r="L20" s="83"/>
    </row>
    <row r="21" customFormat="false" ht="12.75" hidden="false" customHeight="false" outlineLevel="0" collapsed="false">
      <c r="B21" s="0" t="n">
        <v>2000</v>
      </c>
      <c r="C21" s="0" t="s">
        <v>43</v>
      </c>
      <c r="D21" s="79" t="n">
        <f aca="false">'Valuation - DCF'!J77/1000</f>
        <v>37.7039224</v>
      </c>
      <c r="E21" s="80" t="n">
        <f aca="false">+E10/$D$21</f>
        <v>4.40651000139455</v>
      </c>
      <c r="F21" s="80" t="n">
        <f aca="false">+F10/$D$21</f>
        <v>4.93695879098786</v>
      </c>
      <c r="G21" s="81" t="n">
        <f aca="false">+G10/$D$21</f>
        <v>5.46740758058116</v>
      </c>
      <c r="H21" s="80" t="n">
        <f aca="false">+H10/$D$21</f>
        <v>5.99785637017447</v>
      </c>
      <c r="I21" s="82" t="n">
        <f aca="false">+I10/$D$21</f>
        <v>6.52830515976778</v>
      </c>
      <c r="J21" s="80" t="n">
        <f aca="false">+J10/$D$21</f>
        <v>7.05875394936109</v>
      </c>
      <c r="K21" s="80" t="n">
        <f aca="false">+K10/$D$21</f>
        <v>7.58920273895439</v>
      </c>
      <c r="L21" s="83"/>
    </row>
    <row r="22" customFormat="false" ht="12.75" hidden="false" customHeight="false" outlineLevel="0" collapsed="false">
      <c r="B22" s="0" t="n">
        <v>2001</v>
      </c>
      <c r="C22" s="0" t="s">
        <v>43</v>
      </c>
      <c r="D22" s="79" t="n">
        <f aca="false">'Valuation - DCF'!K77/1000+'Valuation - DCF'!L77/1000</f>
        <v>23.6612156</v>
      </c>
      <c r="E22" s="80" t="n">
        <f aca="false">+E10/$D$22</f>
        <v>7.02173184827427</v>
      </c>
      <c r="F22" s="80" t="n">
        <f aca="false">+F10/$D$22</f>
        <v>7.86699695798402</v>
      </c>
      <c r="G22" s="81" t="n">
        <f aca="false">+G10/$D$22</f>
        <v>8.71226206769376</v>
      </c>
      <c r="H22" s="80" t="n">
        <f aca="false">+H10/$D$22</f>
        <v>9.55752717740351</v>
      </c>
      <c r="I22" s="82" t="n">
        <f aca="false">+I10/$D$22</f>
        <v>10.4027922871133</v>
      </c>
      <c r="J22" s="80" t="n">
        <f aca="false">+J10/$D$22</f>
        <v>11.248057396823</v>
      </c>
      <c r="K22" s="80" t="n">
        <f aca="false">+K10/$D$22</f>
        <v>12.0933225065328</v>
      </c>
      <c r="L22" s="83"/>
    </row>
    <row r="23" customFormat="false" ht="12.75" hidden="false" customHeight="false" outlineLevel="0" collapsed="false">
      <c r="B23" s="0" t="n">
        <v>2002</v>
      </c>
      <c r="C23" s="0" t="s">
        <v>43</v>
      </c>
      <c r="D23" s="79" t="n">
        <f aca="false">'Valuation - DCF'!M77/1000</f>
        <v>30.6083978666667</v>
      </c>
      <c r="E23" s="80" t="n">
        <f aca="false">+E10/$D$23</f>
        <v>5.42801070056456</v>
      </c>
      <c r="F23" s="80" t="n">
        <f aca="false">+F10/$D$23</f>
        <v>6.08142614841394</v>
      </c>
      <c r="G23" s="81" t="n">
        <f aca="false">+G10/$D$23</f>
        <v>6.73484159626332</v>
      </c>
      <c r="H23" s="80" t="n">
        <f aca="false">+H10/$D$23</f>
        <v>7.3882570441127</v>
      </c>
      <c r="I23" s="82" t="n">
        <f aca="false">+I10/$D$23</f>
        <v>8.04167249196208</v>
      </c>
      <c r="J23" s="80" t="n">
        <f aca="false">+J10/$D$23</f>
        <v>8.69508793981146</v>
      </c>
      <c r="K23" s="80" t="n">
        <f aca="false">+K10/$D$23</f>
        <v>9.34850338766084</v>
      </c>
      <c r="L23" s="83"/>
    </row>
    <row r="24" customFormat="false" ht="12.75" hidden="false" customHeight="false" outlineLevel="0" collapsed="false">
      <c r="I24" s="53"/>
      <c r="L24" s="66"/>
    </row>
    <row r="25" customFormat="false" ht="12.75" hidden="false" customHeight="false" outlineLevel="0" collapsed="false">
      <c r="B25" s="87" t="s">
        <v>44</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5.71"/>
    <col collapsed="false" customWidth="true" hidden="false" outlineLevel="0" max="2" min="2" style="0" width="8.28"/>
    <col collapsed="false" customWidth="true" hidden="false" outlineLevel="0" max="3" min="3" style="0" width="14.14"/>
    <col collapsed="false" customWidth="true" hidden="false" outlineLevel="0" max="5" min="4" style="0" width="8.85"/>
    <col collapsed="false" customWidth="true" hidden="false" outlineLevel="0" max="6" min="6" style="0" width="9.28"/>
    <col collapsed="false" customWidth="true" hidden="false" outlineLevel="0" max="12" min="7" style="0" width="10.71"/>
  </cols>
  <sheetData>
    <row r="1" customFormat="false" ht="24" hidden="false" customHeight="false" outlineLevel="0" collapsed="false">
      <c r="A1" s="48" t="s">
        <v>0</v>
      </c>
      <c r="B1" s="49"/>
      <c r="C1" s="49"/>
      <c r="D1" s="4"/>
      <c r="E1" s="4"/>
      <c r="F1" s="50"/>
      <c r="G1" s="4"/>
      <c r="H1" s="52" t="s">
        <v>938</v>
      </c>
      <c r="I1" s="52"/>
      <c r="J1" s="52"/>
      <c r="K1" s="52"/>
      <c r="L1" s="52"/>
      <c r="M1" s="52"/>
    </row>
    <row r="2" customFormat="false" ht="12.75" hidden="false" customHeight="false" outlineLevel="0" collapsed="false">
      <c r="A2" s="53"/>
    </row>
    <row r="3" customFormat="false" ht="12.75" hidden="false" customHeight="false" outlineLevel="0" collapsed="false">
      <c r="A3" s="53"/>
      <c r="L3" s="53" t="s">
        <v>29</v>
      </c>
    </row>
    <row r="4" customFormat="false" ht="12.75" hidden="false" customHeight="false" outlineLevel="0" collapsed="false">
      <c r="A4" s="53"/>
    </row>
    <row r="5" customFormat="false" ht="12.75" hidden="false" customHeight="false" outlineLevel="0" collapsed="false">
      <c r="A5" s="53"/>
    </row>
    <row r="6" customFormat="false" ht="12.75" hidden="false" customHeight="false" outlineLevel="0" collapsed="false">
      <c r="G6" s="58"/>
      <c r="H6" s="58"/>
      <c r="I6" s="58"/>
      <c r="J6" s="60"/>
    </row>
    <row r="7" customFormat="false" ht="12.75" hidden="false" customHeight="false" outlineLevel="0" collapsed="false">
      <c r="B7" s="0" t="s">
        <v>939</v>
      </c>
      <c r="E7" s="55" t="n">
        <v>60</v>
      </c>
      <c r="F7" s="55" t="n">
        <v>65</v>
      </c>
      <c r="G7" s="55" t="n">
        <v>70</v>
      </c>
      <c r="H7" s="56" t="n">
        <f aca="false">'Asset Valuation'!$I$20</f>
        <v>75.809303654933</v>
      </c>
      <c r="I7" s="55" t="n">
        <v>80</v>
      </c>
      <c r="J7" s="55" t="n">
        <v>85</v>
      </c>
      <c r="K7" s="55" t="n">
        <v>90</v>
      </c>
      <c r="L7" s="55" t="n">
        <v>95</v>
      </c>
      <c r="M7" s="55"/>
    </row>
    <row r="8" customFormat="false" ht="15" hidden="false" customHeight="false" outlineLevel="0" collapsed="false">
      <c r="B8" s="0" t="s">
        <v>940</v>
      </c>
      <c r="E8" s="285" t="n">
        <v>-20</v>
      </c>
      <c r="F8" s="285" t="n">
        <f aca="false">+E8</f>
        <v>-20</v>
      </c>
      <c r="G8" s="285" t="n">
        <f aca="false">+F8</f>
        <v>-20</v>
      </c>
      <c r="H8" s="663" t="n">
        <f aca="false">+G8</f>
        <v>-20</v>
      </c>
      <c r="I8" s="285" t="n">
        <f aca="false">+G8</f>
        <v>-20</v>
      </c>
      <c r="J8" s="285" t="n">
        <f aca="false">+I8</f>
        <v>-20</v>
      </c>
      <c r="K8" s="285" t="n">
        <f aca="false">+J8</f>
        <v>-20</v>
      </c>
      <c r="L8" s="285" t="n">
        <f aca="false">+K8</f>
        <v>-20</v>
      </c>
      <c r="M8" s="285"/>
    </row>
    <row r="9" customFormat="false" ht="12.75" hidden="false" customHeight="false" outlineLevel="0" collapsed="false">
      <c r="B9" s="0" t="s">
        <v>941</v>
      </c>
      <c r="E9" s="74" t="n">
        <f aca="false">SUM(E7:E8)</f>
        <v>40</v>
      </c>
      <c r="F9" s="74" t="n">
        <f aca="false">SUM(F7:F8)</f>
        <v>45</v>
      </c>
      <c r="G9" s="74" t="n">
        <f aca="false">SUM(G7:G8)</f>
        <v>50</v>
      </c>
      <c r="H9" s="75" t="n">
        <f aca="false">SUM(H7:H8)</f>
        <v>55.809303654933</v>
      </c>
      <c r="I9" s="74" t="n">
        <f aca="false">SUM(I7:I8)</f>
        <v>60</v>
      </c>
      <c r="J9" s="74" t="n">
        <f aca="false">SUM(J7:J8)</f>
        <v>65</v>
      </c>
      <c r="K9" s="74" t="n">
        <f aca="false">SUM(K7:K8)</f>
        <v>70</v>
      </c>
      <c r="L9" s="74" t="n">
        <f aca="false">SUM(L7:L8)</f>
        <v>75</v>
      </c>
      <c r="M9" s="74"/>
    </row>
    <row r="10" customFormat="false" ht="12.75" hidden="false" customHeight="false" outlineLevel="0" collapsed="false">
      <c r="G10" s="58"/>
      <c r="H10" s="59"/>
      <c r="I10" s="58"/>
      <c r="J10" s="58"/>
      <c r="K10" s="58"/>
      <c r="L10" s="58"/>
      <c r="M10" s="58"/>
      <c r="N10" s="53"/>
      <c r="P10" s="23"/>
    </row>
    <row r="11" customFormat="false" ht="12.75" hidden="false" customHeight="false" outlineLevel="0" collapsed="false">
      <c r="B11" s="77" t="s">
        <v>927</v>
      </c>
      <c r="C11" s="7"/>
      <c r="G11" s="58"/>
      <c r="H11" s="59"/>
      <c r="I11" s="58"/>
      <c r="J11" s="58"/>
      <c r="K11" s="58"/>
      <c r="L11" s="58"/>
      <c r="M11" s="58"/>
      <c r="N11" s="53"/>
      <c r="P11" s="23"/>
    </row>
    <row r="12" customFormat="false" ht="12.75" hidden="false" customHeight="false" outlineLevel="0" collapsed="false">
      <c r="B12" s="0" t="n">
        <v>2000</v>
      </c>
      <c r="C12" s="0" t="s">
        <v>41</v>
      </c>
      <c r="D12" s="79" t="n">
        <v>18</v>
      </c>
      <c r="E12" s="80" t="n">
        <f aca="false">+E9/$D$12</f>
        <v>2.22222222222222</v>
      </c>
      <c r="F12" s="80" t="n">
        <f aca="false">+F9/$D$12</f>
        <v>2.5</v>
      </c>
      <c r="G12" s="80" t="n">
        <f aca="false">+G9/$D$12</f>
        <v>2.77777777777778</v>
      </c>
      <c r="H12" s="82" t="n">
        <f aca="false">+H9/$D$12</f>
        <v>3.1005168697185</v>
      </c>
      <c r="I12" s="80" t="n">
        <f aca="false">+I9/$D$12</f>
        <v>3.33333333333333</v>
      </c>
      <c r="J12" s="80" t="n">
        <f aca="false">+J9/$D$12</f>
        <v>3.61111111111111</v>
      </c>
      <c r="K12" s="80" t="n">
        <f aca="false">+K9/$D$12</f>
        <v>3.88888888888889</v>
      </c>
      <c r="L12" s="80" t="n">
        <f aca="false">+L9/$D$12</f>
        <v>4.16666666666667</v>
      </c>
      <c r="M12" s="80"/>
      <c r="N12" s="82"/>
      <c r="O12" s="80"/>
      <c r="P12" s="80"/>
    </row>
    <row r="13" customFormat="false" ht="12.75" hidden="false" customHeight="false" outlineLevel="0" collapsed="false">
      <c r="D13" s="84"/>
      <c r="E13" s="85"/>
      <c r="F13" s="80"/>
      <c r="G13" s="80"/>
      <c r="H13" s="80"/>
      <c r="I13" s="80"/>
      <c r="J13" s="80"/>
      <c r="K13" s="80"/>
      <c r="L13" s="83"/>
    </row>
    <row r="14" customFormat="false" ht="12.75" hidden="false" customHeight="false" outlineLevel="0" collapsed="false">
      <c r="L14" s="66"/>
    </row>
    <row r="15" customFormat="false" ht="12.75" hidden="false" customHeight="false" outlineLevel="0" collapsed="false">
      <c r="B15" s="87"/>
    </row>
    <row r="16" customFormat="false" ht="12.75" hidden="false" customHeight="false" outlineLevel="0" collapsed="false">
      <c r="B16" s="87" t="s">
        <v>942</v>
      </c>
    </row>
  </sheetData>
  <mergeCells count="1">
    <mergeCell ref="H1:M1"/>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2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1.85"/>
    <col collapsed="false" customWidth="true" hidden="false" outlineLevel="0" max="2" min="2" style="0" width="11.99"/>
    <col collapsed="false" customWidth="true" hidden="false" outlineLevel="0" max="3" min="3" style="0" width="12.56"/>
    <col collapsed="false" customWidth="true" hidden="false" outlineLevel="0" max="4" min="4" style="0" width="3.42"/>
    <col collapsed="false" customWidth="true" hidden="false" outlineLevel="0" max="5" min="5" style="0" width="26.28"/>
    <col collapsed="false" customWidth="true" hidden="false" outlineLevel="0" max="6" min="6" style="0" width="23.85"/>
    <col collapsed="false" customWidth="true" hidden="false" outlineLevel="0" max="7" min="7" style="0" width="13.28"/>
    <col collapsed="false" customWidth="true" hidden="false" outlineLevel="0" max="8" min="8" style="0" width="19.41"/>
    <col collapsed="false" customWidth="true" hidden="false" outlineLevel="0" max="10" min="10" style="0" width="7.7"/>
    <col collapsed="false" customWidth="true" hidden="false" outlineLevel="0" max="11" min="11" style="0" width="14.99"/>
    <col collapsed="false" customWidth="true" hidden="false" outlineLevel="0" max="13" min="13" style="0" width="10.13"/>
  </cols>
  <sheetData>
    <row r="1" customFormat="false" ht="21" hidden="false" customHeight="false" outlineLevel="0" collapsed="false">
      <c r="A1" s="1" t="s">
        <v>0</v>
      </c>
      <c r="B1" s="2"/>
      <c r="C1" s="2"/>
      <c r="D1" s="3"/>
      <c r="E1" s="3"/>
      <c r="F1" s="3"/>
      <c r="G1" s="4"/>
      <c r="H1" s="3"/>
      <c r="I1" s="4"/>
      <c r="J1" s="4"/>
      <c r="K1" s="141" t="s">
        <v>943</v>
      </c>
      <c r="L1" s="4"/>
      <c r="M1" s="4"/>
      <c r="N1" s="58"/>
    </row>
    <row r="2" customFormat="false" ht="12.75" hidden="false" customHeight="false" outlineLevel="0" collapsed="false">
      <c r="A2" s="58"/>
      <c r="B2" s="88"/>
      <c r="C2" s="89"/>
      <c r="D2" s="89"/>
      <c r="E2" s="89"/>
      <c r="F2" s="58"/>
      <c r="G2" s="58"/>
      <c r="H2" s="58"/>
      <c r="I2" s="58"/>
      <c r="J2" s="58"/>
      <c r="K2" s="58"/>
      <c r="L2" s="58"/>
      <c r="M2" s="58"/>
      <c r="N2" s="58"/>
    </row>
    <row r="3" customFormat="false" ht="12.75" hidden="false" customHeight="false" outlineLevel="0" collapsed="false">
      <c r="A3" s="58"/>
      <c r="B3" s="58"/>
      <c r="C3" s="58"/>
      <c r="D3" s="58"/>
      <c r="E3" s="58"/>
      <c r="F3" s="58"/>
      <c r="G3" s="58"/>
      <c r="H3" s="58"/>
      <c r="I3" s="58"/>
      <c r="J3" s="58"/>
      <c r="K3" s="446" t="s">
        <v>29</v>
      </c>
      <c r="L3" s="58"/>
      <c r="M3" s="58"/>
      <c r="N3" s="58"/>
    </row>
    <row r="4" customFormat="false" ht="12.75" hidden="false" customHeight="false" outlineLevel="0" collapsed="false">
      <c r="A4" s="58"/>
      <c r="F4" s="59"/>
      <c r="G4" s="58"/>
      <c r="H4" s="58"/>
      <c r="I4" s="58"/>
      <c r="J4" s="58"/>
      <c r="K4" s="58"/>
      <c r="L4" s="58"/>
      <c r="M4" s="58"/>
      <c r="N4" s="58"/>
    </row>
    <row r="5" customFormat="false" ht="12.75" hidden="false" customHeight="false" outlineLevel="0" collapsed="false">
      <c r="A5" s="58"/>
      <c r="F5" s="59"/>
      <c r="G5" s="58"/>
      <c r="H5" s="58"/>
      <c r="I5" s="58"/>
      <c r="J5" s="58"/>
      <c r="K5" s="58"/>
      <c r="L5" s="58"/>
      <c r="M5" s="58"/>
      <c r="N5" s="58"/>
    </row>
    <row r="6" customFormat="false" ht="12.75" hidden="false" customHeight="false" outlineLevel="0" collapsed="false">
      <c r="A6" s="58"/>
      <c r="F6" s="59"/>
      <c r="G6" s="58"/>
      <c r="H6" s="58"/>
      <c r="I6" s="58"/>
      <c r="J6" s="58"/>
      <c r="K6" s="58"/>
      <c r="L6" s="58"/>
      <c r="M6" s="58"/>
      <c r="N6" s="58"/>
    </row>
    <row r="7" customFormat="false" ht="12.75" hidden="false" customHeight="false" outlineLevel="0" collapsed="false">
      <c r="A7" s="58"/>
      <c r="F7" s="59"/>
      <c r="G7" s="58"/>
      <c r="H7" s="58"/>
      <c r="I7" s="58"/>
      <c r="J7" s="58"/>
      <c r="K7" s="58"/>
      <c r="L7" s="58"/>
      <c r="M7" s="58"/>
      <c r="N7" s="58"/>
    </row>
    <row r="8" customFormat="false" ht="12.75" hidden="false" customHeight="false" outlineLevel="0" collapsed="false">
      <c r="A8" s="58"/>
      <c r="F8" s="58"/>
      <c r="G8" s="58"/>
      <c r="H8" s="58"/>
      <c r="I8" s="58"/>
      <c r="J8" s="58"/>
      <c r="K8" s="58"/>
      <c r="L8" s="58"/>
      <c r="M8" s="58"/>
      <c r="N8" s="58"/>
    </row>
    <row r="9" customFormat="false" ht="20.25" hidden="false" customHeight="false" outlineLevel="0" collapsed="false">
      <c r="A9" s="58"/>
      <c r="E9" s="664"/>
      <c r="F9" s="664"/>
      <c r="G9" s="665" t="s">
        <v>944</v>
      </c>
      <c r="H9" s="665"/>
      <c r="I9" s="58"/>
    </row>
    <row r="10" customFormat="false" ht="20.25" hidden="false" customHeight="false" outlineLevel="0" collapsed="false">
      <c r="A10" s="58"/>
      <c r="E10" s="666"/>
      <c r="F10" s="666"/>
      <c r="G10" s="666"/>
      <c r="H10" s="547"/>
      <c r="I10" s="59"/>
    </row>
    <row r="11" customFormat="false" ht="20.25" hidden="false" customHeight="false" outlineLevel="0" collapsed="false">
      <c r="A11" s="58"/>
      <c r="E11" s="667" t="s">
        <v>945</v>
      </c>
      <c r="F11" s="547"/>
      <c r="G11" s="668" t="n">
        <f aca="false">+'Asset Valuation'!$I$20</f>
        <v>75.809303654933</v>
      </c>
      <c r="H11" s="668" t="n">
        <f aca="false">+'Asset Valuation'!$I$20</f>
        <v>75.809303654933</v>
      </c>
      <c r="I11" s="58"/>
    </row>
    <row r="12" customFormat="false" ht="24.75" hidden="false" customHeight="false" outlineLevel="0" collapsed="false">
      <c r="A12" s="58"/>
      <c r="E12" s="667" t="s">
        <v>946</v>
      </c>
      <c r="F12" s="547"/>
      <c r="G12" s="669" t="n">
        <v>240</v>
      </c>
      <c r="H12" s="669" t="n">
        <v>280</v>
      </c>
      <c r="I12" s="58"/>
    </row>
    <row r="13" customFormat="false" ht="20.25" hidden="false" customHeight="false" outlineLevel="0" collapsed="false">
      <c r="A13" s="58"/>
      <c r="E13" s="667" t="s">
        <v>61</v>
      </c>
      <c r="F13" s="547"/>
      <c r="G13" s="668" t="n">
        <f aca="false">+G11+G12</f>
        <v>315.809303654933</v>
      </c>
      <c r="H13" s="668" t="n">
        <f aca="false">+H11+H12</f>
        <v>355.809303654933</v>
      </c>
      <c r="I13" s="58"/>
    </row>
    <row r="14" customFormat="false" ht="20.25" hidden="false" customHeight="false" outlineLevel="0" collapsed="false">
      <c r="A14" s="58"/>
      <c r="E14" s="667"/>
      <c r="F14" s="547"/>
      <c r="G14" s="547"/>
      <c r="H14" s="547"/>
      <c r="I14" s="58"/>
    </row>
    <row r="15" customFormat="false" ht="20.25" hidden="false" customHeight="false" outlineLevel="0" collapsed="false">
      <c r="A15" s="58"/>
      <c r="E15" s="667" t="s">
        <v>947</v>
      </c>
      <c r="F15" s="547"/>
      <c r="G15" s="670" t="n">
        <f aca="false">-'S &amp; U'!$J$14</f>
        <v>-180.4</v>
      </c>
      <c r="H15" s="670" t="n">
        <f aca="false">-'S &amp; U'!$J$14</f>
        <v>-180.4</v>
      </c>
      <c r="I15" s="58"/>
    </row>
    <row r="16" customFormat="false" ht="24.75" hidden="false" customHeight="false" outlineLevel="0" collapsed="false">
      <c r="A16" s="58"/>
      <c r="E16" s="667" t="s">
        <v>877</v>
      </c>
      <c r="F16" s="547"/>
      <c r="G16" s="671" t="n">
        <f aca="false">Assumptions!$B$46</f>
        <v>37.9553195594923</v>
      </c>
      <c r="H16" s="671" t="n">
        <f aca="false">Assumptions!$B$46</f>
        <v>37.9553195594923</v>
      </c>
      <c r="I16" s="58"/>
    </row>
    <row r="17" customFormat="false" ht="20.25" hidden="false" customHeight="false" outlineLevel="0" collapsed="false">
      <c r="A17" s="58"/>
      <c r="E17" s="667" t="s">
        <v>55</v>
      </c>
      <c r="F17" s="672"/>
      <c r="G17" s="673" t="n">
        <f aca="false">+G13+G15+G16</f>
        <v>173.364623214425</v>
      </c>
      <c r="H17" s="673" t="n">
        <f aca="false">+H13+H15+H16</f>
        <v>213.364623214425</v>
      </c>
      <c r="I17" s="58"/>
    </row>
    <row r="18" customFormat="false" ht="15" hidden="false" customHeight="false" outlineLevel="0" collapsed="false">
      <c r="A18" s="58"/>
      <c r="E18" s="95"/>
      <c r="F18" s="95"/>
      <c r="G18" s="95"/>
      <c r="H18" s="95"/>
      <c r="I18" s="58"/>
    </row>
    <row r="19" customFormat="false" ht="15" hidden="false" customHeight="false" outlineLevel="0" collapsed="false">
      <c r="E19" s="111"/>
      <c r="F19" s="111"/>
      <c r="G19" s="111"/>
      <c r="H19" s="111"/>
    </row>
    <row r="22" customFormat="false" ht="12.75" hidden="false" customHeight="false" outlineLevel="0" collapsed="false">
      <c r="G22" s="60"/>
    </row>
  </sheetData>
  <mergeCells count="1">
    <mergeCell ref="G9:H9"/>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6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30" activeCellId="0" sqref="A30"/>
    </sheetView>
  </sheetViews>
  <sheetFormatPr defaultColWidth="9.0546875" defaultRowHeight="12.75" customHeight="true" zeroHeight="false" outlineLevelRow="0" outlineLevelCol="0"/>
  <cols>
    <col collapsed="false" customWidth="true" hidden="false" outlineLevel="0" max="1" min="1" style="0" width="3.7"/>
    <col collapsed="false" customWidth="true" hidden="false" outlineLevel="0" max="2" min="2" style="0" width="12.7"/>
    <col collapsed="false" customWidth="true" hidden="false" outlineLevel="0" max="4" min="3" style="0" width="10.28"/>
    <col collapsed="false" customWidth="true" hidden="false" outlineLevel="0" max="14" min="5" style="0" width="11.99"/>
    <col collapsed="false" customWidth="true" hidden="false" outlineLevel="0" max="19" min="18" style="58" width="9.14"/>
  </cols>
  <sheetData>
    <row r="1" customFormat="false" ht="28.5" hidden="false" customHeight="false" outlineLevel="0" collapsed="false">
      <c r="A1" s="674" t="s">
        <v>0</v>
      </c>
      <c r="B1" s="112"/>
      <c r="C1" s="112"/>
      <c r="D1" s="113"/>
      <c r="E1" s="113"/>
      <c r="F1" s="113"/>
      <c r="G1" s="140"/>
      <c r="H1" s="4"/>
      <c r="I1" s="4"/>
      <c r="J1" s="4"/>
      <c r="K1" s="4"/>
      <c r="L1" s="4"/>
      <c r="M1" s="675" t="s">
        <v>948</v>
      </c>
      <c r="N1" s="4"/>
      <c r="O1" s="4"/>
      <c r="P1" s="4"/>
      <c r="Q1" s="4"/>
    </row>
    <row r="2" customFormat="false" ht="26.25" hidden="false" customHeight="false" outlineLevel="0" collapsed="false">
      <c r="A2" s="269"/>
      <c r="B2" s="270"/>
      <c r="C2" s="270"/>
      <c r="D2" s="271"/>
      <c r="E2" s="271"/>
      <c r="F2" s="271"/>
      <c r="G2" s="272"/>
    </row>
    <row r="3" customFormat="false" ht="26.25" hidden="false" customHeight="false" outlineLevel="0" collapsed="false">
      <c r="A3" s="269"/>
      <c r="B3" s="270"/>
      <c r="C3" s="270"/>
      <c r="D3" s="271"/>
      <c r="E3" s="271"/>
      <c r="F3" s="271"/>
      <c r="G3" s="272"/>
      <c r="N3" s="248"/>
      <c r="O3" s="248" t="s">
        <v>110</v>
      </c>
    </row>
    <row r="4" customFormat="false" ht="26.25" hidden="false" customHeight="false" outlineLevel="0" collapsed="false">
      <c r="A4" s="269"/>
      <c r="B4" s="270"/>
      <c r="C4" s="270"/>
      <c r="D4" s="271"/>
      <c r="E4" s="271"/>
      <c r="F4" s="271"/>
      <c r="G4" s="272"/>
    </row>
    <row r="5" customFormat="false" ht="15" hidden="false" customHeight="false" outlineLevel="0" collapsed="false">
      <c r="B5" s="676" t="s">
        <v>949</v>
      </c>
      <c r="C5" s="32"/>
      <c r="D5" s="32"/>
      <c r="E5" s="32"/>
      <c r="F5" s="32"/>
      <c r="G5" s="32"/>
      <c r="H5" s="32"/>
      <c r="I5" s="677" t="s">
        <v>111</v>
      </c>
      <c r="J5" s="677" t="s">
        <v>112</v>
      </c>
      <c r="K5" s="32"/>
      <c r="L5" s="32"/>
      <c r="M5" s="32"/>
      <c r="N5" s="32"/>
    </row>
    <row r="6" customFormat="false" ht="15" hidden="false" customHeight="false" outlineLevel="0" collapsed="false">
      <c r="B6" s="32"/>
      <c r="C6" s="32"/>
      <c r="D6" s="32"/>
      <c r="E6" s="678" t="n">
        <v>1997</v>
      </c>
      <c r="F6" s="679" t="n">
        <v>1998</v>
      </c>
      <c r="G6" s="679" t="n">
        <v>1999</v>
      </c>
      <c r="H6" s="679" t="n">
        <v>2000</v>
      </c>
      <c r="I6" s="680" t="n">
        <v>2001</v>
      </c>
      <c r="J6" s="679" t="n">
        <v>2001</v>
      </c>
      <c r="K6" s="679" t="n">
        <v>2002</v>
      </c>
      <c r="L6" s="679" t="n">
        <v>2003</v>
      </c>
      <c r="M6" s="679" t="n">
        <v>2004</v>
      </c>
      <c r="N6" s="681" t="n">
        <v>2005</v>
      </c>
    </row>
    <row r="7" customFormat="false" ht="14.25" hidden="false" customHeight="false" outlineLevel="0" collapsed="false">
      <c r="B7" s="32" t="s">
        <v>950</v>
      </c>
      <c r="C7" s="32"/>
      <c r="D7" s="32"/>
      <c r="E7" s="682" t="n">
        <f aca="false">('Income Statement'!C8+'Income Statement'!C9+'Income Statement'!C11)/1000</f>
        <v>2100.53</v>
      </c>
      <c r="F7" s="682" t="n">
        <f aca="false">('Income Statement'!D8+'Income Statement'!D9+'Income Statement'!D11)/1000</f>
        <v>1382.266</v>
      </c>
      <c r="G7" s="682" t="n">
        <f aca="false">('Income Statement'!E8+'Income Statement'!E9+'Income Statement'!E11)/1000</f>
        <v>1481.284</v>
      </c>
      <c r="H7" s="682" t="n">
        <f aca="false">('Income Statement'!F8+'Income Statement'!F9+'Income Statement'!F11)/1000</f>
        <v>2447.775</v>
      </c>
      <c r="I7" s="683" t="n">
        <f aca="false">('Income Statement'!G8+'Income Statement'!G9+'Income Statement'!G11)/1000</f>
        <v>1021.30358333333</v>
      </c>
      <c r="J7" s="682" t="n">
        <f aca="false">('Income Statement'!H8+'Income Statement'!H9+'Income Statement'!H11)/1000</f>
        <v>990.445833333333</v>
      </c>
      <c r="K7" s="682" t="n">
        <f aca="false">('Income Statement'!J8+'Income Statement'!J9+'Income Statement'!J11)/1000</f>
        <v>2054.92721333333</v>
      </c>
      <c r="L7" s="682" t="n">
        <f aca="false">('Income Statement'!K8+'Income Statement'!K9+'Income Statement'!K11)/1000</f>
        <v>2092.71118186667</v>
      </c>
      <c r="M7" s="682" t="n">
        <f aca="false">('Income Statement'!L8+'Income Statement'!L9+'Income Statement'!L11)/1000</f>
        <v>2171.08706914133</v>
      </c>
      <c r="N7" s="682" t="n">
        <f aca="false">('Income Statement'!M8+'Income Statement'!M9+'Income Statement'!M11)/1000</f>
        <v>2246.99799190699</v>
      </c>
    </row>
    <row r="8" customFormat="false" ht="14.25" hidden="false" customHeight="false" outlineLevel="0" collapsed="false">
      <c r="B8" s="32" t="s">
        <v>306</v>
      </c>
      <c r="C8" s="32"/>
      <c r="D8" s="32"/>
      <c r="E8" s="684" t="n">
        <f aca="false">-('Income Statement'!C20-'Cash Flow '!C10-'Income Statement'!C18-'Income Statement'!C19)/1000</f>
        <v>-2060.406</v>
      </c>
      <c r="F8" s="684" t="n">
        <f aca="false">-('Income Statement'!D20-'Cash Flow '!D10-'Income Statement'!D18-'Income Statement'!D19)/1000</f>
        <v>-1333.072</v>
      </c>
      <c r="G8" s="684" t="n">
        <f aca="false">-('Income Statement'!E20-'Cash Flow '!E10-'Income Statement'!E18-'Income Statement'!E19)/1000</f>
        <v>-1417.278</v>
      </c>
      <c r="H8" s="684" t="n">
        <f aca="false">-('Income Statement'!F20-'Cash Flow '!F10-'Income Statement'!F18-'Income Statement'!F19)/1000</f>
        <v>-2349.864</v>
      </c>
      <c r="I8" s="685" t="n">
        <f aca="false">-('Income Statement'!G20-'Cash Flow '!G10-'Income Statement'!G18-'Income Statement'!G19)/1000</f>
        <v>-980.45144</v>
      </c>
      <c r="J8" s="684" t="n">
        <f aca="false">-('Income Statement'!H20-'Cash Flow '!H10-'Income Statement'!H18-'Income Statement'!H19)/1000</f>
        <v>-950.828</v>
      </c>
      <c r="K8" s="684" t="n">
        <f aca="false">-('Income Statement'!J20-'Cash Flow '!J10-'Income Statement'!J18-'Income Statement'!J19)/1000</f>
        <v>-1972.7301248</v>
      </c>
      <c r="L8" s="684" t="n">
        <f aca="false">-('Income Statement'!K20-'Cash Flow '!K10-'Income Statement'!K18-'Income Statement'!K19)/1000</f>
        <v>-2009.002734592</v>
      </c>
      <c r="M8" s="684" t="n">
        <f aca="false">-('Income Statement'!L20-'Cash Flow '!L10-'Income Statement'!L18-'Income Statement'!L19)/1000</f>
        <v>-2084.24358637568</v>
      </c>
      <c r="N8" s="684" t="n">
        <f aca="false">-('Income Statement'!M20-'Cash Flow '!M10-'Income Statement'!M18-'Income Statement'!M19)/1000</f>
        <v>-2157.11807223071</v>
      </c>
    </row>
    <row r="9" customFormat="false" ht="14.25" hidden="false" customHeight="false" outlineLevel="0" collapsed="false">
      <c r="B9" s="32" t="s">
        <v>951</v>
      </c>
      <c r="C9" s="32"/>
      <c r="D9" s="32"/>
      <c r="E9" s="686" t="n">
        <f aca="false">+'Income Statement'!C26/1000</f>
        <v>0</v>
      </c>
      <c r="F9" s="686" t="n">
        <f aca="false">+'Income Statement'!D26/1000</f>
        <v>0</v>
      </c>
      <c r="G9" s="686" t="n">
        <f aca="false">+'Income Statement'!E26/1000</f>
        <v>0</v>
      </c>
      <c r="H9" s="686" t="n">
        <f aca="false">+'Income Statement'!F26/1000</f>
        <v>0</v>
      </c>
      <c r="I9" s="687" t="n">
        <f aca="false">+'Income Statement'!G26/1000</f>
        <v>0</v>
      </c>
      <c r="J9" s="686" t="n">
        <f aca="false">+'Income Statement'!H26/1000</f>
        <v>0</v>
      </c>
      <c r="K9" s="686" t="n">
        <f aca="false">+'Income Statement'!J26/1000</f>
        <v>7.13947066666667</v>
      </c>
      <c r="L9" s="686" t="n">
        <f aca="false">+'Income Statement'!K26/1000</f>
        <v>14.4500989866667</v>
      </c>
      <c r="M9" s="686" t="n">
        <f aca="false">+'Income Statement'!L26/1000</f>
        <v>21.9421544192</v>
      </c>
      <c r="N9" s="686" t="n">
        <f aca="false">+'Income Statement'!M26/1000</f>
        <v>29.6264541279573</v>
      </c>
    </row>
    <row r="10" customFormat="false" ht="14.25" hidden="false" customHeight="false" outlineLevel="0" collapsed="false">
      <c r="B10" s="32" t="s">
        <v>262</v>
      </c>
      <c r="C10" s="32"/>
      <c r="D10" s="32"/>
      <c r="E10" s="684" t="n">
        <f aca="false">SUM(E7:E9)</f>
        <v>40.1240000000003</v>
      </c>
      <c r="F10" s="684" t="n">
        <f aca="false">SUM(F7:F9)</f>
        <v>49.1940000000002</v>
      </c>
      <c r="G10" s="684" t="n">
        <f aca="false">SUM(G7:G9)</f>
        <v>64.0060000000001</v>
      </c>
      <c r="H10" s="684" t="n">
        <f aca="false">SUM(H7:H9)</f>
        <v>97.9110000000001</v>
      </c>
      <c r="I10" s="685" t="n">
        <f aca="false">SUM(I7:I9)</f>
        <v>40.8521433333334</v>
      </c>
      <c r="J10" s="684" t="n">
        <f aca="false">SUM(J7:J9)</f>
        <v>39.6178333333334</v>
      </c>
      <c r="K10" s="684" t="n">
        <f aca="false">SUM(K7:K9)</f>
        <v>89.3365591999999</v>
      </c>
      <c r="L10" s="684" t="n">
        <f aca="false">SUM(L7:L9)</f>
        <v>98.1585462613334</v>
      </c>
      <c r="M10" s="684" t="n">
        <f aca="false">SUM(M7:M9)</f>
        <v>108.785637184853</v>
      </c>
      <c r="N10" s="684" t="n">
        <f aca="false">SUM(N7:N9)</f>
        <v>119.506373804237</v>
      </c>
    </row>
    <row r="11" customFormat="false" ht="14.25" hidden="false" customHeight="false" outlineLevel="0" collapsed="false">
      <c r="B11" s="32"/>
      <c r="C11" s="32"/>
      <c r="D11" s="32"/>
      <c r="E11" s="688"/>
      <c r="F11" s="688"/>
      <c r="G11" s="688"/>
      <c r="H11" s="688"/>
      <c r="I11" s="689"/>
      <c r="J11" s="688"/>
      <c r="K11" s="688"/>
      <c r="L11" s="688"/>
      <c r="M11" s="688"/>
      <c r="N11" s="688"/>
    </row>
    <row r="12" customFormat="false" ht="14.25" hidden="false" customHeight="false" outlineLevel="0" collapsed="false">
      <c r="B12" s="32" t="s">
        <v>952</v>
      </c>
      <c r="C12" s="32"/>
      <c r="D12" s="32"/>
      <c r="E12" s="686" t="n">
        <f aca="false">-'Income Statement'!C18/1000</f>
        <v>-40.458</v>
      </c>
      <c r="F12" s="686" t="n">
        <f aca="false">-'Income Statement'!D18/1000</f>
        <v>-39.227</v>
      </c>
      <c r="G12" s="686" t="n">
        <f aca="false">-'Income Statement'!E18/1000</f>
        <v>-45.703</v>
      </c>
      <c r="H12" s="686" t="n">
        <f aca="false">-'Income Statement'!F18/1000</f>
        <v>-61.502</v>
      </c>
      <c r="I12" s="687" t="n">
        <f aca="false">-'Income Statement'!G18/1000</f>
        <v>-21.599</v>
      </c>
      <c r="J12" s="686" t="n">
        <f aca="false">-'Income Statement'!H18/1000</f>
        <v>-22.8534786666667</v>
      </c>
      <c r="K12" s="686" t="n">
        <f aca="false">-'Income Statement'!J18/1000</f>
        <v>-46.2323946666667</v>
      </c>
      <c r="L12" s="686" t="n">
        <f aca="false">-'Income Statement'!K18/1000</f>
        <v>-46.4651454933333</v>
      </c>
      <c r="M12" s="686" t="n">
        <f aca="false">-'Income Statement'!L18/1000</f>
        <v>-47.0198508330667</v>
      </c>
      <c r="N12" s="686" t="n">
        <f aca="false">-'Income Statement'!M18/1000</f>
        <v>-47.5519443863893</v>
      </c>
    </row>
    <row r="13" customFormat="false" ht="14.25" hidden="false" customHeight="false" outlineLevel="0" collapsed="false">
      <c r="B13" s="32" t="s">
        <v>68</v>
      </c>
      <c r="C13" s="32"/>
      <c r="D13" s="32"/>
      <c r="E13" s="682" t="n">
        <f aca="false">SUM(E10:E12)</f>
        <v>-0.333999999999747</v>
      </c>
      <c r="F13" s="682" t="n">
        <f aca="false">SUM(F10:F12)</f>
        <v>9.96700000000019</v>
      </c>
      <c r="G13" s="682" t="n">
        <f aca="false">SUM(G10:G12)</f>
        <v>18.3030000000001</v>
      </c>
      <c r="H13" s="682" t="n">
        <f aca="false">SUM(H10:H12)</f>
        <v>36.4090000000001</v>
      </c>
      <c r="I13" s="683" t="n">
        <f aca="false">SUM(I10:I12)</f>
        <v>19.2531433333334</v>
      </c>
      <c r="J13" s="682" t="n">
        <f aca="false">SUM(J10:J12)</f>
        <v>16.7643546666667</v>
      </c>
      <c r="K13" s="682" t="n">
        <f aca="false">SUM(K10:K12)</f>
        <v>43.1041645333333</v>
      </c>
      <c r="L13" s="682" t="n">
        <f aca="false">SUM(L10:L12)</f>
        <v>51.693400768</v>
      </c>
      <c r="M13" s="682" t="n">
        <f aca="false">SUM(M10:M12)</f>
        <v>61.7657863517867</v>
      </c>
      <c r="N13" s="682" t="n">
        <f aca="false">SUM(N10:N12)</f>
        <v>71.9544294178478</v>
      </c>
    </row>
    <row r="14" customFormat="false" ht="14.25" hidden="false" customHeight="false" outlineLevel="0" collapsed="false">
      <c r="B14" s="32"/>
      <c r="C14" s="32"/>
      <c r="D14" s="32"/>
      <c r="E14" s="682"/>
      <c r="F14" s="682"/>
      <c r="G14" s="682"/>
      <c r="H14" s="682"/>
      <c r="I14" s="683"/>
      <c r="J14" s="682"/>
      <c r="K14" s="682"/>
      <c r="L14" s="682"/>
      <c r="M14" s="682"/>
      <c r="N14" s="682"/>
    </row>
    <row r="15" customFormat="false" ht="14.25" hidden="false" customHeight="false" outlineLevel="0" collapsed="false">
      <c r="B15" s="690" t="s">
        <v>953</v>
      </c>
      <c r="C15" s="32"/>
      <c r="D15" s="32"/>
      <c r="E15" s="682"/>
      <c r="F15" s="691" t="n">
        <f aca="false">+'Sea-3 NH '!F22/1000</f>
        <v>5.4768161</v>
      </c>
      <c r="G15" s="691" t="n">
        <f aca="false">+'Sea-3 NH '!G22/1000</f>
        <v>5.5224328</v>
      </c>
      <c r="H15" s="691" t="n">
        <f aca="false">+('Sea-3 NH '!H22+'Sea-3 Tampa'!H21)/1000</f>
        <v>6.8370776</v>
      </c>
      <c r="I15" s="692" t="n">
        <f aca="false">+('Sea-3 NH '!I22+'Sea-3 Tampa'!I21)/1000</f>
        <v>4.4727224</v>
      </c>
      <c r="J15" s="693" t="n">
        <f aca="false">+('Sea-3 NH '!J22+'Sea-3 Tampa'!J21)/1000</f>
        <v>4.43006</v>
      </c>
      <c r="K15" s="691" t="n">
        <f aca="false">+('Sea-3 NH '!K22+'Sea-3 Tampa'!K21)/1000</f>
        <v>9.04226666666667</v>
      </c>
      <c r="L15" s="691" t="n">
        <f aca="false">+('Sea-3 NH '!L22+'Sea-3 Tampa'!L21)/1000</f>
        <v>7.62743253333333</v>
      </c>
      <c r="M15" s="691" t="n">
        <f aca="false">+('Sea-3 NH '!M22+'Sea-3 Tampa'!M21)/1000</f>
        <v>7.71922743466667</v>
      </c>
      <c r="N15" s="691" t="n">
        <f aca="false">+('Sea-3 NH '!N22+'Sea-3 Tampa'!N21)/1000</f>
        <v>7.59069413205333</v>
      </c>
    </row>
    <row r="16" customFormat="false" ht="14.25" hidden="false" customHeight="false" outlineLevel="0" collapsed="false">
      <c r="B16" s="690" t="s">
        <v>954</v>
      </c>
      <c r="C16" s="32"/>
      <c r="D16" s="32"/>
      <c r="E16" s="682"/>
      <c r="F16" s="691" t="n">
        <f aca="false">+'Rail Ops'!F18/1000</f>
        <v>3.18</v>
      </c>
      <c r="G16" s="691" t="n">
        <f aca="false">+'Rail Ops'!G18/1000</f>
        <v>3.364</v>
      </c>
      <c r="H16" s="691" t="n">
        <f aca="false">+'Rail Ops'!H18/1000</f>
        <v>3.858</v>
      </c>
      <c r="I16" s="692" t="n">
        <f aca="false">+'Rail Ops'!I18/1000</f>
        <v>1.72675</v>
      </c>
      <c r="J16" s="693" t="n">
        <f aca="false">+'Rail Ops'!J18/1000</f>
        <v>1.72675</v>
      </c>
      <c r="K16" s="691" t="n">
        <f aca="false">+'Rail Ops'!K18/1000</f>
        <v>3.4535</v>
      </c>
      <c r="L16" s="691" t="n">
        <f aca="false">+'Rail Ops'!L18/1000</f>
        <v>3.42574</v>
      </c>
      <c r="M16" s="691" t="n">
        <f aca="false">+'Rail Ops'!M18/1000</f>
        <v>3.3968696</v>
      </c>
      <c r="N16" s="691" t="n">
        <f aca="false">+'Rail Ops'!N18/1000</f>
        <v>3.366844384</v>
      </c>
    </row>
    <row r="17" customFormat="false" ht="14.25" hidden="false" customHeight="false" outlineLevel="0" collapsed="false">
      <c r="B17" s="690" t="s">
        <v>955</v>
      </c>
      <c r="C17" s="32"/>
      <c r="D17" s="32"/>
      <c r="E17" s="682"/>
      <c r="F17" s="691" t="n">
        <f aca="false">+F13-F15-F16</f>
        <v>1.31018390000019</v>
      </c>
      <c r="G17" s="691" t="n">
        <f aca="false">+G13-G15-G16</f>
        <v>9.41656720000009</v>
      </c>
      <c r="H17" s="694" t="n">
        <f aca="false">+H13-H15-H16</f>
        <v>25.7139224000001</v>
      </c>
      <c r="I17" s="692" t="n">
        <f aca="false">+I13-I15-I16</f>
        <v>13.0536709333334</v>
      </c>
      <c r="J17" s="693" t="n">
        <f aca="false">+J13-J15-J16</f>
        <v>10.6075446666667</v>
      </c>
      <c r="K17" s="691" t="n">
        <f aca="false">+K13-K15-K16</f>
        <v>30.6083978666666</v>
      </c>
      <c r="L17" s="691" t="n">
        <f aca="false">+L13-L15-L16</f>
        <v>40.6402282346667</v>
      </c>
      <c r="M17" s="691" t="n">
        <f aca="false">+M13-M15-M16</f>
        <v>50.64968931712</v>
      </c>
      <c r="N17" s="691" t="n">
        <f aca="false">+N13-N15-N16</f>
        <v>60.9968909017944</v>
      </c>
    </row>
    <row r="18" customFormat="false" ht="14.25" hidden="false" customHeight="false" outlineLevel="0" collapsed="false">
      <c r="B18" s="32"/>
      <c r="C18" s="32"/>
      <c r="D18" s="32"/>
      <c r="E18" s="682"/>
      <c r="F18" s="682"/>
      <c r="G18" s="682"/>
      <c r="H18" s="682"/>
      <c r="I18" s="683"/>
      <c r="J18" s="682"/>
      <c r="K18" s="682"/>
      <c r="L18" s="682"/>
      <c r="M18" s="682"/>
      <c r="N18" s="682"/>
    </row>
    <row r="19" customFormat="false" ht="14.25" hidden="false" customHeight="false" outlineLevel="0" collapsed="false">
      <c r="B19" s="32" t="s">
        <v>122</v>
      </c>
      <c r="C19" s="32"/>
      <c r="D19" s="32"/>
      <c r="E19" s="688" t="n">
        <f aca="false">-'Cash Flow '!C10/1000</f>
        <v>-2.799</v>
      </c>
      <c r="F19" s="688" t="n">
        <f aca="false">-'Cash Flow '!D10/1000</f>
        <v>-2.895</v>
      </c>
      <c r="G19" s="688" t="n">
        <f aca="false">-'Cash Flow '!E10/1000</f>
        <v>-2.146</v>
      </c>
      <c r="H19" s="688" t="n">
        <f aca="false">-'Cash Flow '!F10/1000</f>
        <v>-3.3</v>
      </c>
      <c r="I19" s="689" t="n">
        <f aca="false">-'Cash Flow '!G10/1000</f>
        <v>-1.33293172758222</v>
      </c>
      <c r="J19" s="688" t="n">
        <f aca="false">-'Cash Flow '!H10/1000</f>
        <v>-1.8450399427051</v>
      </c>
      <c r="K19" s="688" t="n">
        <f aca="false">-'Cash Flow '!J10/1000</f>
        <v>-3.70674655207688</v>
      </c>
      <c r="L19" s="688" t="n">
        <f aca="false">-'Cash Flow '!K10/1000</f>
        <v>-3.72341321874354</v>
      </c>
      <c r="M19" s="688" t="n">
        <f aca="false">-'Cash Flow '!L10/1000</f>
        <v>-3.74007988541021</v>
      </c>
      <c r="N19" s="688" t="n">
        <f aca="false">-'Cash Flow '!M10/1000</f>
        <v>-3.75674655207688</v>
      </c>
    </row>
    <row r="20" customFormat="false" ht="14.25" hidden="false" customHeight="false" outlineLevel="0" collapsed="false">
      <c r="B20" s="32" t="s">
        <v>176</v>
      </c>
      <c r="C20" s="32"/>
      <c r="D20" s="32"/>
      <c r="E20" s="682" t="n">
        <f aca="false">E13+E19</f>
        <v>-3.13299999999975</v>
      </c>
      <c r="F20" s="682" t="n">
        <f aca="false">F13+F19</f>
        <v>7.07200000000019</v>
      </c>
      <c r="G20" s="682" t="n">
        <f aca="false">G13+G19</f>
        <v>16.1570000000001</v>
      </c>
      <c r="H20" s="682" t="n">
        <f aca="false">H13+H19</f>
        <v>33.1090000000001</v>
      </c>
      <c r="I20" s="683" t="n">
        <f aca="false">I13+I19</f>
        <v>17.9202116057512</v>
      </c>
      <c r="J20" s="682" t="n">
        <f aca="false">J13+J19</f>
        <v>14.9193147239616</v>
      </c>
      <c r="K20" s="682" t="n">
        <f aca="false">K13+K19</f>
        <v>39.3974179812564</v>
      </c>
      <c r="L20" s="682" t="n">
        <f aca="false">L13+L19</f>
        <v>47.9699875492565</v>
      </c>
      <c r="M20" s="682" t="n">
        <f aca="false">M13+M19</f>
        <v>58.0257064663765</v>
      </c>
      <c r="N20" s="682" t="n">
        <f aca="false">N13+N19</f>
        <v>68.1976828657709</v>
      </c>
    </row>
    <row r="21" customFormat="false" ht="14.25" hidden="false" customHeight="false" outlineLevel="0" collapsed="false">
      <c r="B21" s="32"/>
      <c r="C21" s="32"/>
      <c r="D21" s="32"/>
      <c r="E21" s="682"/>
      <c r="F21" s="682"/>
      <c r="G21" s="682"/>
      <c r="H21" s="682"/>
      <c r="I21" s="683"/>
      <c r="J21" s="682"/>
      <c r="K21" s="682"/>
      <c r="L21" s="682"/>
      <c r="M21" s="682"/>
      <c r="N21" s="682"/>
    </row>
    <row r="22" customFormat="false" ht="14.25" hidden="false" customHeight="false" outlineLevel="0" collapsed="false">
      <c r="B22" s="32" t="s">
        <v>358</v>
      </c>
      <c r="C22" s="32"/>
      <c r="D22" s="32"/>
      <c r="E22" s="688" t="n">
        <f aca="false">-+'Income Statement'!C19/1000+'Income Statement'!C10/1000</f>
        <v>-1.786</v>
      </c>
      <c r="F22" s="688" t="n">
        <f aca="false">-+'Income Statement'!D19/1000+'Income Statement'!D10/1000</f>
        <v>-1.547</v>
      </c>
      <c r="G22" s="688" t="n">
        <f aca="false">-+'Income Statement'!E19/1000+'Income Statement'!E10/1000</f>
        <v>-3.148</v>
      </c>
      <c r="H22" s="688" t="n">
        <f aca="false">-+'Income Statement'!F19/1000+'Income Statement'!F10/1000</f>
        <v>-7.978</v>
      </c>
      <c r="I22" s="689" t="n">
        <f aca="false">-+'Income Statement'!G19/1000+'Income Statement'!G10/1000</f>
        <v>-6.097575</v>
      </c>
      <c r="J22" s="688" t="n">
        <f aca="false">-+'Income Statement'!H19/1000+'Income Statement'!H10/1000</f>
        <v>-6.765</v>
      </c>
      <c r="K22" s="688" t="n">
        <f aca="false">-+'Income Statement'!J19/1000+'Income Statement'!J10/1000</f>
        <v>-13.53</v>
      </c>
      <c r="L22" s="688" t="n">
        <f aca="false">-+'Income Statement'!K19/1000+'Income Statement'!K10/1000</f>
        <v>-13.53</v>
      </c>
      <c r="M22" s="688" t="n">
        <f aca="false">-+'Income Statement'!L19/1000+'Income Statement'!L10/1000</f>
        <v>-13.53</v>
      </c>
      <c r="N22" s="688" t="n">
        <f aca="false">-+'Income Statement'!M19/1000+'Income Statement'!M10/1000</f>
        <v>-13.53</v>
      </c>
    </row>
    <row r="23" customFormat="false" ht="14.25" hidden="false" customHeight="false" outlineLevel="0" collapsed="false">
      <c r="B23" s="32" t="s">
        <v>956</v>
      </c>
      <c r="C23" s="32"/>
      <c r="D23" s="32"/>
      <c r="E23" s="682" t="n">
        <f aca="false">E20+E22</f>
        <v>-4.91899999999975</v>
      </c>
      <c r="F23" s="682" t="n">
        <f aca="false">F20+F22</f>
        <v>5.52500000000019</v>
      </c>
      <c r="G23" s="682" t="n">
        <f aca="false">G20+G22</f>
        <v>13.0090000000001</v>
      </c>
      <c r="H23" s="682" t="n">
        <f aca="false">H20+H22</f>
        <v>25.1310000000001</v>
      </c>
      <c r="I23" s="683" t="n">
        <f aca="false">I20+I22</f>
        <v>11.8226366057512</v>
      </c>
      <c r="J23" s="682" t="n">
        <f aca="false">J20+J22</f>
        <v>8.15431472396158</v>
      </c>
      <c r="K23" s="682" t="n">
        <f aca="false">K20+K22</f>
        <v>25.8674179812564</v>
      </c>
      <c r="L23" s="682" t="n">
        <f aca="false">L20+L22</f>
        <v>34.4399875492565</v>
      </c>
      <c r="M23" s="682" t="n">
        <f aca="false">M20+M22</f>
        <v>44.4957064663765</v>
      </c>
      <c r="N23" s="682" t="n">
        <f aca="false">N20+N22</f>
        <v>54.6676828657709</v>
      </c>
    </row>
    <row r="24" customFormat="false" ht="14.25" hidden="false" customHeight="false" outlineLevel="0" collapsed="false">
      <c r="B24" s="32"/>
      <c r="C24" s="32"/>
      <c r="D24" s="32"/>
      <c r="E24" s="682"/>
      <c r="F24" s="682"/>
      <c r="G24" s="682"/>
      <c r="H24" s="682"/>
      <c r="I24" s="683"/>
      <c r="J24" s="682"/>
      <c r="K24" s="682"/>
      <c r="L24" s="682"/>
      <c r="M24" s="682"/>
      <c r="N24" s="682"/>
    </row>
    <row r="25" customFormat="false" ht="14.25" hidden="false" customHeight="false" outlineLevel="0" collapsed="false">
      <c r="B25" s="32" t="s">
        <v>296</v>
      </c>
      <c r="C25" s="32"/>
      <c r="D25" s="32"/>
      <c r="E25" s="688" t="n">
        <f aca="false">-'Income Statement'!C33/1000</f>
        <v>28.976</v>
      </c>
      <c r="F25" s="688" t="n">
        <f aca="false">-'Income Statement'!D33/1000</f>
        <v>-0.5</v>
      </c>
      <c r="G25" s="688" t="n">
        <f aca="false">-'Income Statement'!E33/1000</f>
        <v>-1.436</v>
      </c>
      <c r="H25" s="688" t="n">
        <f aca="false">-'Income Statement'!F33/1000</f>
        <v>-2.403</v>
      </c>
      <c r="I25" s="689" t="n">
        <f aca="false">-'Income Statement'!G33/1000</f>
        <v>-4.13792281201293</v>
      </c>
      <c r="J25" s="688" t="n">
        <f aca="false">-'Income Statement'!H33/1000</f>
        <v>-2.85401015338657</v>
      </c>
      <c r="K25" s="688" t="n">
        <f aca="false">-'Income Statement'!J33/1000</f>
        <v>-9.05359629343983</v>
      </c>
      <c r="L25" s="688" t="n">
        <f aca="false">-'Income Statement'!K33/1000</f>
        <v>-12.0539956422398</v>
      </c>
      <c r="M25" s="688" t="n">
        <f aca="false">-'Income Statement'!L33/1000</f>
        <v>-15.5734972632319</v>
      </c>
      <c r="N25" s="688" t="n">
        <f aca="false">-'Income Statement'!M33/1000</f>
        <v>-19.1336890030198</v>
      </c>
    </row>
    <row r="26" customFormat="false" ht="14.25" hidden="false" customHeight="false" outlineLevel="0" collapsed="false">
      <c r="B26" s="32" t="s">
        <v>65</v>
      </c>
      <c r="C26" s="32"/>
      <c r="D26" s="32"/>
      <c r="E26" s="695" t="n">
        <f aca="false">E23+E25</f>
        <v>24.0570000000003</v>
      </c>
      <c r="F26" s="695" t="n">
        <f aca="false">F23+F25</f>
        <v>5.02500000000019</v>
      </c>
      <c r="G26" s="695" t="n">
        <f aca="false">G23+G25</f>
        <v>11.5730000000001</v>
      </c>
      <c r="H26" s="695" t="n">
        <f aca="false">H23+H25</f>
        <v>22.7280000000001</v>
      </c>
      <c r="I26" s="696" t="n">
        <f aca="false">I23+I25</f>
        <v>7.68471379373825</v>
      </c>
      <c r="J26" s="695" t="n">
        <f aca="false">J23+J25</f>
        <v>5.30030457057501</v>
      </c>
      <c r="K26" s="695" t="n">
        <f aca="false">K23+K25</f>
        <v>16.8138216878166</v>
      </c>
      <c r="L26" s="695" t="n">
        <f aca="false">L23+L25</f>
        <v>22.3859919070167</v>
      </c>
      <c r="M26" s="695" t="n">
        <f aca="false">M23+M25</f>
        <v>28.9222092031446</v>
      </c>
      <c r="N26" s="695" t="n">
        <f aca="false">N23+N25</f>
        <v>35.5339938627511</v>
      </c>
    </row>
    <row r="27" customFormat="false" ht="14.25" hidden="false" customHeight="false" outlineLevel="0" collapsed="false">
      <c r="B27" s="32"/>
      <c r="C27" s="32"/>
      <c r="D27" s="32"/>
      <c r="E27" s="697"/>
      <c r="F27" s="697"/>
      <c r="G27" s="697"/>
      <c r="H27" s="698"/>
      <c r="I27" s="699"/>
      <c r="J27" s="697"/>
      <c r="K27" s="32"/>
      <c r="L27" s="32"/>
      <c r="M27" s="32"/>
      <c r="N27" s="32"/>
    </row>
    <row r="28" customFormat="false" ht="14.25" hidden="false" customHeight="false" outlineLevel="0" collapsed="false">
      <c r="B28" s="32" t="s">
        <v>957</v>
      </c>
      <c r="C28" s="32"/>
      <c r="D28" s="32"/>
      <c r="E28" s="682" t="n">
        <f aca="false">-E19</f>
        <v>2.799</v>
      </c>
      <c r="F28" s="682" t="n">
        <f aca="false">-F19</f>
        <v>2.895</v>
      </c>
      <c r="G28" s="682" t="n">
        <f aca="false">-G19</f>
        <v>2.146</v>
      </c>
      <c r="H28" s="682" t="n">
        <f aca="false">-H19</f>
        <v>3.3</v>
      </c>
      <c r="I28" s="683" t="n">
        <f aca="false">-I19</f>
        <v>1.33293172758222</v>
      </c>
      <c r="J28" s="682" t="n">
        <f aca="false">-J19</f>
        <v>1.8450399427051</v>
      </c>
      <c r="K28" s="682" t="n">
        <f aca="false">-K19</f>
        <v>3.70674655207688</v>
      </c>
      <c r="L28" s="682" t="n">
        <f aca="false">-L19</f>
        <v>3.72341321874354</v>
      </c>
      <c r="M28" s="682" t="n">
        <f aca="false">-M19</f>
        <v>3.74007988541021</v>
      </c>
      <c r="N28" s="682" t="n">
        <f aca="false">-N19</f>
        <v>3.75674655207688</v>
      </c>
    </row>
    <row r="29" customFormat="false" ht="14.25" hidden="false" customHeight="false" outlineLevel="0" collapsed="false">
      <c r="B29" s="32" t="s">
        <v>958</v>
      </c>
      <c r="C29" s="32"/>
      <c r="D29" s="32"/>
      <c r="E29" s="700" t="n">
        <f aca="false">'Income Statement'!C32/1000</f>
        <v>-31.672</v>
      </c>
      <c r="F29" s="700" t="n">
        <f aca="false">'Income Statement'!D32/1000</f>
        <v>-0.19</v>
      </c>
      <c r="G29" s="700" t="n">
        <f aca="false">'Income Statement'!E32/1000</f>
        <v>-0.885</v>
      </c>
      <c r="H29" s="700" t="n">
        <f aca="false">-'Income Statement'!F32/1000</f>
        <v>-0</v>
      </c>
      <c r="I29" s="701" t="n">
        <f aca="false">-'Income Statement'!G32/1000</f>
        <v>-1.36256086476402</v>
      </c>
      <c r="J29" s="700" t="n">
        <f aca="false">-'Income Statement'!H32/1000</f>
        <v>-1.83220109815198</v>
      </c>
      <c r="K29" s="700" t="n">
        <f aca="false">-'Income Statement'!J32/1000</f>
        <v>-6.53871612345173</v>
      </c>
      <c r="L29" s="700" t="n">
        <f aca="false">-'Income Statement'!K32/1000</f>
        <v>-4.61633065057254</v>
      </c>
      <c r="M29" s="700" t="n">
        <f aca="false">-'Income Statement'!L32/1000</f>
        <v>-3.24152650327788</v>
      </c>
      <c r="N29" s="700" t="n">
        <f aca="false">-'Income Statement'!M32/1000</f>
        <v>-2.26105091040408</v>
      </c>
    </row>
    <row r="30" customFormat="false" ht="14.25" hidden="false" customHeight="false" outlineLevel="0" collapsed="false">
      <c r="B30" s="32" t="s">
        <v>959</v>
      </c>
      <c r="C30" s="32"/>
      <c r="D30" s="32"/>
      <c r="E30" s="688" t="n">
        <f aca="false">'Cash Flow '!C27/1000</f>
        <v>-5.612</v>
      </c>
      <c r="F30" s="688" t="n">
        <f aca="false">'Cash Flow '!D27/1000</f>
        <v>-6.246</v>
      </c>
      <c r="G30" s="688" t="n">
        <f aca="false">'Cash Flow '!E27/1000</f>
        <v>-11.574</v>
      </c>
      <c r="H30" s="688" t="n">
        <f aca="false">'Cash Flow '!F27/1000</f>
        <v>-8</v>
      </c>
      <c r="I30" s="689" t="n">
        <f aca="false">'Cash Flow '!G27/1000</f>
        <v>0</v>
      </c>
      <c r="J30" s="688" t="n">
        <f aca="false">'Cash Flow '!H27/1000</f>
        <v>-0.25</v>
      </c>
      <c r="K30" s="688" t="n">
        <f aca="false">'Cash Flow '!J27/1000</f>
        <v>-0.5</v>
      </c>
      <c r="L30" s="688" t="n">
        <f aca="false">'Cash Flow '!K27/1000</f>
        <v>-0.5</v>
      </c>
      <c r="M30" s="688" t="n">
        <f aca="false">'Cash Flow '!L27/1000</f>
        <v>-0.5</v>
      </c>
      <c r="N30" s="688" t="n">
        <f aca="false">'Cash Flow '!M27/1000</f>
        <v>-0.5</v>
      </c>
    </row>
    <row r="31" customFormat="false" ht="14.25" hidden="false" customHeight="false" outlineLevel="0" collapsed="false">
      <c r="B31" s="32" t="s">
        <v>66</v>
      </c>
      <c r="C31" s="32"/>
      <c r="D31" s="32"/>
      <c r="E31" s="682" t="n">
        <f aca="false">SUM(E26:E30)</f>
        <v>-10.4279999999998</v>
      </c>
      <c r="F31" s="682" t="n">
        <f aca="false">SUM(F26:F30)</f>
        <v>1.48400000000019</v>
      </c>
      <c r="G31" s="682" t="n">
        <f aca="false">SUM(G26:G30)</f>
        <v>1.26000000000008</v>
      </c>
      <c r="H31" s="682" t="n">
        <f aca="false">SUM(H26:H30)</f>
        <v>18.0280000000001</v>
      </c>
      <c r="I31" s="683" t="n">
        <f aca="false">SUM(I26:I30)</f>
        <v>7.65508465655645</v>
      </c>
      <c r="J31" s="682" t="n">
        <f aca="false">SUM(J26:J30)</f>
        <v>5.06314341512813</v>
      </c>
      <c r="K31" s="682" t="n">
        <f aca="false">SUM(K26:K30)</f>
        <v>13.4818521164417</v>
      </c>
      <c r="L31" s="682" t="n">
        <f aca="false">SUM(L26:L30)</f>
        <v>20.9930744751877</v>
      </c>
      <c r="M31" s="682" t="n">
        <f aca="false">SUM(M26:M30)</f>
        <v>28.9207625852769</v>
      </c>
      <c r="N31" s="682" t="n">
        <f aca="false">SUM(N26:N30)</f>
        <v>36.5296895044239</v>
      </c>
    </row>
    <row r="32" customFormat="false" ht="14.25" hidden="false" customHeight="false" outlineLevel="0" collapsed="false">
      <c r="B32" s="32"/>
      <c r="C32" s="32"/>
      <c r="D32" s="32"/>
      <c r="E32" s="697"/>
      <c r="F32" s="697"/>
      <c r="G32" s="697"/>
      <c r="H32" s="698"/>
      <c r="I32" s="699"/>
      <c r="J32" s="697"/>
      <c r="K32" s="697"/>
      <c r="L32" s="697"/>
      <c r="M32" s="697"/>
      <c r="N32" s="697"/>
    </row>
    <row r="33" customFormat="false" ht="14.25" hidden="false" customHeight="false" outlineLevel="0" collapsed="false">
      <c r="B33" s="32" t="s">
        <v>960</v>
      </c>
      <c r="C33" s="32"/>
      <c r="D33" s="32"/>
      <c r="E33" s="688" t="n">
        <f aca="false">SUM('Cash Flow '!C13:C19)/1000</f>
        <v>127.079</v>
      </c>
      <c r="F33" s="688" t="n">
        <f aca="false">SUM('Cash Flow '!D13:D19)/1000</f>
        <v>-30.911</v>
      </c>
      <c r="G33" s="688" t="n">
        <f aca="false">SUM('Cash Flow '!E13:E19)/1000</f>
        <v>-22.051</v>
      </c>
      <c r="H33" s="688" t="n">
        <f aca="false">SUM('Cash Flow '!F13:F19)/1000</f>
        <v>-118.969</v>
      </c>
      <c r="I33" s="689" t="n">
        <f aca="false">SUM('Cash Flow '!G13:G19)/1000</f>
        <v>13.1081131734077</v>
      </c>
      <c r="J33" s="688" t="n">
        <f aca="false">SUM('Cash Flow '!H13:H19)/1000</f>
        <v>10.8036663474738</v>
      </c>
      <c r="K33" s="688" t="n">
        <f aca="false">SUM('Cash Flow '!J13:J19)/1000</f>
        <v>34.5547460954722</v>
      </c>
      <c r="L33" s="688" t="n">
        <f aca="false">SUM('Cash Flow '!K13:K19)/1000</f>
        <v>0.302237662015756</v>
      </c>
      <c r="M33" s="688" t="n">
        <f aca="false">SUM('Cash Flow '!L13:L19)/1000</f>
        <v>-5.8439169826517</v>
      </c>
      <c r="N33" s="688" t="n">
        <f aca="false">SUM('Cash Flow '!M13:M19)/1000</f>
        <v>-5.23813913699679</v>
      </c>
    </row>
    <row r="34" customFormat="false" ht="14.25" hidden="false" customHeight="false" outlineLevel="0" collapsed="false">
      <c r="B34" s="32" t="s">
        <v>961</v>
      </c>
      <c r="C34" s="32"/>
      <c r="D34" s="32"/>
      <c r="E34" s="695" t="n">
        <f aca="false">E31+E33</f>
        <v>116.651</v>
      </c>
      <c r="F34" s="695" t="n">
        <f aca="false">F31+F33</f>
        <v>-29.4269999999998</v>
      </c>
      <c r="G34" s="695" t="n">
        <f aca="false">G31+G33</f>
        <v>-20.7909999999999</v>
      </c>
      <c r="H34" s="695" t="n">
        <f aca="false">H31+H33</f>
        <v>-100.941</v>
      </c>
      <c r="I34" s="696" t="n">
        <f aca="false">I31+I33</f>
        <v>20.7631978299642</v>
      </c>
      <c r="J34" s="695" t="n">
        <f aca="false">J31+J33</f>
        <v>15.8668097626019</v>
      </c>
      <c r="K34" s="695" t="n">
        <f aca="false">K31+K33</f>
        <v>48.0365982119139</v>
      </c>
      <c r="L34" s="695" t="n">
        <f aca="false">L31+L33</f>
        <v>21.2953121372034</v>
      </c>
      <c r="M34" s="695" t="n">
        <f aca="false">M31+M33</f>
        <v>23.0768456026252</v>
      </c>
      <c r="N34" s="695" t="n">
        <f aca="false">N31+N33</f>
        <v>31.2915503674271</v>
      </c>
    </row>
    <row r="35" customFormat="false" ht="14.25" hidden="false" customHeight="false" outlineLevel="0" collapsed="false">
      <c r="B35" s="32"/>
      <c r="C35" s="32"/>
      <c r="D35" s="32"/>
      <c r="E35" s="702"/>
      <c r="F35" s="702"/>
      <c r="G35" s="702"/>
      <c r="H35" s="702"/>
      <c r="I35" s="703"/>
      <c r="J35" s="702"/>
      <c r="K35" s="702"/>
      <c r="L35" s="702"/>
      <c r="M35" s="702"/>
      <c r="N35" s="702"/>
    </row>
    <row r="36" customFormat="false" ht="14.25" hidden="false" customHeight="false" outlineLevel="0" collapsed="false">
      <c r="B36" s="32"/>
      <c r="C36" s="32"/>
      <c r="D36" s="32"/>
      <c r="E36" s="32"/>
      <c r="F36" s="32"/>
      <c r="G36" s="32"/>
      <c r="H36" s="704"/>
      <c r="I36" s="705"/>
      <c r="J36" s="32"/>
      <c r="K36" s="32"/>
      <c r="L36" s="32"/>
      <c r="M36" s="32"/>
      <c r="N36" s="32"/>
    </row>
    <row r="37" customFormat="false" ht="15" hidden="false" customHeight="false" outlineLevel="0" collapsed="false">
      <c r="B37" s="676" t="s">
        <v>962</v>
      </c>
      <c r="C37" s="32"/>
      <c r="D37" s="32"/>
      <c r="E37" s="32"/>
      <c r="F37" s="32"/>
      <c r="G37" s="32"/>
      <c r="H37" s="704"/>
      <c r="I37" s="705"/>
      <c r="J37" s="32"/>
      <c r="K37" s="32"/>
      <c r="L37" s="32"/>
      <c r="M37" s="32"/>
      <c r="N37" s="32"/>
    </row>
    <row r="38" customFormat="false" ht="15" hidden="false" customHeight="false" outlineLevel="0" collapsed="false">
      <c r="B38" s="676"/>
      <c r="C38" s="32"/>
      <c r="D38" s="32"/>
      <c r="E38" s="32"/>
      <c r="F38" s="32"/>
      <c r="G38" s="32"/>
      <c r="H38" s="704"/>
      <c r="I38" s="706" t="s">
        <v>370</v>
      </c>
      <c r="J38" s="677" t="s">
        <v>230</v>
      </c>
      <c r="K38" s="32"/>
      <c r="L38" s="32"/>
      <c r="M38" s="32"/>
      <c r="N38" s="32"/>
    </row>
    <row r="39" customFormat="false" ht="15" hidden="false" customHeight="false" outlineLevel="0" collapsed="false">
      <c r="B39" s="676" t="s">
        <v>963</v>
      </c>
      <c r="C39" s="676"/>
      <c r="D39" s="676"/>
      <c r="E39" s="678" t="n">
        <v>1997</v>
      </c>
      <c r="F39" s="679" t="n">
        <v>1998</v>
      </c>
      <c r="G39" s="679" t="n">
        <v>1999</v>
      </c>
      <c r="H39" s="679" t="n">
        <v>2000</v>
      </c>
      <c r="I39" s="680" t="n">
        <v>2001</v>
      </c>
      <c r="J39" s="679" t="n">
        <v>2001</v>
      </c>
      <c r="K39" s="679" t="n">
        <v>2002</v>
      </c>
      <c r="L39" s="679" t="n">
        <v>2003</v>
      </c>
      <c r="M39" s="679" t="n">
        <v>2004</v>
      </c>
      <c r="N39" s="681" t="n">
        <v>2005</v>
      </c>
    </row>
    <row r="40" customFormat="false" ht="14.25" hidden="false" customHeight="false" outlineLevel="0" collapsed="false">
      <c r="B40" s="32" t="s">
        <v>200</v>
      </c>
      <c r="C40" s="32"/>
      <c r="D40" s="32"/>
      <c r="E40" s="682" t="n">
        <f aca="false">('Balance Sheet'!C10+'Balance Sheet'!C11+'Balance Sheet'!C12)/1000</f>
        <v>66.492</v>
      </c>
      <c r="F40" s="682" t="n">
        <f aca="false">('Balance Sheet'!D10+'Balance Sheet'!D11+'Balance Sheet'!D12)/1000</f>
        <v>70.379</v>
      </c>
      <c r="G40" s="682" t="n">
        <f aca="false">('Balance Sheet'!E10+'Balance Sheet'!E11+'Balance Sheet'!E12)/1000</f>
        <v>48.13</v>
      </c>
      <c r="H40" s="682" t="n">
        <f aca="false">('Balance Sheet'!F10+'Balance Sheet'!F11+'Balance Sheet'!F12)/1000</f>
        <v>26.697</v>
      </c>
      <c r="I40" s="683" t="n">
        <f aca="false">('Balance Sheet'!I10+'Balance Sheet'!I11+'Balance Sheet'!I12)/1000</f>
        <v>37.9553195594923</v>
      </c>
      <c r="J40" s="682" t="n">
        <f aca="false">('Balance Sheet'!J10+'Balance Sheet'!J11+'Balance Sheet'!J12)/1000</f>
        <v>1.00000000384171E-006</v>
      </c>
      <c r="K40" s="682" t="n">
        <f aca="false">('Balance Sheet'!K10+'Balance Sheet'!K11+'Balance Sheet'!K12)/1000</f>
        <v>10</v>
      </c>
      <c r="L40" s="682" t="n">
        <f aca="false">('Balance Sheet'!L10+'Balance Sheet'!L11+'Balance Sheet'!L12)/1000</f>
        <v>10</v>
      </c>
      <c r="M40" s="682" t="n">
        <f aca="false">('Balance Sheet'!M10+'Balance Sheet'!M11+'Balance Sheet'!M12)/1000</f>
        <v>10</v>
      </c>
      <c r="N40" s="682" t="n">
        <f aca="false">('Balance Sheet'!N10+'Balance Sheet'!N11+'Balance Sheet'!N12)/1000</f>
        <v>10</v>
      </c>
    </row>
    <row r="41" customFormat="false" ht="14.25" hidden="false" customHeight="false" outlineLevel="0" collapsed="false">
      <c r="B41" s="32" t="s">
        <v>309</v>
      </c>
      <c r="C41" s="32"/>
      <c r="D41" s="32"/>
      <c r="E41" s="700" t="n">
        <f aca="false">'Balance Sheet'!C13/1000</f>
        <v>180.143</v>
      </c>
      <c r="F41" s="700" t="n">
        <f aca="false">'Balance Sheet'!D13/1000</f>
        <v>147.531</v>
      </c>
      <c r="G41" s="700" t="n">
        <f aca="false">'Balance Sheet'!E13/1000</f>
        <v>183.323</v>
      </c>
      <c r="H41" s="700" t="n">
        <f aca="false">'Balance Sheet'!F13/1000</f>
        <v>371.477</v>
      </c>
      <c r="I41" s="701" t="n">
        <f aca="false">'Balance Sheet'!I13/1000</f>
        <v>382.670603642323</v>
      </c>
      <c r="J41" s="700" t="n">
        <f aca="false">'Balance Sheet'!J13/1000</f>
        <v>367.056851055178</v>
      </c>
      <c r="K41" s="700" t="n">
        <f aca="false">'Balance Sheet'!K13/1000</f>
        <v>342.424946132632</v>
      </c>
      <c r="L41" s="700" t="n">
        <f aca="false">'Balance Sheet'!L13/1000</f>
        <v>351.449293164894</v>
      </c>
      <c r="M41" s="700" t="n">
        <f aca="false">'Balance Sheet'!M13/1000</f>
        <v>364.946232682547</v>
      </c>
      <c r="N41" s="700" t="n">
        <f aca="false">'Balance Sheet'!N13/1000</f>
        <v>378.393880531977</v>
      </c>
    </row>
    <row r="42" customFormat="false" ht="14.25" hidden="false" customHeight="false" outlineLevel="0" collapsed="false">
      <c r="B42" s="32" t="s">
        <v>964</v>
      </c>
      <c r="C42" s="32"/>
      <c r="D42" s="32"/>
      <c r="E42" s="688" t="n">
        <f aca="false">'Balance Sheet'!C15/1000</f>
        <v>2.307</v>
      </c>
      <c r="F42" s="688" t="n">
        <f aca="false">'Balance Sheet'!D15/1000</f>
        <v>1.13</v>
      </c>
      <c r="G42" s="688" t="n">
        <f aca="false">'Balance Sheet'!E15/1000</f>
        <v>1.177</v>
      </c>
      <c r="H42" s="688" t="n">
        <f aca="false">'Balance Sheet'!F15/1000</f>
        <v>3.277</v>
      </c>
      <c r="I42" s="689" t="n">
        <f aca="false">'Balance Sheet'!I15/1000</f>
        <v>3.277</v>
      </c>
      <c r="J42" s="688" t="n">
        <f aca="false">'Balance Sheet'!J15/1000</f>
        <v>3.277</v>
      </c>
      <c r="K42" s="688" t="n">
        <f aca="false">'Balance Sheet'!K15/1000</f>
        <v>3.277</v>
      </c>
      <c r="L42" s="688" t="n">
        <f aca="false">'Balance Sheet'!L15/1000</f>
        <v>3.277</v>
      </c>
      <c r="M42" s="688" t="n">
        <f aca="false">'Balance Sheet'!M15/1000</f>
        <v>3.277</v>
      </c>
      <c r="N42" s="688" t="n">
        <f aca="false">'Balance Sheet'!N15/1000</f>
        <v>3.277</v>
      </c>
    </row>
    <row r="43" customFormat="false" ht="14.25" hidden="false" customHeight="false" outlineLevel="0" collapsed="false">
      <c r="B43" s="32" t="s">
        <v>965</v>
      </c>
      <c r="C43" s="32"/>
      <c r="D43" s="32"/>
      <c r="E43" s="682" t="n">
        <f aca="false">SUM(E40:E42)</f>
        <v>248.942</v>
      </c>
      <c r="F43" s="682" t="n">
        <f aca="false">SUM(F40:F42)</f>
        <v>219.04</v>
      </c>
      <c r="G43" s="682" t="n">
        <f aca="false">SUM(G40:G42)</f>
        <v>232.63</v>
      </c>
      <c r="H43" s="682" t="n">
        <f aca="false">SUM(H40:H42)</f>
        <v>401.451</v>
      </c>
      <c r="I43" s="683" t="n">
        <f aca="false">SUM(I40:I42)</f>
        <v>423.902923201816</v>
      </c>
      <c r="J43" s="682" t="n">
        <f aca="false">SUM(J40:J42)</f>
        <v>370.333852055178</v>
      </c>
      <c r="K43" s="682" t="n">
        <f aca="false">SUM(K40:K42)</f>
        <v>355.701946132632</v>
      </c>
      <c r="L43" s="682" t="n">
        <f aca="false">SUM(L40:L42)</f>
        <v>364.726293164894</v>
      </c>
      <c r="M43" s="682" t="n">
        <f aca="false">SUM(M40:M42)</f>
        <v>378.223232682547</v>
      </c>
      <c r="N43" s="682" t="n">
        <f aca="false">SUM(N40:N42)</f>
        <v>391.670880531977</v>
      </c>
    </row>
    <row r="44" customFormat="false" ht="14.25" hidden="false" customHeight="false" outlineLevel="0" collapsed="false">
      <c r="B44" s="32"/>
      <c r="C44" s="32"/>
      <c r="D44" s="32"/>
      <c r="E44" s="707"/>
      <c r="F44" s="707"/>
      <c r="G44" s="707"/>
      <c r="H44" s="707"/>
      <c r="I44" s="708"/>
      <c r="J44" s="707"/>
      <c r="K44" s="707"/>
      <c r="L44" s="707"/>
      <c r="M44" s="707"/>
      <c r="N44" s="707"/>
    </row>
    <row r="45" customFormat="false" ht="14.25" hidden="false" customHeight="false" outlineLevel="0" collapsed="false">
      <c r="B45" s="32" t="s">
        <v>204</v>
      </c>
      <c r="C45" s="32"/>
      <c r="D45" s="32"/>
      <c r="E45" s="682" t="n">
        <f aca="false">'Balance Sheet'!C14/1000</f>
        <v>57.009</v>
      </c>
      <c r="F45" s="682" t="n">
        <f aca="false">'Balance Sheet'!D14/1000</f>
        <v>51.344</v>
      </c>
      <c r="G45" s="682" t="n">
        <f aca="false">'Balance Sheet'!E14/1000</f>
        <v>52.807</v>
      </c>
      <c r="H45" s="682" t="n">
        <f aca="false">'Balance Sheet'!F14/1000</f>
        <v>156.408</v>
      </c>
      <c r="I45" s="683" t="n">
        <f aca="false">'Balance Sheet'!I14/1000</f>
        <v>147.024556032162</v>
      </c>
      <c r="J45" s="682" t="n">
        <f aca="false">'Balance Sheet'!J14/1000</f>
        <v>143.360618395996</v>
      </c>
      <c r="K45" s="682" t="n">
        <f aca="false">'Balance Sheet'!K14/1000</f>
        <v>148.146637005231</v>
      </c>
      <c r="L45" s="682" t="n">
        <f aca="false">'Balance Sheet'!L14/1000</f>
        <v>145.97236727517</v>
      </c>
      <c r="M45" s="682" t="n">
        <f aca="false">'Balance Sheet'!M14/1000</f>
        <v>150.838701222485</v>
      </c>
      <c r="N45" s="682" t="n">
        <f aca="false">'Balance Sheet'!N14/1000</f>
        <v>154.878351652969</v>
      </c>
    </row>
    <row r="46" customFormat="false" ht="14.25" hidden="false" customHeight="false" outlineLevel="0" collapsed="false">
      <c r="B46" s="32" t="s">
        <v>546</v>
      </c>
      <c r="C46" s="32"/>
      <c r="D46" s="32"/>
      <c r="E46" s="700" t="n">
        <f aca="false">'Balance Sheet'!C20/1000</f>
        <v>15.619</v>
      </c>
      <c r="F46" s="700" t="n">
        <f aca="false">'Balance Sheet'!D20/1000</f>
        <v>14.195</v>
      </c>
      <c r="G46" s="700" t="n">
        <f aca="false">'Balance Sheet'!E20/1000</f>
        <v>24.41</v>
      </c>
      <c r="H46" s="700" t="n">
        <f aca="false">'Balance Sheet'!F20/1000</f>
        <v>32.257</v>
      </c>
      <c r="I46" s="701" t="n">
        <f aca="false">'Balance Sheet'!I20/1000</f>
        <v>79.725903654933</v>
      </c>
      <c r="J46" s="700" t="n">
        <f aca="false">'Balance Sheet'!J20/1000</f>
        <v>78.6429719273508</v>
      </c>
      <c r="K46" s="700" t="n">
        <f aca="false">'Balance Sheet'!K20/1000</f>
        <v>76.4604418055197</v>
      </c>
      <c r="L46" s="700" t="n">
        <f aca="false">'Balance Sheet'!L20/1000</f>
        <v>74.2612450170219</v>
      </c>
      <c r="M46" s="700" t="n">
        <f aca="false">'Balance Sheet'!M20/1000</f>
        <v>72.0453815618575</v>
      </c>
      <c r="N46" s="700" t="n">
        <f aca="false">'Balance Sheet'!N20/1000</f>
        <v>69.8128514400264</v>
      </c>
    </row>
    <row r="47" customFormat="false" ht="14.25" hidden="false" customHeight="false" outlineLevel="0" collapsed="false">
      <c r="B47" s="32" t="s">
        <v>622</v>
      </c>
      <c r="C47" s="32"/>
      <c r="D47" s="32"/>
      <c r="E47" s="688" t="n">
        <f aca="false">'Balance Sheet'!C18/1000</f>
        <v>12.448</v>
      </c>
      <c r="F47" s="688" t="n">
        <f aca="false">'Balance Sheet'!D18/1000</f>
        <v>17.223</v>
      </c>
      <c r="G47" s="688" t="n">
        <f aca="false">'Balance Sheet'!E18/1000</f>
        <v>16.436</v>
      </c>
      <c r="H47" s="688" t="n">
        <f aca="false">'Balance Sheet'!F18/1000</f>
        <v>0.865</v>
      </c>
      <c r="I47" s="689" t="n">
        <f aca="false">'Balance Sheet'!I18/1000</f>
        <v>41.8336572098311</v>
      </c>
      <c r="J47" s="688" t="n">
        <f aca="false">'Balance Sheet'!J18/1000</f>
        <v>41.3215489947082</v>
      </c>
      <c r="K47" s="688" t="n">
        <f aca="false">'Balance Sheet'!K18/1000</f>
        <v>40.2973325644624</v>
      </c>
      <c r="L47" s="688" t="n">
        <f aca="false">'Balance Sheet'!L18/1000</f>
        <v>39.2731161342166</v>
      </c>
      <c r="M47" s="688" t="n">
        <f aca="false">'Balance Sheet'!M18/1000</f>
        <v>38.2488997039709</v>
      </c>
      <c r="N47" s="688" t="n">
        <f aca="false">'Balance Sheet'!N18/1000</f>
        <v>37.2246832737251</v>
      </c>
    </row>
    <row r="48" customFormat="false" ht="14.25" hidden="false" customHeight="false" outlineLevel="0" collapsed="false">
      <c r="B48" s="32" t="s">
        <v>890</v>
      </c>
      <c r="C48" s="32"/>
      <c r="D48" s="32"/>
      <c r="E48" s="695" t="n">
        <f aca="false">SUM(E43:E47)</f>
        <v>334.018</v>
      </c>
      <c r="F48" s="695" t="n">
        <f aca="false">SUM(F43:F47)</f>
        <v>301.802</v>
      </c>
      <c r="G48" s="695" t="n">
        <f aca="false">SUM(G43:G47)</f>
        <v>326.283</v>
      </c>
      <c r="H48" s="695" t="n">
        <f aca="false">SUM(H43:H47)</f>
        <v>590.981</v>
      </c>
      <c r="I48" s="696" t="n">
        <f aca="false">SUM(I43:I47)</f>
        <v>692.487040098741</v>
      </c>
      <c r="J48" s="695" t="n">
        <f aca="false">SUM(J43:J47)</f>
        <v>633.658991373232</v>
      </c>
      <c r="K48" s="695" t="n">
        <f aca="false">SUM(K43:K47)</f>
        <v>620.606357507846</v>
      </c>
      <c r="L48" s="695" t="n">
        <f aca="false">SUM(L43:L47)</f>
        <v>624.233021591302</v>
      </c>
      <c r="M48" s="695" t="n">
        <f aca="false">SUM(M43:M47)</f>
        <v>639.356215170861</v>
      </c>
      <c r="N48" s="695" t="n">
        <f aca="false">SUM(N43:N47)</f>
        <v>653.586766898698</v>
      </c>
    </row>
    <row r="49" customFormat="false" ht="14.25" hidden="false" customHeight="false" outlineLevel="0" collapsed="false">
      <c r="B49" s="32"/>
      <c r="C49" s="32"/>
      <c r="D49" s="32"/>
      <c r="E49" s="32"/>
      <c r="F49" s="32"/>
      <c r="G49" s="32"/>
      <c r="H49" s="704"/>
      <c r="I49" s="705"/>
      <c r="J49" s="32"/>
      <c r="K49" s="32"/>
      <c r="L49" s="32"/>
      <c r="M49" s="32"/>
      <c r="N49" s="32"/>
    </row>
    <row r="50" customFormat="false" ht="15" hidden="false" customHeight="false" outlineLevel="0" collapsed="false">
      <c r="B50" s="676" t="s">
        <v>966</v>
      </c>
      <c r="C50" s="676"/>
      <c r="D50" s="676"/>
      <c r="E50" s="676"/>
      <c r="F50" s="676"/>
      <c r="G50" s="676"/>
      <c r="H50" s="709"/>
      <c r="I50" s="710"/>
      <c r="J50" s="676"/>
      <c r="K50" s="676"/>
      <c r="L50" s="676"/>
      <c r="M50" s="676"/>
      <c r="N50" s="676"/>
    </row>
    <row r="51" customFormat="false" ht="14.25" hidden="false" customHeight="false" outlineLevel="0" collapsed="false">
      <c r="B51" s="32" t="s">
        <v>967</v>
      </c>
      <c r="C51" s="32"/>
      <c r="D51" s="32"/>
      <c r="E51" s="682" t="n">
        <f aca="false">'Balance Sheet'!C27/1000</f>
        <v>48.9</v>
      </c>
      <c r="F51" s="682" t="n">
        <f aca="false">'Balance Sheet'!D27/1000</f>
        <v>30.8</v>
      </c>
      <c r="G51" s="682" t="n">
        <f aca="false">'Balance Sheet'!E27/1000</f>
        <v>53.5</v>
      </c>
      <c r="H51" s="682" t="n">
        <f aca="false">'Balance Sheet'!F27/1000</f>
        <v>100.4</v>
      </c>
      <c r="I51" s="683" t="n">
        <f aca="false">'Balance Sheet'!I27/1000</f>
        <v>100.4</v>
      </c>
      <c r="J51" s="682" t="n">
        <f aca="false">'Balance Sheet'!J27/1000</f>
        <v>100.4</v>
      </c>
      <c r="K51" s="682" t="n">
        <f aca="false">'Balance Sheet'!K27/1000</f>
        <v>100.4</v>
      </c>
      <c r="L51" s="682" t="n">
        <f aca="false">'Balance Sheet'!L27/1000</f>
        <v>100.4</v>
      </c>
      <c r="M51" s="682" t="n">
        <f aca="false">'Balance Sheet'!M27/1000</f>
        <v>100.4</v>
      </c>
      <c r="N51" s="682" t="n">
        <f aca="false">'Balance Sheet'!N27/1000</f>
        <v>100.4</v>
      </c>
    </row>
    <row r="52" customFormat="false" ht="14.25" hidden="false" customHeight="false" outlineLevel="0" collapsed="false">
      <c r="B52" s="32" t="s">
        <v>213</v>
      </c>
      <c r="C52" s="32"/>
      <c r="D52" s="32"/>
      <c r="E52" s="700" t="n">
        <f aca="false">'Balance Sheet'!C28/1000</f>
        <v>142.287</v>
      </c>
      <c r="F52" s="700" t="n">
        <f aca="false">'Balance Sheet'!D28/1000</f>
        <v>87.879</v>
      </c>
      <c r="G52" s="700" t="n">
        <f aca="false">'Balance Sheet'!E28/1000</f>
        <v>79.861</v>
      </c>
      <c r="H52" s="700" t="n">
        <f aca="false">'Balance Sheet'!F28/1000</f>
        <v>234.856</v>
      </c>
      <c r="I52" s="701" t="n">
        <f aca="false">'Balance Sheet'!I28/1000</f>
        <v>235.49635003588</v>
      </c>
      <c r="J52" s="700" t="n">
        <f aca="false">'Balance Sheet'!J28/1000</f>
        <v>228.306238818668</v>
      </c>
      <c r="K52" s="700" t="n">
        <f aca="false">'Balance Sheet'!K28/1000</f>
        <v>236.815512460777</v>
      </c>
      <c r="L52" s="700" t="n">
        <f aca="false">'Balance Sheet'!L28/1000</f>
        <v>240.967428076194</v>
      </c>
      <c r="M52" s="700" t="n">
        <f aca="false">'Balance Sheet'!M28/1000</f>
        <v>249.967282937519</v>
      </c>
      <c r="N52" s="700" t="n">
        <f aca="false">'Balance Sheet'!N28/1000</f>
        <v>258.656250340648</v>
      </c>
    </row>
    <row r="53" customFormat="false" ht="14.25" hidden="false" customHeight="false" outlineLevel="0" collapsed="false">
      <c r="B53" s="32" t="s">
        <v>214</v>
      </c>
      <c r="C53" s="32"/>
      <c r="D53" s="32"/>
      <c r="E53" s="700" t="n">
        <f aca="false">'Balance Sheet'!C29/1000</f>
        <v>20.422</v>
      </c>
      <c r="F53" s="700" t="n">
        <f aca="false">'Balance Sheet'!D29/1000</f>
        <v>16.168</v>
      </c>
      <c r="G53" s="700" t="n">
        <f aca="false">'Balance Sheet'!E29/1000</f>
        <v>24.534</v>
      </c>
      <c r="H53" s="700" t="n">
        <f aca="false">'Balance Sheet'!F29/1000</f>
        <v>43.599</v>
      </c>
      <c r="I53" s="701" t="n">
        <f aca="false">'Balance Sheet'!I29/1000</f>
        <v>43.599</v>
      </c>
      <c r="J53" s="700" t="n">
        <f aca="false">'Balance Sheet'!J29/1000</f>
        <v>43.599</v>
      </c>
      <c r="K53" s="700" t="n">
        <f aca="false">'Balance Sheet'!K29/1000</f>
        <v>43.599</v>
      </c>
      <c r="L53" s="700" t="n">
        <f aca="false">'Balance Sheet'!L29/1000</f>
        <v>43.599</v>
      </c>
      <c r="M53" s="700" t="n">
        <f aca="false">'Balance Sheet'!M29/1000</f>
        <v>43.599</v>
      </c>
      <c r="N53" s="700" t="n">
        <f aca="false">'Balance Sheet'!N29/1000</f>
        <v>43.599</v>
      </c>
    </row>
    <row r="54" customFormat="false" ht="14.25" hidden="false" customHeight="false" outlineLevel="0" collapsed="false">
      <c r="B54" s="32" t="s">
        <v>968</v>
      </c>
      <c r="C54" s="32"/>
      <c r="D54" s="32"/>
      <c r="E54" s="688" t="n">
        <f aca="false">'Balance Sheet'!C30/1000</f>
        <v>0.294</v>
      </c>
      <c r="F54" s="688" t="n">
        <f aca="false">'Balance Sheet'!D30/1000</f>
        <v>0.336</v>
      </c>
      <c r="G54" s="688" t="n">
        <f aca="false">'Balance Sheet'!E30/1000</f>
        <v>1.151</v>
      </c>
      <c r="H54" s="688" t="n">
        <f aca="false">'Balance Sheet'!F30/1000</f>
        <v>2.09</v>
      </c>
      <c r="I54" s="689" t="n">
        <f aca="false">'Balance Sheet'!I30/1000</f>
        <v>4.13792281201293</v>
      </c>
      <c r="J54" s="688" t="n">
        <f aca="false">'Balance Sheet'!J30/1000</f>
        <v>2.85401015338657</v>
      </c>
      <c r="K54" s="688" t="n">
        <f aca="false">'Balance Sheet'!K30/1000</f>
        <v>9.05359629343983</v>
      </c>
      <c r="L54" s="688" t="n">
        <f aca="false">'Balance Sheet'!L30/1000</f>
        <v>12.0539956422398</v>
      </c>
      <c r="M54" s="688" t="n">
        <f aca="false">'Balance Sheet'!M30/1000</f>
        <v>15.5734972632319</v>
      </c>
      <c r="N54" s="688" t="n">
        <f aca="false">'Balance Sheet'!N30/1000</f>
        <v>19.1336890030198</v>
      </c>
    </row>
    <row r="55" customFormat="false" ht="14.25" hidden="false" customHeight="false" outlineLevel="0" collapsed="false">
      <c r="B55" s="32" t="s">
        <v>969</v>
      </c>
      <c r="C55" s="32"/>
      <c r="D55" s="32"/>
      <c r="E55" s="682" t="n">
        <f aca="false">SUM(E51:E54)</f>
        <v>211.903</v>
      </c>
      <c r="F55" s="682" t="n">
        <f aca="false">SUM(F51:F54)</f>
        <v>135.183</v>
      </c>
      <c r="G55" s="682" t="n">
        <f aca="false">SUM(G51:G54)</f>
        <v>159.046</v>
      </c>
      <c r="H55" s="682" t="n">
        <f aca="false">SUM(H51:H54)</f>
        <v>380.945</v>
      </c>
      <c r="I55" s="683" t="n">
        <f aca="false">SUM(I51:I54)</f>
        <v>383.633272847893</v>
      </c>
      <c r="J55" s="682" t="n">
        <f aca="false">SUM(J51:J54)</f>
        <v>375.159248972055</v>
      </c>
      <c r="K55" s="682" t="n">
        <f aca="false">SUM(K51:K54)</f>
        <v>389.868108754217</v>
      </c>
      <c r="L55" s="682" t="n">
        <f aca="false">SUM(L51:L54)</f>
        <v>397.020423718433</v>
      </c>
      <c r="M55" s="682" t="n">
        <f aca="false">SUM(M51:M54)</f>
        <v>409.53978020075</v>
      </c>
      <c r="N55" s="682" t="n">
        <f aca="false">SUM(N51:N54)</f>
        <v>421.788939343667</v>
      </c>
    </row>
    <row r="56" customFormat="false" ht="14.25" hidden="false" customHeight="false" outlineLevel="0" collapsed="false">
      <c r="B56" s="32"/>
      <c r="C56" s="32"/>
      <c r="D56" s="32"/>
      <c r="E56" s="711"/>
      <c r="F56" s="711"/>
      <c r="G56" s="711"/>
      <c r="H56" s="711"/>
      <c r="I56" s="712"/>
      <c r="J56" s="711"/>
      <c r="K56" s="711"/>
      <c r="L56" s="711"/>
      <c r="M56" s="711"/>
      <c r="N56" s="711"/>
    </row>
    <row r="57" customFormat="false" ht="14.25" hidden="false" customHeight="false" outlineLevel="0" collapsed="false">
      <c r="B57" s="32" t="s">
        <v>970</v>
      </c>
      <c r="C57" s="32"/>
      <c r="D57" s="32"/>
      <c r="E57" s="700" t="n">
        <f aca="false">'Balance Sheet'!C33/1000</f>
        <v>0</v>
      </c>
      <c r="F57" s="700" t="n">
        <f aca="false">'Balance Sheet'!D33/1000</f>
        <v>50</v>
      </c>
      <c r="G57" s="700" t="n">
        <f aca="false">'Balance Sheet'!E33/1000</f>
        <v>50</v>
      </c>
      <c r="H57" s="700" t="n">
        <f aca="false">'Balance Sheet'!F33/1000</f>
        <v>80</v>
      </c>
      <c r="I57" s="701" t="n">
        <f aca="false">'Balance Sheet'!I33/1000</f>
        <v>80</v>
      </c>
      <c r="J57" s="700" t="n">
        <f aca="false">'Balance Sheet'!J33/1000</f>
        <v>80</v>
      </c>
      <c r="K57" s="700" t="n">
        <f aca="false">'Balance Sheet'!K33/1000</f>
        <v>80</v>
      </c>
      <c r="L57" s="700" t="n">
        <f aca="false">'Balance Sheet'!L33/1000</f>
        <v>80</v>
      </c>
      <c r="M57" s="700" t="n">
        <f aca="false">'Balance Sheet'!M33/1000</f>
        <v>80</v>
      </c>
      <c r="N57" s="700" t="n">
        <f aca="false">'Balance Sheet'!N33/1000</f>
        <v>80</v>
      </c>
    </row>
    <row r="58" customFormat="false" ht="14.25" hidden="false" customHeight="false" outlineLevel="0" collapsed="false">
      <c r="B58" s="32" t="s">
        <v>971</v>
      </c>
      <c r="C58" s="32"/>
      <c r="D58" s="32"/>
      <c r="E58" s="688" t="n">
        <f aca="false">'Balance Sheet'!C35/1000</f>
        <v>8.516</v>
      </c>
      <c r="F58" s="688" t="n">
        <f aca="false">'Balance Sheet'!D35/1000</f>
        <v>7.995</v>
      </c>
      <c r="G58" s="688" t="n">
        <f aca="false">'Balance Sheet'!E35/1000</f>
        <v>7.04</v>
      </c>
      <c r="H58" s="688" t="n">
        <f aca="false">'Balance Sheet'!F35/1000</f>
        <v>7.111</v>
      </c>
      <c r="I58" s="689" t="n">
        <f aca="false">'Balance Sheet'!I35/1000</f>
        <v>8.47356086476402</v>
      </c>
      <c r="J58" s="688" t="n">
        <f aca="false">'Balance Sheet'!J35/1000</f>
        <v>10.305761962916</v>
      </c>
      <c r="K58" s="688" t="n">
        <f aca="false">'Balance Sheet'!K35/1000</f>
        <v>16.8444780863677</v>
      </c>
      <c r="L58" s="688" t="n">
        <f aca="false">'Balance Sheet'!L35/1000</f>
        <v>21.4608087369403</v>
      </c>
      <c r="M58" s="688" t="n">
        <f aca="false">'Balance Sheet'!M35/1000</f>
        <v>24.7023352402182</v>
      </c>
      <c r="N58" s="688" t="n">
        <f aca="false">'Balance Sheet'!N35/1000</f>
        <v>26.9633861506222</v>
      </c>
    </row>
    <row r="59" customFormat="false" ht="14.25" hidden="false" customHeight="false" outlineLevel="0" collapsed="false">
      <c r="B59" s="32" t="s">
        <v>972</v>
      </c>
      <c r="C59" s="32"/>
      <c r="D59" s="32"/>
      <c r="E59" s="682" t="n">
        <f aca="false">SUM(E55:E58)</f>
        <v>220.419</v>
      </c>
      <c r="F59" s="682" t="n">
        <f aca="false">SUM(F55:F58)</f>
        <v>193.178</v>
      </c>
      <c r="G59" s="682" t="n">
        <f aca="false">SUM(G55:G58)</f>
        <v>216.086</v>
      </c>
      <c r="H59" s="682" t="n">
        <f aca="false">SUM(H55:H58)</f>
        <v>468.056</v>
      </c>
      <c r="I59" s="683" t="n">
        <f aca="false">SUM(I55:I58)</f>
        <v>472.106833712657</v>
      </c>
      <c r="J59" s="682" t="n">
        <f aca="false">SUM(J55:J58)</f>
        <v>465.465010934971</v>
      </c>
      <c r="K59" s="682" t="n">
        <f aca="false">SUM(K55:K58)</f>
        <v>486.712586840585</v>
      </c>
      <c r="L59" s="682" t="n">
        <f aca="false">SUM(L55:L58)</f>
        <v>498.481232455374</v>
      </c>
      <c r="M59" s="682" t="n">
        <f aca="false">SUM(M55:M58)</f>
        <v>514.242115440969</v>
      </c>
      <c r="N59" s="682" t="n">
        <f aca="false">SUM(N55:N58)</f>
        <v>528.75232549429</v>
      </c>
    </row>
    <row r="60" customFormat="false" ht="14.25" hidden="false" customHeight="false" outlineLevel="0" collapsed="false">
      <c r="B60" s="32"/>
      <c r="C60" s="32"/>
      <c r="D60" s="32"/>
      <c r="E60" s="711"/>
      <c r="F60" s="711"/>
      <c r="G60" s="711"/>
      <c r="H60" s="711"/>
      <c r="I60" s="712"/>
      <c r="J60" s="711"/>
      <c r="K60" s="711"/>
      <c r="L60" s="711"/>
      <c r="M60" s="711"/>
      <c r="N60" s="711"/>
    </row>
    <row r="61" customFormat="false" ht="14.25" hidden="false" customHeight="false" outlineLevel="0" collapsed="false">
      <c r="B61" s="32" t="s">
        <v>973</v>
      </c>
      <c r="C61" s="32"/>
      <c r="D61" s="32"/>
      <c r="E61" s="688" t="n">
        <f aca="false">'Balance Sheet'!C37/1000</f>
        <v>113.599</v>
      </c>
      <c r="F61" s="688" t="n">
        <f aca="false">'Balance Sheet'!D37/1000</f>
        <v>108.624</v>
      </c>
      <c r="G61" s="688" t="n">
        <f aca="false">'Balance Sheet'!E37/1000</f>
        <v>110.197</v>
      </c>
      <c r="H61" s="688" t="n">
        <f aca="false">'Balance Sheet'!F37/1000</f>
        <v>122.925</v>
      </c>
      <c r="I61" s="689" t="n">
        <f aca="false">'Balance Sheet'!I37/1000</f>
        <v>220.380206386085</v>
      </c>
      <c r="J61" s="688" t="n">
        <f aca="false">'Balance Sheet'!J37/1000</f>
        <v>168.193980438261</v>
      </c>
      <c r="K61" s="688" t="n">
        <f aca="false">'Balance Sheet'!K37/1000</f>
        <v>133.893770667261</v>
      </c>
      <c r="L61" s="688" t="n">
        <f aca="false">'Balance Sheet'!L37/1000</f>
        <v>125.751789135929</v>
      </c>
      <c r="M61" s="688" t="n">
        <f aca="false">'Balance Sheet'!M37/1000</f>
        <v>125.114099729892</v>
      </c>
      <c r="N61" s="688" t="n">
        <f aca="false">'Balance Sheet'!N37/1000</f>
        <v>124.834441404408</v>
      </c>
    </row>
    <row r="62" customFormat="false" ht="14.25" hidden="false" customHeight="false" outlineLevel="0" collapsed="false">
      <c r="B62" s="32" t="s">
        <v>974</v>
      </c>
      <c r="C62" s="32"/>
      <c r="D62" s="32"/>
      <c r="E62" s="695" t="n">
        <f aca="false">E59+E61</f>
        <v>334.018</v>
      </c>
      <c r="F62" s="695" t="n">
        <f aca="false">F59+F61</f>
        <v>301.802</v>
      </c>
      <c r="G62" s="695" t="n">
        <f aca="false">G59+G61</f>
        <v>326.283</v>
      </c>
      <c r="H62" s="695" t="n">
        <f aca="false">H59+H61</f>
        <v>590.981</v>
      </c>
      <c r="I62" s="696" t="n">
        <f aca="false">I59+I61</f>
        <v>692.487040098741</v>
      </c>
      <c r="J62" s="695" t="n">
        <f aca="false">J59+J61</f>
        <v>633.658991373232</v>
      </c>
      <c r="K62" s="695" t="n">
        <f aca="false">K59+K61</f>
        <v>620.606357507846</v>
      </c>
      <c r="L62" s="695" t="n">
        <f aca="false">L59+L61</f>
        <v>624.233021591303</v>
      </c>
      <c r="M62" s="695" t="n">
        <f aca="false">M59+M61</f>
        <v>639.356215170861</v>
      </c>
      <c r="N62" s="695" t="n">
        <f aca="false">N59+N61</f>
        <v>653.586766898698</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rowBreaks count="1" manualBreakCount="1">
    <brk id="62" man="true" max="16383" min="0"/>
  </rowBreaks>
  <colBreaks count="1" manualBreakCount="1">
    <brk id="22" man="true" max="65535" min="0"/>
  </colBreaks>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3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0" activeCellId="0" sqref="A30"/>
    </sheetView>
  </sheetViews>
  <sheetFormatPr defaultColWidth="9.0546875" defaultRowHeight="12.75" customHeight="true" zeroHeight="false" outlineLevelRow="0" outlineLevelCol="0"/>
  <sheetData>
    <row r="1" customFormat="false" ht="21" hidden="false" customHeight="false" outlineLevel="0" collapsed="false">
      <c r="A1" s="1" t="s">
        <v>0</v>
      </c>
      <c r="B1" s="2"/>
      <c r="C1" s="2"/>
      <c r="D1" s="3"/>
      <c r="E1" s="3"/>
      <c r="F1" s="3"/>
      <c r="G1" s="3"/>
      <c r="H1" s="4"/>
      <c r="I1" s="3"/>
      <c r="J1" s="4"/>
      <c r="K1" s="4"/>
      <c r="L1" s="16" t="s">
        <v>527</v>
      </c>
    </row>
    <row r="8" customFormat="false" ht="15.75" hidden="false" customHeight="false" outlineLevel="0" collapsed="false">
      <c r="B8" s="713" t="s">
        <v>975</v>
      </c>
      <c r="H8" s="713" t="s">
        <v>976</v>
      </c>
    </row>
    <row r="10" customFormat="false" ht="12.75" hidden="false" customHeight="false" outlineLevel="0" collapsed="false">
      <c r="B10" s="0" t="s">
        <v>977</v>
      </c>
      <c r="H10" s="714" t="s">
        <v>978</v>
      </c>
    </row>
    <row r="12" customFormat="false" ht="12.75" hidden="false" customHeight="false" outlineLevel="0" collapsed="false">
      <c r="B12" s="0" t="s">
        <v>979</v>
      </c>
      <c r="H12" s="715" t="s">
        <v>980</v>
      </c>
    </row>
    <row r="14" customFormat="false" ht="12.75" hidden="false" customHeight="false" outlineLevel="0" collapsed="false">
      <c r="B14" s="0" t="s">
        <v>981</v>
      </c>
      <c r="H14" s="716" t="s">
        <v>982</v>
      </c>
    </row>
    <row r="16" customFormat="false" ht="12.75" hidden="false" customHeight="false" outlineLevel="0" collapsed="false">
      <c r="B16" s="0" t="s">
        <v>983</v>
      </c>
      <c r="H16" s="0" t="s">
        <v>984</v>
      </c>
    </row>
    <row r="18" customFormat="false" ht="12.75" hidden="false" customHeight="false" outlineLevel="0" collapsed="false">
      <c r="B18" s="0" t="s">
        <v>985</v>
      </c>
      <c r="H18" s="0" t="s">
        <v>984</v>
      </c>
    </row>
    <row r="20" customFormat="false" ht="12.75" hidden="false" customHeight="false" outlineLevel="0" collapsed="false">
      <c r="B20" s="0" t="s">
        <v>986</v>
      </c>
      <c r="H20" s="0" t="s">
        <v>987</v>
      </c>
    </row>
    <row r="22" customFormat="false" ht="12.75" hidden="false" customHeight="false" outlineLevel="0" collapsed="false">
      <c r="B22" s="0" t="s">
        <v>988</v>
      </c>
      <c r="H22" s="715" t="s">
        <v>989</v>
      </c>
    </row>
    <row r="24" customFormat="false" ht="12.75" hidden="false" customHeight="false" outlineLevel="0" collapsed="false">
      <c r="B24" s="0" t="s">
        <v>990</v>
      </c>
      <c r="H24" s="0" t="s">
        <v>991</v>
      </c>
    </row>
    <row r="26" customFormat="false" ht="12.75" hidden="false" customHeight="false" outlineLevel="0" collapsed="false">
      <c r="B26" s="0" t="s">
        <v>992</v>
      </c>
      <c r="H26" s="0" t="s">
        <v>991</v>
      </c>
    </row>
    <row r="28" customFormat="false" ht="12.75" hidden="false" customHeight="false" outlineLevel="0" collapsed="false">
      <c r="B28" s="0" t="s">
        <v>993</v>
      </c>
      <c r="H28" s="0" t="s">
        <v>991</v>
      </c>
    </row>
    <row r="30" customFormat="false" ht="12.75" hidden="false" customHeight="false" outlineLevel="0" collapsed="false">
      <c r="B30" s="0" t="s">
        <v>994</v>
      </c>
      <c r="H30" s="0" t="s">
        <v>991</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6553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1" min="1" style="0" width="8.28"/>
    <col collapsed="false" customWidth="true" hidden="false" outlineLevel="0" max="2" min="2" style="0" width="7.28"/>
    <col collapsed="false" customWidth="true" hidden="false" outlineLevel="0" max="3" min="3" style="0" width="17.14"/>
    <col collapsed="false" customWidth="true" hidden="false" outlineLevel="0" max="4" min="4" style="0" width="7.85"/>
    <col collapsed="false" customWidth="true" hidden="false" outlineLevel="0" max="5" min="5" style="0" width="12.7"/>
    <col collapsed="false" customWidth="true" hidden="false" outlineLevel="0" max="10" min="6" style="0" width="10.71"/>
    <col collapsed="false" customWidth="true" hidden="false" outlineLevel="0" max="11" min="11" style="0" width="8.7"/>
    <col collapsed="false" customWidth="true" hidden="false" outlineLevel="0" max="12" min="12" style="0" width="10.71"/>
  </cols>
  <sheetData>
    <row r="1" customFormat="false" ht="18.75" hidden="false" customHeight="false" outlineLevel="0" collapsed="false">
      <c r="A1" s="48" t="s">
        <v>0</v>
      </c>
      <c r="B1" s="112"/>
      <c r="C1" s="112"/>
      <c r="D1" s="113"/>
      <c r="E1" s="113"/>
      <c r="F1" s="113"/>
      <c r="G1" s="113"/>
      <c r="H1" s="4"/>
      <c r="I1" s="4"/>
      <c r="J1" s="4"/>
      <c r="K1" s="4"/>
      <c r="L1" s="4"/>
      <c r="M1" s="51" t="s">
        <v>54</v>
      </c>
      <c r="N1" s="57"/>
    </row>
    <row r="2" customFormat="false" ht="12.75" hidden="false" customHeight="false" outlineLevel="0" collapsed="false">
      <c r="A2" s="53"/>
    </row>
    <row r="3" customFormat="false" ht="15.75" hidden="false" customHeight="false" outlineLevel="0" collapsed="false">
      <c r="A3" s="53"/>
      <c r="M3" s="114" t="s">
        <v>29</v>
      </c>
    </row>
    <row r="4" customFormat="false" ht="12.75" hidden="false" customHeight="false" outlineLevel="0" collapsed="false">
      <c r="A4" s="53"/>
    </row>
    <row r="5" customFormat="false" ht="12.75" hidden="false" customHeight="false" outlineLevel="0" collapsed="false">
      <c r="A5" s="53"/>
    </row>
    <row r="6" customFormat="false" ht="12.75" hidden="false" customHeight="false" outlineLevel="0" collapsed="false">
      <c r="B6" s="0" t="s">
        <v>55</v>
      </c>
      <c r="E6" s="54" t="n">
        <v>120</v>
      </c>
      <c r="F6" s="54" t="n">
        <v>140</v>
      </c>
      <c r="G6" s="54" t="n">
        <v>160</v>
      </c>
      <c r="H6" s="54" t="n">
        <v>180</v>
      </c>
      <c r="I6" s="56" t="n">
        <v>200</v>
      </c>
      <c r="J6" s="54" t="n">
        <v>220</v>
      </c>
      <c r="K6" s="54" t="n">
        <v>240</v>
      </c>
    </row>
    <row r="7" customFormat="false" ht="12.75" hidden="false" customHeight="false" outlineLevel="0" collapsed="false">
      <c r="B7" s="0" t="s">
        <v>56</v>
      </c>
      <c r="E7" s="115" t="n">
        <f aca="false">-Dep!$E$108/1000</f>
        <v>-20.4926656381708</v>
      </c>
      <c r="F7" s="115" t="n">
        <f aca="false">-Dep!$E$108/1000</f>
        <v>-20.4926656381708</v>
      </c>
      <c r="G7" s="115" t="n">
        <f aca="false">-Dep!$E$108/1000</f>
        <v>-20.4926656381708</v>
      </c>
      <c r="H7" s="115" t="n">
        <f aca="false">-Dep!$E$108/1000</f>
        <v>-20.4926656381708</v>
      </c>
      <c r="I7" s="72" t="n">
        <f aca="false">-Dep!$E$108/1000</f>
        <v>-20.4926656381708</v>
      </c>
      <c r="J7" s="115" t="n">
        <f aca="false">-Dep!$E$108/1000</f>
        <v>-20.4926656381708</v>
      </c>
      <c r="K7" s="115" t="n">
        <f aca="false">-Dep!$E$108/1000</f>
        <v>-20.4926656381708</v>
      </c>
      <c r="L7" s="65"/>
    </row>
    <row r="8" customFormat="false" ht="12.75" hidden="false" customHeight="false" outlineLevel="0" collapsed="false">
      <c r="B8" s="0" t="s">
        <v>57</v>
      </c>
      <c r="E8" s="115" t="n">
        <f aca="false">'S &amp; U'!$J$15</f>
        <v>10.3802063860846</v>
      </c>
      <c r="F8" s="115" t="n">
        <f aca="false">'S &amp; U'!$J$15</f>
        <v>10.3802063860846</v>
      </c>
      <c r="G8" s="115" t="n">
        <f aca="false">'S &amp; U'!$J$15</f>
        <v>10.3802063860846</v>
      </c>
      <c r="H8" s="115" t="n">
        <f aca="false">'S &amp; U'!$J$15</f>
        <v>10.3802063860846</v>
      </c>
      <c r="I8" s="72" t="n">
        <f aca="false">'S &amp; U'!$J$15</f>
        <v>10.3802063860846</v>
      </c>
      <c r="J8" s="115" t="n">
        <f aca="false">'S &amp; U'!$J$15</f>
        <v>10.3802063860846</v>
      </c>
      <c r="K8" s="115" t="n">
        <f aca="false">'S &amp; U'!$J$15</f>
        <v>10.3802063860846</v>
      </c>
      <c r="L8" s="64"/>
    </row>
    <row r="9" customFormat="false" ht="12.75" hidden="false" customHeight="false" outlineLevel="0" collapsed="false">
      <c r="B9" s="0" t="s">
        <v>58</v>
      </c>
      <c r="E9" s="62" t="n">
        <f aca="false">'S &amp; U'!$J$16</f>
        <v>10</v>
      </c>
      <c r="F9" s="62" t="n">
        <f aca="false">'S &amp; U'!$J$16</f>
        <v>10</v>
      </c>
      <c r="G9" s="62" t="n">
        <f aca="false">'S &amp; U'!$J$16</f>
        <v>10</v>
      </c>
      <c r="H9" s="62" t="n">
        <f aca="false">'S &amp; U'!$J$16</f>
        <v>10</v>
      </c>
      <c r="I9" s="63" t="n">
        <f aca="false">'S &amp; U'!$J$16</f>
        <v>10</v>
      </c>
      <c r="J9" s="62" t="n">
        <f aca="false">'S &amp; U'!$J$16</f>
        <v>10</v>
      </c>
      <c r="K9" s="62" t="n">
        <f aca="false">'S &amp; U'!$J$16</f>
        <v>10</v>
      </c>
      <c r="L9" s="64"/>
    </row>
    <row r="10" customFormat="false" ht="12.75" hidden="false" customHeight="false" outlineLevel="0" collapsed="false">
      <c r="B10" s="0" t="s">
        <v>31</v>
      </c>
      <c r="E10" s="116" t="n">
        <f aca="false">SUM(E6:E9)</f>
        <v>119.887540747914</v>
      </c>
      <c r="F10" s="116" t="n">
        <f aca="false">SUM(F6:F9)</f>
        <v>139.887540747914</v>
      </c>
      <c r="G10" s="116" t="n">
        <f aca="false">SUM(G6:G9)</f>
        <v>159.887540747914</v>
      </c>
      <c r="H10" s="116" t="n">
        <f aca="false">SUM(H6:H9)</f>
        <v>179.887540747914</v>
      </c>
      <c r="I10" s="117" t="n">
        <f aca="false">SUM(I6:I9)</f>
        <v>199.887540747914</v>
      </c>
      <c r="J10" s="116" t="n">
        <f aca="false">SUM(J6:J9)</f>
        <v>219.887540747914</v>
      </c>
      <c r="K10" s="116" t="n">
        <f aca="false">SUM(K6:K9)</f>
        <v>239.887540747914</v>
      </c>
      <c r="L10" s="65"/>
    </row>
    <row r="11" customFormat="false" ht="12.75" hidden="false" customHeight="false" outlineLevel="0" collapsed="false">
      <c r="I11" s="53"/>
      <c r="L11" s="118"/>
    </row>
    <row r="12" customFormat="false" ht="12.75" hidden="false" customHeight="false" outlineLevel="0" collapsed="false">
      <c r="B12" s="0" t="s">
        <v>59</v>
      </c>
      <c r="E12" s="115" t="n">
        <f aca="false">'S &amp; U'!$J$14</f>
        <v>180.4</v>
      </c>
      <c r="F12" s="115" t="n">
        <f aca="false">'S &amp; U'!$J$14</f>
        <v>180.4</v>
      </c>
      <c r="G12" s="115" t="n">
        <f aca="false">'S &amp; U'!$J$14</f>
        <v>180.4</v>
      </c>
      <c r="H12" s="119" t="n">
        <f aca="false">'S &amp; U'!$J$14</f>
        <v>180.4</v>
      </c>
      <c r="I12" s="120" t="n">
        <f aca="false">'S &amp; U'!$J$14</f>
        <v>180.4</v>
      </c>
      <c r="J12" s="115" t="n">
        <f aca="false">'S &amp; U'!$J$14</f>
        <v>180.4</v>
      </c>
      <c r="K12" s="115" t="n">
        <f aca="false">'S &amp; U'!$J$14</f>
        <v>180.4</v>
      </c>
      <c r="L12" s="66"/>
    </row>
    <row r="13" customFormat="false" ht="12.75" hidden="false" customHeight="false" outlineLevel="0" collapsed="false">
      <c r="B13" s="0" t="s">
        <v>60</v>
      </c>
      <c r="E13" s="62" t="n">
        <f aca="false">-Assumptions!$B$46</f>
        <v>-37.9553195594923</v>
      </c>
      <c r="F13" s="62" t="n">
        <f aca="false">-Assumptions!$B$46</f>
        <v>-37.9553195594923</v>
      </c>
      <c r="G13" s="62" t="n">
        <f aca="false">-Assumptions!$B$46</f>
        <v>-37.9553195594923</v>
      </c>
      <c r="H13" s="62" t="n">
        <f aca="false">-Assumptions!$B$46</f>
        <v>-37.9553195594923</v>
      </c>
      <c r="I13" s="63" t="n">
        <f aca="false">-Assumptions!$B$46</f>
        <v>-37.9553195594923</v>
      </c>
      <c r="J13" s="62" t="n">
        <f aca="false">-Assumptions!$B$46</f>
        <v>-37.9553195594923</v>
      </c>
      <c r="K13" s="62" t="n">
        <f aca="false">-Assumptions!$B$46</f>
        <v>-37.9553195594923</v>
      </c>
      <c r="L13" s="66"/>
    </row>
    <row r="14" customFormat="false" ht="12.75" hidden="false" customHeight="false" outlineLevel="0" collapsed="false">
      <c r="B14" s="0" t="s">
        <v>61</v>
      </c>
      <c r="E14" s="54" t="n">
        <f aca="false">SUM(E10:E13)</f>
        <v>262.332221188422</v>
      </c>
      <c r="F14" s="54" t="n">
        <f aca="false">SUM(F10:F13)</f>
        <v>282.332221188422</v>
      </c>
      <c r="G14" s="54" t="n">
        <f aca="false">SUM(G10:G13)</f>
        <v>302.332221188422</v>
      </c>
      <c r="H14" s="54" t="n">
        <f aca="false">SUM(H10:H13)</f>
        <v>322.332221188422</v>
      </c>
      <c r="I14" s="56" t="n">
        <f aca="false">SUM(I10:I13)</f>
        <v>342.332221188422</v>
      </c>
      <c r="J14" s="54" t="n">
        <f aca="false">SUM(J10:J13)</f>
        <v>362.332221188422</v>
      </c>
      <c r="K14" s="54" t="n">
        <f aca="false">SUM(K10:K13)</f>
        <v>382.332221188422</v>
      </c>
      <c r="L14" s="83"/>
    </row>
    <row r="15" customFormat="false" ht="12.75" hidden="false" customHeight="false" outlineLevel="0" collapsed="false">
      <c r="I15" s="53"/>
      <c r="L15" s="83"/>
    </row>
    <row r="16" customFormat="false" ht="12.75" hidden="false" customHeight="false" outlineLevel="0" collapsed="false">
      <c r="B16" s="121" t="s">
        <v>62</v>
      </c>
      <c r="C16" s="7"/>
      <c r="D16" s="7"/>
      <c r="E16" s="7"/>
      <c r="G16" s="23"/>
      <c r="I16" s="59"/>
      <c r="J16" s="58"/>
      <c r="L16" s="83"/>
    </row>
    <row r="17" customFormat="false" ht="12.75" hidden="false" customHeight="false" outlineLevel="0" collapsed="false">
      <c r="B17" s="78" t="s">
        <v>40</v>
      </c>
      <c r="C17" s="0" t="s">
        <v>63</v>
      </c>
      <c r="D17" s="122" t="n">
        <f aca="false">'Balance Sheet'!G37/1000</f>
        <v>128.478999487987</v>
      </c>
      <c r="E17" s="81" t="n">
        <f aca="false">+E$10/$D17</f>
        <v>0.933129470385728</v>
      </c>
      <c r="F17" s="81" t="n">
        <f aca="false">+F$10/$D17</f>
        <v>1.08879693417128</v>
      </c>
      <c r="G17" s="81" t="n">
        <f aca="false">+G$10/$D17</f>
        <v>1.24446439795683</v>
      </c>
      <c r="H17" s="81" t="n">
        <f aca="false">+H$10/$D17</f>
        <v>1.40013186174238</v>
      </c>
      <c r="I17" s="82" t="n">
        <f aca="false">+I$10/$D17</f>
        <v>1.55579932552793</v>
      </c>
      <c r="J17" s="81" t="n">
        <f aca="false">+J$10/$D17</f>
        <v>1.71146678931348</v>
      </c>
      <c r="K17" s="81" t="n">
        <f aca="false">+K$10/$D17</f>
        <v>1.86713425309903</v>
      </c>
      <c r="L17" s="83"/>
    </row>
    <row r="18" customFormat="false" ht="12.75" hidden="false" customHeight="false" outlineLevel="0" collapsed="false">
      <c r="A18" s="71" t="n">
        <v>-1</v>
      </c>
      <c r="B18" s="78" t="s">
        <v>40</v>
      </c>
      <c r="C18" s="0" t="s">
        <v>64</v>
      </c>
      <c r="D18" s="122" t="n">
        <v>160</v>
      </c>
      <c r="E18" s="81" t="n">
        <f aca="false">+E$10/$D18</f>
        <v>0.749297129674461</v>
      </c>
      <c r="F18" s="81" t="n">
        <f aca="false">+F$10/$D18</f>
        <v>0.874297129674461</v>
      </c>
      <c r="G18" s="81" t="n">
        <f aca="false">+G$10/$D18</f>
        <v>0.999297129674461</v>
      </c>
      <c r="H18" s="81" t="n">
        <f aca="false">+H$10/$D18</f>
        <v>1.12429712967446</v>
      </c>
      <c r="I18" s="82" t="n">
        <f aca="false">+I$10/$D18</f>
        <v>1.24929712967446</v>
      </c>
      <c r="J18" s="81" t="n">
        <f aca="false">+J$10/$D18</f>
        <v>1.37429712967446</v>
      </c>
      <c r="K18" s="81" t="n">
        <f aca="false">+K$10/$D18</f>
        <v>1.49929712967446</v>
      </c>
      <c r="L18" s="83"/>
    </row>
    <row r="19" customFormat="false" ht="12.75" hidden="false" customHeight="false" outlineLevel="0" collapsed="false">
      <c r="G19" s="23"/>
      <c r="I19" s="53"/>
      <c r="L19" s="83"/>
    </row>
    <row r="20" customFormat="false" ht="12.75" hidden="false" customHeight="false" outlineLevel="0" collapsed="false">
      <c r="B20" s="0" t="n">
        <v>2001</v>
      </c>
      <c r="C20" s="0" t="s">
        <v>65</v>
      </c>
      <c r="D20" s="122" t="n">
        <f aca="false">('Valuation - DCF'!K67+'Valuation - DCF'!L67)/1000</f>
        <v>12.9850183643132</v>
      </c>
      <c r="E20" s="80" t="n">
        <f aca="false">+E$10/$D20</f>
        <v>9.23275865957964</v>
      </c>
      <c r="F20" s="80" t="n">
        <f aca="false">+F$10/$D20</f>
        <v>10.7729952182715</v>
      </c>
      <c r="G20" s="80" t="n">
        <f aca="false">+G$10/$D20</f>
        <v>12.3132317769633</v>
      </c>
      <c r="H20" s="80" t="n">
        <f aca="false">+H$10/$D20</f>
        <v>13.8534683356551</v>
      </c>
      <c r="I20" s="82" t="n">
        <f aca="false">+I$10/$D20</f>
        <v>15.3937048943469</v>
      </c>
      <c r="J20" s="80" t="n">
        <f aca="false">+J$10/$D20</f>
        <v>16.9339414530388</v>
      </c>
      <c r="K20" s="80" t="n">
        <f aca="false">+K$10/$D20</f>
        <v>18.4741780117306</v>
      </c>
      <c r="L20" s="83"/>
    </row>
    <row r="21" customFormat="false" ht="12.75" hidden="false" customHeight="false" outlineLevel="0" collapsed="false">
      <c r="A21" s="71" t="n">
        <v>-2</v>
      </c>
      <c r="B21" s="0" t="n">
        <v>2002</v>
      </c>
      <c r="C21" s="0" t="s">
        <v>65</v>
      </c>
      <c r="D21" s="122" t="n">
        <f aca="false">'Valuation - DCF'!M67/1000</f>
        <v>16.8138216878167</v>
      </c>
      <c r="E21" s="80" t="n">
        <f aca="false">+E$10/$D21</f>
        <v>7.13029690535997</v>
      </c>
      <c r="F21" s="80" t="n">
        <f aca="false">+F$10/$D21</f>
        <v>8.31979447297674</v>
      </c>
      <c r="G21" s="80" t="n">
        <f aca="false">+G$10/$D21</f>
        <v>9.50929204059351</v>
      </c>
      <c r="H21" s="80" t="n">
        <f aca="false">+H$10/$D21</f>
        <v>10.6987896082103</v>
      </c>
      <c r="I21" s="82" t="n">
        <f aca="false">+I$10/$D21</f>
        <v>11.888287175827</v>
      </c>
      <c r="J21" s="80" t="n">
        <f aca="false">+J$10/$D21</f>
        <v>13.0777847434438</v>
      </c>
      <c r="K21" s="80" t="n">
        <f aca="false">+K$10/$D21</f>
        <v>14.2672823110606</v>
      </c>
      <c r="L21" s="83"/>
    </row>
    <row r="22" customFormat="false" ht="12.75" hidden="false" customHeight="false" outlineLevel="0" collapsed="false">
      <c r="D22" s="123"/>
      <c r="E22" s="80"/>
      <c r="F22" s="80"/>
      <c r="G22" s="81"/>
      <c r="H22" s="80"/>
      <c r="I22" s="82"/>
      <c r="J22" s="80"/>
      <c r="K22" s="80"/>
      <c r="L22" s="83"/>
    </row>
    <row r="23" customFormat="false" ht="12.75" hidden="false" customHeight="false" outlineLevel="0" collapsed="false">
      <c r="B23" s="0" t="n">
        <v>2001</v>
      </c>
      <c r="C23" s="0" t="s">
        <v>66</v>
      </c>
      <c r="D23" s="122" t="n">
        <f aca="false">'Valuation - DCF'!K71/1000+'Valuation - DCF'!L71/1000</f>
        <v>19.2771949405442</v>
      </c>
      <c r="E23" s="80" t="n">
        <f aca="false">+E$10/$D23</f>
        <v>6.21913826766174</v>
      </c>
      <c r="F23" s="80" t="n">
        <f aca="false">+F$10/$D23</f>
        <v>7.25663361185913</v>
      </c>
      <c r="G23" s="80" t="n">
        <f aca="false">+G$10/$D23</f>
        <v>8.29412895605652</v>
      </c>
      <c r="H23" s="80" t="n">
        <f aca="false">+H$10/$D23</f>
        <v>9.3316243002539</v>
      </c>
      <c r="I23" s="82" t="n">
        <f aca="false">+I$10/$D23</f>
        <v>10.3691196444513</v>
      </c>
      <c r="J23" s="80" t="n">
        <f aca="false">+J$10/$D23</f>
        <v>11.4066149886487</v>
      </c>
      <c r="K23" s="80" t="n">
        <f aca="false">+K$10/$D23</f>
        <v>12.4441103328461</v>
      </c>
      <c r="L23" s="83"/>
    </row>
    <row r="24" customFormat="false" ht="12.75" hidden="false" customHeight="false" outlineLevel="0" collapsed="false">
      <c r="A24" s="71" t="n">
        <v>-2</v>
      </c>
      <c r="B24" s="0" t="n">
        <v>2002</v>
      </c>
      <c r="C24" s="0" t="s">
        <v>66</v>
      </c>
      <c r="D24" s="122" t="n">
        <f aca="false">'Valuation - DCF'!M71/1000</f>
        <v>26.5592843633453</v>
      </c>
      <c r="E24" s="80" t="n">
        <f aca="false">+E$10/$D24</f>
        <v>4.513959755383</v>
      </c>
      <c r="F24" s="80" t="n">
        <f aca="false">+F$10/$D24</f>
        <v>5.26699209339291</v>
      </c>
      <c r="G24" s="80" t="n">
        <f aca="false">+G$10/$D24</f>
        <v>6.02002443140283</v>
      </c>
      <c r="H24" s="80" t="n">
        <f aca="false">+H$10/$D24</f>
        <v>6.77305676941274</v>
      </c>
      <c r="I24" s="82" t="n">
        <f aca="false">+I$10/$D24</f>
        <v>7.52608910742265</v>
      </c>
      <c r="J24" s="80" t="n">
        <f aca="false">+J$10/$D24</f>
        <v>8.27912144543256</v>
      </c>
      <c r="K24" s="80" t="n">
        <f aca="false">+K$10/$D24</f>
        <v>9.03215378344247</v>
      </c>
      <c r="L24" s="83"/>
    </row>
    <row r="25" customFormat="false" ht="12.75" hidden="false" customHeight="false" outlineLevel="0" collapsed="false">
      <c r="D25" s="123"/>
      <c r="E25" s="80"/>
      <c r="F25" s="80"/>
      <c r="G25" s="81"/>
      <c r="H25" s="80"/>
      <c r="I25" s="82"/>
      <c r="J25" s="80"/>
      <c r="K25" s="80"/>
      <c r="L25" s="83"/>
    </row>
    <row r="26" customFormat="false" ht="12.75" hidden="false" customHeight="false" outlineLevel="0" collapsed="false">
      <c r="B26" s="121" t="s">
        <v>67</v>
      </c>
      <c r="C26" s="124"/>
      <c r="D26" s="124"/>
      <c r="E26" s="80"/>
      <c r="F26" s="80"/>
      <c r="G26" s="81"/>
      <c r="H26" s="80"/>
      <c r="I26" s="82"/>
      <c r="J26" s="80"/>
      <c r="K26" s="80"/>
      <c r="L26" s="66"/>
    </row>
    <row r="27" customFormat="false" ht="12.75" hidden="false" customHeight="false" outlineLevel="0" collapsed="false">
      <c r="B27" s="0" t="n">
        <v>2001</v>
      </c>
      <c r="C27" s="0" t="s">
        <v>68</v>
      </c>
      <c r="D27" s="122" t="n">
        <f aca="false">('Profit &amp; Loss (2)'!L34+'Profit &amp; Loss (2)'!M34)/1000</f>
        <v>36.017498</v>
      </c>
      <c r="E27" s="80" t="n">
        <f aca="false">+E14/$D$27</f>
        <v>7.28346597502196</v>
      </c>
      <c r="F27" s="80" t="n">
        <f aca="false">+F14/$D$27</f>
        <v>7.83875163089956</v>
      </c>
      <c r="G27" s="81" t="n">
        <f aca="false">+G14/$D$27</f>
        <v>8.39403728677715</v>
      </c>
      <c r="H27" s="80" t="n">
        <f aca="false">+H14/$D$27</f>
        <v>8.94932294265475</v>
      </c>
      <c r="I27" s="82" t="n">
        <f aca="false">+I14/$D$27</f>
        <v>9.50460859853235</v>
      </c>
      <c r="J27" s="80" t="n">
        <f aca="false">+J14/$D$27</f>
        <v>10.0598942544099</v>
      </c>
      <c r="K27" s="80" t="n">
        <f aca="false">+K14/$D$27</f>
        <v>10.6151799102875</v>
      </c>
      <c r="L27" s="125"/>
    </row>
    <row r="28" customFormat="false" ht="12.75" hidden="false" customHeight="false" outlineLevel="0" collapsed="false">
      <c r="A28" s="71" t="n">
        <v>-2</v>
      </c>
      <c r="B28" s="0" t="n">
        <v>2002</v>
      </c>
      <c r="C28" s="0" t="s">
        <v>68</v>
      </c>
      <c r="D28" s="122" t="n">
        <f aca="false">'Profit &amp; Loss (2)'!N34/1000</f>
        <v>43.1041645333333</v>
      </c>
      <c r="E28" s="80" t="n">
        <f aca="false">+E14/$D$28</f>
        <v>6.08600639934813</v>
      </c>
      <c r="F28" s="80" t="n">
        <f aca="false">+F14/$D$28</f>
        <v>6.54999868910783</v>
      </c>
      <c r="G28" s="81" t="n">
        <f aca="false">+G14/$D$28</f>
        <v>7.01399097886752</v>
      </c>
      <c r="H28" s="80" t="n">
        <f aca="false">+H14/$D$28</f>
        <v>7.47798326862722</v>
      </c>
      <c r="I28" s="82" t="n">
        <f aca="false">+I14/$D$28</f>
        <v>7.94197555838692</v>
      </c>
      <c r="J28" s="80" t="n">
        <f aca="false">+J14/$D$28</f>
        <v>8.40596784814661</v>
      </c>
      <c r="K28" s="80" t="n">
        <f aca="false">+K14/$D$28</f>
        <v>8.86996013790631</v>
      </c>
      <c r="L28" s="125"/>
    </row>
    <row r="29" customFormat="false" ht="12.75" hidden="false" customHeight="false" outlineLevel="0" collapsed="false">
      <c r="D29" s="126"/>
      <c r="E29" s="126"/>
      <c r="F29" s="80"/>
      <c r="G29" s="81"/>
      <c r="H29" s="80"/>
      <c r="I29" s="82"/>
      <c r="J29" s="80"/>
      <c r="K29" s="80"/>
      <c r="L29" s="125"/>
    </row>
    <row r="30" customFormat="false" ht="12.75" hidden="false" customHeight="false" outlineLevel="0" collapsed="false">
      <c r="E30" s="127"/>
      <c r="F30" s="127"/>
      <c r="G30" s="128"/>
      <c r="H30" s="127"/>
      <c r="I30" s="129"/>
      <c r="J30" s="127"/>
      <c r="K30" s="127"/>
      <c r="L30" s="125"/>
    </row>
    <row r="31" customFormat="false" ht="12.75" hidden="false" customHeight="false" outlineLevel="0" collapsed="false">
      <c r="B31" s="0" t="s">
        <v>69</v>
      </c>
      <c r="D31" s="130" t="n">
        <v>0.1</v>
      </c>
      <c r="E31" s="131" t="n">
        <f aca="false">((XNPV($D31,'Valuation - DCF'!$K$53:$Q$53,'Valuation - DCF'!$K$40:$Q$40))/1000)-$E$14</f>
        <v>219.195559052349</v>
      </c>
      <c r="F31" s="131" t="n">
        <f aca="false">((XNPV($D31,'Valuation - DCF'!$K$53:$Q$53,'Valuation - DCF'!$K$40:$Q$40))/1000)-$F$14</f>
        <v>199.195559052349</v>
      </c>
      <c r="G31" s="132" t="n">
        <f aca="false">((XNPV($D31,'Valuation - DCF'!$K$53:$Q$53,'Valuation - DCF'!$K$40:$Q$40))/1000)-$G$14</f>
        <v>179.195559052349</v>
      </c>
      <c r="H31" s="131" t="n">
        <f aca="false">((XNPV($D31,'Valuation - DCF'!$K$53:$Q$53,'Valuation - DCF'!$K$40:$Q$40))/1000)-$H$14</f>
        <v>159.195559052349</v>
      </c>
      <c r="I31" s="133" t="n">
        <f aca="false">((XNPV($D31,'Valuation - DCF'!$K$53:$Q$53,'Valuation - DCF'!$K$40:$Q$40))/1000)-$I$14</f>
        <v>139.195559052349</v>
      </c>
      <c r="J31" s="131" t="n">
        <f aca="false">((XNPV($D31,'Valuation - DCF'!$K$53:$Q$53,'Valuation - DCF'!$K$40:$Q$40))/1000)-$J$14</f>
        <v>119.195559052349</v>
      </c>
      <c r="K31" s="131" t="n">
        <f aca="false">((XNPV($D31,'Valuation - DCF'!$K$53:$Q$53,'Valuation - DCF'!$K$40:$Q$40))/1000)-$K$14</f>
        <v>99.1955590523493</v>
      </c>
      <c r="L31" s="125"/>
    </row>
    <row r="32" customFormat="false" ht="12.75" hidden="false" customHeight="false" outlineLevel="0" collapsed="false">
      <c r="B32" s="0" t="s">
        <v>69</v>
      </c>
      <c r="D32" s="130" t="n">
        <v>0.11</v>
      </c>
      <c r="E32" s="131" t="n">
        <f aca="false">((XNPV($D32,'Valuation - DCF'!$K$53:$Q$53,'Valuation - DCF'!$K$40:$Q$40))/1000)-$E$14</f>
        <v>203.863186647183</v>
      </c>
      <c r="F32" s="131" t="n">
        <f aca="false">((XNPV($D32,'Valuation - DCF'!$K$53:$Q$53,'Valuation - DCF'!$K$40:$Q$40))/1000)-$F$14</f>
        <v>183.863186647183</v>
      </c>
      <c r="G32" s="132" t="n">
        <f aca="false">((XNPV($D32,'Valuation - DCF'!$K$53:$Q$53,'Valuation - DCF'!$K$40:$Q$40))/1000)-$G$14</f>
        <v>163.863186647183</v>
      </c>
      <c r="H32" s="131" t="n">
        <f aca="false">((XNPV($D32,'Valuation - DCF'!$K$53:$Q$53,'Valuation - DCF'!$K$40:$Q$40))/1000)-$H$14</f>
        <v>143.863186647183</v>
      </c>
      <c r="I32" s="133" t="n">
        <f aca="false">((XNPV($D32,'Valuation - DCF'!$K$53:$Q$53,'Valuation - DCF'!$K$40:$Q$40))/1000)-$I$14</f>
        <v>123.863186647183</v>
      </c>
      <c r="J32" s="131" t="n">
        <f aca="false">((XNPV($D32,'Valuation - DCF'!$K$53:$Q$53,'Valuation - DCF'!$K$40:$Q$40))/1000)-$J$14</f>
        <v>103.863186647183</v>
      </c>
      <c r="K32" s="131" t="n">
        <f aca="false">((XNPV($D32,'Valuation - DCF'!$K$53:$Q$53,'Valuation - DCF'!$K$40:$Q$40))/1000)-$K$14</f>
        <v>83.8631866471827</v>
      </c>
    </row>
    <row r="33" customFormat="false" ht="12.75" hidden="false" customHeight="false" outlineLevel="0" collapsed="false">
      <c r="B33" s="0" t="s">
        <v>69</v>
      </c>
      <c r="D33" s="130" t="n">
        <v>0.12</v>
      </c>
      <c r="E33" s="131" t="n">
        <f aca="false">((XNPV($D33,'Valuation - DCF'!$K$53:$Q$53,'Valuation - DCF'!$K$40:$Q$40))/1000)-$E$14</f>
        <v>189.227358518134</v>
      </c>
      <c r="F33" s="131" t="n">
        <f aca="false">((XNPV($D33,'Valuation - DCF'!$K$53:$Q$53,'Valuation - DCF'!$K$40:$Q$40))/1000)-$F$14</f>
        <v>169.227358518134</v>
      </c>
      <c r="G33" s="132" t="n">
        <f aca="false">((XNPV($D33,'Valuation - DCF'!$K$53:$Q$53,'Valuation - DCF'!$K$40:$Q$40))/1000)-$G$14</f>
        <v>149.227358518134</v>
      </c>
      <c r="H33" s="131" t="n">
        <f aca="false">((XNPV($D33,'Valuation - DCF'!$K$53:$Q$53,'Valuation - DCF'!$K$40:$Q$40))/1000)-$H$14</f>
        <v>129.227358518134</v>
      </c>
      <c r="I33" s="133" t="n">
        <f aca="false">((XNPV($D33,'Valuation - DCF'!$K$53:$Q$53,'Valuation - DCF'!$K$40:$Q$40))/1000)-$I$14</f>
        <v>109.227358518134</v>
      </c>
      <c r="J33" s="131" t="n">
        <f aca="false">((XNPV($D33,'Valuation - DCF'!$K$53:$Q$53,'Valuation - DCF'!$K$40:$Q$40))/1000)-$J$14</f>
        <v>89.2273585181339</v>
      </c>
      <c r="K33" s="131" t="n">
        <f aca="false">((XNPV($D33,'Valuation - DCF'!$K$53:$Q$53,'Valuation - DCF'!$K$40:$Q$40))/1000)-$K$14</f>
        <v>69.2273585181339</v>
      </c>
    </row>
    <row r="34" customFormat="false" ht="12.75" hidden="false" customHeight="false" outlineLevel="0" collapsed="false">
      <c r="B34" s="0" t="s">
        <v>69</v>
      </c>
      <c r="D34" s="130" t="n">
        <v>0.15</v>
      </c>
      <c r="E34" s="131" t="n">
        <f aca="false">((XNPV($D34,'Valuation - DCF'!$K$53:$Q$53,'Valuation - DCF'!$K$40:$Q$40))/1000)-$E$14</f>
        <v>149.127949024718</v>
      </c>
      <c r="F34" s="131" t="n">
        <f aca="false">((XNPV($D34,'Valuation - DCF'!$K$53:$Q$53,'Valuation - DCF'!$K$40:$Q$40))/1000)-$F$14</f>
        <v>129.127949024718</v>
      </c>
      <c r="G34" s="132" t="n">
        <f aca="false">((XNPV($D34,'Valuation - DCF'!$K$53:$Q$53,'Valuation - DCF'!$K$40:$Q$40))/1000)-$G$14</f>
        <v>109.127949024718</v>
      </c>
      <c r="H34" s="131" t="n">
        <f aca="false">((XNPV($D34,'Valuation - DCF'!$K$53:$Q$53,'Valuation - DCF'!$K$40:$Q$40))/1000)-$H$14</f>
        <v>89.1279490247184</v>
      </c>
      <c r="I34" s="133" t="n">
        <f aca="false">((XNPV($D34,'Valuation - DCF'!$K$53:$Q$53,'Valuation - DCF'!$K$40:$Q$40))/1000)-$I$14</f>
        <v>69.1279490247184</v>
      </c>
      <c r="J34" s="131" t="n">
        <f aca="false">((XNPV($D34,'Valuation - DCF'!$K$53:$Q$53,'Valuation - DCF'!$K$40:$Q$40))/1000)-$J$14</f>
        <v>49.1279490247184</v>
      </c>
      <c r="K34" s="131" t="n">
        <f aca="false">((XNPV($D34,'Valuation - DCF'!$K$53:$Q$53,'Valuation - DCF'!$K$40:$Q$40))/1000)-$K$14</f>
        <v>29.1279490247184</v>
      </c>
    </row>
    <row r="35" customFormat="false" ht="12.75" hidden="false" customHeight="false" outlineLevel="0" collapsed="false">
      <c r="B35" s="0" t="s">
        <v>69</v>
      </c>
      <c r="D35" s="130" t="n">
        <v>0.18</v>
      </c>
      <c r="E35" s="131" t="n">
        <f aca="false">((XNPV($D35,'Valuation - DCF'!$K$53:$Q$53,'Valuation - DCF'!$K$40:$Q$40))/1000)-$E$14</f>
        <v>114.055234063346</v>
      </c>
      <c r="F35" s="131" t="n">
        <f aca="false">((XNPV($D35,'Valuation - DCF'!$K$53:$Q$53,'Valuation - DCF'!$K$40:$Q$40))/1000)-$F$14</f>
        <v>94.0552340633457</v>
      </c>
      <c r="G35" s="132" t="n">
        <f aca="false">((XNPV($D35,'Valuation - DCF'!$K$53:$Q$53,'Valuation - DCF'!$K$40:$Q$40))/1000)-$G$14</f>
        <v>74.0552340633457</v>
      </c>
      <c r="H35" s="131" t="n">
        <f aca="false">((XNPV($D35,'Valuation - DCF'!$K$53:$Q$53,'Valuation - DCF'!$K$40:$Q$40))/1000)-$H$14</f>
        <v>54.0552340633457</v>
      </c>
      <c r="I35" s="133" t="n">
        <f aca="false">((XNPV($D35,'Valuation - DCF'!$K$53:$Q$53,'Valuation - DCF'!$K$40:$Q$40))/1000)-$I$14</f>
        <v>34.0552340633457</v>
      </c>
      <c r="J35" s="131" t="n">
        <f aca="false">((XNPV($D35,'Valuation - DCF'!$K$53:$Q$53,'Valuation - DCF'!$K$40:$Q$40))/1000)-$J$14</f>
        <v>14.0552340633457</v>
      </c>
      <c r="K35" s="131" t="n">
        <f aca="false">((XNPV($D35,'Valuation - DCF'!$K$53:$Q$53,'Valuation - DCF'!$K$40:$Q$40))/1000)-$K$14</f>
        <v>-5.94476593665434</v>
      </c>
    </row>
    <row r="36" customFormat="false" ht="12.75" hidden="false" customHeight="false" outlineLevel="0" collapsed="false">
      <c r="I36" s="53"/>
    </row>
    <row r="37" customFormat="false" ht="12.75" hidden="false" customHeight="false" outlineLevel="0" collapsed="false">
      <c r="B37" s="87" t="s">
        <v>70</v>
      </c>
      <c r="I37" s="53"/>
    </row>
    <row r="38" customFormat="false" ht="12.75" hidden="false" customHeight="false" outlineLevel="0" collapsed="false">
      <c r="B38" s="87" t="s">
        <v>71</v>
      </c>
    </row>
    <row r="65536" customFormat="false" ht="12.75" hidden="false" customHeight="false" outlineLevel="0" collapsed="false">
      <c r="M65536" s="0" t="s">
        <v>29</v>
      </c>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3" activeCellId="0" sqref="B33"/>
    </sheetView>
  </sheetViews>
  <sheetFormatPr defaultColWidth="9.13671875" defaultRowHeight="15" customHeight="true" zeroHeight="false" outlineLevelRow="0" outlineLevelCol="0"/>
  <cols>
    <col collapsed="false" customWidth="false" hidden="false" outlineLevel="0" max="7" min="1" style="111" width="9.14"/>
    <col collapsed="false" customWidth="true" hidden="false" outlineLevel="0" max="8" min="8" style="111" width="10.71"/>
    <col collapsed="false" customWidth="false" hidden="false" outlineLevel="0" max="257" min="9" style="111" width="9.14"/>
  </cols>
  <sheetData>
    <row r="1" customFormat="false" ht="27" hidden="false" customHeight="false" outlineLevel="0" collapsed="false">
      <c r="A1" s="1" t="s">
        <v>0</v>
      </c>
      <c r="B1" s="134"/>
      <c r="C1" s="135"/>
      <c r="D1" s="136"/>
      <c r="E1" s="136"/>
      <c r="F1" s="136"/>
      <c r="G1" s="137"/>
      <c r="H1" s="136"/>
      <c r="I1" s="138"/>
      <c r="J1" s="16" t="s">
        <v>72</v>
      </c>
      <c r="K1" s="16"/>
      <c r="L1" s="16"/>
      <c r="M1" s="16"/>
      <c r="N1" s="16"/>
      <c r="O1" s="16"/>
    </row>
    <row r="2" customFormat="false" ht="15.75" hidden="false" customHeight="false" outlineLevel="0" collapsed="false">
      <c r="I2" s="139"/>
    </row>
    <row r="3" customFormat="false" ht="15.75" hidden="false" customHeight="false" outlineLevel="0" collapsed="false">
      <c r="I3" s="139"/>
    </row>
    <row r="4" customFormat="false" ht="15.75" hidden="false" customHeight="false" outlineLevel="0" collapsed="false">
      <c r="I4" s="139"/>
    </row>
    <row r="5" customFormat="false" ht="15.75" hidden="false" customHeight="false" outlineLevel="0" collapsed="false">
      <c r="I5" s="139"/>
    </row>
    <row r="6" customFormat="false" ht="15.75" hidden="false" customHeight="false" outlineLevel="0" collapsed="false">
      <c r="I6" s="139"/>
    </row>
    <row r="8" customFormat="false" ht="15" hidden="false" customHeight="false" outlineLevel="0" collapsed="false">
      <c r="C8" s="111" t="s">
        <v>73</v>
      </c>
      <c r="I8" s="111" t="s">
        <v>74</v>
      </c>
    </row>
    <row r="9" customFormat="false" ht="15" hidden="false" customHeight="false" outlineLevel="0" collapsed="false">
      <c r="D9" s="111" t="s">
        <v>75</v>
      </c>
      <c r="J9" s="111" t="s">
        <v>76</v>
      </c>
    </row>
    <row r="10" customFormat="false" ht="15" hidden="false" customHeight="false" outlineLevel="0" collapsed="false">
      <c r="D10" s="111" t="s">
        <v>77</v>
      </c>
      <c r="J10" s="111" t="s">
        <v>78</v>
      </c>
    </row>
    <row r="11" customFormat="false" ht="15" hidden="false" customHeight="false" outlineLevel="0" collapsed="false">
      <c r="J11" s="111" t="s">
        <v>79</v>
      </c>
    </row>
    <row r="12" customFormat="false" ht="15" hidden="false" customHeight="false" outlineLevel="0" collapsed="false">
      <c r="C12" s="111" t="s">
        <v>80</v>
      </c>
      <c r="J12" s="111" t="s">
        <v>81</v>
      </c>
    </row>
    <row r="13" customFormat="false" ht="15" hidden="false" customHeight="false" outlineLevel="0" collapsed="false">
      <c r="D13" s="111" t="s">
        <v>82</v>
      </c>
      <c r="J13" s="111" t="s">
        <v>83</v>
      </c>
    </row>
    <row r="14" customFormat="false" ht="15" hidden="false" customHeight="false" outlineLevel="0" collapsed="false">
      <c r="D14" s="111" t="s">
        <v>84</v>
      </c>
    </row>
    <row r="15" customFormat="false" ht="15" hidden="false" customHeight="false" outlineLevel="0" collapsed="false">
      <c r="D15" s="111" t="s">
        <v>85</v>
      </c>
      <c r="I15" s="111" t="s">
        <v>86</v>
      </c>
    </row>
    <row r="16" customFormat="false" ht="15" hidden="false" customHeight="false" outlineLevel="0" collapsed="false">
      <c r="D16" s="111" t="s">
        <v>87</v>
      </c>
      <c r="J16" s="111" t="s">
        <v>88</v>
      </c>
    </row>
    <row r="18" customFormat="false" ht="15" hidden="false" customHeight="false" outlineLevel="0" collapsed="false">
      <c r="C18" s="111" t="s">
        <v>89</v>
      </c>
      <c r="I18" s="111" t="s">
        <v>90</v>
      </c>
    </row>
    <row r="19" customFormat="false" ht="15" hidden="false" customHeight="false" outlineLevel="0" collapsed="false">
      <c r="D19" s="111" t="s">
        <v>91</v>
      </c>
      <c r="J19" s="111" t="s">
        <v>92</v>
      </c>
    </row>
    <row r="20" customFormat="false" ht="15" hidden="false" customHeight="false" outlineLevel="0" collapsed="false">
      <c r="D20" s="111" t="s">
        <v>93</v>
      </c>
    </row>
    <row r="21" customFormat="false" ht="15" hidden="false" customHeight="false" outlineLevel="0" collapsed="false">
      <c r="I21" s="111" t="s">
        <v>94</v>
      </c>
    </row>
    <row r="22" customFormat="false" ht="15" hidden="false" customHeight="false" outlineLevel="0" collapsed="false">
      <c r="J22" s="111" t="s">
        <v>95</v>
      </c>
    </row>
    <row r="23" customFormat="false" ht="15" hidden="false" customHeight="false" outlineLevel="0" collapsed="false">
      <c r="C23" s="111" t="s">
        <v>96</v>
      </c>
      <c r="J23" s="111" t="s">
        <v>97</v>
      </c>
    </row>
    <row r="24" customFormat="false" ht="15" hidden="false" customHeight="false" outlineLevel="0" collapsed="false">
      <c r="D24" s="111" t="s">
        <v>98</v>
      </c>
    </row>
    <row r="25" customFormat="false" ht="15" hidden="false" customHeight="false" outlineLevel="0" collapsed="false">
      <c r="D25" s="111" t="s">
        <v>99</v>
      </c>
      <c r="I25" s="111" t="s">
        <v>100</v>
      </c>
    </row>
    <row r="26" customFormat="false" ht="15" hidden="false" customHeight="false" outlineLevel="0" collapsed="false">
      <c r="D26" s="111" t="s">
        <v>101</v>
      </c>
      <c r="J26" s="111" t="s">
        <v>102</v>
      </c>
    </row>
    <row r="27" customFormat="false" ht="15" hidden="false" customHeight="false" outlineLevel="0" collapsed="false">
      <c r="J27" s="111" t="s">
        <v>103</v>
      </c>
    </row>
    <row r="29" customFormat="false" ht="15" hidden="false" customHeight="false" outlineLevel="0" collapsed="false">
      <c r="I29" s="111" t="s">
        <v>104</v>
      </c>
    </row>
    <row r="30" customFormat="false" ht="15" hidden="false" customHeight="false" outlineLevel="0" collapsed="false">
      <c r="J30" s="111" t="s">
        <v>105</v>
      </c>
    </row>
    <row r="31" customFormat="false" ht="15" hidden="false" customHeight="false" outlineLevel="0" collapsed="false">
      <c r="J31" s="111" t="s">
        <v>106</v>
      </c>
    </row>
  </sheetData>
  <mergeCells count="1">
    <mergeCell ref="J1:O1"/>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rowBreaks count="1" manualBreakCount="1">
    <brk id="44" man="true" max="16383" min="0"/>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3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3" activeCellId="0" sqref="B33"/>
    </sheetView>
  </sheetViews>
  <sheetFormatPr defaultColWidth="9.0546875" defaultRowHeight="12.75" customHeight="true" zeroHeight="false" outlineLevelRow="0" outlineLevelCol="0"/>
  <cols>
    <col collapsed="false" customWidth="true" hidden="false" outlineLevel="0" max="4" min="4" style="0" width="19.7"/>
  </cols>
  <sheetData>
    <row r="1" customFormat="false" ht="27" hidden="false" customHeight="false" outlineLevel="0" collapsed="false">
      <c r="A1" s="1" t="s">
        <v>0</v>
      </c>
      <c r="B1" s="112"/>
      <c r="C1" s="112"/>
      <c r="D1" s="113"/>
      <c r="E1" s="113"/>
      <c r="F1" s="113"/>
      <c r="G1" s="140"/>
      <c r="H1" s="4"/>
      <c r="I1" s="4"/>
      <c r="J1" s="4"/>
      <c r="K1" s="141" t="s">
        <v>107</v>
      </c>
      <c r="L1" s="3"/>
    </row>
    <row r="9" customFormat="false" ht="23.25" hidden="false" customHeight="false" outlineLevel="0" collapsed="false">
      <c r="D9" s="6"/>
    </row>
    <row r="10" customFormat="false" ht="27.75" hidden="false" customHeight="false" outlineLevel="0" collapsed="false">
      <c r="D10" s="8"/>
    </row>
    <row r="11" customFormat="false" ht="27.75" hidden="false" customHeight="false" outlineLevel="0" collapsed="false">
      <c r="D11" s="8"/>
    </row>
    <row r="12" customFormat="false" ht="27.75" hidden="false" customHeight="false" outlineLevel="0" collapsed="false">
      <c r="D12" s="0" t="s">
        <v>108</v>
      </c>
      <c r="E12" s="8" t="s">
        <v>108</v>
      </c>
    </row>
    <row r="13" customFormat="false" ht="27.75" hidden="false" customHeight="true" outlineLevel="0" collapsed="false">
      <c r="A13" s="9" t="s">
        <v>107</v>
      </c>
      <c r="B13" s="9"/>
      <c r="C13" s="9"/>
      <c r="D13" s="9"/>
      <c r="E13" s="9"/>
      <c r="F13" s="9"/>
      <c r="G13" s="9"/>
      <c r="H13" s="9"/>
      <c r="I13" s="9"/>
      <c r="J13" s="9"/>
      <c r="K13" s="9"/>
      <c r="L13" s="9"/>
    </row>
    <row r="15" customFormat="false" ht="27.75" hidden="false" customHeight="false" outlineLevel="0" collapsed="false">
      <c r="D15" s="8"/>
    </row>
    <row r="19" customFormat="false" ht="27.75" hidden="false" customHeight="false" outlineLevel="0" collapsed="false">
      <c r="D19" s="8"/>
    </row>
    <row r="21" customFormat="false" ht="18" hidden="false" customHeight="false" outlineLevel="0" collapsed="false">
      <c r="D21" s="142"/>
    </row>
    <row r="23" customFormat="false" ht="18" hidden="false" customHeight="false" outlineLevel="0" collapsed="false">
      <c r="D23" s="143"/>
    </row>
    <row r="24" customFormat="false" ht="12.75" hidden="false" customHeight="false" outlineLevel="0" collapsed="false">
      <c r="D24" s="12"/>
    </row>
    <row r="36" customFormat="false" ht="12.75" hidden="false" customHeight="false" outlineLevel="0" collapsed="false">
      <c r="H36" s="13"/>
    </row>
  </sheetData>
  <mergeCells count="1">
    <mergeCell ref="A13:L13"/>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18"/>
  <sheetViews>
    <sheetView showFormulas="false" showGridLines="false" showRowColHeaders="true" showZeros="true" rightToLeft="false" tabSelected="false" showOutlineSymbols="true" defaultGridColor="true" view="pageBreakPreview" topLeftCell="A1" colorId="64" zoomScale="100" zoomScaleNormal="80" zoomScalePageLayoutView="100" workbookViewId="0">
      <pane xSplit="0" ySplit="5" topLeftCell="BM28" activePane="bottomLeft" state="frozen"/>
      <selection pane="topLeft" activeCell="A1" activeCellId="0" sqref="A1"/>
      <selection pane="bottomLeft" activeCell="B33" activeCellId="0" sqref="B33"/>
    </sheetView>
  </sheetViews>
  <sheetFormatPr defaultColWidth="9.13671875" defaultRowHeight="12.75" customHeight="true" zeroHeight="false" outlineLevelRow="1" outlineLevelCol="1"/>
  <cols>
    <col collapsed="false" customWidth="true" hidden="false" outlineLevel="0" max="1" min="1" style="14" width="48.85"/>
    <col collapsed="false" customWidth="true" hidden="false" outlineLevel="0" max="2" min="2" style="14" width="12.14"/>
    <col collapsed="false" customWidth="true" hidden="false" outlineLevel="0" max="3" min="3" style="14" width="12.7"/>
    <col collapsed="false" customWidth="true" hidden="false" outlineLevel="0" max="4" min="4" style="14" width="13.7"/>
    <col collapsed="false" customWidth="true" hidden="false" outlineLevel="0" max="5" min="5" style="14" width="12.42"/>
    <col collapsed="false" customWidth="true" hidden="false" outlineLevel="0" max="6" min="6" style="14" width="13.28"/>
    <col collapsed="false" customWidth="true" hidden="true" outlineLevel="1" max="7" min="7" style="14" width="12.42"/>
    <col collapsed="false" customWidth="true" hidden="true" outlineLevel="1" max="8" min="8" style="144" width="12.42"/>
    <col collapsed="false" customWidth="true" hidden="false" outlineLevel="0" max="9" min="9" style="145" width="12.42"/>
    <col collapsed="false" customWidth="true" hidden="false" outlineLevel="0" max="10" min="10" style="14" width="12.42"/>
    <col collapsed="false" customWidth="true" hidden="false" outlineLevel="0" max="13" min="11" style="14" width="13.28"/>
    <col collapsed="false" customWidth="false" hidden="false" outlineLevel="0" max="16" min="14" style="14" width="9.14"/>
    <col collapsed="false" customWidth="true" hidden="false" outlineLevel="0" max="18" min="17" style="14" width="9.28"/>
    <col collapsed="false" customWidth="false" hidden="false" outlineLevel="0" max="257" min="19" style="14" width="9.14"/>
  </cols>
  <sheetData>
    <row r="1" customFormat="false" ht="27" hidden="false" customHeight="true" outlineLevel="0" collapsed="false">
      <c r="A1" s="146" t="s">
        <v>0</v>
      </c>
      <c r="B1" s="147"/>
      <c r="C1" s="147"/>
      <c r="D1" s="148"/>
      <c r="E1" s="148"/>
      <c r="F1" s="148"/>
      <c r="G1" s="148"/>
      <c r="H1" s="148"/>
      <c r="I1" s="148"/>
      <c r="J1" s="148"/>
      <c r="K1" s="149" t="s">
        <v>109</v>
      </c>
      <c r="L1" s="149"/>
      <c r="M1" s="149"/>
    </row>
    <row r="2" customFormat="false" ht="25.5" hidden="false" customHeight="false" outlineLevel="0" collapsed="false">
      <c r="A2" s="150"/>
      <c r="B2" s="151"/>
      <c r="C2" s="151"/>
      <c r="D2" s="152"/>
      <c r="E2" s="152"/>
      <c r="F2" s="152"/>
      <c r="G2" s="152"/>
      <c r="H2" s="153"/>
      <c r="I2" s="153"/>
      <c r="K2" s="154"/>
      <c r="M2" s="155" t="s">
        <v>110</v>
      </c>
    </row>
    <row r="3" customFormat="false" ht="25.5" hidden="false" customHeight="false" outlineLevel="0" collapsed="false">
      <c r="A3" s="150"/>
      <c r="B3" s="151"/>
      <c r="C3" s="151"/>
      <c r="D3" s="152"/>
      <c r="E3" s="152"/>
      <c r="F3" s="152"/>
      <c r="G3" s="152"/>
      <c r="H3" s="153"/>
      <c r="I3" s="153"/>
      <c r="J3" s="154"/>
      <c r="K3" s="154"/>
      <c r="L3" s="154"/>
      <c r="M3" s="154"/>
    </row>
    <row r="4" customFormat="false" ht="25.5" hidden="false" customHeight="false" outlineLevel="0" collapsed="false">
      <c r="A4" s="150"/>
      <c r="B4" s="151"/>
      <c r="C4" s="151"/>
      <c r="D4" s="152"/>
      <c r="E4" s="152"/>
      <c r="F4" s="152"/>
      <c r="G4" s="156" t="s">
        <v>111</v>
      </c>
      <c r="H4" s="156" t="s">
        <v>112</v>
      </c>
      <c r="I4" s="156" t="s">
        <v>113</v>
      </c>
      <c r="J4" s="157"/>
      <c r="K4" s="157"/>
      <c r="L4" s="157"/>
      <c r="M4" s="157"/>
    </row>
    <row r="5" customFormat="false" ht="15.75" hidden="false" customHeight="false" outlineLevel="0" collapsed="false">
      <c r="A5" s="158" t="s">
        <v>108</v>
      </c>
      <c r="B5" s="159" t="n">
        <v>1996</v>
      </c>
      <c r="C5" s="160" t="n">
        <v>1997</v>
      </c>
      <c r="D5" s="160" t="n">
        <v>1998</v>
      </c>
      <c r="E5" s="160" t="n">
        <v>1999</v>
      </c>
      <c r="F5" s="161" t="n">
        <v>2000</v>
      </c>
      <c r="G5" s="162" t="n">
        <v>2001</v>
      </c>
      <c r="H5" s="161" t="n">
        <v>2001</v>
      </c>
      <c r="I5" s="161" t="n">
        <v>2001</v>
      </c>
      <c r="J5" s="161" t="n">
        <v>2002</v>
      </c>
      <c r="K5" s="161" t="n">
        <v>2003</v>
      </c>
      <c r="L5" s="161" t="n">
        <v>2004</v>
      </c>
      <c r="M5" s="25" t="n">
        <v>2005</v>
      </c>
      <c r="N5" s="145"/>
      <c r="O5" s="145"/>
      <c r="P5" s="145"/>
      <c r="Q5" s="145"/>
      <c r="R5" s="145"/>
      <c r="S5" s="145"/>
      <c r="T5" s="145"/>
      <c r="U5" s="145"/>
      <c r="V5" s="145"/>
      <c r="W5" s="145"/>
      <c r="X5" s="145"/>
      <c r="Y5" s="145"/>
      <c r="Z5" s="145"/>
      <c r="AA5" s="145"/>
      <c r="AB5" s="145"/>
      <c r="AC5" s="145"/>
      <c r="AD5" s="145"/>
      <c r="AE5" s="145"/>
      <c r="AF5" s="145"/>
      <c r="AG5" s="145"/>
      <c r="AH5" s="145"/>
      <c r="AI5" s="145"/>
      <c r="AJ5" s="145"/>
      <c r="AK5" s="145"/>
      <c r="AL5" s="145"/>
      <c r="AM5" s="145"/>
      <c r="AN5" s="145"/>
      <c r="AO5" s="145"/>
      <c r="AP5" s="145"/>
      <c r="AQ5" s="145"/>
      <c r="AR5" s="145"/>
      <c r="AS5" s="145"/>
      <c r="AT5" s="145"/>
      <c r="AU5" s="145"/>
      <c r="AV5" s="145"/>
      <c r="AW5" s="145"/>
      <c r="AX5" s="145"/>
      <c r="AY5" s="145"/>
      <c r="AZ5" s="145"/>
      <c r="BA5" s="145"/>
      <c r="BB5" s="145"/>
      <c r="BC5" s="145"/>
      <c r="BD5" s="145"/>
      <c r="BE5" s="145"/>
      <c r="BF5" s="145"/>
      <c r="BG5" s="145"/>
      <c r="BH5" s="145"/>
      <c r="BI5" s="145"/>
      <c r="BJ5" s="145"/>
      <c r="BK5" s="145"/>
      <c r="BL5" s="145"/>
      <c r="BM5" s="145"/>
      <c r="BN5" s="145"/>
      <c r="BO5" s="145"/>
      <c r="BP5" s="145"/>
      <c r="BQ5" s="145"/>
      <c r="BR5" s="145"/>
      <c r="BS5" s="145"/>
      <c r="BT5" s="145"/>
      <c r="BU5" s="145"/>
      <c r="BV5" s="145"/>
      <c r="BW5" s="145"/>
      <c r="BX5" s="145"/>
      <c r="BY5" s="145"/>
      <c r="BZ5" s="145"/>
      <c r="CA5" s="145"/>
      <c r="CB5" s="145"/>
      <c r="CC5" s="145"/>
      <c r="CD5" s="145"/>
      <c r="CE5" s="145"/>
      <c r="CF5" s="145"/>
      <c r="CG5" s="145"/>
      <c r="CH5" s="145"/>
      <c r="CI5" s="145"/>
      <c r="CJ5" s="145"/>
      <c r="CK5" s="145"/>
      <c r="CL5" s="145"/>
      <c r="CM5" s="145"/>
      <c r="CN5" s="145"/>
      <c r="CO5" s="145"/>
      <c r="CP5" s="145"/>
      <c r="CQ5" s="145"/>
      <c r="CR5" s="145"/>
      <c r="CS5" s="145"/>
      <c r="CT5" s="145"/>
      <c r="CU5" s="145"/>
      <c r="CV5" s="145"/>
      <c r="CW5" s="145"/>
      <c r="CX5" s="145"/>
      <c r="CY5" s="145"/>
      <c r="CZ5" s="145"/>
      <c r="DA5" s="145"/>
      <c r="DB5" s="145"/>
      <c r="DC5" s="145"/>
      <c r="DD5" s="145"/>
      <c r="DE5" s="145"/>
      <c r="DF5" s="145"/>
      <c r="DG5" s="145"/>
      <c r="DH5" s="145"/>
      <c r="DI5" s="145"/>
      <c r="DJ5" s="145"/>
      <c r="DK5" s="145"/>
      <c r="DL5" s="145"/>
      <c r="DM5" s="145"/>
      <c r="DN5" s="145"/>
      <c r="DO5" s="145"/>
      <c r="DP5" s="145"/>
      <c r="DQ5" s="145"/>
      <c r="DR5" s="145"/>
      <c r="DS5" s="145"/>
      <c r="DT5" s="145"/>
      <c r="DU5" s="145"/>
      <c r="DV5" s="145"/>
      <c r="DW5" s="145"/>
      <c r="DX5" s="145"/>
      <c r="DY5" s="145"/>
      <c r="DZ5" s="145"/>
      <c r="EA5" s="145"/>
      <c r="EB5" s="145"/>
      <c r="EC5" s="145"/>
      <c r="ED5" s="145"/>
      <c r="EE5" s="145"/>
      <c r="EF5" s="145"/>
      <c r="EG5" s="145"/>
      <c r="EH5" s="145"/>
      <c r="EI5" s="145"/>
      <c r="EJ5" s="145"/>
      <c r="EK5" s="145"/>
      <c r="EL5" s="145"/>
      <c r="EM5" s="145"/>
      <c r="EN5" s="145"/>
      <c r="EO5" s="145"/>
      <c r="EP5" s="145"/>
      <c r="EQ5" s="145"/>
      <c r="ER5" s="145"/>
      <c r="ES5" s="145"/>
      <c r="ET5" s="145"/>
      <c r="EU5" s="145"/>
      <c r="EV5" s="145"/>
      <c r="EW5" s="145"/>
      <c r="EX5" s="145"/>
      <c r="EY5" s="145"/>
      <c r="EZ5" s="145"/>
      <c r="FA5" s="145"/>
      <c r="FB5" s="145"/>
      <c r="FC5" s="145"/>
      <c r="FD5" s="145"/>
      <c r="FE5" s="145"/>
      <c r="FF5" s="145"/>
      <c r="FG5" s="145"/>
      <c r="FH5" s="145"/>
      <c r="FI5" s="145"/>
      <c r="FJ5" s="145"/>
      <c r="FK5" s="145"/>
      <c r="FL5" s="145"/>
      <c r="FM5" s="145"/>
      <c r="FN5" s="145"/>
      <c r="FO5" s="145"/>
      <c r="FP5" s="145"/>
      <c r="FQ5" s="145"/>
      <c r="FR5" s="145"/>
      <c r="FS5" s="145"/>
      <c r="FT5" s="145"/>
      <c r="FU5" s="145"/>
      <c r="FV5" s="145"/>
      <c r="FW5" s="145"/>
      <c r="FX5" s="145"/>
      <c r="FY5" s="145"/>
      <c r="FZ5" s="145"/>
      <c r="GA5" s="145"/>
      <c r="GB5" s="145"/>
      <c r="GC5" s="145"/>
      <c r="GD5" s="145"/>
      <c r="GE5" s="145"/>
      <c r="GF5" s="145"/>
      <c r="GG5" s="145"/>
      <c r="GH5" s="145"/>
      <c r="GI5" s="145"/>
      <c r="GJ5" s="145"/>
      <c r="GK5" s="145"/>
      <c r="GL5" s="145"/>
      <c r="GM5" s="145"/>
      <c r="GN5" s="145"/>
      <c r="GO5" s="145"/>
      <c r="GP5" s="145"/>
      <c r="GQ5" s="145"/>
      <c r="GR5" s="145"/>
      <c r="GS5" s="145"/>
      <c r="GT5" s="145"/>
      <c r="GU5" s="145"/>
      <c r="GV5" s="145"/>
      <c r="GW5" s="145"/>
      <c r="GX5" s="145"/>
      <c r="GY5" s="145"/>
      <c r="GZ5" s="145"/>
      <c r="HA5" s="145"/>
      <c r="HB5" s="145"/>
      <c r="HC5" s="145"/>
      <c r="HD5" s="145"/>
      <c r="HE5" s="145"/>
      <c r="HF5" s="145"/>
      <c r="HG5" s="145"/>
      <c r="HH5" s="145"/>
      <c r="HI5" s="145"/>
      <c r="HJ5" s="145"/>
      <c r="HK5" s="145"/>
      <c r="HL5" s="145"/>
      <c r="HM5" s="145"/>
      <c r="HN5" s="145"/>
      <c r="HO5" s="145"/>
      <c r="HP5" s="145"/>
      <c r="HQ5" s="145"/>
      <c r="HR5" s="145"/>
      <c r="HS5" s="145"/>
      <c r="HT5" s="145"/>
      <c r="HU5" s="145"/>
      <c r="HV5" s="145"/>
      <c r="HW5" s="145"/>
      <c r="HX5" s="145"/>
      <c r="HY5" s="145"/>
      <c r="HZ5" s="145"/>
      <c r="IA5" s="145"/>
      <c r="IB5" s="145"/>
      <c r="IC5" s="145"/>
      <c r="ID5" s="145"/>
      <c r="IE5" s="145"/>
      <c r="IF5" s="145"/>
      <c r="IG5" s="145"/>
      <c r="IH5" s="145"/>
      <c r="II5" s="145"/>
      <c r="IJ5" s="145"/>
      <c r="IK5" s="145"/>
      <c r="IL5" s="145"/>
      <c r="IM5" s="145"/>
      <c r="IN5" s="145"/>
      <c r="IO5" s="145"/>
      <c r="IP5" s="145"/>
      <c r="IQ5" s="145"/>
      <c r="IR5" s="145"/>
      <c r="IS5" s="145"/>
      <c r="IT5" s="145"/>
      <c r="IU5" s="145"/>
      <c r="IV5" s="145"/>
      <c r="IW5" s="145"/>
    </row>
    <row r="6" customFormat="false" ht="12.75" hidden="false" customHeight="false" outlineLevel="0" collapsed="false">
      <c r="F6" s="15"/>
      <c r="G6" s="163"/>
      <c r="H6" s="145"/>
    </row>
    <row r="7" customFormat="false" ht="12.75" hidden="false" customHeight="false" outlineLevel="0" collapsed="false">
      <c r="A7" s="164" t="s">
        <v>114</v>
      </c>
      <c r="F7" s="145"/>
      <c r="G7" s="165"/>
      <c r="H7" s="145"/>
    </row>
    <row r="8" customFormat="false" ht="12.75" hidden="false" customHeight="false" outlineLevel="0" collapsed="false">
      <c r="A8" s="14" t="s">
        <v>115</v>
      </c>
      <c r="B8" s="15" t="n">
        <v>1490895</v>
      </c>
      <c r="C8" s="15" t="n">
        <v>2077853</v>
      </c>
      <c r="D8" s="15" t="n">
        <v>1356251</v>
      </c>
      <c r="E8" s="15" t="n">
        <v>1478101</v>
      </c>
      <c r="F8" s="166" t="n">
        <f aca="false">('Profit &amp; Loss'!K18-'Profit &amp; Loss'!K30)/0.04</f>
        <v>2447775</v>
      </c>
      <c r="G8" s="167" t="n">
        <f aca="false">+('Valuation - DCF'!K21+'Valuation - DCF'!K31)/0.04</f>
        <v>1021303.58333333</v>
      </c>
      <c r="H8" s="166" t="n">
        <f aca="false">+('Valuation - DCF'!L21+'Valuation - DCF'!L31)/0.04</f>
        <v>990445.833333333</v>
      </c>
      <c r="I8" s="166" t="n">
        <f aca="false">G8+H8</f>
        <v>2011749.41666667</v>
      </c>
      <c r="J8" s="166" t="n">
        <f aca="false">+('Valuation - DCF'!M21+'Valuation - DCF'!M31)/0.04</f>
        <v>2054927.21333333</v>
      </c>
      <c r="K8" s="166" t="n">
        <f aca="false">+('Valuation - DCF'!N21+'Valuation - DCF'!N31)/0.04</f>
        <v>2092711.18186667</v>
      </c>
      <c r="L8" s="166" t="n">
        <f aca="false">+('Valuation - DCF'!O21+'Valuation - DCF'!O31)/0.04</f>
        <v>2171087.06914133</v>
      </c>
      <c r="M8" s="166" t="n">
        <f aca="false">+('Valuation - DCF'!P21+'Valuation - DCF'!P31)/0.04</f>
        <v>2246997.99190699</v>
      </c>
    </row>
    <row r="9" customFormat="false" ht="12.75" hidden="false" customHeight="false" outlineLevel="0" collapsed="false">
      <c r="A9" s="14" t="s">
        <v>116</v>
      </c>
      <c r="B9" s="168" t="n">
        <v>18655</v>
      </c>
      <c r="C9" s="168" t="n">
        <v>21477</v>
      </c>
      <c r="D9" s="168" t="n">
        <v>24104</v>
      </c>
      <c r="E9" s="168" t="n">
        <v>2199</v>
      </c>
      <c r="F9" s="168" t="n">
        <v>0</v>
      </c>
      <c r="G9" s="169" t="n">
        <v>0</v>
      </c>
      <c r="H9" s="168" t="n">
        <v>0</v>
      </c>
      <c r="I9" s="168" t="n">
        <f aca="false">G9+H9</f>
        <v>0</v>
      </c>
      <c r="J9" s="168" t="n">
        <v>0</v>
      </c>
      <c r="K9" s="168" t="n">
        <v>0</v>
      </c>
      <c r="L9" s="168" t="n">
        <v>0</v>
      </c>
      <c r="M9" s="168" t="n">
        <v>0</v>
      </c>
    </row>
    <row r="10" customFormat="false" ht="12.75" hidden="false" customHeight="false" outlineLevel="0" collapsed="false">
      <c r="A10" s="14" t="s">
        <v>117</v>
      </c>
      <c r="B10" s="168" t="n">
        <v>2429</v>
      </c>
      <c r="C10" s="168" t="n">
        <v>3119</v>
      </c>
      <c r="D10" s="168" t="n">
        <v>4198</v>
      </c>
      <c r="E10" s="168" t="n">
        <v>2112</v>
      </c>
      <c r="F10" s="168" t="n">
        <v>0</v>
      </c>
      <c r="G10" s="169" t="n">
        <v>0</v>
      </c>
      <c r="H10" s="168" t="n">
        <v>0</v>
      </c>
      <c r="I10" s="168" t="n">
        <f aca="false">G10+H10</f>
        <v>0</v>
      </c>
      <c r="J10" s="168" t="n">
        <v>0</v>
      </c>
      <c r="K10" s="168" t="n">
        <v>0</v>
      </c>
      <c r="L10" s="168" t="n">
        <v>0</v>
      </c>
      <c r="M10" s="168" t="n">
        <v>0</v>
      </c>
    </row>
    <row r="11" customFormat="false" ht="15" hidden="false" customHeight="false" outlineLevel="0" collapsed="false">
      <c r="A11" s="14" t="s">
        <v>118</v>
      </c>
      <c r="B11" s="170" t="n">
        <v>1803</v>
      </c>
      <c r="C11" s="170" t="n">
        <v>1200</v>
      </c>
      <c r="D11" s="170" t="n">
        <v>1911</v>
      </c>
      <c r="E11" s="170" t="n">
        <v>984</v>
      </c>
      <c r="F11" s="170" t="n">
        <v>0</v>
      </c>
      <c r="G11" s="171" t="n">
        <v>0</v>
      </c>
      <c r="H11" s="170" t="n">
        <v>0</v>
      </c>
      <c r="I11" s="170" t="n">
        <f aca="false">G11+H11</f>
        <v>0</v>
      </c>
      <c r="J11" s="170" t="n">
        <v>0</v>
      </c>
      <c r="K11" s="170" t="n">
        <v>0</v>
      </c>
      <c r="L11" s="170" t="n">
        <v>0</v>
      </c>
      <c r="M11" s="170" t="n">
        <v>0</v>
      </c>
    </row>
    <row r="12" customFormat="false" ht="12.75" hidden="false" customHeight="false" outlineLevel="0" collapsed="false">
      <c r="A12" s="14" t="s">
        <v>119</v>
      </c>
      <c r="B12" s="15" t="n">
        <f aca="false">SUM(B8:B11)</f>
        <v>1513782</v>
      </c>
      <c r="C12" s="15" t="n">
        <f aca="false">SUM(C8:C11)</f>
        <v>2103649</v>
      </c>
      <c r="D12" s="15" t="n">
        <f aca="false">SUM(D8:D11)</f>
        <v>1386464</v>
      </c>
      <c r="E12" s="15" t="n">
        <f aca="false">SUM(E8:E11)</f>
        <v>1483396</v>
      </c>
      <c r="F12" s="166" t="n">
        <f aca="false">SUM(F8:F11)</f>
        <v>2447775</v>
      </c>
      <c r="G12" s="167" t="n">
        <f aca="false">SUM(G8:G11)</f>
        <v>1021303.58333333</v>
      </c>
      <c r="H12" s="166" t="n">
        <f aca="false">SUM(H8:H11)</f>
        <v>990445.833333333</v>
      </c>
      <c r="I12" s="47" t="n">
        <f aca="false">G12+H12</f>
        <v>2011749.41666667</v>
      </c>
      <c r="J12" s="47" t="n">
        <f aca="false">SUM(J8:J11)</f>
        <v>2054927.21333333</v>
      </c>
      <c r="K12" s="47" t="n">
        <f aca="false">SUM(K8:K11)</f>
        <v>2092711.18186667</v>
      </c>
      <c r="L12" s="47" t="n">
        <f aca="false">SUM(L8:L11)</f>
        <v>2171087.06914133</v>
      </c>
      <c r="M12" s="47" t="n">
        <f aca="false">SUM(M8:M11)</f>
        <v>2246997.99190699</v>
      </c>
    </row>
    <row r="13" customFormat="false" ht="12.75" hidden="false" customHeight="false" outlineLevel="0" collapsed="false">
      <c r="B13" s="15"/>
      <c r="C13" s="15"/>
      <c r="D13" s="15"/>
      <c r="E13" s="15"/>
      <c r="F13" s="145"/>
      <c r="G13" s="165"/>
      <c r="H13" s="145"/>
      <c r="I13" s="14"/>
    </row>
    <row r="14" customFormat="false" ht="12.75" hidden="false" customHeight="false" outlineLevel="0" collapsed="false">
      <c r="A14" s="164" t="s">
        <v>120</v>
      </c>
      <c r="B14" s="15"/>
      <c r="C14" s="15"/>
      <c r="D14" s="15"/>
      <c r="E14" s="15"/>
      <c r="F14" s="145"/>
      <c r="G14" s="165"/>
      <c r="H14" s="145"/>
      <c r="I14" s="14"/>
      <c r="K14" s="47"/>
      <c r="M14" s="47"/>
    </row>
    <row r="15" customFormat="false" ht="12.75" hidden="false" customHeight="false" outlineLevel="0" collapsed="false">
      <c r="A15" s="14" t="s">
        <v>121</v>
      </c>
      <c r="B15" s="15" t="n">
        <f aca="false">1455674-'Cash Flow '!B10</f>
        <v>1454019</v>
      </c>
      <c r="C15" s="15" t="n">
        <f aca="false">2041130-'Cash Flow '!C10</f>
        <v>2038331</v>
      </c>
      <c r="D15" s="15" t="n">
        <f aca="false">1312577-'Profit &amp; Loss'!I22</f>
        <v>1309682</v>
      </c>
      <c r="E15" s="15" t="n">
        <f aca="false">1416945-'Profit &amp; Loss'!J22</f>
        <v>1414799</v>
      </c>
      <c r="F15" s="166" t="n">
        <f aca="false">+F8*0.96</f>
        <v>2349864</v>
      </c>
      <c r="G15" s="167" t="n">
        <f aca="false">+G12*0.96</f>
        <v>980451.44</v>
      </c>
      <c r="H15" s="166" t="n">
        <f aca="false">+H12*0.96</f>
        <v>950828</v>
      </c>
      <c r="I15" s="166" t="n">
        <f aca="false">G15+H15</f>
        <v>1931279.44</v>
      </c>
      <c r="J15" s="166" t="n">
        <f aca="false">+J12*0.96</f>
        <v>1972730.1248</v>
      </c>
      <c r="K15" s="166" t="n">
        <f aca="false">+K12*0.96</f>
        <v>2009002.734592</v>
      </c>
      <c r="L15" s="166" t="n">
        <f aca="false">+L12*0.96</f>
        <v>2084243.58637568</v>
      </c>
      <c r="M15" s="166" t="n">
        <f aca="false">+M12*0.96</f>
        <v>2157118.07223071</v>
      </c>
    </row>
    <row r="16" customFormat="false" ht="12.75" hidden="false" customHeight="false" outlineLevel="0" collapsed="false">
      <c r="A16" s="14" t="s">
        <v>122</v>
      </c>
      <c r="B16" s="168" t="n">
        <f aca="false">+'Cash Flow '!B10</f>
        <v>1655</v>
      </c>
      <c r="C16" s="168" t="n">
        <f aca="false">+'Cash Flow '!C10</f>
        <v>2799</v>
      </c>
      <c r="D16" s="168" t="n">
        <f aca="false">+'Profit &amp; Loss'!I22</f>
        <v>2895</v>
      </c>
      <c r="E16" s="168" t="n">
        <f aca="false">+'Profit &amp; Loss'!J22</f>
        <v>2146</v>
      </c>
      <c r="F16" s="168" t="n">
        <f aca="false">+'Profit &amp; Loss'!K22</f>
        <v>3300</v>
      </c>
      <c r="G16" s="169" t="n">
        <f aca="false">+((Dep!$F$52+Dep!$F$66)/2)</f>
        <v>1332.93172758222</v>
      </c>
      <c r="H16" s="168" t="n">
        <f aca="false">+((Dep!$F$52+Dep!$F$66)/2)+Dep!F68/2</f>
        <v>1845.0399427051</v>
      </c>
      <c r="I16" s="168" t="n">
        <f aca="false">G16+H16</f>
        <v>3177.97167028732</v>
      </c>
      <c r="J16" s="168" t="n">
        <f aca="false">+(Dep!G52+Dep!G66)+Dep!G68</f>
        <v>3706.74655207688</v>
      </c>
      <c r="K16" s="168" t="n">
        <f aca="false">+(Dep!H52+Dep!H66)+Dep!H68</f>
        <v>3723.41321874354</v>
      </c>
      <c r="L16" s="168" t="n">
        <f aca="false">+(Dep!I52+Dep!I66)+Dep!I68</f>
        <v>3740.07988541021</v>
      </c>
      <c r="M16" s="168" t="n">
        <f aca="false">+(Dep!J52+Dep!J66)+Dep!J68</f>
        <v>3756.74655207688</v>
      </c>
    </row>
    <row r="17" customFormat="false" ht="12.75" hidden="false" customHeight="false" outlineLevel="0" collapsed="false">
      <c r="A17" s="14" t="s">
        <v>123</v>
      </c>
      <c r="B17" s="168" t="n">
        <v>17807</v>
      </c>
      <c r="C17" s="168" t="n">
        <v>22075</v>
      </c>
      <c r="D17" s="168" t="n">
        <v>23390</v>
      </c>
      <c r="E17" s="168" t="n">
        <v>2479</v>
      </c>
      <c r="F17" s="168" t="n">
        <v>0</v>
      </c>
      <c r="G17" s="169" t="n">
        <v>0</v>
      </c>
      <c r="H17" s="168" t="n">
        <v>0</v>
      </c>
      <c r="I17" s="168" t="n">
        <f aca="false">G17+H17</f>
        <v>0</v>
      </c>
      <c r="J17" s="168" t="n">
        <v>0</v>
      </c>
      <c r="K17" s="168" t="n">
        <v>0</v>
      </c>
      <c r="L17" s="168" t="n">
        <v>0</v>
      </c>
      <c r="M17" s="168" t="n">
        <v>0</v>
      </c>
    </row>
    <row r="18" customFormat="false" ht="12.75" hidden="false" customHeight="false" outlineLevel="0" collapsed="false">
      <c r="A18" s="14" t="s">
        <v>124</v>
      </c>
      <c r="B18" s="168" t="n">
        <v>31653</v>
      </c>
      <c r="C18" s="168" t="n">
        <v>40458</v>
      </c>
      <c r="D18" s="168" t="n">
        <v>39227</v>
      </c>
      <c r="E18" s="168" t="n">
        <v>45703</v>
      </c>
      <c r="F18" s="168" t="n">
        <f aca="false">35051+26451</f>
        <v>61502</v>
      </c>
      <c r="G18" s="169" t="n">
        <f aca="false">-SUM('Valuation - DCF'!K23:K27)</f>
        <v>21599</v>
      </c>
      <c r="H18" s="168" t="n">
        <f aca="false">-SUM('Valuation - DCF'!L23:L27)</f>
        <v>22853.4786666667</v>
      </c>
      <c r="I18" s="168" t="n">
        <f aca="false">G18+H18</f>
        <v>44452.4786666667</v>
      </c>
      <c r="J18" s="168" t="n">
        <f aca="false">-SUM('Valuation - DCF'!M23:M27)</f>
        <v>46232.3946666667</v>
      </c>
      <c r="K18" s="168" t="n">
        <f aca="false">-SUM('Valuation - DCF'!N23:N27)</f>
        <v>46465.1454933333</v>
      </c>
      <c r="L18" s="168" t="n">
        <f aca="false">-SUM('Valuation - DCF'!O23:O27)</f>
        <v>47019.8508330667</v>
      </c>
      <c r="M18" s="168" t="n">
        <f aca="false">-SUM('Valuation - DCF'!P23:P27)</f>
        <v>47551.9443863893</v>
      </c>
    </row>
    <row r="19" customFormat="false" ht="15" hidden="false" customHeight="false" outlineLevel="0" collapsed="false">
      <c r="A19" s="14" t="s">
        <v>125</v>
      </c>
      <c r="B19" s="170" t="n">
        <v>3117</v>
      </c>
      <c r="C19" s="170" t="n">
        <v>4905</v>
      </c>
      <c r="D19" s="170" t="n">
        <v>5745</v>
      </c>
      <c r="E19" s="170" t="n">
        <v>5260</v>
      </c>
      <c r="F19" s="170" t="n">
        <v>7978</v>
      </c>
      <c r="G19" s="172" t="n">
        <f aca="false">('Balance Sheet'!I27+'Balance Sheet'!I33)*Assumptions!$B$10*0.5-('Balance Sheet'!F10+'Balance Sheet'!F11)*Assumptions!$B$11*0.5</f>
        <v>6097.575</v>
      </c>
      <c r="H19" s="170" t="n">
        <f aca="false">('Balance Sheet'!J27+'Balance Sheet'!J33)*Assumptions!$B$10*0.5</f>
        <v>6765</v>
      </c>
      <c r="I19" s="170" t="n">
        <f aca="false">G19+H19</f>
        <v>12862.575</v>
      </c>
      <c r="J19" s="170" t="n">
        <f aca="false">('Balance Sheet'!K27+'Balance Sheet'!K33)*Assumptions!$B$10</f>
        <v>13530</v>
      </c>
      <c r="K19" s="170" t="n">
        <f aca="false">('Balance Sheet'!L27+'Balance Sheet'!L33)*Assumptions!$B$10</f>
        <v>13530</v>
      </c>
      <c r="L19" s="170" t="n">
        <f aca="false">('Balance Sheet'!M27+'Balance Sheet'!M33)*Assumptions!$B$10</f>
        <v>13530</v>
      </c>
      <c r="M19" s="170" t="n">
        <f aca="false">('Balance Sheet'!N27+'Balance Sheet'!N33)*Assumptions!$B$10</f>
        <v>13530</v>
      </c>
    </row>
    <row r="20" customFormat="false" ht="12.75" hidden="false" customHeight="false" outlineLevel="0" collapsed="false">
      <c r="A20" s="14" t="s">
        <v>126</v>
      </c>
      <c r="B20" s="15" t="n">
        <f aca="false">SUM(B15:B19)</f>
        <v>1508251</v>
      </c>
      <c r="C20" s="15" t="n">
        <f aca="false">SUM(C15:C19)</f>
        <v>2108568</v>
      </c>
      <c r="D20" s="15" t="n">
        <f aca="false">SUM(D15:D19)</f>
        <v>1380939</v>
      </c>
      <c r="E20" s="15" t="n">
        <f aca="false">SUM(E15:E19)</f>
        <v>1470387</v>
      </c>
      <c r="F20" s="166" t="n">
        <f aca="false">SUM(F15:F19)</f>
        <v>2422644</v>
      </c>
      <c r="G20" s="167" t="n">
        <f aca="false">SUM(G15:G19)</f>
        <v>1009480.94672758</v>
      </c>
      <c r="H20" s="166" t="n">
        <f aca="false">SUM(H15:H19)</f>
        <v>982291.518609372</v>
      </c>
      <c r="I20" s="47" t="n">
        <f aca="false">G20+H20</f>
        <v>1991772.46533695</v>
      </c>
      <c r="J20" s="47" t="n">
        <f aca="false">SUM(J15:J19)</f>
        <v>2036199.26601874</v>
      </c>
      <c r="K20" s="47" t="n">
        <f aca="false">SUM(K15:K19)</f>
        <v>2072721.29330408</v>
      </c>
      <c r="L20" s="47" t="n">
        <f aca="false">SUM(L15:L19)</f>
        <v>2148533.51709416</v>
      </c>
      <c r="M20" s="47" t="n">
        <f aca="false">SUM(M15:M19)</f>
        <v>2221956.76316917</v>
      </c>
    </row>
    <row r="21" customFormat="false" ht="12.75" hidden="false" customHeight="false" outlineLevel="0" collapsed="false">
      <c r="B21" s="15"/>
      <c r="C21" s="15"/>
      <c r="D21" s="15"/>
      <c r="E21" s="15"/>
      <c r="F21" s="145"/>
      <c r="G21" s="165"/>
      <c r="H21" s="173"/>
      <c r="I21" s="47"/>
      <c r="J21" s="47"/>
    </row>
    <row r="22" customFormat="false" ht="12.75" hidden="false" customHeight="false" outlineLevel="0" collapsed="false">
      <c r="A22" s="164" t="s">
        <v>127</v>
      </c>
      <c r="B22" s="15"/>
      <c r="C22" s="15"/>
      <c r="D22" s="15"/>
      <c r="E22" s="15"/>
      <c r="F22" s="145"/>
      <c r="G22" s="165"/>
      <c r="H22" s="145"/>
      <c r="I22" s="14"/>
    </row>
    <row r="23" customFormat="false" ht="12.75" hidden="true" customHeight="false" outlineLevel="1" collapsed="false">
      <c r="A23" s="14" t="s">
        <v>128</v>
      </c>
      <c r="B23" s="15"/>
      <c r="C23" s="15"/>
      <c r="D23" s="15"/>
      <c r="E23" s="15"/>
      <c r="F23" s="145"/>
      <c r="G23" s="174" t="n">
        <v>0</v>
      </c>
      <c r="H23" s="175" t="n">
        <f aca="false">'Valuation - DCF'!L28</f>
        <v>0</v>
      </c>
      <c r="I23" s="175" t="n">
        <f aca="false">G23+H23</f>
        <v>0</v>
      </c>
      <c r="J23" s="175" t="n">
        <f aca="false">'Valuation - DCF'!M28</f>
        <v>0</v>
      </c>
      <c r="K23" s="175" t="n">
        <f aca="false">'Valuation - DCF'!N28</f>
        <v>0</v>
      </c>
      <c r="L23" s="175" t="n">
        <f aca="false">'Valuation - DCF'!O28</f>
        <v>0</v>
      </c>
      <c r="M23" s="175" t="n">
        <f aca="false">'Valuation - DCF'!P28</f>
        <v>0</v>
      </c>
    </row>
    <row r="24" customFormat="false" ht="12.75" hidden="false" customHeight="false" outlineLevel="0" collapsed="false">
      <c r="A24" s="14" t="s">
        <v>129</v>
      </c>
      <c r="B24" s="15"/>
      <c r="C24" s="15"/>
      <c r="D24" s="15"/>
      <c r="E24" s="15"/>
      <c r="F24" s="145"/>
      <c r="G24" s="169" t="n">
        <v>0</v>
      </c>
      <c r="H24" s="168" t="n">
        <f aca="false">(365/DAYS360(Assumptions!$B$20,12/31/2001))*'Valuation - DCF'!L29</f>
        <v>-0</v>
      </c>
      <c r="I24" s="168" t="n">
        <f aca="false">G24+H24</f>
        <v>0</v>
      </c>
      <c r="J24" s="168" t="n">
        <f aca="false">'Valuation - DCF'!M29</f>
        <v>2139.47066666667</v>
      </c>
      <c r="K24" s="168" t="n">
        <f aca="false">'Valuation - DCF'!N29</f>
        <v>4450.09898666667</v>
      </c>
      <c r="L24" s="168" t="n">
        <f aca="false">'Valuation - DCF'!O29</f>
        <v>6942.1544192</v>
      </c>
      <c r="M24" s="168" t="n">
        <f aca="false">'Valuation - DCF'!P29</f>
        <v>9626.45412795734</v>
      </c>
    </row>
    <row r="25" customFormat="false" ht="15" hidden="false" customHeight="false" outlineLevel="0" collapsed="false">
      <c r="A25" s="14" t="s">
        <v>130</v>
      </c>
      <c r="B25" s="15"/>
      <c r="C25" s="15"/>
      <c r="D25" s="15"/>
      <c r="E25" s="15"/>
      <c r="F25" s="15"/>
      <c r="G25" s="171" t="n">
        <v>0</v>
      </c>
      <c r="H25" s="170" t="n">
        <f aca="false">(365/DAYS360(Assumptions!$B$20,12/31/2001))*'Valuation - DCF'!L30</f>
        <v>-0</v>
      </c>
      <c r="I25" s="170" t="n">
        <f aca="false">G25+H25</f>
        <v>0</v>
      </c>
      <c r="J25" s="170" t="n">
        <f aca="false">'Valuation - DCF'!M30</f>
        <v>5000</v>
      </c>
      <c r="K25" s="170" t="n">
        <f aca="false">'Valuation - DCF'!N30</f>
        <v>10000</v>
      </c>
      <c r="L25" s="170" t="n">
        <f aca="false">'Valuation - DCF'!O30</f>
        <v>15000</v>
      </c>
      <c r="M25" s="170" t="n">
        <f aca="false">'Valuation - DCF'!P30</f>
        <v>20000</v>
      </c>
    </row>
    <row r="26" customFormat="false" ht="12.75" hidden="false" customHeight="false" outlineLevel="0" collapsed="false">
      <c r="A26" s="14" t="s">
        <v>131</v>
      </c>
      <c r="B26" s="15"/>
      <c r="C26" s="15"/>
      <c r="D26" s="15"/>
      <c r="E26" s="15"/>
      <c r="F26" s="145"/>
      <c r="G26" s="167" t="n">
        <f aca="false">SUM(G24:G25)</f>
        <v>0</v>
      </c>
      <c r="H26" s="166" t="n">
        <f aca="false">SUM(H23:H25)</f>
        <v>0</v>
      </c>
      <c r="I26" s="166" t="n">
        <f aca="false">G26+H26</f>
        <v>0</v>
      </c>
      <c r="J26" s="166" t="n">
        <f aca="false">SUM(J23:J25)</f>
        <v>7139.47066666667</v>
      </c>
      <c r="K26" s="166" t="n">
        <f aca="false">SUM(K23:K25)</f>
        <v>14450.0989866667</v>
      </c>
      <c r="L26" s="166" t="n">
        <f aca="false">SUM(L23:L25)</f>
        <v>21942.1544192</v>
      </c>
      <c r="M26" s="166" t="n">
        <f aca="false">SUM(M23:M25)</f>
        <v>29626.4541279573</v>
      </c>
    </row>
    <row r="27" customFormat="false" ht="12.75" hidden="false" customHeight="false" outlineLevel="0" collapsed="false">
      <c r="B27" s="15"/>
      <c r="C27" s="15"/>
      <c r="D27" s="15"/>
      <c r="E27" s="15"/>
      <c r="F27" s="145"/>
      <c r="G27" s="165"/>
      <c r="H27" s="166"/>
      <c r="I27" s="47"/>
      <c r="J27" s="47"/>
      <c r="K27" s="47"/>
      <c r="L27" s="47"/>
      <c r="M27" s="47"/>
    </row>
    <row r="28" customFormat="false" ht="12.75" hidden="false" customHeight="false" outlineLevel="0" collapsed="false">
      <c r="A28" s="176" t="s">
        <v>132</v>
      </c>
      <c r="B28" s="15" t="n">
        <f aca="false">+B12-B20</f>
        <v>5531</v>
      </c>
      <c r="C28" s="15" t="n">
        <f aca="false">+C12-C20</f>
        <v>-4919</v>
      </c>
      <c r="D28" s="15" t="n">
        <f aca="false">+D12-D20</f>
        <v>5525</v>
      </c>
      <c r="E28" s="15" t="n">
        <f aca="false">+E12-E20</f>
        <v>13009</v>
      </c>
      <c r="F28" s="166" t="n">
        <f aca="false">+F12-F20</f>
        <v>25131</v>
      </c>
      <c r="G28" s="167" t="n">
        <f aca="false">+G12-G20+G26</f>
        <v>11822.6366057512</v>
      </c>
      <c r="H28" s="166" t="n">
        <f aca="false">+H12-H20+H26</f>
        <v>8154.31472396164</v>
      </c>
      <c r="I28" s="47" t="n">
        <f aca="false">G28+H28</f>
        <v>19976.9513297129</v>
      </c>
      <c r="J28" s="47" t="n">
        <f aca="false">+J12-J20+J26</f>
        <v>25867.4179812567</v>
      </c>
      <c r="K28" s="47" t="n">
        <f aca="false">+K12-K20+K26</f>
        <v>34439.9875492566</v>
      </c>
      <c r="L28" s="47" t="n">
        <f aca="false">+L12-L20+L26</f>
        <v>44495.7064663768</v>
      </c>
      <c r="M28" s="47" t="n">
        <f aca="false">+M12-M20+M26</f>
        <v>54667.6828657708</v>
      </c>
    </row>
    <row r="29" customFormat="false" ht="12.75" hidden="false" customHeight="false" outlineLevel="0" collapsed="false">
      <c r="B29" s="15"/>
      <c r="C29" s="15"/>
      <c r="D29" s="15"/>
      <c r="E29" s="15"/>
      <c r="F29" s="145"/>
      <c r="G29" s="165"/>
      <c r="H29" s="166"/>
      <c r="I29" s="14"/>
    </row>
    <row r="30" customFormat="false" ht="12.75" hidden="false" customHeight="false" outlineLevel="0" collapsed="false">
      <c r="A30" s="164" t="s">
        <v>133</v>
      </c>
      <c r="B30" s="15"/>
      <c r="C30" s="15"/>
      <c r="D30" s="15"/>
      <c r="E30" s="15"/>
      <c r="F30" s="177"/>
      <c r="G30" s="178"/>
      <c r="H30" s="145"/>
      <c r="I30" s="14"/>
    </row>
    <row r="31" customFormat="false" ht="12.75" hidden="false" customHeight="false" outlineLevel="0" collapsed="false">
      <c r="A31" s="14" t="s">
        <v>134</v>
      </c>
      <c r="B31" s="15" t="n">
        <v>3087</v>
      </c>
      <c r="C31" s="15" t="n">
        <v>2696</v>
      </c>
      <c r="D31" s="15" t="n">
        <v>690</v>
      </c>
      <c r="E31" s="15" t="n">
        <v>2321</v>
      </c>
      <c r="F31" s="166" t="n">
        <v>2403</v>
      </c>
      <c r="G31" s="167" t="n">
        <f aca="false">+G33-G32</f>
        <v>2775.36194724891</v>
      </c>
      <c r="H31" s="166" t="n">
        <f aca="false">+H33-H32</f>
        <v>1021.80905523459</v>
      </c>
      <c r="I31" s="166" t="n">
        <f aca="false">+I33-I32</f>
        <v>3797.1710024835</v>
      </c>
      <c r="J31" s="166" t="n">
        <f aca="false">+J33-J32</f>
        <v>2514.8801699881</v>
      </c>
      <c r="K31" s="166" t="n">
        <f aca="false">+K33-K32</f>
        <v>7437.66499166725</v>
      </c>
      <c r="L31" s="166" t="n">
        <f aca="false">+L33-L32</f>
        <v>12331.970759954</v>
      </c>
      <c r="M31" s="166" t="n">
        <f aca="false">+M33-M32</f>
        <v>16872.6380926157</v>
      </c>
    </row>
    <row r="32" customFormat="false" ht="15" hidden="false" customHeight="false" outlineLevel="0" collapsed="false">
      <c r="A32" s="14" t="s">
        <v>135</v>
      </c>
      <c r="B32" s="170" t="n">
        <v>-1040</v>
      </c>
      <c r="C32" s="170" t="n">
        <v>-31672</v>
      </c>
      <c r="D32" s="170" t="n">
        <v>-190</v>
      </c>
      <c r="E32" s="170" t="n">
        <v>-885</v>
      </c>
      <c r="F32" s="170" t="n">
        <v>0</v>
      </c>
      <c r="G32" s="171" t="n">
        <f aca="false">'Cash Flow '!G11</f>
        <v>1362.56086476402</v>
      </c>
      <c r="H32" s="170" t="n">
        <f aca="false">'Cash Flow '!H11</f>
        <v>1832.20109815198</v>
      </c>
      <c r="I32" s="170" t="n">
        <f aca="false">G32+H32</f>
        <v>3194.761962916</v>
      </c>
      <c r="J32" s="170" t="n">
        <f aca="false">'Cash Flow '!J11</f>
        <v>6538.71612345173</v>
      </c>
      <c r="K32" s="170" t="n">
        <f aca="false">'Cash Flow '!K11</f>
        <v>4616.33065057254</v>
      </c>
      <c r="L32" s="170" t="n">
        <f aca="false">'Cash Flow '!L11</f>
        <v>3241.52650327788</v>
      </c>
      <c r="M32" s="170" t="n">
        <f aca="false">'Cash Flow '!M11</f>
        <v>2261.05091040408</v>
      </c>
    </row>
    <row r="33" customFormat="false" ht="12.75" hidden="false" customHeight="false" outlineLevel="0" collapsed="false">
      <c r="A33" s="14" t="s">
        <v>136</v>
      </c>
      <c r="B33" s="15" t="n">
        <f aca="false">+B31+B32</f>
        <v>2047</v>
      </c>
      <c r="C33" s="15" t="n">
        <f aca="false">+C31+C32</f>
        <v>-28976</v>
      </c>
      <c r="D33" s="15" t="n">
        <f aca="false">+D31+D32</f>
        <v>500</v>
      </c>
      <c r="E33" s="15" t="n">
        <f aca="false">+E31+E32</f>
        <v>1436</v>
      </c>
      <c r="F33" s="166" t="n">
        <f aca="false">+F31+F32</f>
        <v>2403</v>
      </c>
      <c r="G33" s="166" t="n">
        <f aca="false">G28*Assumptions!$B$8</f>
        <v>4137.92281201293</v>
      </c>
      <c r="H33" s="166" t="n">
        <f aca="false">H28*Assumptions!$B$8</f>
        <v>2854.01015338657</v>
      </c>
      <c r="I33" s="166" t="n">
        <f aca="false">G33+H33</f>
        <v>6991.93296539951</v>
      </c>
      <c r="J33" s="166" t="n">
        <f aca="false">J28*Assumptions!$B$8</f>
        <v>9053.59629343983</v>
      </c>
      <c r="K33" s="166" t="n">
        <f aca="false">K28*Assumptions!$B$8</f>
        <v>12053.9956422398</v>
      </c>
      <c r="L33" s="166" t="n">
        <f aca="false">L28*Assumptions!$B$8</f>
        <v>15573.4972632319</v>
      </c>
      <c r="M33" s="166" t="n">
        <f aca="false">M28*Assumptions!$B$8</f>
        <v>19133.6890030198</v>
      </c>
    </row>
    <row r="34" customFormat="false" ht="15" hidden="false" customHeight="false" outlineLevel="0" collapsed="false">
      <c r="B34" s="46"/>
      <c r="C34" s="46"/>
      <c r="D34" s="46"/>
      <c r="E34" s="46"/>
      <c r="F34" s="145"/>
      <c r="G34" s="178"/>
      <c r="H34" s="145"/>
      <c r="I34" s="14"/>
    </row>
    <row r="35" customFormat="false" ht="12.75" hidden="false" customHeight="false" outlineLevel="0" collapsed="false">
      <c r="A35" s="164" t="s">
        <v>137</v>
      </c>
      <c r="B35" s="179" t="n">
        <f aca="false">+B28-B33</f>
        <v>3484</v>
      </c>
      <c r="C35" s="179" t="n">
        <f aca="false">+C28-C33</f>
        <v>24057</v>
      </c>
      <c r="D35" s="179" t="n">
        <f aca="false">+D28-D33</f>
        <v>5025</v>
      </c>
      <c r="E35" s="179" t="n">
        <f aca="false">+E28-E33</f>
        <v>11573</v>
      </c>
      <c r="F35" s="180" t="n">
        <f aca="false">+F28-F33</f>
        <v>22728</v>
      </c>
      <c r="G35" s="181" t="n">
        <f aca="false">+G28-G33</f>
        <v>7684.7137937383</v>
      </c>
      <c r="H35" s="180" t="n">
        <f aca="false">+H28-H33</f>
        <v>5300.30457057507</v>
      </c>
      <c r="I35" s="182" t="n">
        <f aca="false">G35+H35</f>
        <v>12985.0183643134</v>
      </c>
      <c r="J35" s="182" t="n">
        <f aca="false">+J28-J33</f>
        <v>16813.8216878168</v>
      </c>
      <c r="K35" s="182" t="n">
        <f aca="false">+K28-K33</f>
        <v>22385.9919070168</v>
      </c>
      <c r="L35" s="182" t="n">
        <f aca="false">+L28-L33</f>
        <v>28922.2092031449</v>
      </c>
      <c r="M35" s="182" t="n">
        <f aca="false">+M28-M33</f>
        <v>35533.993862751</v>
      </c>
    </row>
    <row r="36" customFormat="false" ht="15" hidden="false" customHeight="false" outlineLevel="0" collapsed="false">
      <c r="A36" s="164"/>
      <c r="B36" s="179"/>
      <c r="C36" s="179"/>
      <c r="D36" s="179"/>
      <c r="E36" s="179"/>
      <c r="F36" s="145"/>
      <c r="G36" s="145"/>
      <c r="H36" s="145"/>
      <c r="L36" s="183"/>
      <c r="M36" s="46"/>
    </row>
    <row r="37" customFormat="false" ht="15" hidden="false" customHeight="false" outlineLevel="0" collapsed="false">
      <c r="A37" s="184" t="s">
        <v>138</v>
      </c>
      <c r="B37" s="179"/>
      <c r="C37" s="179"/>
      <c r="D37" s="179"/>
      <c r="E37" s="179"/>
      <c r="F37" s="145"/>
      <c r="G37" s="145"/>
      <c r="H37" s="145"/>
      <c r="L37" s="183"/>
      <c r="M37" s="46"/>
    </row>
    <row r="38" customFormat="false" ht="15" hidden="false" customHeight="false" outlineLevel="0" collapsed="false">
      <c r="A38" s="184"/>
      <c r="B38" s="179"/>
      <c r="C38" s="179"/>
      <c r="D38" s="179"/>
      <c r="E38" s="179"/>
      <c r="F38" s="145"/>
      <c r="G38" s="145"/>
      <c r="H38" s="145"/>
      <c r="L38" s="183"/>
      <c r="M38" s="46"/>
    </row>
    <row r="39" customFormat="false" ht="12.75" hidden="false" customHeight="false" outlineLevel="0" collapsed="false">
      <c r="A39" s="164" t="s">
        <v>68</v>
      </c>
      <c r="B39" s="15" t="n">
        <f aca="false">B28+B19+B16</f>
        <v>10303</v>
      </c>
      <c r="C39" s="15" t="n">
        <f aca="false">C28+C19+C16</f>
        <v>2785</v>
      </c>
      <c r="D39" s="15" t="n">
        <f aca="false">D28+D19+D16</f>
        <v>14165</v>
      </c>
      <c r="E39" s="15" t="n">
        <f aca="false">E28+E19+E16</f>
        <v>20415</v>
      </c>
      <c r="F39" s="15" t="n">
        <f aca="false">F28+F19+F16</f>
        <v>36409</v>
      </c>
      <c r="G39" s="15" t="n">
        <f aca="false">G28+G19+G16</f>
        <v>19253.1433333335</v>
      </c>
      <c r="H39" s="15" t="n">
        <f aca="false">H28+H19+H16</f>
        <v>16764.3546666667</v>
      </c>
      <c r="I39" s="15" t="n">
        <f aca="false">I28+I19+I16</f>
        <v>36017.4980000002</v>
      </c>
      <c r="J39" s="15" t="n">
        <f aca="false">J28+J19+J16</f>
        <v>43104.1645333335</v>
      </c>
      <c r="K39" s="15" t="n">
        <f aca="false">K28+K19+K16</f>
        <v>51693.4007680001</v>
      </c>
      <c r="L39" s="15" t="n">
        <f aca="false">L28+L19+L16</f>
        <v>61765.786351787</v>
      </c>
      <c r="M39" s="15" t="n">
        <f aca="false">M28+M19+M16</f>
        <v>71954.4294178476</v>
      </c>
    </row>
    <row r="40" customFormat="false" ht="15" hidden="false" customHeight="false" outlineLevel="0" collapsed="false">
      <c r="A40" s="184" t="s">
        <v>139</v>
      </c>
      <c r="B40" s="179"/>
      <c r="C40" s="179"/>
      <c r="D40" s="179"/>
      <c r="E40" s="179"/>
      <c r="F40" s="145"/>
      <c r="G40" s="145"/>
      <c r="H40" s="145"/>
      <c r="L40" s="183"/>
      <c r="M40" s="46"/>
    </row>
    <row r="41" customFormat="false" ht="15" hidden="false" customHeight="false" outlineLevel="0" collapsed="false">
      <c r="A41" s="184"/>
      <c r="B41" s="179"/>
      <c r="C41" s="179"/>
      <c r="D41" s="179"/>
      <c r="E41" s="179"/>
      <c r="F41" s="145"/>
      <c r="G41" s="145"/>
      <c r="H41" s="145"/>
      <c r="L41" s="183"/>
      <c r="M41" s="46"/>
    </row>
    <row r="42" customFormat="false" ht="12.75" hidden="false" customHeight="false" outlineLevel="0" collapsed="false">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87"/>
      <c r="DA42" s="87"/>
      <c r="DB42" s="87"/>
      <c r="DC42" s="87"/>
      <c r="DD42" s="87"/>
      <c r="DE42" s="87"/>
      <c r="DF42" s="87"/>
      <c r="DG42" s="87"/>
      <c r="DH42" s="87"/>
      <c r="DI42" s="87"/>
      <c r="DJ42" s="87"/>
      <c r="DK42" s="87"/>
      <c r="DL42" s="87"/>
      <c r="DM42" s="87"/>
      <c r="DN42" s="87"/>
      <c r="DO42" s="87"/>
      <c r="DP42" s="87"/>
      <c r="DQ42" s="87"/>
      <c r="DR42" s="87"/>
      <c r="DS42" s="87"/>
      <c r="DT42" s="87"/>
      <c r="DU42" s="87"/>
      <c r="DV42" s="87"/>
      <c r="DW42" s="87"/>
      <c r="DX42" s="87"/>
      <c r="DY42" s="87"/>
      <c r="DZ42" s="87"/>
      <c r="EA42" s="87"/>
      <c r="EB42" s="87"/>
      <c r="EC42" s="87"/>
      <c r="ED42" s="87"/>
      <c r="EE42" s="87"/>
      <c r="EF42" s="87"/>
      <c r="EG42" s="87"/>
      <c r="EH42" s="87"/>
      <c r="EI42" s="87"/>
      <c r="EJ42" s="87"/>
      <c r="EK42" s="87"/>
      <c r="EL42" s="87"/>
      <c r="EM42" s="87"/>
      <c r="EN42" s="87"/>
      <c r="EO42" s="87"/>
      <c r="EP42" s="87"/>
      <c r="EQ42" s="87"/>
      <c r="ER42" s="87"/>
      <c r="ES42" s="87"/>
      <c r="ET42" s="87"/>
      <c r="EU42" s="87"/>
      <c r="EV42" s="87"/>
      <c r="EW42" s="87"/>
      <c r="EX42" s="87"/>
      <c r="EY42" s="87"/>
      <c r="EZ42" s="87"/>
      <c r="FA42" s="87"/>
      <c r="FB42" s="87"/>
      <c r="FC42" s="87"/>
      <c r="FD42" s="87"/>
      <c r="FE42" s="87"/>
      <c r="FF42" s="87"/>
      <c r="FG42" s="87"/>
      <c r="FH42" s="87"/>
      <c r="FI42" s="87"/>
      <c r="FJ42" s="87"/>
      <c r="FK42" s="87"/>
      <c r="FL42" s="87"/>
      <c r="FM42" s="87"/>
      <c r="FN42" s="87"/>
      <c r="FO42" s="87"/>
      <c r="FP42" s="87"/>
      <c r="FQ42" s="87"/>
      <c r="FR42" s="87"/>
      <c r="FS42" s="87"/>
      <c r="FT42" s="87"/>
      <c r="FU42" s="87"/>
      <c r="FV42" s="87"/>
      <c r="FW42" s="87"/>
      <c r="FX42" s="87"/>
      <c r="FY42" s="87"/>
      <c r="FZ42" s="87"/>
      <c r="GA42" s="87"/>
      <c r="GB42" s="87"/>
      <c r="GC42" s="87"/>
      <c r="GD42" s="87"/>
      <c r="GE42" s="87"/>
      <c r="GF42" s="87"/>
      <c r="GG42" s="87"/>
      <c r="GH42" s="87"/>
      <c r="GI42" s="87"/>
      <c r="GJ42" s="87"/>
      <c r="GK42" s="87"/>
      <c r="GL42" s="87"/>
      <c r="GM42" s="87"/>
      <c r="GN42" s="87"/>
      <c r="GO42" s="87"/>
      <c r="GP42" s="87"/>
      <c r="GQ42" s="87"/>
      <c r="GR42" s="87"/>
      <c r="GS42" s="87"/>
      <c r="GT42" s="87"/>
      <c r="GU42" s="87"/>
      <c r="GV42" s="87"/>
      <c r="GW42" s="87"/>
      <c r="GX42" s="87"/>
      <c r="GY42" s="87"/>
      <c r="GZ42" s="87"/>
      <c r="HA42" s="87"/>
      <c r="HB42" s="87"/>
      <c r="HC42" s="87"/>
      <c r="HD42" s="87"/>
      <c r="HE42" s="87"/>
      <c r="HF42" s="87"/>
      <c r="HG42" s="87"/>
      <c r="HH42" s="87"/>
      <c r="HI42" s="87"/>
      <c r="HJ42" s="87"/>
      <c r="HK42" s="87"/>
      <c r="HL42" s="87"/>
      <c r="HM42" s="87"/>
      <c r="HN42" s="87"/>
      <c r="HO42" s="87"/>
      <c r="HP42" s="87"/>
      <c r="HQ42" s="87"/>
      <c r="HR42" s="87"/>
      <c r="HS42" s="87"/>
      <c r="HT42" s="87"/>
      <c r="HU42" s="87"/>
      <c r="HV42" s="87"/>
      <c r="HW42" s="87"/>
      <c r="HX42" s="87"/>
      <c r="HY42" s="87"/>
      <c r="HZ42" s="87"/>
      <c r="IA42" s="87"/>
      <c r="IB42" s="87"/>
      <c r="IC42" s="87"/>
      <c r="ID42" s="87"/>
      <c r="IE42" s="87"/>
      <c r="IF42" s="87"/>
      <c r="IG42" s="87"/>
      <c r="IH42" s="87"/>
      <c r="II42" s="87"/>
      <c r="IJ42" s="87"/>
      <c r="IK42" s="87"/>
      <c r="IL42" s="87"/>
      <c r="IM42" s="87"/>
      <c r="IN42" s="87"/>
      <c r="IO42" s="87"/>
      <c r="IP42" s="87"/>
      <c r="IQ42" s="87"/>
      <c r="IR42" s="87"/>
      <c r="IS42" s="87"/>
      <c r="IT42" s="87"/>
      <c r="IU42" s="87"/>
      <c r="IV42" s="87"/>
    </row>
    <row r="43" customFormat="false" ht="12.75" hidden="false" customHeight="false" outlineLevel="0" collapsed="false">
      <c r="A43" s="14" t="s">
        <v>140</v>
      </c>
      <c r="B43" s="15" t="n">
        <f aca="false">+-6527+8</f>
        <v>-6519</v>
      </c>
      <c r="C43" s="15" t="n">
        <v>12004</v>
      </c>
      <c r="D43" s="15" t="n">
        <v>-1123</v>
      </c>
      <c r="E43" s="15" t="n">
        <v>2292</v>
      </c>
      <c r="F43" s="15" t="n">
        <v>-330</v>
      </c>
      <c r="G43" s="15"/>
      <c r="L43" s="15"/>
    </row>
    <row r="44" customFormat="false" ht="15" hidden="false" customHeight="false" outlineLevel="0" collapsed="false">
      <c r="A44" s="14" t="s">
        <v>141</v>
      </c>
      <c r="B44" s="46" t="n">
        <v>6504</v>
      </c>
      <c r="C44" s="46" t="n">
        <v>3206</v>
      </c>
      <c r="D44" s="46" t="n">
        <v>3068</v>
      </c>
      <c r="E44" s="46" t="n">
        <v>5248</v>
      </c>
      <c r="F44" s="46" t="n">
        <v>12320</v>
      </c>
      <c r="G44" s="46"/>
      <c r="J44" s="47"/>
      <c r="L44" s="15"/>
      <c r="Q44" s="185"/>
    </row>
    <row r="45" customFormat="false" ht="12.75" hidden="false" customHeight="false" outlineLevel="0" collapsed="false">
      <c r="A45" s="164" t="s">
        <v>142</v>
      </c>
      <c r="B45" s="15" t="n">
        <f aca="false">+B35+B43+B44</f>
        <v>3469</v>
      </c>
      <c r="C45" s="15" t="n">
        <f aca="false">+C35+C43+C44</f>
        <v>39267</v>
      </c>
      <c r="D45" s="15" t="n">
        <f aca="false">+D35+D43+D44</f>
        <v>6970</v>
      </c>
      <c r="E45" s="15" t="n">
        <f aca="false">+E35+E43+E44</f>
        <v>19113</v>
      </c>
      <c r="F45" s="15" t="n">
        <f aca="false">+F35+F43+F44</f>
        <v>34718</v>
      </c>
      <c r="G45" s="15"/>
      <c r="J45" s="47"/>
      <c r="L45" s="15"/>
    </row>
    <row r="46" customFormat="false" ht="12.75" hidden="false" customHeight="false" outlineLevel="0" collapsed="false">
      <c r="A46" s="164" t="s">
        <v>143</v>
      </c>
      <c r="B46" s="15"/>
      <c r="C46" s="15" t="n">
        <f aca="false">+C82+C44</f>
        <v>5671</v>
      </c>
      <c r="D46" s="15" t="n">
        <f aca="false">+D82+D44</f>
        <v>15930</v>
      </c>
      <c r="E46" s="15" t="n">
        <f aca="false">+E82+E44</f>
        <v>25697</v>
      </c>
      <c r="F46" s="15" t="n">
        <f aca="false">+F82+F44</f>
        <v>48729</v>
      </c>
      <c r="G46" s="15"/>
      <c r="J46" s="47"/>
      <c r="L46" s="15"/>
      <c r="P46" s="47"/>
      <c r="Q46" s="47"/>
      <c r="R46" s="47"/>
    </row>
    <row r="47" customFormat="false" ht="12.75" hidden="false" customHeight="false" outlineLevel="0" collapsed="false">
      <c r="B47" s="179"/>
      <c r="C47" s="179"/>
      <c r="D47" s="179"/>
      <c r="E47" s="179"/>
      <c r="F47" s="145"/>
      <c r="G47" s="145"/>
      <c r="J47" s="47"/>
      <c r="L47" s="15"/>
    </row>
    <row r="48" customFormat="false" ht="12.75" hidden="false" customHeight="false" outlineLevel="0" collapsed="false">
      <c r="B48" s="179"/>
      <c r="C48" s="179"/>
      <c r="D48" s="179"/>
      <c r="E48" s="179"/>
      <c r="F48" s="145"/>
      <c r="G48" s="145"/>
      <c r="J48" s="47"/>
      <c r="L48" s="15"/>
    </row>
    <row r="49" customFormat="false" ht="12.75" hidden="false" customHeight="false" outlineLevel="0" collapsed="false">
      <c r="B49" s="15"/>
      <c r="C49" s="15"/>
      <c r="D49" s="15"/>
      <c r="E49" s="15"/>
      <c r="F49" s="145"/>
      <c r="G49" s="145"/>
      <c r="H49" s="186"/>
      <c r="I49" s="187"/>
      <c r="L49" s="15"/>
    </row>
    <row r="50" customFormat="false" ht="12.75" hidden="false" customHeight="false" outlineLevel="0" collapsed="false">
      <c r="A50" s="14" t="s">
        <v>144</v>
      </c>
      <c r="B50" s="15" t="n">
        <f aca="false">+B95</f>
        <v>5622.03449999989</v>
      </c>
      <c r="C50" s="15" t="n">
        <f aca="false">+C95</f>
        <v>-3340.89399999977</v>
      </c>
      <c r="D50" s="15" t="n">
        <f aca="false">+D95</f>
        <v>9554.02949999994</v>
      </c>
      <c r="E50" s="15" t="n">
        <f aca="false">+E95</f>
        <v>14895.5352499999</v>
      </c>
      <c r="F50" s="15" t="n">
        <f aca="false">+F95</f>
        <v>31213.7</v>
      </c>
      <c r="G50" s="188" t="n">
        <f aca="false">+G95</f>
        <v>14343.6301360845</v>
      </c>
      <c r="H50" s="188" t="n">
        <f aca="false">+H95</f>
        <v>11529.755668727</v>
      </c>
      <c r="I50" s="15"/>
      <c r="J50" s="15" t="n">
        <f aca="false">+J95</f>
        <v>32147.0378112685</v>
      </c>
      <c r="K50" s="15" t="n">
        <f aca="false">+K95</f>
        <v>35796.8225575893</v>
      </c>
      <c r="L50" s="15" t="n">
        <f aca="false">+L95</f>
        <v>40958.2357064226</v>
      </c>
      <c r="M50" s="15" t="n">
        <f aca="false">+M95</f>
        <v>46589.5447731551</v>
      </c>
    </row>
    <row r="51" customFormat="false" ht="12.75" hidden="false" customHeight="false" outlineLevel="0" collapsed="false">
      <c r="A51" s="189" t="s">
        <v>145</v>
      </c>
      <c r="B51" s="190" t="n">
        <f aca="false">+'Balance Sheet'!B42</f>
        <v>257683</v>
      </c>
      <c r="C51" s="190" t="n">
        <f aca="false">+'Balance Sheet'!C42</f>
        <v>171015</v>
      </c>
      <c r="D51" s="190" t="n">
        <f aca="false">+'Balance Sheet'!D42</f>
        <v>197419</v>
      </c>
      <c r="E51" s="190" t="n">
        <f aca="false">+'Balance Sheet'!E42</f>
        <v>220737</v>
      </c>
      <c r="F51" s="190" t="n">
        <f aca="false">+'Balance Sheet'!F42</f>
        <v>310436</v>
      </c>
      <c r="G51" s="191" t="n">
        <f aca="false">+'Balance Sheet'!I42</f>
        <v>409253.767250849</v>
      </c>
      <c r="H51" s="191" t="n">
        <f aca="false">+'Balance Sheet'!J42</f>
        <v>358899.742401177</v>
      </c>
      <c r="I51" s="190"/>
      <c r="J51" s="190" t="n">
        <f aca="false">+'Balance Sheet'!K42</f>
        <v>331138.248753628</v>
      </c>
      <c r="K51" s="190" t="n">
        <f aca="false">+'Balance Sheet'!L42</f>
        <v>327612.597872869</v>
      </c>
      <c r="L51" s="190" t="n">
        <f aca="false">+'Balance Sheet'!M42</f>
        <v>330216.434970111</v>
      </c>
      <c r="M51" s="190" t="n">
        <f aca="false">+'Balance Sheet'!N42</f>
        <v>332197.827555031</v>
      </c>
    </row>
    <row r="52" customFormat="false" ht="12.75" hidden="false" customHeight="false" outlineLevel="0" collapsed="false">
      <c r="A52" s="189" t="s">
        <v>146</v>
      </c>
      <c r="B52" s="192" t="n">
        <f aca="false">+B50/B51</f>
        <v>0.0218176383385784</v>
      </c>
      <c r="C52" s="193" t="n">
        <f aca="false">+C50/C51</f>
        <v>-0.0195356781568855</v>
      </c>
      <c r="D52" s="193" t="n">
        <f aca="false">+D50/D51</f>
        <v>0.0483946808564522</v>
      </c>
      <c r="E52" s="193" t="n">
        <f aca="false">+E50/E51</f>
        <v>0.0674809173360149</v>
      </c>
      <c r="F52" s="193" t="n">
        <f aca="false">+F50/F51</f>
        <v>0.10054793902769</v>
      </c>
      <c r="G52" s="194" t="n">
        <f aca="false">+G50/G51</f>
        <v>0.0350482543690128</v>
      </c>
      <c r="H52" s="194" t="n">
        <f aca="false">+H50/H51</f>
        <v>0.0321252826530008</v>
      </c>
      <c r="I52" s="193"/>
      <c r="J52" s="193" t="n">
        <f aca="false">+J50/J51</f>
        <v>0.0970804125837677</v>
      </c>
      <c r="K52" s="193" t="n">
        <f aca="false">+K50/K51</f>
        <v>0.109265708309179</v>
      </c>
      <c r="L52" s="193" t="n">
        <f aca="false">+L50/L51</f>
        <v>0.124034516059535</v>
      </c>
      <c r="M52" s="195" t="n">
        <f aca="false">+M50/M51</f>
        <v>0.140246386064753</v>
      </c>
    </row>
    <row r="53" customFormat="false" ht="12.75" hidden="false" customHeight="false" outlineLevel="0" collapsed="false">
      <c r="A53" s="189" t="s">
        <v>147</v>
      </c>
      <c r="B53" s="196" t="n">
        <v>0.1</v>
      </c>
      <c r="C53" s="196" t="n">
        <v>0.1</v>
      </c>
      <c r="D53" s="196" t="n">
        <v>0.1</v>
      </c>
      <c r="E53" s="196" t="n">
        <v>0.1</v>
      </c>
      <c r="F53" s="196" t="n">
        <f aca="false">+E53</f>
        <v>0.1</v>
      </c>
      <c r="G53" s="197" t="n">
        <f aca="false">+E53</f>
        <v>0.1</v>
      </c>
      <c r="H53" s="197" t="n">
        <f aca="false">+F53</f>
        <v>0.1</v>
      </c>
      <c r="I53" s="196"/>
      <c r="J53" s="196" t="n">
        <f aca="false">+H53</f>
        <v>0.1</v>
      </c>
      <c r="K53" s="196" t="n">
        <f aca="false">+J53</f>
        <v>0.1</v>
      </c>
      <c r="L53" s="196" t="n">
        <f aca="false">+K53</f>
        <v>0.1</v>
      </c>
      <c r="M53" s="196" t="n">
        <f aca="false">+L53</f>
        <v>0.1</v>
      </c>
    </row>
    <row r="54" customFormat="false" ht="12.75" hidden="false" customHeight="false" outlineLevel="0" collapsed="false">
      <c r="A54" s="189"/>
      <c r="B54" s="196"/>
      <c r="C54" s="196"/>
      <c r="D54" s="196"/>
      <c r="E54" s="196"/>
      <c r="F54" s="196"/>
      <c r="G54" s="196"/>
      <c r="H54" s="197"/>
      <c r="I54" s="196"/>
      <c r="J54" s="196"/>
      <c r="K54" s="196"/>
      <c r="L54" s="196"/>
      <c r="M54" s="196"/>
    </row>
    <row r="55" customFormat="false" ht="12.75" hidden="false" customHeight="false" outlineLevel="0" collapsed="false">
      <c r="A55" s="189" t="s">
        <v>148</v>
      </c>
      <c r="B55" s="190" t="n">
        <f aca="false">+B52*B51</f>
        <v>5622.03449999989</v>
      </c>
      <c r="C55" s="190" t="n">
        <f aca="false">+C52*C51</f>
        <v>-3340.89399999977</v>
      </c>
      <c r="D55" s="190" t="n">
        <f aca="false">+D52*D51</f>
        <v>9554.02949999994</v>
      </c>
      <c r="E55" s="190" t="n">
        <f aca="false">+E52*E51</f>
        <v>14895.5352499999</v>
      </c>
      <c r="F55" s="190" t="n">
        <f aca="false">+F52*F51</f>
        <v>31213.7</v>
      </c>
      <c r="G55" s="190" t="n">
        <f aca="false">+G52*G51</f>
        <v>14343.6301360845</v>
      </c>
      <c r="H55" s="191" t="n">
        <f aca="false">+H52*H51</f>
        <v>11529.755668727</v>
      </c>
      <c r="I55" s="190"/>
      <c r="J55" s="190" t="n">
        <f aca="false">+J52*J51</f>
        <v>32147.0378112685</v>
      </c>
      <c r="K55" s="190" t="n">
        <f aca="false">+K52*K51</f>
        <v>35796.8225575893</v>
      </c>
      <c r="L55" s="190" t="n">
        <f aca="false">+L52*L51</f>
        <v>40958.2357064226</v>
      </c>
      <c r="M55" s="190" t="n">
        <f aca="false">+M52*M51</f>
        <v>46589.5447731551</v>
      </c>
    </row>
    <row r="56" customFormat="false" ht="15" hidden="false" customHeight="false" outlineLevel="0" collapsed="false">
      <c r="A56" s="189" t="s">
        <v>149</v>
      </c>
      <c r="B56" s="198" t="n">
        <f aca="false">+B53*B51</f>
        <v>25768.3</v>
      </c>
      <c r="C56" s="198" t="n">
        <f aca="false">+C53*C51</f>
        <v>17101.5</v>
      </c>
      <c r="D56" s="198" t="n">
        <f aca="false">+D53*D51</f>
        <v>19741.9</v>
      </c>
      <c r="E56" s="198" t="n">
        <f aca="false">+E53*E51</f>
        <v>22073.7</v>
      </c>
      <c r="F56" s="198" t="n">
        <f aca="false">+F53*F51</f>
        <v>31043.6</v>
      </c>
      <c r="G56" s="198" t="n">
        <f aca="false">+G53*G51</f>
        <v>40925.3767250849</v>
      </c>
      <c r="H56" s="199" t="n">
        <f aca="false">+H53*H51</f>
        <v>35889.9742401177</v>
      </c>
      <c r="I56" s="198"/>
      <c r="J56" s="198" t="n">
        <f aca="false">+J53*J51</f>
        <v>33113.8248753628</v>
      </c>
      <c r="K56" s="198" t="n">
        <f aca="false">+K53*K51</f>
        <v>32761.2597872869</v>
      </c>
      <c r="L56" s="198" t="n">
        <f aca="false">+L53*L51</f>
        <v>33021.6434970111</v>
      </c>
      <c r="M56" s="198" t="n">
        <f aca="false">+M53*M51</f>
        <v>33219.7827555031</v>
      </c>
    </row>
    <row r="57" customFormat="false" ht="12.75" hidden="false" customHeight="false" outlineLevel="0" collapsed="false">
      <c r="A57" s="189" t="s">
        <v>150</v>
      </c>
      <c r="B57" s="190" t="n">
        <f aca="false">+B51*(B52-B53)</f>
        <v>-20146.2655000001</v>
      </c>
      <c r="C57" s="190" t="n">
        <f aca="false">+C51*(C52-C53)</f>
        <v>-20442.3939999998</v>
      </c>
      <c r="D57" s="190" t="n">
        <f aca="false">+D51*(D52-D53)</f>
        <v>-10187.8705000001</v>
      </c>
      <c r="E57" s="190" t="n">
        <f aca="false">+E51*(E52-E53)</f>
        <v>-7178.16475000008</v>
      </c>
      <c r="F57" s="190" t="n">
        <f aca="false">+F51*(F52-F53)</f>
        <v>170.099999999999</v>
      </c>
      <c r="G57" s="190" t="n">
        <f aca="false">+G51*(G52-G53)</f>
        <v>-26581.7465890003</v>
      </c>
      <c r="H57" s="191" t="n">
        <f aca="false">+H51*(H52-H53)</f>
        <v>-24360.2185713907</v>
      </c>
      <c r="I57" s="190"/>
      <c r="J57" s="190" t="n">
        <f aca="false">+J51*(J52-J53)</f>
        <v>-966.787064094308</v>
      </c>
      <c r="K57" s="190" t="n">
        <f aca="false">+K51*(K52-K53)</f>
        <v>3035.56277030237</v>
      </c>
      <c r="L57" s="190" t="n">
        <f aca="false">+L51*(L52-L53)</f>
        <v>7936.59220941148</v>
      </c>
      <c r="M57" s="190" t="n">
        <f aca="false">+M51*(M52-M53)</f>
        <v>13369.762017652</v>
      </c>
    </row>
    <row r="58" customFormat="false" ht="12.75" hidden="false" customHeight="false" outlineLevel="1" collapsed="false">
      <c r="A58" s="189"/>
      <c r="B58" s="190"/>
      <c r="C58" s="190"/>
      <c r="D58" s="190"/>
      <c r="E58" s="190"/>
      <c r="F58" s="145"/>
      <c r="G58" s="145"/>
      <c r="L58" s="15"/>
    </row>
    <row r="59" customFormat="false" ht="12.75" hidden="false" customHeight="false" outlineLevel="1" collapsed="false">
      <c r="A59" s="189" t="s">
        <v>14</v>
      </c>
      <c r="B59" s="190" t="n">
        <f aca="false">+'Balance Sheet'!B27+'Balance Sheet'!B33</f>
        <v>128100</v>
      </c>
      <c r="C59" s="190" t="n">
        <f aca="false">+'Balance Sheet'!C27+'Balance Sheet'!C33</f>
        <v>48900</v>
      </c>
      <c r="D59" s="190" t="n">
        <f aca="false">+'Balance Sheet'!D27+'Balance Sheet'!D33</f>
        <v>80800</v>
      </c>
      <c r="E59" s="190" t="n">
        <f aca="false">+'Balance Sheet'!E27+'Balance Sheet'!E33</f>
        <v>103500</v>
      </c>
      <c r="F59" s="145"/>
      <c r="G59" s="145"/>
      <c r="L59" s="15"/>
    </row>
    <row r="60" customFormat="false" ht="15" hidden="false" customHeight="false" outlineLevel="1" collapsed="false">
      <c r="A60" s="189" t="s">
        <v>151</v>
      </c>
      <c r="B60" s="198" t="n">
        <f aca="false">+'Balance Sheet'!B35+'Balance Sheet'!B37</f>
        <v>129583</v>
      </c>
      <c r="C60" s="198" t="n">
        <f aca="false">+'Balance Sheet'!C35+'Balance Sheet'!C37</f>
        <v>122115</v>
      </c>
      <c r="D60" s="198" t="n">
        <f aca="false">+'Balance Sheet'!D35+'Balance Sheet'!D37</f>
        <v>116619</v>
      </c>
      <c r="E60" s="198" t="n">
        <f aca="false">+'Balance Sheet'!E35+'Balance Sheet'!E37</f>
        <v>117237</v>
      </c>
      <c r="F60" s="145"/>
      <c r="G60" s="145"/>
      <c r="L60" s="15"/>
    </row>
    <row r="61" customFormat="false" ht="12.75" hidden="false" customHeight="false" outlineLevel="1" collapsed="false">
      <c r="A61" s="189" t="s">
        <v>152</v>
      </c>
      <c r="B61" s="190" t="n">
        <f aca="false">+B59+B60</f>
        <v>257683</v>
      </c>
      <c r="C61" s="190" t="n">
        <f aca="false">+C59+C60</f>
        <v>171015</v>
      </c>
      <c r="D61" s="190" t="n">
        <f aca="false">+D59+D60</f>
        <v>197419</v>
      </c>
      <c r="E61" s="190" t="n">
        <f aca="false">+E59+E60</f>
        <v>220737</v>
      </c>
      <c r="F61" s="145"/>
      <c r="G61" s="145"/>
      <c r="L61" s="15"/>
    </row>
    <row r="62" customFormat="false" ht="12.75" hidden="false" customHeight="false" outlineLevel="1" collapsed="false">
      <c r="A62" s="189"/>
      <c r="B62" s="190"/>
      <c r="C62" s="190"/>
      <c r="D62" s="190"/>
      <c r="E62" s="190"/>
      <c r="F62" s="145"/>
      <c r="G62" s="145"/>
      <c r="L62" s="15"/>
    </row>
    <row r="63" customFormat="false" ht="12.75" hidden="false" customHeight="false" outlineLevel="1" collapsed="false">
      <c r="A63" s="189" t="s">
        <v>153</v>
      </c>
      <c r="B63" s="200" t="n">
        <f aca="false">+B59/$B$61</f>
        <v>0.497122433377444</v>
      </c>
      <c r="C63" s="200" t="n">
        <f aca="false">+C59/$C$61</f>
        <v>0.285939829839488</v>
      </c>
      <c r="D63" s="200" t="n">
        <f aca="false">+D59/$D$61</f>
        <v>0.409281781388823</v>
      </c>
      <c r="E63" s="200" t="n">
        <f aca="false">+E59/$E$61</f>
        <v>0.468883784775547</v>
      </c>
      <c r="F63" s="145"/>
      <c r="G63" s="145"/>
      <c r="L63" s="15"/>
    </row>
    <row r="64" customFormat="false" ht="12.75" hidden="false" customHeight="false" outlineLevel="1" collapsed="false">
      <c r="A64" s="189" t="s">
        <v>154</v>
      </c>
      <c r="B64" s="201" t="n">
        <f aca="false">+B60/$B$61</f>
        <v>0.502877566622556</v>
      </c>
      <c r="C64" s="201" t="n">
        <f aca="false">+C60/$C$61</f>
        <v>0.714060170160512</v>
      </c>
      <c r="D64" s="201" t="n">
        <f aca="false">+D60/$D$61</f>
        <v>0.590718218611177</v>
      </c>
      <c r="E64" s="201" t="n">
        <f aca="false">+E60/$E$61</f>
        <v>0.531116215224453</v>
      </c>
      <c r="F64" s="145"/>
      <c r="G64" s="145"/>
      <c r="L64" s="15"/>
    </row>
    <row r="65" customFormat="false" ht="12.75" hidden="false" customHeight="false" outlineLevel="1" collapsed="false">
      <c r="A65" s="189" t="s">
        <v>155</v>
      </c>
      <c r="B65" s="200" t="n">
        <f aca="false">+B63+B64</f>
        <v>1</v>
      </c>
      <c r="C65" s="200" t="n">
        <f aca="false">+C63+C64</f>
        <v>1</v>
      </c>
      <c r="D65" s="200" t="n">
        <f aca="false">+D63+D64</f>
        <v>1</v>
      </c>
      <c r="E65" s="200" t="n">
        <f aca="false">+E63+E64</f>
        <v>1</v>
      </c>
      <c r="F65" s="145"/>
      <c r="G65" s="145"/>
      <c r="L65" s="15"/>
    </row>
    <row r="66" customFormat="false" ht="12.75" hidden="false" customHeight="false" outlineLevel="1" collapsed="false">
      <c r="A66" s="189"/>
      <c r="B66" s="190"/>
      <c r="C66" s="190"/>
      <c r="D66" s="190"/>
      <c r="E66" s="190"/>
      <c r="F66" s="145"/>
      <c r="G66" s="145"/>
      <c r="L66" s="15"/>
    </row>
    <row r="67" customFormat="false" ht="12.75" hidden="false" customHeight="false" outlineLevel="1" collapsed="false">
      <c r="A67" s="189" t="s">
        <v>148</v>
      </c>
      <c r="B67" s="190" t="n">
        <f aca="false">+B51*B52</f>
        <v>5622.03449999989</v>
      </c>
      <c r="C67" s="190" t="n">
        <f aca="false">+C51*C52</f>
        <v>-3340.89399999977</v>
      </c>
      <c r="D67" s="190" t="n">
        <f aca="false">+D51*D52</f>
        <v>9554.02949999994</v>
      </c>
      <c r="E67" s="190" t="n">
        <f aca="false">+E51*E52</f>
        <v>14895.5352499999</v>
      </c>
      <c r="F67" s="145"/>
      <c r="G67" s="145"/>
      <c r="L67" s="15"/>
    </row>
    <row r="68" customFormat="false" ht="15" hidden="false" customHeight="false" outlineLevel="1" collapsed="false">
      <c r="A68" s="189" t="s">
        <v>156</v>
      </c>
      <c r="B68" s="198" t="e">
        <f aca="false">+B19*(1-#REF!)</f>
        <v>#REF!</v>
      </c>
      <c r="C68" s="198" t="e">
        <f aca="false">+C19*(1-#REF!)</f>
        <v>#REF!</v>
      </c>
      <c r="D68" s="198" t="e">
        <f aca="false">+D19*(1-#REF!)</f>
        <v>#REF!</v>
      </c>
      <c r="E68" s="198" t="e">
        <f aca="false">+E19*(1-#REF!)</f>
        <v>#REF!</v>
      </c>
      <c r="F68" s="145"/>
      <c r="G68" s="145"/>
      <c r="L68" s="15"/>
    </row>
    <row r="69" customFormat="false" ht="12.75" hidden="false" customHeight="false" outlineLevel="1" collapsed="false">
      <c r="A69" s="189" t="s">
        <v>157</v>
      </c>
      <c r="B69" s="190" t="e">
        <f aca="false">+B67-B68</f>
        <v>#REF!</v>
      </c>
      <c r="C69" s="190" t="e">
        <f aca="false">+C67-C68</f>
        <v>#REF!</v>
      </c>
      <c r="D69" s="190" t="e">
        <f aca="false">+D67-D68</f>
        <v>#REF!</v>
      </c>
      <c r="E69" s="190" t="e">
        <f aca="false">+E67-E68</f>
        <v>#REF!</v>
      </c>
      <c r="F69" s="145"/>
      <c r="G69" s="145"/>
      <c r="L69" s="15"/>
    </row>
    <row r="70" customFormat="false" ht="15" hidden="false" customHeight="false" outlineLevel="1" collapsed="false">
      <c r="A70" s="189" t="s">
        <v>158</v>
      </c>
      <c r="B70" s="202" t="e">
        <f aca="false">+#REF!*B60</f>
        <v>#REF!</v>
      </c>
      <c r="C70" s="202" t="e">
        <f aca="false">+#REF!*C60</f>
        <v>#REF!</v>
      </c>
      <c r="D70" s="202" t="e">
        <f aca="false">+#REF!*D60</f>
        <v>#REF!</v>
      </c>
      <c r="E70" s="202" t="e">
        <f aca="false">+#REF!*E60</f>
        <v>#REF!</v>
      </c>
      <c r="F70" s="145"/>
      <c r="G70" s="145"/>
      <c r="L70" s="15"/>
    </row>
    <row r="71" customFormat="false" ht="12.75" hidden="false" customHeight="false" outlineLevel="1" collapsed="false">
      <c r="A71" s="189" t="s">
        <v>159</v>
      </c>
      <c r="B71" s="190" t="e">
        <f aca="false">+B69-B70</f>
        <v>#REF!</v>
      </c>
      <c r="C71" s="190" t="e">
        <f aca="false">+C69-C70</f>
        <v>#REF!</v>
      </c>
      <c r="D71" s="190" t="e">
        <f aca="false">+D69-D70</f>
        <v>#REF!</v>
      </c>
      <c r="E71" s="190" t="e">
        <f aca="false">+E69-E70</f>
        <v>#REF!</v>
      </c>
      <c r="F71" s="145"/>
      <c r="G71" s="145"/>
      <c r="L71" s="15"/>
    </row>
    <row r="72" customFormat="false" ht="12.75" hidden="false" customHeight="false" outlineLevel="1" collapsed="false">
      <c r="A72" s="189"/>
      <c r="B72" s="190"/>
      <c r="C72" s="190"/>
      <c r="D72" s="190"/>
      <c r="E72" s="190"/>
      <c r="F72" s="145"/>
      <c r="G72" s="145"/>
      <c r="L72" s="15"/>
    </row>
    <row r="73" customFormat="false" ht="12.75" hidden="false" customHeight="false" outlineLevel="1" collapsed="false">
      <c r="A73" s="189" t="s">
        <v>160</v>
      </c>
      <c r="B73" s="196" t="e">
        <f aca="false">+B69/B60</f>
        <v>#REF!</v>
      </c>
      <c r="C73" s="196" t="e">
        <f aca="false">+C69/C60</f>
        <v>#REF!</v>
      </c>
      <c r="D73" s="196" t="e">
        <f aca="false">+D69/D60</f>
        <v>#REF!</v>
      </c>
      <c r="E73" s="196" t="e">
        <f aca="false">+E69/E60</f>
        <v>#REF!</v>
      </c>
      <c r="F73" s="145"/>
      <c r="G73" s="145"/>
      <c r="L73" s="15"/>
    </row>
    <row r="74" customFormat="false" ht="12.75" hidden="false" customHeight="false" outlineLevel="1" collapsed="false">
      <c r="A74" s="189"/>
      <c r="B74" s="190"/>
      <c r="C74" s="190"/>
      <c r="D74" s="190"/>
      <c r="E74" s="190"/>
      <c r="F74" s="145"/>
      <c r="G74" s="145"/>
      <c r="L74" s="15"/>
    </row>
    <row r="75" customFormat="false" ht="12.75" hidden="false" customHeight="false" outlineLevel="1" collapsed="false">
      <c r="A75" s="203"/>
      <c r="B75" s="15"/>
      <c r="C75" s="15"/>
      <c r="D75" s="15"/>
      <c r="E75" s="15"/>
      <c r="F75" s="204"/>
      <c r="G75" s="204"/>
      <c r="H75" s="205"/>
      <c r="I75" s="204"/>
      <c r="J75" s="203"/>
      <c r="K75" s="203"/>
      <c r="L75" s="15"/>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c r="BN75" s="203"/>
      <c r="BO75" s="203"/>
      <c r="BP75" s="203"/>
      <c r="BQ75" s="203"/>
      <c r="BR75" s="203"/>
      <c r="BS75" s="203"/>
      <c r="BT75" s="203"/>
      <c r="BU75" s="203"/>
      <c r="BV75" s="203"/>
      <c r="BW75" s="203"/>
      <c r="BX75" s="203"/>
      <c r="BY75" s="203"/>
      <c r="BZ75" s="203"/>
      <c r="CA75" s="203"/>
      <c r="CB75" s="203"/>
      <c r="CC75" s="203"/>
      <c r="CD75" s="203"/>
      <c r="CE75" s="203"/>
      <c r="CF75" s="203"/>
      <c r="CG75" s="203"/>
      <c r="CH75" s="203"/>
      <c r="CI75" s="203"/>
      <c r="CJ75" s="203"/>
      <c r="CK75" s="203"/>
      <c r="CL75" s="203"/>
      <c r="CM75" s="203"/>
      <c r="CN75" s="203"/>
      <c r="CO75" s="203"/>
      <c r="CP75" s="203"/>
      <c r="CQ75" s="203"/>
      <c r="CR75" s="203"/>
      <c r="CS75" s="203"/>
      <c r="CT75" s="203"/>
      <c r="CU75" s="203"/>
      <c r="CV75" s="203"/>
      <c r="CW75" s="203"/>
      <c r="CX75" s="203"/>
      <c r="CY75" s="203"/>
      <c r="CZ75" s="203"/>
      <c r="DA75" s="203"/>
      <c r="DB75" s="203"/>
      <c r="DC75" s="203"/>
      <c r="DD75" s="203"/>
      <c r="DE75" s="203"/>
      <c r="DF75" s="203"/>
      <c r="DG75" s="203"/>
      <c r="DH75" s="203"/>
      <c r="DI75" s="203"/>
      <c r="DJ75" s="203"/>
      <c r="DK75" s="203"/>
      <c r="DL75" s="203"/>
      <c r="DM75" s="203"/>
      <c r="DN75" s="203"/>
      <c r="DO75" s="203"/>
      <c r="DP75" s="203"/>
      <c r="DQ75" s="203"/>
      <c r="DR75" s="203"/>
      <c r="DS75" s="203"/>
      <c r="DT75" s="203"/>
      <c r="DU75" s="203"/>
      <c r="DV75" s="203"/>
      <c r="DW75" s="203"/>
      <c r="DX75" s="203"/>
      <c r="DY75" s="203"/>
      <c r="DZ75" s="203"/>
      <c r="EA75" s="203"/>
      <c r="EB75" s="203"/>
      <c r="EC75" s="203"/>
      <c r="ED75" s="203"/>
      <c r="EE75" s="203"/>
      <c r="EF75" s="203"/>
      <c r="EG75" s="203"/>
      <c r="EH75" s="203"/>
      <c r="EI75" s="203"/>
      <c r="EJ75" s="203"/>
      <c r="EK75" s="203"/>
      <c r="EL75" s="203"/>
      <c r="EM75" s="203"/>
      <c r="EN75" s="203"/>
      <c r="EO75" s="203"/>
      <c r="EP75" s="203"/>
      <c r="EQ75" s="203"/>
      <c r="ER75" s="203"/>
      <c r="ES75" s="203"/>
      <c r="ET75" s="203"/>
      <c r="EU75" s="203"/>
      <c r="EV75" s="203"/>
      <c r="EW75" s="203"/>
      <c r="EX75" s="203"/>
      <c r="EY75" s="203"/>
      <c r="EZ75" s="203"/>
      <c r="FA75" s="203"/>
      <c r="FB75" s="203"/>
      <c r="FC75" s="203"/>
      <c r="FD75" s="203"/>
      <c r="FE75" s="203"/>
      <c r="FF75" s="203"/>
      <c r="FG75" s="203"/>
      <c r="FH75" s="203"/>
      <c r="FI75" s="203"/>
      <c r="FJ75" s="203"/>
      <c r="FK75" s="203"/>
      <c r="FL75" s="203"/>
      <c r="FM75" s="203"/>
      <c r="FN75" s="203"/>
      <c r="FO75" s="203"/>
      <c r="FP75" s="203"/>
      <c r="FQ75" s="203"/>
      <c r="FR75" s="203"/>
      <c r="FS75" s="203"/>
      <c r="FT75" s="203"/>
      <c r="FU75" s="203"/>
      <c r="FV75" s="203"/>
      <c r="FW75" s="203"/>
      <c r="FX75" s="203"/>
      <c r="FY75" s="203"/>
      <c r="FZ75" s="203"/>
      <c r="GA75" s="203"/>
      <c r="GB75" s="203"/>
      <c r="GC75" s="203"/>
      <c r="GD75" s="203"/>
      <c r="GE75" s="203"/>
      <c r="GF75" s="203"/>
      <c r="GG75" s="203"/>
      <c r="GH75" s="203"/>
      <c r="GI75" s="203"/>
      <c r="GJ75" s="203"/>
      <c r="GK75" s="203"/>
      <c r="GL75" s="203"/>
      <c r="GM75" s="203"/>
      <c r="GN75" s="203"/>
      <c r="GO75" s="203"/>
      <c r="GP75" s="203"/>
      <c r="GQ75" s="203"/>
      <c r="GR75" s="203"/>
      <c r="GS75" s="203"/>
      <c r="GT75" s="203"/>
      <c r="GU75" s="203"/>
      <c r="GV75" s="203"/>
      <c r="GW75" s="203"/>
      <c r="GX75" s="203"/>
      <c r="GY75" s="203"/>
      <c r="GZ75" s="203"/>
      <c r="HA75" s="203"/>
      <c r="HB75" s="203"/>
      <c r="HC75" s="203"/>
      <c r="HD75" s="203"/>
      <c r="HE75" s="203"/>
      <c r="HF75" s="203"/>
      <c r="HG75" s="203"/>
      <c r="HH75" s="203"/>
      <c r="HI75" s="203"/>
      <c r="HJ75" s="203"/>
      <c r="HK75" s="203"/>
      <c r="HL75" s="203"/>
      <c r="HM75" s="203"/>
      <c r="HN75" s="203"/>
      <c r="HO75" s="203"/>
      <c r="HP75" s="203"/>
      <c r="HQ75" s="203"/>
      <c r="HR75" s="203"/>
      <c r="HS75" s="203"/>
      <c r="HT75" s="203"/>
      <c r="HU75" s="203"/>
      <c r="HV75" s="203"/>
      <c r="HW75" s="203"/>
      <c r="HX75" s="203"/>
      <c r="HY75" s="203"/>
      <c r="HZ75" s="203"/>
      <c r="IA75" s="203"/>
      <c r="IB75" s="203"/>
      <c r="IC75" s="203"/>
      <c r="ID75" s="203"/>
      <c r="IE75" s="203"/>
      <c r="IF75" s="203"/>
      <c r="IG75" s="203"/>
      <c r="IH75" s="203"/>
      <c r="II75" s="203"/>
      <c r="IJ75" s="203"/>
      <c r="IK75" s="203"/>
      <c r="IL75" s="203"/>
      <c r="IM75" s="203"/>
      <c r="IN75" s="203"/>
      <c r="IO75" s="203"/>
      <c r="IP75" s="203"/>
      <c r="IQ75" s="203"/>
      <c r="IR75" s="203"/>
      <c r="IS75" s="203"/>
      <c r="IT75" s="203"/>
      <c r="IU75" s="203"/>
      <c r="IV75" s="203"/>
      <c r="IW75" s="203"/>
    </row>
    <row r="76" customFormat="false" ht="12.75" hidden="false" customHeight="false" outlineLevel="0" collapsed="false">
      <c r="A76" s="14" t="s">
        <v>161</v>
      </c>
      <c r="B76" s="15" t="n">
        <f aca="false">+B115</f>
        <v>7277.03449999989</v>
      </c>
      <c r="C76" s="15" t="n">
        <f aca="false">+C115</f>
        <v>11238.1060000002</v>
      </c>
      <c r="D76" s="15" t="n">
        <f aca="false">+D115</f>
        <v>-28703.9705000001</v>
      </c>
      <c r="E76" s="15" t="n">
        <f aca="false">+E115</f>
        <v>25851.5352499999</v>
      </c>
      <c r="F76" s="145"/>
      <c r="G76" s="145"/>
      <c r="L76" s="15"/>
    </row>
    <row r="77" customFormat="false" ht="12.75" hidden="false" customHeight="false" outlineLevel="0" collapsed="false">
      <c r="A77" s="14" t="s">
        <v>162</v>
      </c>
      <c r="B77" s="173" t="n">
        <f aca="false">+B118</f>
        <v>4041.03449999989</v>
      </c>
      <c r="C77" s="173" t="n">
        <f aca="false">+C118</f>
        <v>4127.10600000023</v>
      </c>
      <c r="D77" s="173" t="n">
        <f aca="false">+D118</f>
        <v>-34949.9705000001</v>
      </c>
      <c r="E77" s="173" t="n">
        <f aca="false">+E118</f>
        <v>14277.5352499999</v>
      </c>
      <c r="F77" s="145"/>
      <c r="G77" s="145"/>
      <c r="L77" s="15"/>
    </row>
    <row r="78" customFormat="false" ht="12.75" hidden="false" customHeight="false" outlineLevel="0" collapsed="false">
      <c r="A78" s="14" t="s">
        <v>163</v>
      </c>
      <c r="B78" s="173" t="n">
        <f aca="false">+B113</f>
        <v>7277.03449999989</v>
      </c>
      <c r="C78" s="173" t="n">
        <f aca="false">+C113</f>
        <v>-541.893999999775</v>
      </c>
      <c r="D78" s="173" t="n">
        <f aca="false">+D113</f>
        <v>12449.0294999999</v>
      </c>
      <c r="E78" s="173" t="n">
        <f aca="false">+E113</f>
        <v>17041.5352499999</v>
      </c>
      <c r="F78" s="145"/>
      <c r="G78" s="145"/>
      <c r="L78" s="15"/>
    </row>
    <row r="79" customFormat="false" ht="12.75" hidden="false" customHeight="false" outlineLevel="0" collapsed="false">
      <c r="A79" s="14" t="s">
        <v>164</v>
      </c>
      <c r="B79" s="206" t="n">
        <f aca="false">1-(B15/B8)</f>
        <v>0.0247341362067751</v>
      </c>
      <c r="C79" s="206" t="n">
        <f aca="false">1-(C15/C8)</f>
        <v>0.0190205948158989</v>
      </c>
      <c r="D79" s="206" t="n">
        <f aca="false">1-(D15/D8)</f>
        <v>0.0343365645444685</v>
      </c>
      <c r="E79" s="206" t="n">
        <f aca="false">1-(E15/E8)</f>
        <v>0.0428265727443524</v>
      </c>
      <c r="F79" s="145"/>
      <c r="G79" s="145"/>
      <c r="L79" s="15"/>
    </row>
    <row r="80" customFormat="false" ht="12.75" hidden="false" customHeight="false" outlineLevel="0" collapsed="false">
      <c r="A80" s="14" t="s">
        <v>165</v>
      </c>
      <c r="B80" s="206" t="n">
        <f aca="false">1-(B17/B9)</f>
        <v>0.0454569820423479</v>
      </c>
      <c r="C80" s="206" t="n">
        <f aca="false">1-(C17/C9)</f>
        <v>-0.0278437398146856</v>
      </c>
      <c r="D80" s="206" t="n">
        <f aca="false">1-(D17/D9)</f>
        <v>0.0296216395618985</v>
      </c>
      <c r="E80" s="206" t="n">
        <f aca="false">1-(E17/E9)</f>
        <v>-0.127330604820373</v>
      </c>
      <c r="F80" s="145"/>
      <c r="G80" s="145"/>
      <c r="L80" s="15"/>
    </row>
    <row r="81" customFormat="false" ht="12.75" hidden="false" customHeight="false" outlineLevel="0" collapsed="false">
      <c r="A81" s="14" t="s">
        <v>166</v>
      </c>
      <c r="B81" s="206" t="n">
        <f aca="false">1-(B17+B15)/(B8+B9)</f>
        <v>0.0249902288761551</v>
      </c>
      <c r="C81" s="206" t="n">
        <f aca="false">1-(C17+C15)/(C8+C9)</f>
        <v>0.0185411536061505</v>
      </c>
      <c r="D81" s="206" t="n">
        <f aca="false">1-(D17+D15)/(D8+D9)</f>
        <v>0.0342542317012653</v>
      </c>
      <c r="E81" s="206" t="n">
        <f aca="false">1-(E17+E15)/(E8+E9)</f>
        <v>0.0425738026075796</v>
      </c>
      <c r="F81" s="145"/>
      <c r="G81" s="145"/>
      <c r="L81" s="15"/>
    </row>
    <row r="82" customFormat="false" ht="12.75" hidden="false" customHeight="false" outlineLevel="0" collapsed="false">
      <c r="A82" s="14" t="s">
        <v>167</v>
      </c>
      <c r="B82" s="207" t="n">
        <f aca="false">+B8+B9+B11-B15-B17-B18+'Cash Flow '!B10</f>
        <v>9529</v>
      </c>
      <c r="C82" s="207" t="n">
        <f aca="false">+C8+C9+C11-C15-C17-C18+'Cash Flow '!C10</f>
        <v>2465</v>
      </c>
      <c r="D82" s="207" t="n">
        <f aca="false">+D8+D9+D11-D15-D17-D18+'Cash Flow '!D10</f>
        <v>12862</v>
      </c>
      <c r="E82" s="207" t="n">
        <f aca="false">+E8+E9+E11-E15-E17-E18+'Cash Flow '!E10</f>
        <v>20449</v>
      </c>
      <c r="F82" s="15" t="n">
        <f aca="false">3300+F35+F31+F19</f>
        <v>36409</v>
      </c>
      <c r="G82" s="15"/>
      <c r="H82" s="207" t="n">
        <f aca="false">+H12-H15-H18+H26</f>
        <v>16764.3546666667</v>
      </c>
      <c r="I82" s="207"/>
      <c r="J82" s="207" t="n">
        <f aca="false">+J12-J15-J18+J26</f>
        <v>43104.1645333335</v>
      </c>
      <c r="K82" s="207" t="n">
        <f aca="false">+K12-K15-K18+K26</f>
        <v>51693.4007680001</v>
      </c>
      <c r="L82" s="207" t="n">
        <f aca="false">+L12-L15-L18+L26</f>
        <v>61765.7863517867</v>
      </c>
      <c r="M82" s="207" t="n">
        <f aca="false">+M12-M15-M18+M26</f>
        <v>71954.4294178476</v>
      </c>
    </row>
    <row r="83" customFormat="false" ht="12.75" hidden="false" customHeight="false" outlineLevel="0" collapsed="false">
      <c r="A83" s="14" t="s">
        <v>168</v>
      </c>
      <c r="B83" s="206" t="n">
        <f aca="false">+B82/(B8+B9)</f>
        <v>0.00631247722831307</v>
      </c>
      <c r="C83" s="206" t="n">
        <f aca="false">+C82/(C8+C9)</f>
        <v>0.00117418414446514</v>
      </c>
      <c r="D83" s="206" t="n">
        <f aca="false">+D82/(D8+D9)</f>
        <v>0.00931789286089448</v>
      </c>
      <c r="E83" s="206" t="n">
        <f aca="false">+E82/(E8+E9)</f>
        <v>0.0138140917381612</v>
      </c>
      <c r="F83" s="145"/>
      <c r="G83" s="145"/>
      <c r="L83" s="15"/>
    </row>
    <row r="84" customFormat="false" ht="12.75" hidden="false" customHeight="false" outlineLevel="0" collapsed="false">
      <c r="A84" s="14" t="s">
        <v>169</v>
      </c>
      <c r="B84" s="208" t="n">
        <f aca="false">+B82/B19</f>
        <v>3.05710619185114</v>
      </c>
      <c r="C84" s="208" t="n">
        <f aca="false">+C82/C19</f>
        <v>0.502548419979613</v>
      </c>
      <c r="D84" s="208" t="n">
        <f aca="false">+D82/D19</f>
        <v>2.23881636205396</v>
      </c>
      <c r="E84" s="208" t="n">
        <f aca="false">+E82/E19</f>
        <v>3.88764258555133</v>
      </c>
      <c r="F84" s="145"/>
      <c r="G84" s="145"/>
      <c r="L84" s="15"/>
    </row>
    <row r="85" customFormat="false" ht="12.75" hidden="false" customHeight="false" outlineLevel="0" collapsed="false">
      <c r="A85" s="14" t="s">
        <v>170</v>
      </c>
      <c r="B85" s="206" t="n">
        <f aca="false">+B28/B12</f>
        <v>0.00365376256290536</v>
      </c>
      <c r="C85" s="206" t="n">
        <f aca="false">+C28/C12</f>
        <v>-0.00233831784675105</v>
      </c>
      <c r="D85" s="206" t="n">
        <f aca="false">+D28/D12</f>
        <v>0.00398495741685323</v>
      </c>
      <c r="E85" s="206" t="n">
        <f aca="false">+E28/E12</f>
        <v>0.00876974186259097</v>
      </c>
      <c r="F85" s="145"/>
      <c r="G85" s="145"/>
      <c r="J85" s="47"/>
      <c r="L85" s="15"/>
    </row>
    <row r="86" customFormat="false" ht="12.75" hidden="false" customHeight="false" outlineLevel="0" collapsed="false">
      <c r="A86" s="14" t="s">
        <v>171</v>
      </c>
      <c r="B86" s="206" t="n">
        <f aca="false">+B35/B12</f>
        <v>0.00230152029816711</v>
      </c>
      <c r="C86" s="206" t="n">
        <f aca="false">+C35/C12</f>
        <v>0.0114358431468368</v>
      </c>
      <c r="D86" s="206" t="n">
        <f aca="false">+D35/D12</f>
        <v>0.00362432778636878</v>
      </c>
      <c r="E86" s="206" t="n">
        <f aca="false">+E35/E12</f>
        <v>0.00780169287230113</v>
      </c>
      <c r="F86" s="145"/>
      <c r="G86" s="145"/>
      <c r="L86" s="15"/>
    </row>
    <row r="87" customFormat="false" ht="12.75" hidden="false" customHeight="false" outlineLevel="0" collapsed="false">
      <c r="A87" s="14" t="s">
        <v>172</v>
      </c>
      <c r="B87" s="209" t="n">
        <f aca="false">365/(B8/'Balance Sheet'!B13)</f>
        <v>77.9913776624108</v>
      </c>
      <c r="C87" s="209" t="n">
        <f aca="false">365/(C8/'Balance Sheet'!C13)</f>
        <v>31.6442958188091</v>
      </c>
      <c r="D87" s="209" t="n">
        <f aca="false">365/(D8/'Balance Sheet'!D13)</f>
        <v>39.7041661167439</v>
      </c>
      <c r="E87" s="209" t="n">
        <f aca="false">365/(E8/'Balance Sheet'!E13)</f>
        <v>45.2695012045862</v>
      </c>
      <c r="F87" s="145" t="n">
        <v>57</v>
      </c>
      <c r="G87" s="145"/>
      <c r="L87" s="15"/>
    </row>
    <row r="88" customFormat="false" ht="12.75" hidden="false" customHeight="false" outlineLevel="0" collapsed="false">
      <c r="A88" s="14" t="s">
        <v>173</v>
      </c>
      <c r="B88" s="209" t="n">
        <f aca="false">365/(B8/'Balance Sheet'!B14)</f>
        <v>33.1666616361313</v>
      </c>
      <c r="C88" s="209" t="n">
        <f aca="false">365/(C8/'Balance Sheet'!C14)</f>
        <v>10.0143200698028</v>
      </c>
      <c r="D88" s="209" t="n">
        <f aca="false">365/(D8/'Balance Sheet'!D14)</f>
        <v>13.8179142356393</v>
      </c>
      <c r="E88" s="209" t="n">
        <f aca="false">365/(E8/'Balance Sheet'!E14)</f>
        <v>13.0400798051013</v>
      </c>
      <c r="F88" s="145" t="n">
        <v>24</v>
      </c>
      <c r="G88" s="145"/>
      <c r="L88" s="210"/>
      <c r="M88" s="211"/>
      <c r="Q88" s="14" t="n">
        <f aca="false">+F87+F88</f>
        <v>81</v>
      </c>
      <c r="R88" s="14" t="n">
        <v>15</v>
      </c>
      <c r="S88" s="14" t="n">
        <f aca="false">+Q88-R88</f>
        <v>66</v>
      </c>
    </row>
    <row r="89" customFormat="false" ht="12.75" hidden="false" customHeight="false" outlineLevel="0" collapsed="false">
      <c r="A89" s="14" t="s">
        <v>174</v>
      </c>
      <c r="B89" s="212" t="n">
        <f aca="false">+B18/B8</f>
        <v>0.0212308713893333</v>
      </c>
      <c r="C89" s="212" t="n">
        <f aca="false">+C18/C8</f>
        <v>0.0194710597910439</v>
      </c>
      <c r="D89" s="212" t="n">
        <f aca="false">+D18/D8</f>
        <v>0.0289231123147559</v>
      </c>
      <c r="E89" s="212" t="n">
        <f aca="false">+E18/E8</f>
        <v>0.0309200792097428</v>
      </c>
      <c r="F89" s="145"/>
      <c r="G89" s="145"/>
      <c r="L89" s="15"/>
    </row>
    <row r="90" customFormat="false" ht="12.75" hidden="false" customHeight="false" outlineLevel="0" collapsed="false">
      <c r="A90" s="14" t="s">
        <v>175</v>
      </c>
      <c r="B90" s="213" t="n">
        <f aca="false">+('Balance Sheet'!B33+'Balance Sheet'!B27)/'Balance Sheet'!B37</f>
        <v>1.43061356681781</v>
      </c>
      <c r="C90" s="213" t="n">
        <f aca="false">+('Balance Sheet'!C33+'Balance Sheet'!C27)/'Balance Sheet'!C37</f>
        <v>0.430461535752956</v>
      </c>
      <c r="D90" s="213" t="n">
        <f aca="false">+('Balance Sheet'!D33+'Balance Sheet'!D27)/'Balance Sheet'!D37</f>
        <v>0.743850346148181</v>
      </c>
      <c r="E90" s="213" t="n">
        <f aca="false">+('Balance Sheet'!E33+'Balance Sheet'!E27)/'Balance Sheet'!E37</f>
        <v>0.939227020699293</v>
      </c>
      <c r="F90" s="145"/>
      <c r="G90" s="145"/>
      <c r="J90" s="47"/>
      <c r="L90" s="15"/>
      <c r="M90" s="15"/>
    </row>
    <row r="91" customFormat="false" ht="12.75" hidden="false" customHeight="false" outlineLevel="0" collapsed="false">
      <c r="B91" s="15"/>
      <c r="C91" s="15"/>
      <c r="D91" s="15"/>
      <c r="E91" s="15"/>
      <c r="F91" s="145"/>
      <c r="G91" s="145"/>
    </row>
    <row r="92" customFormat="false" ht="12.75" hidden="false" customHeight="false" outlineLevel="0" collapsed="false">
      <c r="A92" s="14" t="s">
        <v>176</v>
      </c>
      <c r="B92" s="47" t="n">
        <f aca="false">+B12-B106-B15-B17-B18</f>
        <v>9509.12999999989</v>
      </c>
      <c r="C92" s="47" t="n">
        <f aca="false">+C12-C106-C15-C17-C18</f>
        <v>-76.7599999997765</v>
      </c>
      <c r="D92" s="47" t="n">
        <f aca="false">+D12-D106-D15-D17-D18</f>
        <v>11735.4299999999</v>
      </c>
      <c r="E92" s="47" t="n">
        <f aca="false">+E12-E106-E15-E17-E18</f>
        <v>18434.2849999999</v>
      </c>
      <c r="F92" s="47" t="n">
        <f aca="false">+F12-F106-F15-F17-F18</f>
        <v>36409</v>
      </c>
      <c r="G92" s="214" t="n">
        <f aca="false">+G12-G106-G15-G17-G18+G26</f>
        <v>19253.1433333334</v>
      </c>
      <c r="H92" s="214" t="n">
        <f aca="false">+H12-H106-H15-H17-H16-H18+H26</f>
        <v>14919.3147239616</v>
      </c>
      <c r="I92" s="214"/>
      <c r="J92" s="214" t="n">
        <f aca="false">+J12-J106-J15-J17-J16-J18+J26</f>
        <v>39397.4179812566</v>
      </c>
      <c r="K92" s="214" t="n">
        <f aca="false">+K12-K106-K15-K17-K16-K18+K26</f>
        <v>47969.9875492565</v>
      </c>
      <c r="L92" s="214" t="n">
        <f aca="false">+L12-L106-L15-L17-L16-L18+L26</f>
        <v>58025.7064663765</v>
      </c>
      <c r="M92" s="214" t="n">
        <f aca="false">+M12-M106-M15-M17-M16-M18+M26</f>
        <v>68197.6828657708</v>
      </c>
    </row>
    <row r="93" customFormat="false" ht="12.75" hidden="false" customHeight="false" outlineLevel="0" collapsed="false">
      <c r="A93" s="14" t="s">
        <v>177</v>
      </c>
      <c r="B93" s="15" t="n">
        <f aca="false">+B33+(0.35*B19)-(0.35*B106)</f>
        <v>2860.0955</v>
      </c>
      <c r="C93" s="15" t="n">
        <f aca="false">+C33+(0.35*C19)-(0.35*C106)</f>
        <v>-28260.866</v>
      </c>
      <c r="D93" s="15" t="n">
        <f aca="false">+D33+(0.35*D19)-(0.35*D106)</f>
        <v>1660.4005</v>
      </c>
      <c r="E93" s="15" t="n">
        <f aca="false">+E33+(0.35*E19)-(0.35*E106)</f>
        <v>2583.74975</v>
      </c>
      <c r="F93" s="15" t="n">
        <f aca="false">+F33+(0.35*F19)-(0.35*F106)</f>
        <v>5195.3</v>
      </c>
      <c r="G93" s="15" t="n">
        <f aca="false">+G33+(0.35*G19)-(0.35*G106)</f>
        <v>6272.07406201293</v>
      </c>
      <c r="H93" s="15" t="n">
        <f aca="false">+H33+(0.35*H19)-(0.35*H106)</f>
        <v>5221.76015338657</v>
      </c>
      <c r="I93" s="15"/>
      <c r="J93" s="15" t="n">
        <f aca="false">+J33+(0.35*J19)-(0.35*J106)</f>
        <v>13789.0962934398</v>
      </c>
      <c r="K93" s="15" t="n">
        <f aca="false">+K33+(0.35*K19)-(0.35*K106)</f>
        <v>16789.4956422398</v>
      </c>
      <c r="L93" s="15" t="n">
        <f aca="false">+L33+(0.35*L19)-(0.35*L106)</f>
        <v>20308.9972632319</v>
      </c>
      <c r="M93" s="15" t="n">
        <f aca="false">+M33+(0.35*M19)-(0.35*M106)</f>
        <v>23869.1890030198</v>
      </c>
    </row>
    <row r="94" customFormat="false" ht="15" hidden="false" customHeight="false" outlineLevel="0" collapsed="false">
      <c r="A94" s="14" t="s">
        <v>178</v>
      </c>
      <c r="B94" s="46" t="n">
        <f aca="false">+'Cash Flow '!B11</f>
        <v>-1027</v>
      </c>
      <c r="C94" s="46" t="n">
        <f aca="false">+'Cash Flow '!C11</f>
        <v>-31525</v>
      </c>
      <c r="D94" s="46" t="n">
        <f aca="false">+'Cash Flow '!D11</f>
        <v>-521</v>
      </c>
      <c r="E94" s="46" t="n">
        <f aca="false">+'Cash Flow '!E11</f>
        <v>-955</v>
      </c>
      <c r="F94" s="46" t="n">
        <f aca="false">+'Cash Flow '!F11</f>
        <v>0</v>
      </c>
      <c r="G94" s="215" t="n">
        <f aca="false">+'Cash Flow '!G11</f>
        <v>1362.56086476402</v>
      </c>
      <c r="H94" s="215" t="n">
        <f aca="false">+'Cash Flow '!H11</f>
        <v>1832.20109815198</v>
      </c>
      <c r="I94" s="215"/>
      <c r="J94" s="215" t="n">
        <f aca="false">+'Cash Flow '!J11</f>
        <v>6538.71612345173</v>
      </c>
      <c r="K94" s="215" t="n">
        <f aca="false">+'Cash Flow '!K11</f>
        <v>4616.33065057254</v>
      </c>
      <c r="L94" s="215" t="n">
        <f aca="false">+'Cash Flow '!L11</f>
        <v>3241.52650327788</v>
      </c>
      <c r="M94" s="215" t="n">
        <f aca="false">+'Cash Flow '!M11</f>
        <v>2261.05091040408</v>
      </c>
    </row>
    <row r="95" customFormat="false" ht="12.75" hidden="false" customHeight="false" outlineLevel="0" collapsed="false">
      <c r="A95" s="14" t="s">
        <v>179</v>
      </c>
      <c r="B95" s="47" t="n">
        <f aca="false">+B92-B93+B94</f>
        <v>5622.03449999989</v>
      </c>
      <c r="C95" s="47" t="n">
        <f aca="false">+C92-C93+C94</f>
        <v>-3340.89399999977</v>
      </c>
      <c r="D95" s="47" t="n">
        <f aca="false">+D92-D93+D94</f>
        <v>9554.02949999994</v>
      </c>
      <c r="E95" s="47" t="n">
        <f aca="false">+E92-E93+E94</f>
        <v>14895.5352499999</v>
      </c>
      <c r="F95" s="47" t="n">
        <f aca="false">+F92-F93+F94</f>
        <v>31213.7</v>
      </c>
      <c r="G95" s="214" t="n">
        <f aca="false">+G92-G93+G94</f>
        <v>14343.6301360845</v>
      </c>
      <c r="H95" s="214" t="n">
        <f aca="false">+H92-H93+H94</f>
        <v>11529.755668727</v>
      </c>
      <c r="I95" s="214"/>
      <c r="J95" s="214" t="n">
        <f aca="false">+J92-J93+J94</f>
        <v>32147.0378112685</v>
      </c>
      <c r="K95" s="214" t="n">
        <f aca="false">+K92-K93+K94</f>
        <v>35796.8225575893</v>
      </c>
      <c r="L95" s="214" t="n">
        <f aca="false">+L92-L93+L94</f>
        <v>40958.2357064226</v>
      </c>
      <c r="M95" s="214" t="n">
        <f aca="false">+M92-M93+M94</f>
        <v>46589.5447731551</v>
      </c>
    </row>
    <row r="96" customFormat="false" ht="12.75" hidden="false" customHeight="false" outlineLevel="0" collapsed="false">
      <c r="F96" s="145"/>
      <c r="G96" s="145"/>
    </row>
    <row r="97" customFormat="false" ht="12.75" hidden="false" customHeight="false" outlineLevel="0" collapsed="false">
      <c r="A97" s="14" t="s">
        <v>65</v>
      </c>
      <c r="B97" s="47" t="n">
        <f aca="false">+B35</f>
        <v>3484</v>
      </c>
      <c r="C97" s="47" t="n">
        <f aca="false">+C35</f>
        <v>24057</v>
      </c>
      <c r="D97" s="47" t="n">
        <f aca="false">+D35</f>
        <v>5025</v>
      </c>
      <c r="E97" s="47" t="n">
        <f aca="false">+E35</f>
        <v>11573</v>
      </c>
      <c r="F97" s="47" t="n">
        <f aca="false">+F35</f>
        <v>22728</v>
      </c>
      <c r="G97" s="47"/>
      <c r="H97" s="47" t="n">
        <f aca="false">+H35</f>
        <v>5300.30457057507</v>
      </c>
      <c r="I97" s="47"/>
      <c r="J97" s="47" t="n">
        <f aca="false">+J35</f>
        <v>16813.8216878168</v>
      </c>
      <c r="K97" s="47" t="n">
        <f aca="false">+K35</f>
        <v>22385.9919070168</v>
      </c>
      <c r="L97" s="47" t="n">
        <f aca="false">+L35</f>
        <v>28922.2092031449</v>
      </c>
      <c r="M97" s="47" t="n">
        <f aca="false">+M35</f>
        <v>35533.993862751</v>
      </c>
    </row>
    <row r="98" customFormat="false" ht="12.75" hidden="false" customHeight="false" outlineLevel="1" collapsed="false">
      <c r="A98" s="14" t="s">
        <v>180</v>
      </c>
      <c r="B98" s="15" t="n">
        <f aca="false">+'Cash Flow '!B11</f>
        <v>-1027</v>
      </c>
      <c r="C98" s="15" t="n">
        <f aca="false">+'Cash Flow '!C11</f>
        <v>-31525</v>
      </c>
      <c r="D98" s="15" t="n">
        <f aca="false">+'Cash Flow '!D11</f>
        <v>-521</v>
      </c>
      <c r="E98" s="15" t="n">
        <f aca="false">+'Cash Flow '!E11</f>
        <v>-955</v>
      </c>
      <c r="F98" s="15" t="n">
        <f aca="false">+'Cash Flow '!F11</f>
        <v>0</v>
      </c>
      <c r="G98" s="15"/>
      <c r="H98" s="15" t="n">
        <f aca="false">+'Cash Flow '!H11</f>
        <v>1832.20109815198</v>
      </c>
      <c r="I98" s="15"/>
      <c r="J98" s="15" t="n">
        <f aca="false">+'Cash Flow '!J11</f>
        <v>6538.71612345173</v>
      </c>
      <c r="K98" s="15" t="n">
        <f aca="false">+'Cash Flow '!K11</f>
        <v>4616.33065057254</v>
      </c>
      <c r="L98" s="15" t="n">
        <f aca="false">+'Cash Flow '!L11</f>
        <v>3241.52650327788</v>
      </c>
      <c r="M98" s="15" t="n">
        <f aca="false">+'Cash Flow '!M11</f>
        <v>2261.05091040408</v>
      </c>
    </row>
    <row r="99" customFormat="false" ht="12.75" hidden="false" customHeight="false" outlineLevel="1" collapsed="false">
      <c r="A99" s="14" t="s">
        <v>181</v>
      </c>
      <c r="B99" s="15" t="n">
        <v>0</v>
      </c>
      <c r="C99" s="15" t="n">
        <v>0</v>
      </c>
      <c r="D99" s="15" t="n">
        <v>0</v>
      </c>
      <c r="E99" s="15" t="n">
        <v>0</v>
      </c>
      <c r="F99" s="15" t="n">
        <v>0</v>
      </c>
      <c r="G99" s="15"/>
      <c r="H99" s="15" t="n">
        <v>0</v>
      </c>
      <c r="I99" s="15"/>
      <c r="J99" s="15" t="n">
        <v>0</v>
      </c>
      <c r="K99" s="15" t="n">
        <v>0</v>
      </c>
      <c r="L99" s="15" t="n">
        <v>0</v>
      </c>
      <c r="M99" s="15" t="n">
        <v>0</v>
      </c>
    </row>
    <row r="100" customFormat="false" ht="12.75" hidden="false" customHeight="false" outlineLevel="1" collapsed="false">
      <c r="A100" s="14" t="s">
        <v>182</v>
      </c>
      <c r="B100" s="15" t="n">
        <f aca="false">(1-0.35)*B19</f>
        <v>2026.05</v>
      </c>
      <c r="C100" s="15" t="n">
        <f aca="false">(1-0.35)*C19</f>
        <v>3188.25</v>
      </c>
      <c r="D100" s="15" t="n">
        <f aca="false">(1-0.35)*D19</f>
        <v>3734.25</v>
      </c>
      <c r="E100" s="15" t="n">
        <f aca="false">(1-0.35)*E19</f>
        <v>3419</v>
      </c>
      <c r="F100" s="15" t="n">
        <f aca="false">(1-0.35)*F19</f>
        <v>5185.7</v>
      </c>
      <c r="G100" s="15"/>
      <c r="H100" s="15" t="n">
        <f aca="false">(1-0.35)*H19</f>
        <v>4397.25</v>
      </c>
      <c r="I100" s="15"/>
      <c r="J100" s="15" t="n">
        <f aca="false">(1-0.35)*J19</f>
        <v>8794.5</v>
      </c>
      <c r="K100" s="15" t="n">
        <f aca="false">(1-0.35)*K19</f>
        <v>8794.5</v>
      </c>
      <c r="L100" s="15" t="n">
        <f aca="false">(1-0.35)*L19</f>
        <v>8794.5</v>
      </c>
      <c r="M100" s="15" t="n">
        <f aca="false">(1-0.35)*M19</f>
        <v>8794.5</v>
      </c>
    </row>
    <row r="101" customFormat="false" ht="12.75" hidden="false" customHeight="false" outlineLevel="1" collapsed="false">
      <c r="A101" s="14" t="s">
        <v>183</v>
      </c>
      <c r="B101" s="15" t="n">
        <f aca="false">-B106*(1-0.35)</f>
        <v>-516.0155</v>
      </c>
      <c r="C101" s="15" t="n">
        <f aca="false">-C106*(1-0.35)</f>
        <v>-1860.144</v>
      </c>
      <c r="D101" s="15" t="n">
        <f aca="false">-D106*(1-0.35)</f>
        <v>-1579.2205</v>
      </c>
      <c r="E101" s="15" t="n">
        <f aca="false">-E106*(1-0.35)</f>
        <v>-1287.46475</v>
      </c>
      <c r="F101" s="15" t="n">
        <f aca="false">-F106*(1-0.35)</f>
        <v>-0</v>
      </c>
      <c r="G101" s="15"/>
      <c r="H101" s="15" t="n">
        <f aca="false">-H106*(1-0.35)</f>
        <v>-0</v>
      </c>
      <c r="I101" s="15"/>
      <c r="J101" s="15" t="n">
        <f aca="false">-J106*(1-0.35)</f>
        <v>-0</v>
      </c>
      <c r="K101" s="15" t="n">
        <f aca="false">-K106*(1-0.35)</f>
        <v>-0</v>
      </c>
      <c r="L101" s="15" t="n">
        <f aca="false">-L106*(1-0.35)</f>
        <v>-0</v>
      </c>
      <c r="M101" s="15" t="n">
        <f aca="false">-M106*(1-0.35)</f>
        <v>-0</v>
      </c>
    </row>
    <row r="102" customFormat="false" ht="12.75" hidden="false" customHeight="false" outlineLevel="1" collapsed="false">
      <c r="A102" s="14" t="s">
        <v>184</v>
      </c>
      <c r="B102" s="46" t="n">
        <v>0</v>
      </c>
      <c r="C102" s="46" t="n">
        <v>0</v>
      </c>
      <c r="D102" s="46" t="n">
        <v>0</v>
      </c>
      <c r="E102" s="46" t="n">
        <v>0</v>
      </c>
      <c r="F102" s="46" t="n">
        <v>0</v>
      </c>
      <c r="G102" s="46"/>
      <c r="H102" s="46" t="n">
        <v>0</v>
      </c>
      <c r="I102" s="46"/>
      <c r="J102" s="46" t="n">
        <v>0</v>
      </c>
      <c r="K102" s="46" t="n">
        <v>0</v>
      </c>
      <c r="L102" s="46" t="n">
        <v>0</v>
      </c>
      <c r="M102" s="46" t="n">
        <v>0</v>
      </c>
    </row>
    <row r="103" customFormat="false" ht="12.75" hidden="false" customHeight="false" outlineLevel="1" collapsed="false">
      <c r="A103" s="14" t="s">
        <v>179</v>
      </c>
      <c r="B103" s="47" t="n">
        <f aca="false">SUM(B97:B102)</f>
        <v>3967.0345</v>
      </c>
      <c r="C103" s="47" t="n">
        <f aca="false">SUM(C97:C102)</f>
        <v>-6139.894</v>
      </c>
      <c r="D103" s="47" t="n">
        <f aca="false">SUM(D97:D102)</f>
        <v>6659.0295</v>
      </c>
      <c r="E103" s="47" t="n">
        <f aca="false">SUM(E97:E102)</f>
        <v>12749.53525</v>
      </c>
      <c r="F103" s="47" t="n">
        <f aca="false">SUM(F97:F102)</f>
        <v>27913.7</v>
      </c>
      <c r="G103" s="47"/>
      <c r="H103" s="47" t="n">
        <f aca="false">SUM(H97:H102)</f>
        <v>11529.755668727</v>
      </c>
      <c r="I103" s="47"/>
      <c r="J103" s="47" t="n">
        <f aca="false">SUM(J97:J102)</f>
        <v>32147.0378112686</v>
      </c>
      <c r="K103" s="47" t="n">
        <f aca="false">SUM(K97:K102)</f>
        <v>35796.8225575893</v>
      </c>
      <c r="L103" s="47" t="n">
        <f aca="false">SUM(L97:L102)</f>
        <v>40958.2357064228</v>
      </c>
      <c r="M103" s="47" t="n">
        <f aca="false">SUM(M97:M102)</f>
        <v>46589.5447731551</v>
      </c>
    </row>
    <row r="104" customFormat="false" ht="12.75" hidden="false" customHeight="false" outlineLevel="1" collapsed="false">
      <c r="F104" s="145"/>
      <c r="G104" s="145"/>
    </row>
    <row r="105" customFormat="false" ht="15" hidden="false" customHeight="false" outlineLevel="1" collapsed="false">
      <c r="A105" s="14" t="str">
        <f aca="false">+A10</f>
        <v>Investment and interest income</v>
      </c>
      <c r="B105" s="183" t="n">
        <f aca="false">+B10</f>
        <v>2429</v>
      </c>
      <c r="C105" s="183" t="n">
        <f aca="false">+C10</f>
        <v>3119</v>
      </c>
      <c r="D105" s="183" t="n">
        <f aca="false">+D10</f>
        <v>4198</v>
      </c>
      <c r="E105" s="183" t="n">
        <f aca="false">+E10</f>
        <v>2112</v>
      </c>
      <c r="F105" s="145"/>
      <c r="G105" s="145"/>
    </row>
    <row r="106" customFormat="false" ht="12.75" hidden="false" customHeight="false" outlineLevel="1" collapsed="false">
      <c r="A106" s="14" t="s">
        <v>185</v>
      </c>
      <c r="B106" s="15" t="n">
        <f aca="false">+'Balance Sheet'!B10*0.055</f>
        <v>793.87</v>
      </c>
      <c r="C106" s="15" t="n">
        <f aca="false">+'Balance Sheet'!C10*0.055</f>
        <v>2861.76</v>
      </c>
      <c r="D106" s="15" t="n">
        <f aca="false">+'Balance Sheet'!D10*0.055</f>
        <v>2429.57</v>
      </c>
      <c r="E106" s="15" t="n">
        <f aca="false">+'Balance Sheet'!E10*0.055</f>
        <v>1980.715</v>
      </c>
      <c r="F106" s="145"/>
      <c r="G106" s="145"/>
    </row>
    <row r="107" customFormat="false" ht="12.75" hidden="false" customHeight="false" outlineLevel="1" collapsed="false">
      <c r="A107" s="14" t="s">
        <v>186</v>
      </c>
      <c r="B107" s="47" t="n">
        <f aca="false">+B105-B106</f>
        <v>1635.13</v>
      </c>
      <c r="C107" s="47" t="n">
        <f aca="false">+C105-C106</f>
        <v>257.24</v>
      </c>
      <c r="D107" s="47" t="n">
        <f aca="false">+D105-D106</f>
        <v>1768.43</v>
      </c>
      <c r="E107" s="47" t="n">
        <f aca="false">+E105-E106</f>
        <v>131.285</v>
      </c>
      <c r="F107" s="145"/>
      <c r="G107" s="145"/>
    </row>
    <row r="108" customFormat="false" ht="12.75" hidden="false" customHeight="false" outlineLevel="1" collapsed="false">
      <c r="F108" s="145"/>
      <c r="G108" s="145"/>
    </row>
    <row r="109" customFormat="false" ht="12.75" hidden="false" customHeight="false" outlineLevel="1" collapsed="false">
      <c r="F109" s="145"/>
      <c r="G109" s="145"/>
    </row>
    <row r="110" customFormat="false" ht="12.75" hidden="false" customHeight="false" outlineLevel="1" collapsed="false">
      <c r="A110" s="14" t="s">
        <v>179</v>
      </c>
      <c r="B110" s="47" t="n">
        <f aca="false">+B95</f>
        <v>5622.03449999989</v>
      </c>
      <c r="C110" s="47" t="n">
        <f aca="false">+C95</f>
        <v>-3340.89399999977</v>
      </c>
      <c r="D110" s="47" t="n">
        <f aca="false">+D95</f>
        <v>9554.02949999994</v>
      </c>
      <c r="E110" s="47" t="n">
        <f aca="false">+E95</f>
        <v>14895.5352499999</v>
      </c>
      <c r="F110" s="145"/>
      <c r="G110" s="145"/>
    </row>
    <row r="111" customFormat="false" ht="12.75" hidden="false" customHeight="false" outlineLevel="1" collapsed="false">
      <c r="A111" s="14" t="s">
        <v>187</v>
      </c>
      <c r="B111" s="15" t="n">
        <f aca="false">+'Cash Flow '!B10</f>
        <v>1655</v>
      </c>
      <c r="C111" s="15" t="n">
        <f aca="false">+'Cash Flow '!C10</f>
        <v>2799</v>
      </c>
      <c r="D111" s="15" t="n">
        <f aca="false">+'Cash Flow '!D10</f>
        <v>2895</v>
      </c>
      <c r="E111" s="15" t="n">
        <f aca="false">+'Cash Flow '!E10</f>
        <v>2146</v>
      </c>
      <c r="F111" s="145"/>
      <c r="G111" s="145"/>
    </row>
    <row r="112" customFormat="false" ht="15" hidden="false" customHeight="false" outlineLevel="1" collapsed="false">
      <c r="A112" s="14" t="s">
        <v>188</v>
      </c>
      <c r="B112" s="46" t="n">
        <v>0</v>
      </c>
      <c r="C112" s="46" t="n">
        <v>0</v>
      </c>
      <c r="D112" s="46" t="n">
        <v>0</v>
      </c>
      <c r="E112" s="46" t="n">
        <v>0</v>
      </c>
      <c r="F112" s="145"/>
      <c r="G112" s="145"/>
    </row>
    <row r="113" customFormat="false" ht="12.75" hidden="false" customHeight="false" outlineLevel="1" collapsed="false">
      <c r="A113" s="164" t="s">
        <v>189</v>
      </c>
      <c r="B113" s="216" t="n">
        <f aca="false">+B110+B111-B112</f>
        <v>7277.03449999989</v>
      </c>
      <c r="C113" s="216" t="n">
        <f aca="false">+C110+C111-C112</f>
        <v>-541.893999999775</v>
      </c>
      <c r="D113" s="216" t="n">
        <f aca="false">+D110+D111-D112</f>
        <v>12449.0294999999</v>
      </c>
      <c r="E113" s="216" t="n">
        <f aca="false">+E110+E111-E112</f>
        <v>17041.5352499999</v>
      </c>
      <c r="F113" s="145"/>
      <c r="G113" s="145"/>
    </row>
    <row r="114" customFormat="false" ht="12.75" hidden="false" customHeight="false" outlineLevel="1" collapsed="false">
      <c r="A114" s="14" t="s">
        <v>190</v>
      </c>
      <c r="B114" s="15" t="n">
        <f aca="false">'Balance Sheet'!B48</f>
        <v>0</v>
      </c>
      <c r="C114" s="15" t="n">
        <f aca="false">'Balance Sheet'!C48</f>
        <v>11780</v>
      </c>
      <c r="D114" s="15" t="n">
        <f aca="false">'Balance Sheet'!D48</f>
        <v>-41153</v>
      </c>
      <c r="E114" s="15" t="n">
        <f aca="false">'Balance Sheet'!E48</f>
        <v>8810</v>
      </c>
      <c r="F114" s="145"/>
      <c r="G114" s="145"/>
    </row>
    <row r="115" customFormat="false" ht="12.75" hidden="false" customHeight="false" outlineLevel="0" collapsed="false">
      <c r="A115" s="164" t="s">
        <v>191</v>
      </c>
      <c r="B115" s="217" t="n">
        <f aca="false">+B113+B114</f>
        <v>7277.03449999989</v>
      </c>
      <c r="C115" s="217" t="n">
        <f aca="false">+C113+C114</f>
        <v>11238.1060000002</v>
      </c>
      <c r="D115" s="217" t="n">
        <f aca="false">+D113+D114</f>
        <v>-28703.9705000001</v>
      </c>
      <c r="E115" s="217" t="n">
        <f aca="false">+E113+E114</f>
        <v>25851.5352499999</v>
      </c>
      <c r="F115" s="145"/>
      <c r="G115" s="145"/>
    </row>
    <row r="116" customFormat="false" ht="15" hidden="false" customHeight="false" outlineLevel="0" collapsed="false">
      <c r="A116" s="14" t="s">
        <v>192</v>
      </c>
      <c r="B116" s="46" t="n">
        <f aca="false">('Cash Flow '!B24+'Cash Flow '!B25)</f>
        <v>-3236</v>
      </c>
      <c r="C116" s="46" t="n">
        <f aca="false">('Cash Flow '!C24+'Cash Flow '!C25)</f>
        <v>-7111</v>
      </c>
      <c r="D116" s="46" t="n">
        <f aca="false">('Cash Flow '!D24+'Cash Flow '!D25)</f>
        <v>-6246</v>
      </c>
      <c r="E116" s="46" t="n">
        <f aca="false">('Cash Flow '!E24+'Cash Flow '!E25)</f>
        <v>-11574</v>
      </c>
      <c r="F116" s="145"/>
      <c r="G116" s="145"/>
    </row>
    <row r="117" customFormat="false" ht="15" hidden="false" customHeight="false" outlineLevel="0" collapsed="false">
      <c r="A117" s="14" t="s">
        <v>193</v>
      </c>
      <c r="B117" s="183" t="n">
        <f aca="false">+B114+B116</f>
        <v>-3236</v>
      </c>
      <c r="C117" s="183" t="n">
        <f aca="false">+C114+C116</f>
        <v>4669</v>
      </c>
      <c r="D117" s="183" t="n">
        <f aca="false">+D114+D116</f>
        <v>-47399</v>
      </c>
      <c r="E117" s="183" t="n">
        <f aca="false">+E114+E116</f>
        <v>-2764</v>
      </c>
    </row>
    <row r="118" customFormat="false" ht="12.75" hidden="false" customHeight="false" outlineLevel="0" collapsed="false">
      <c r="A118" s="164" t="s">
        <v>162</v>
      </c>
      <c r="B118" s="218" t="n">
        <f aca="false">+B113+B117</f>
        <v>4041.03449999989</v>
      </c>
      <c r="C118" s="218" t="n">
        <f aca="false">+C113+C117</f>
        <v>4127.10600000023</v>
      </c>
      <c r="D118" s="218" t="n">
        <f aca="false">+D113+D117</f>
        <v>-34949.9705000001</v>
      </c>
      <c r="E118" s="218" t="n">
        <f aca="false">+E113+E117</f>
        <v>14277.5352499999</v>
      </c>
    </row>
  </sheetData>
  <mergeCells count="1">
    <mergeCell ref="K1:M1"/>
  </mergeCells>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53"/>
  <sheetViews>
    <sheetView showFormulas="false" showGridLines="false" showRowColHeaders="true" showZeros="true" rightToLeft="false" tabSelected="false" showOutlineSymbols="true" defaultGridColor="true" view="normal" topLeftCell="B1" colorId="64" zoomScale="75" zoomScaleNormal="75" zoomScalePageLayoutView="100" workbookViewId="0">
      <pane xSplit="0" ySplit="5" topLeftCell="BM6" activePane="bottomLeft" state="frozen"/>
      <selection pane="topLeft" activeCell="B1" activeCellId="0" sqref="B1"/>
      <selection pane="bottomLeft" activeCell="J10" activeCellId="0" sqref="J10"/>
    </sheetView>
  </sheetViews>
  <sheetFormatPr defaultColWidth="9.13671875" defaultRowHeight="12.75" customHeight="true" zeroHeight="false" outlineLevelRow="1" outlineLevelCol="0"/>
  <cols>
    <col collapsed="false" customWidth="true" hidden="false" outlineLevel="0" max="1" min="1" style="14" width="48.85"/>
    <col collapsed="false" customWidth="true" hidden="false" outlineLevel="0" max="2" min="2" style="14" width="12.14"/>
    <col collapsed="false" customWidth="true" hidden="false" outlineLevel="0" max="3" min="3" style="14" width="11.99"/>
    <col collapsed="false" customWidth="true" hidden="false" outlineLevel="0" max="14" min="4" style="14" width="12.14"/>
    <col collapsed="false" customWidth="true" hidden="false" outlineLevel="0" max="15" min="15" style="14" width="10.56"/>
    <col collapsed="false" customWidth="false" hidden="false" outlineLevel="0" max="257" min="16" style="14" width="9.14"/>
  </cols>
  <sheetData>
    <row r="1" customFormat="false" ht="27" hidden="false" customHeight="false" outlineLevel="0" collapsed="false">
      <c r="A1" s="146" t="s">
        <v>0</v>
      </c>
      <c r="B1" s="147"/>
      <c r="C1" s="147"/>
      <c r="D1" s="219"/>
      <c r="E1" s="219"/>
      <c r="F1" s="219"/>
      <c r="G1" s="219"/>
      <c r="H1" s="219"/>
      <c r="I1" s="219"/>
      <c r="J1" s="220" t="s">
        <v>108</v>
      </c>
      <c r="K1" s="220" t="s">
        <v>108</v>
      </c>
      <c r="L1" s="219"/>
      <c r="M1" s="219"/>
      <c r="N1" s="221" t="s">
        <v>194</v>
      </c>
    </row>
    <row r="2" customFormat="false" ht="25.5" hidden="false" customHeight="false" outlineLevel="0" collapsed="false">
      <c r="A2" s="150"/>
      <c r="B2" s="151"/>
      <c r="C2" s="151"/>
      <c r="D2" s="145"/>
      <c r="E2" s="145"/>
      <c r="F2" s="145"/>
      <c r="G2" s="145"/>
      <c r="H2" s="145"/>
      <c r="I2" s="145"/>
      <c r="J2" s="222"/>
      <c r="K2" s="223"/>
      <c r="N2" s="224" t="s">
        <v>110</v>
      </c>
    </row>
    <row r="3" customFormat="false" ht="25.5" hidden="false" customHeight="false" outlineLevel="0" collapsed="false">
      <c r="A3" s="150"/>
      <c r="B3" s="151"/>
      <c r="C3" s="151"/>
      <c r="D3" s="145"/>
      <c r="E3" s="145"/>
      <c r="F3" s="145"/>
      <c r="G3" s="145"/>
      <c r="H3" s="145"/>
      <c r="I3" s="145"/>
      <c r="J3" s="222"/>
    </row>
    <row r="4" customFormat="false" ht="27.75" hidden="false" customHeight="false" outlineLevel="0" collapsed="false">
      <c r="A4" s="150"/>
      <c r="B4" s="151"/>
      <c r="C4" s="151"/>
      <c r="D4" s="145"/>
      <c r="E4" s="145"/>
      <c r="F4" s="145"/>
      <c r="G4" s="145"/>
      <c r="H4" s="225" t="s">
        <v>195</v>
      </c>
      <c r="I4" s="226" t="s">
        <v>196</v>
      </c>
      <c r="J4" s="222"/>
    </row>
    <row r="5" customFormat="false" ht="15.75" hidden="false" customHeight="false" outlineLevel="0" collapsed="false">
      <c r="A5" s="227" t="s">
        <v>197</v>
      </c>
      <c r="B5" s="228" t="n">
        <v>35430</v>
      </c>
      <c r="C5" s="228" t="n">
        <v>35795</v>
      </c>
      <c r="D5" s="228" t="n">
        <v>36160</v>
      </c>
      <c r="E5" s="228" t="n">
        <v>36525</v>
      </c>
      <c r="F5" s="228" t="n">
        <v>36861</v>
      </c>
      <c r="G5" s="228" t="n">
        <v>37072</v>
      </c>
      <c r="H5" s="229"/>
      <c r="I5" s="228" t="n">
        <v>37072</v>
      </c>
      <c r="J5" s="228" t="n">
        <v>37226</v>
      </c>
      <c r="K5" s="228" t="n">
        <v>37591</v>
      </c>
      <c r="L5" s="228" t="n">
        <v>37956</v>
      </c>
      <c r="M5" s="228" t="n">
        <v>38322</v>
      </c>
      <c r="N5" s="228" t="n">
        <v>38687</v>
      </c>
    </row>
    <row r="6" customFormat="false" ht="12.75" hidden="false" customHeight="false" outlineLevel="0" collapsed="false">
      <c r="H6" s="230"/>
    </row>
    <row r="7" customFormat="false" ht="13.5" hidden="false" customHeight="false" outlineLevel="0" collapsed="false">
      <c r="A7" s="231" t="s">
        <v>198</v>
      </c>
      <c r="H7" s="230"/>
    </row>
    <row r="8" customFormat="false" ht="12.75" hidden="false" customHeight="false" outlineLevel="0" collapsed="false">
      <c r="H8" s="230"/>
    </row>
    <row r="9" customFormat="false" ht="12.75" hidden="false" customHeight="false" outlineLevel="0" collapsed="false">
      <c r="A9" s="164" t="s">
        <v>199</v>
      </c>
      <c r="F9" s="47"/>
      <c r="G9" s="47"/>
      <c r="H9" s="232"/>
    </row>
    <row r="10" customFormat="false" ht="12.75" hidden="false" customHeight="false" outlineLevel="0" collapsed="false">
      <c r="A10" s="14" t="s">
        <v>200</v>
      </c>
      <c r="B10" s="15" t="n">
        <v>14434</v>
      </c>
      <c r="C10" s="15" t="n">
        <v>52032</v>
      </c>
      <c r="D10" s="15" t="n">
        <v>44174</v>
      </c>
      <c r="E10" s="15" t="n">
        <v>36013</v>
      </c>
      <c r="F10" s="15" t="n">
        <v>14467</v>
      </c>
      <c r="G10" s="15" t="n">
        <f aca="false">'Cash Flow '!G34+'Cash Flow '!G36</f>
        <v>37955.3195594923</v>
      </c>
      <c r="H10" s="233"/>
      <c r="I10" s="15" t="n">
        <f aca="false">G10+H10</f>
        <v>37955.3195594923</v>
      </c>
      <c r="J10" s="15" t="n">
        <f aca="false">'Cash Flow '!H38</f>
        <v>0.00100000000384171</v>
      </c>
      <c r="K10" s="15" t="n">
        <f aca="false">'Cash Flow '!J38</f>
        <v>10000</v>
      </c>
      <c r="L10" s="15" t="n">
        <f aca="false">'Cash Flow '!K38</f>
        <v>10000</v>
      </c>
      <c r="M10" s="15" t="n">
        <f aca="false">'Cash Flow '!L38</f>
        <v>10000</v>
      </c>
      <c r="N10" s="15" t="n">
        <f aca="false">'Cash Flow '!M38</f>
        <v>10000</v>
      </c>
      <c r="O10" s="47"/>
    </row>
    <row r="11" customFormat="false" ht="12.75" hidden="false" customHeight="false" outlineLevel="0" collapsed="false">
      <c r="A11" s="14" t="s">
        <v>201</v>
      </c>
      <c r="B11" s="168" t="n">
        <v>13867</v>
      </c>
      <c r="C11" s="168" t="n">
        <v>14460</v>
      </c>
      <c r="D11" s="168" t="n">
        <v>26205</v>
      </c>
      <c r="E11" s="168" t="n">
        <v>12117</v>
      </c>
      <c r="F11" s="168" t="n">
        <v>12230</v>
      </c>
      <c r="G11" s="168" t="n">
        <v>0</v>
      </c>
      <c r="H11" s="233"/>
      <c r="I11" s="168" t="n">
        <f aca="false">G11+H11</f>
        <v>0</v>
      </c>
      <c r="J11" s="168" t="n">
        <v>0</v>
      </c>
      <c r="K11" s="168" t="n">
        <f aca="false">J11</f>
        <v>0</v>
      </c>
      <c r="L11" s="168" t="n">
        <f aca="false">K11</f>
        <v>0</v>
      </c>
      <c r="M11" s="168" t="n">
        <f aca="false">L11</f>
        <v>0</v>
      </c>
      <c r="N11" s="168" t="n">
        <f aca="false">M11</f>
        <v>0</v>
      </c>
      <c r="O11" s="47"/>
    </row>
    <row r="12" customFormat="false" ht="12.75" hidden="false" customHeight="false" outlineLevel="0" collapsed="false">
      <c r="A12" s="14" t="s">
        <v>202</v>
      </c>
      <c r="B12" s="168" t="n">
        <v>1499</v>
      </c>
      <c r="C12" s="168" t="n">
        <v>0</v>
      </c>
      <c r="D12" s="168" t="n">
        <v>0</v>
      </c>
      <c r="E12" s="168" t="n">
        <v>0</v>
      </c>
      <c r="F12" s="168" t="n">
        <v>0</v>
      </c>
      <c r="G12" s="168" t="n">
        <f aca="false">F12</f>
        <v>0</v>
      </c>
      <c r="H12" s="233"/>
      <c r="I12" s="168" t="n">
        <f aca="false">G12+H12</f>
        <v>0</v>
      </c>
      <c r="J12" s="168" t="n">
        <f aca="false">+I12</f>
        <v>0</v>
      </c>
      <c r="K12" s="168" t="n">
        <f aca="false">J12</f>
        <v>0</v>
      </c>
      <c r="L12" s="168" t="n">
        <f aca="false">K12</f>
        <v>0</v>
      </c>
      <c r="M12" s="168" t="n">
        <f aca="false">L12</f>
        <v>0</v>
      </c>
      <c r="N12" s="168" t="n">
        <f aca="false">M12</f>
        <v>0</v>
      </c>
      <c r="O12" s="47"/>
    </row>
    <row r="13" customFormat="false" ht="12.75" hidden="false" customHeight="false" outlineLevel="0" collapsed="false">
      <c r="A13" s="14" t="s">
        <v>203</v>
      </c>
      <c r="B13" s="168" t="n">
        <v>318567</v>
      </c>
      <c r="C13" s="168" t="n">
        <v>180143</v>
      </c>
      <c r="D13" s="168" t="n">
        <v>147531</v>
      </c>
      <c r="E13" s="168" t="n">
        <v>183323</v>
      </c>
      <c r="F13" s="168" t="n">
        <v>371477</v>
      </c>
      <c r="G13" s="168" t="n">
        <f aca="false">+'Misc Calcs'!D101</f>
        <v>382670.603642323</v>
      </c>
      <c r="H13" s="233"/>
      <c r="I13" s="168" t="n">
        <f aca="false">G13+H13</f>
        <v>382670.603642323</v>
      </c>
      <c r="J13" s="168" t="n">
        <f aca="false">'Misc Calcs'!E101</f>
        <v>367056.851055178</v>
      </c>
      <c r="K13" s="168" t="n">
        <f aca="false">'Misc Calcs'!F101</f>
        <v>342424.946132632</v>
      </c>
      <c r="L13" s="168" t="n">
        <f aca="false">'Misc Calcs'!G101</f>
        <v>351449.293164894</v>
      </c>
      <c r="M13" s="168" t="n">
        <f aca="false">'Misc Calcs'!H101</f>
        <v>364946.232682547</v>
      </c>
      <c r="N13" s="168" t="n">
        <f aca="false">'Misc Calcs'!I101</f>
        <v>378393.880531977</v>
      </c>
      <c r="O13" s="47"/>
    </row>
    <row r="14" customFormat="false" ht="12.75" hidden="false" customHeight="false" outlineLevel="0" collapsed="false">
      <c r="A14" s="14" t="s">
        <v>204</v>
      </c>
      <c r="B14" s="168" t="n">
        <v>135474</v>
      </c>
      <c r="C14" s="168" t="n">
        <v>57009</v>
      </c>
      <c r="D14" s="168" t="n">
        <v>51344</v>
      </c>
      <c r="E14" s="168" t="n">
        <v>52807</v>
      </c>
      <c r="F14" s="168" t="n">
        <v>156408</v>
      </c>
      <c r="G14" s="168" t="n">
        <f aca="false">+'Misc Calcs'!D102</f>
        <v>147024.556032162</v>
      </c>
      <c r="H14" s="233"/>
      <c r="I14" s="168" t="n">
        <f aca="false">G14+H14</f>
        <v>147024.556032162</v>
      </c>
      <c r="J14" s="168" t="n">
        <f aca="false">'Misc Calcs'!E102</f>
        <v>143360.618395996</v>
      </c>
      <c r="K14" s="168" t="n">
        <f aca="false">'Misc Calcs'!F102</f>
        <v>148146.637005231</v>
      </c>
      <c r="L14" s="168" t="n">
        <f aca="false">'Misc Calcs'!G102</f>
        <v>145972.36727517</v>
      </c>
      <c r="M14" s="168" t="n">
        <f aca="false">'Misc Calcs'!H102</f>
        <v>150838.701222485</v>
      </c>
      <c r="N14" s="168" t="n">
        <f aca="false">'Misc Calcs'!I102</f>
        <v>154878.351652969</v>
      </c>
      <c r="O14" s="47"/>
    </row>
    <row r="15" customFormat="false" ht="15" hidden="false" customHeight="false" outlineLevel="0" collapsed="false">
      <c r="A15" s="14" t="s">
        <v>205</v>
      </c>
      <c r="B15" s="170" t="n">
        <v>2803</v>
      </c>
      <c r="C15" s="170" t="n">
        <v>2307</v>
      </c>
      <c r="D15" s="170" t="n">
        <v>1130</v>
      </c>
      <c r="E15" s="170" t="n">
        <v>1177</v>
      </c>
      <c r="F15" s="170" t="n">
        <v>3277</v>
      </c>
      <c r="G15" s="170" t="n">
        <f aca="false">+F15</f>
        <v>3277</v>
      </c>
      <c r="H15" s="234"/>
      <c r="I15" s="170" t="n">
        <f aca="false">G15+H15</f>
        <v>3277</v>
      </c>
      <c r="J15" s="170" t="n">
        <f aca="false">I15</f>
        <v>3277</v>
      </c>
      <c r="K15" s="170" t="n">
        <f aca="false">J15</f>
        <v>3277</v>
      </c>
      <c r="L15" s="170" t="n">
        <f aca="false">K15</f>
        <v>3277</v>
      </c>
      <c r="M15" s="170" t="n">
        <f aca="false">L15</f>
        <v>3277</v>
      </c>
      <c r="N15" s="170" t="n">
        <f aca="false">M15</f>
        <v>3277</v>
      </c>
      <c r="O15" s="47"/>
    </row>
    <row r="16" customFormat="false" ht="12.75" hidden="false" customHeight="false" outlineLevel="0" collapsed="false">
      <c r="A16" s="14" t="s">
        <v>206</v>
      </c>
      <c r="B16" s="15" t="n">
        <f aca="false">SUM(B10:B15)</f>
        <v>486644</v>
      </c>
      <c r="C16" s="15" t="n">
        <f aca="false">SUM(C10:C15)</f>
        <v>305951</v>
      </c>
      <c r="D16" s="15" t="n">
        <f aca="false">SUM(D10:D15)</f>
        <v>270384</v>
      </c>
      <c r="E16" s="15" t="n">
        <f aca="false">SUM(E10:E15)</f>
        <v>285437</v>
      </c>
      <c r="F16" s="15" t="n">
        <f aca="false">SUM(F10:F15)</f>
        <v>557859</v>
      </c>
      <c r="G16" s="15" t="n">
        <f aca="false">SUM(G10:G15)</f>
        <v>570927.479233977</v>
      </c>
      <c r="H16" s="233"/>
      <c r="I16" s="15" t="n">
        <f aca="false">SUM(I10:I15)</f>
        <v>570927.479233977</v>
      </c>
      <c r="J16" s="15" t="n">
        <f aca="false">SUM(J10:J15)</f>
        <v>513694.470451174</v>
      </c>
      <c r="K16" s="15" t="n">
        <f aca="false">SUM(K10:K15)</f>
        <v>503848.583137864</v>
      </c>
      <c r="L16" s="15" t="n">
        <f aca="false">SUM(L10:L15)</f>
        <v>510698.660440064</v>
      </c>
      <c r="M16" s="15" t="n">
        <f aca="false">SUM(M10:M15)</f>
        <v>529061.933905033</v>
      </c>
      <c r="N16" s="15" t="n">
        <f aca="false">SUM(N10:N15)</f>
        <v>546549.232184947</v>
      </c>
      <c r="O16" s="47"/>
    </row>
    <row r="17" customFormat="false" ht="12.75" hidden="false" customHeight="false" outlineLevel="0" collapsed="false">
      <c r="B17" s="15"/>
      <c r="C17" s="15"/>
      <c r="D17" s="15"/>
      <c r="E17" s="15"/>
      <c r="F17" s="15"/>
      <c r="G17" s="15"/>
      <c r="H17" s="233"/>
      <c r="I17" s="15"/>
      <c r="J17" s="15"/>
      <c r="K17" s="15"/>
      <c r="L17" s="15"/>
      <c r="M17" s="15"/>
      <c r="N17" s="15"/>
      <c r="O17" s="47"/>
    </row>
    <row r="18" customFormat="false" ht="12.75" hidden="false" customHeight="false" outlineLevel="0" collapsed="false">
      <c r="A18" s="164" t="s">
        <v>207</v>
      </c>
      <c r="B18" s="15" t="n">
        <v>11231</v>
      </c>
      <c r="C18" s="15" t="n">
        <v>12448</v>
      </c>
      <c r="D18" s="15" t="n">
        <v>17223</v>
      </c>
      <c r="E18" s="15" t="n">
        <v>16436</v>
      </c>
      <c r="F18" s="15" t="n">
        <v>865</v>
      </c>
      <c r="G18" s="15" t="n">
        <f aca="false">+F18</f>
        <v>865</v>
      </c>
      <c r="H18" s="235" t="n">
        <f aca="false">Goodwill!G16</f>
        <v>40968.6572098311</v>
      </c>
      <c r="I18" s="15" t="n">
        <f aca="false">G18+H18</f>
        <v>41833.6572098311</v>
      </c>
      <c r="J18" s="15" t="n">
        <f aca="false">I18+'Cash Flow '!H24-Dep!F68/2</f>
        <v>41321.5489947082</v>
      </c>
      <c r="K18" s="15" t="n">
        <f aca="false">J18+'Cash Flow '!J24-Dep!G68</f>
        <v>40297.3325644624</v>
      </c>
      <c r="L18" s="15" t="n">
        <f aca="false">K18+'Cash Flow '!K24-Dep!H68</f>
        <v>39273.1161342166</v>
      </c>
      <c r="M18" s="15" t="n">
        <f aca="false">L18+'Cash Flow '!L24-Dep!I68</f>
        <v>38248.8997039709</v>
      </c>
      <c r="N18" s="15" t="n">
        <f aca="false">M18+'Cash Flow '!M24-Dep!J68</f>
        <v>37224.6832737251</v>
      </c>
      <c r="O18" s="47"/>
    </row>
    <row r="19" customFormat="false" ht="12.75" hidden="false" customHeight="false" outlineLevel="0" collapsed="false">
      <c r="B19" s="15"/>
      <c r="C19" s="15"/>
      <c r="D19" s="15"/>
      <c r="E19" s="15"/>
      <c r="F19" s="15"/>
      <c r="G19" s="15"/>
      <c r="H19" s="235"/>
      <c r="I19" s="15"/>
      <c r="J19" s="15"/>
      <c r="K19" s="15"/>
      <c r="L19" s="15"/>
      <c r="M19" s="15"/>
      <c r="N19" s="15"/>
      <c r="O19" s="47"/>
    </row>
    <row r="20" customFormat="false" ht="12.75" hidden="false" customHeight="false" outlineLevel="0" collapsed="false">
      <c r="A20" s="164" t="s">
        <v>208</v>
      </c>
      <c r="B20" s="15" t="n">
        <v>12524</v>
      </c>
      <c r="C20" s="15" t="n">
        <v>15619</v>
      </c>
      <c r="D20" s="15" t="n">
        <v>14195</v>
      </c>
      <c r="E20" s="15" t="n">
        <v>24410</v>
      </c>
      <c r="F20" s="15" t="n">
        <v>32257</v>
      </c>
      <c r="G20" s="15" t="n">
        <f aca="false">F20-'Income Statement'!G16-'Cash Flow '!G25-(F20-'Income Statement'!G16-'Cash Flow '!G25-Dep!E52)</f>
        <v>28793.3539666667</v>
      </c>
      <c r="H20" s="235" t="n">
        <f aca="false">+Dep!$E$66</f>
        <v>50932.5496882663</v>
      </c>
      <c r="I20" s="15" t="n">
        <f aca="false">G20+H20</f>
        <v>79725.903654933</v>
      </c>
      <c r="J20" s="15" t="n">
        <f aca="false">I20-'Income Statement'!H16-'Cash Flow '!H25+Dep!F68/2</f>
        <v>78642.9719273508</v>
      </c>
      <c r="K20" s="15" t="n">
        <f aca="false">J20-'Income Statement'!J16-'Cash Flow '!J25+Dep!G68</f>
        <v>76460.4418055197</v>
      </c>
      <c r="L20" s="15" t="n">
        <f aca="false">K20-'Income Statement'!K16-'Cash Flow '!K25+Dep!H68</f>
        <v>74261.2450170219</v>
      </c>
      <c r="M20" s="15" t="n">
        <f aca="false">L20-'Income Statement'!L16-'Cash Flow '!L25+Dep!I68</f>
        <v>72045.3815618575</v>
      </c>
      <c r="N20" s="15" t="n">
        <f aca="false">M20-'Income Statement'!M16-'Cash Flow '!M25+Dep!J68</f>
        <v>69812.8514400264</v>
      </c>
      <c r="O20" s="47"/>
      <c r="S20" s="47"/>
    </row>
    <row r="21" customFormat="false" ht="12.75" hidden="false" customHeight="false" outlineLevel="0" collapsed="false">
      <c r="B21" s="15"/>
      <c r="C21" s="15"/>
      <c r="D21" s="15"/>
      <c r="E21" s="15"/>
      <c r="F21" s="15"/>
      <c r="G21" s="15"/>
      <c r="H21" s="235"/>
      <c r="I21" s="15"/>
      <c r="J21" s="15"/>
      <c r="K21" s="15"/>
      <c r="L21" s="15"/>
      <c r="M21" s="15"/>
      <c r="N21" s="15"/>
      <c r="O21" s="47"/>
    </row>
    <row r="22" customFormat="false" ht="12.75" hidden="false" customHeight="false" outlineLevel="0" collapsed="false">
      <c r="A22" s="164" t="s">
        <v>209</v>
      </c>
      <c r="B22" s="179" t="n">
        <f aca="false">+B16+B18+B20</f>
        <v>510399</v>
      </c>
      <c r="C22" s="179" t="n">
        <f aca="false">+C16+C18+C20</f>
        <v>334018</v>
      </c>
      <c r="D22" s="179" t="n">
        <f aca="false">+D16+D18+D20</f>
        <v>301802</v>
      </c>
      <c r="E22" s="179" t="n">
        <f aca="false">+E16+E18+E20</f>
        <v>326283</v>
      </c>
      <c r="F22" s="179" t="n">
        <f aca="false">+F16+F18+F20</f>
        <v>590981</v>
      </c>
      <c r="G22" s="179" t="n">
        <f aca="false">+G16+G18+G20</f>
        <v>600585.833200644</v>
      </c>
      <c r="H22" s="236"/>
      <c r="I22" s="179" t="n">
        <f aca="false">+I16+I18+I20</f>
        <v>692487.040098741</v>
      </c>
      <c r="J22" s="179" t="n">
        <f aca="false">+J16+J18+J20</f>
        <v>633658.991373232</v>
      </c>
      <c r="K22" s="179" t="n">
        <f aca="false">+K16+K18+K20</f>
        <v>620606.357507846</v>
      </c>
      <c r="L22" s="179" t="n">
        <f aca="false">+L16+L18+L20</f>
        <v>624233.021591303</v>
      </c>
      <c r="M22" s="179" t="n">
        <f aca="false">+M16+M18+M20</f>
        <v>639356.215170861</v>
      </c>
      <c r="N22" s="179" t="n">
        <f aca="false">+N16+N18+N20</f>
        <v>653586.766898698</v>
      </c>
      <c r="O22" s="47"/>
      <c r="S22" s="47"/>
    </row>
    <row r="23" customFormat="false" ht="12.75" hidden="false" customHeight="false" outlineLevel="0" collapsed="false">
      <c r="B23" s="15"/>
      <c r="C23" s="15"/>
      <c r="D23" s="15"/>
      <c r="E23" s="15"/>
      <c r="F23" s="15"/>
      <c r="G23" s="15"/>
      <c r="H23" s="235"/>
      <c r="I23" s="15"/>
      <c r="J23" s="15"/>
      <c r="K23" s="15"/>
      <c r="L23" s="15"/>
      <c r="M23" s="15"/>
      <c r="N23" s="15"/>
      <c r="O23" s="47"/>
      <c r="S23" s="47"/>
    </row>
    <row r="24" customFormat="false" ht="13.5" hidden="false" customHeight="false" outlineLevel="0" collapsed="false">
      <c r="A24" s="231" t="s">
        <v>210</v>
      </c>
      <c r="B24" s="15"/>
      <c r="C24" s="15"/>
      <c r="D24" s="15"/>
      <c r="E24" s="15"/>
      <c r="F24" s="15"/>
      <c r="G24" s="15"/>
      <c r="H24" s="235"/>
      <c r="K24" s="15"/>
      <c r="L24" s="15"/>
      <c r="M24" s="15"/>
      <c r="N24" s="15"/>
      <c r="O24" s="47"/>
    </row>
    <row r="25" customFormat="false" ht="12.75" hidden="false" customHeight="false" outlineLevel="0" collapsed="false">
      <c r="B25" s="15"/>
      <c r="C25" s="15"/>
      <c r="D25" s="15"/>
      <c r="E25" s="15"/>
      <c r="F25" s="15"/>
      <c r="G25" s="15"/>
      <c r="H25" s="235"/>
      <c r="I25" s="15"/>
      <c r="J25" s="15"/>
      <c r="K25" s="15"/>
      <c r="L25" s="15"/>
      <c r="M25" s="15"/>
      <c r="N25" s="15"/>
      <c r="O25" s="47"/>
    </row>
    <row r="26" customFormat="false" ht="12.75" hidden="false" customHeight="false" outlineLevel="0" collapsed="false">
      <c r="A26" s="164" t="s">
        <v>211</v>
      </c>
      <c r="B26" s="15"/>
      <c r="C26" s="15"/>
      <c r="D26" s="15"/>
      <c r="E26" s="15"/>
      <c r="F26" s="15"/>
      <c r="G26" s="15"/>
      <c r="H26" s="235"/>
      <c r="I26" s="45"/>
      <c r="J26" s="45"/>
      <c r="K26" s="15"/>
      <c r="L26" s="15"/>
      <c r="M26" s="15"/>
      <c r="N26" s="15"/>
      <c r="O26" s="47"/>
    </row>
    <row r="27" customFormat="false" ht="12.75" hidden="false" customHeight="false" outlineLevel="0" collapsed="false">
      <c r="A27" s="14" t="s">
        <v>212</v>
      </c>
      <c r="B27" s="15" t="n">
        <v>128100</v>
      </c>
      <c r="C27" s="15" t="n">
        <v>48900</v>
      </c>
      <c r="D27" s="15" t="n">
        <v>30800</v>
      </c>
      <c r="E27" s="15" t="n">
        <v>53500</v>
      </c>
      <c r="F27" s="15" t="n">
        <v>100400</v>
      </c>
      <c r="G27" s="15" t="n">
        <f aca="false">+F27</f>
        <v>100400</v>
      </c>
      <c r="H27" s="235"/>
      <c r="I27" s="15" t="n">
        <f aca="false">G27+H27</f>
        <v>100400</v>
      </c>
      <c r="J27" s="15" t="n">
        <f aca="false">+I27</f>
        <v>100400</v>
      </c>
      <c r="K27" s="15" t="n">
        <f aca="false">+J27</f>
        <v>100400</v>
      </c>
      <c r="L27" s="15" t="n">
        <f aca="false">+K27</f>
        <v>100400</v>
      </c>
      <c r="M27" s="15" t="n">
        <f aca="false">+L27</f>
        <v>100400</v>
      </c>
      <c r="N27" s="15" t="n">
        <f aca="false">+M27</f>
        <v>100400</v>
      </c>
      <c r="O27" s="47"/>
    </row>
    <row r="28" customFormat="false" ht="12.75" hidden="false" customHeight="false" outlineLevel="0" collapsed="false">
      <c r="A28" s="14" t="s">
        <v>213</v>
      </c>
      <c r="B28" s="168" t="n">
        <v>219196</v>
      </c>
      <c r="C28" s="168" t="n">
        <v>142287</v>
      </c>
      <c r="D28" s="168" t="n">
        <v>87879</v>
      </c>
      <c r="E28" s="168" t="n">
        <v>79861</v>
      </c>
      <c r="F28" s="168" t="n">
        <v>234856</v>
      </c>
      <c r="G28" s="168" t="n">
        <f aca="false">+'Misc Calcs'!D103</f>
        <v>235496.35003588</v>
      </c>
      <c r="H28" s="235"/>
      <c r="I28" s="168" t="n">
        <f aca="false">G28+H28</f>
        <v>235496.35003588</v>
      </c>
      <c r="J28" s="168" t="n">
        <f aca="false">'Misc Calcs'!E103</f>
        <v>228306.238818668</v>
      </c>
      <c r="K28" s="168" t="n">
        <f aca="false">'Misc Calcs'!F103</f>
        <v>236815.512460777</v>
      </c>
      <c r="L28" s="168" t="n">
        <f aca="false">'Misc Calcs'!G103</f>
        <v>240967.428076194</v>
      </c>
      <c r="M28" s="168" t="n">
        <f aca="false">'Misc Calcs'!H103</f>
        <v>249967.282937519</v>
      </c>
      <c r="N28" s="168" t="n">
        <f aca="false">'Misc Calcs'!I103</f>
        <v>258656.250340648</v>
      </c>
      <c r="O28" s="47"/>
    </row>
    <row r="29" customFormat="false" ht="12.75" hidden="false" customHeight="false" outlineLevel="0" collapsed="false">
      <c r="A29" s="14" t="s">
        <v>214</v>
      </c>
      <c r="B29" s="168" t="n">
        <v>32210</v>
      </c>
      <c r="C29" s="168" t="n">
        <v>20422</v>
      </c>
      <c r="D29" s="168" t="n">
        <v>16168</v>
      </c>
      <c r="E29" s="168" t="n">
        <v>24534</v>
      </c>
      <c r="F29" s="168" t="n">
        <v>43599</v>
      </c>
      <c r="G29" s="168" t="n">
        <f aca="false">+F29</f>
        <v>43599</v>
      </c>
      <c r="H29" s="235"/>
      <c r="I29" s="168" t="n">
        <f aca="false">G29+H29</f>
        <v>43599</v>
      </c>
      <c r="J29" s="168" t="n">
        <f aca="false">I29</f>
        <v>43599</v>
      </c>
      <c r="K29" s="168" t="n">
        <f aca="false">J29</f>
        <v>43599</v>
      </c>
      <c r="L29" s="168" t="n">
        <f aca="false">K29</f>
        <v>43599</v>
      </c>
      <c r="M29" s="168" t="n">
        <f aca="false">L29</f>
        <v>43599</v>
      </c>
      <c r="N29" s="168" t="n">
        <f aca="false">M29</f>
        <v>43599</v>
      </c>
      <c r="O29" s="47"/>
    </row>
    <row r="30" customFormat="false" ht="15" hidden="false" customHeight="false" outlineLevel="0" collapsed="false">
      <c r="A30" s="14" t="s">
        <v>215</v>
      </c>
      <c r="B30" s="170" t="n">
        <v>1310</v>
      </c>
      <c r="C30" s="170" t="n">
        <v>294</v>
      </c>
      <c r="D30" s="170" t="n">
        <v>336</v>
      </c>
      <c r="E30" s="170" t="n">
        <v>1151</v>
      </c>
      <c r="F30" s="170" t="n">
        <v>2090</v>
      </c>
      <c r="G30" s="170" t="n">
        <f aca="false">+'Income Statement'!G33</f>
        <v>4137.92281201293</v>
      </c>
      <c r="H30" s="235"/>
      <c r="I30" s="170" t="n">
        <f aca="false">G30+H30</f>
        <v>4137.92281201293</v>
      </c>
      <c r="J30" s="170" t="n">
        <f aca="false">'Income Statement'!H33</f>
        <v>2854.01015338657</v>
      </c>
      <c r="K30" s="170" t="n">
        <f aca="false">'Income Statement'!J33</f>
        <v>9053.59629343983</v>
      </c>
      <c r="L30" s="170" t="n">
        <f aca="false">'Income Statement'!K33</f>
        <v>12053.9956422398</v>
      </c>
      <c r="M30" s="170" t="n">
        <f aca="false">'Income Statement'!L33</f>
        <v>15573.4972632319</v>
      </c>
      <c r="N30" s="170" t="n">
        <f aca="false">'Income Statement'!M33</f>
        <v>19133.6890030198</v>
      </c>
      <c r="O30" s="47"/>
    </row>
    <row r="31" customFormat="false" ht="12.75" hidden="false" customHeight="false" outlineLevel="0" collapsed="false">
      <c r="A31" s="14" t="s">
        <v>216</v>
      </c>
      <c r="B31" s="15" t="n">
        <f aca="false">SUM(B27:B30)</f>
        <v>380816</v>
      </c>
      <c r="C31" s="15" t="n">
        <f aca="false">SUM(C27:C30)</f>
        <v>211903</v>
      </c>
      <c r="D31" s="15" t="n">
        <f aca="false">SUM(D27:D30)</f>
        <v>135183</v>
      </c>
      <c r="E31" s="15" t="n">
        <f aca="false">SUM(E27:E30)</f>
        <v>159046</v>
      </c>
      <c r="F31" s="15" t="n">
        <f aca="false">SUM(F27:F30)</f>
        <v>380945</v>
      </c>
      <c r="G31" s="15" t="n">
        <f aca="false">SUM(G27:G30)</f>
        <v>383633.272847893</v>
      </c>
      <c r="H31" s="235"/>
      <c r="I31" s="15" t="n">
        <f aca="false">SUM(I27:I30)</f>
        <v>383633.272847893</v>
      </c>
      <c r="J31" s="15" t="n">
        <f aca="false">SUM(J27:J30)</f>
        <v>375159.248972055</v>
      </c>
      <c r="K31" s="15" t="n">
        <f aca="false">SUM(K27:K30)</f>
        <v>389868.108754217</v>
      </c>
      <c r="L31" s="15" t="n">
        <f aca="false">SUM(L27:L30)</f>
        <v>397020.423718433</v>
      </c>
      <c r="M31" s="15" t="n">
        <f aca="false">SUM(M27:M30)</f>
        <v>409539.78020075</v>
      </c>
      <c r="N31" s="15" t="n">
        <f aca="false">SUM(N27:N30)</f>
        <v>421788.939343667</v>
      </c>
      <c r="O31" s="47"/>
    </row>
    <row r="32" customFormat="false" ht="12.75" hidden="false" customHeight="false" outlineLevel="0" collapsed="false">
      <c r="B32" s="15"/>
      <c r="C32" s="15"/>
      <c r="D32" s="15"/>
      <c r="E32" s="15"/>
      <c r="F32" s="15"/>
      <c r="G32" s="15"/>
      <c r="H32" s="235"/>
      <c r="I32" s="15"/>
      <c r="J32" s="15"/>
      <c r="K32" s="15"/>
      <c r="L32" s="15"/>
      <c r="M32" s="15"/>
      <c r="N32" s="15"/>
      <c r="O32" s="47"/>
    </row>
    <row r="33" customFormat="false" ht="12.75" hidden="false" customHeight="false" outlineLevel="0" collapsed="false">
      <c r="A33" s="164" t="s">
        <v>217</v>
      </c>
      <c r="B33" s="15" t="n">
        <v>0</v>
      </c>
      <c r="C33" s="15" t="n">
        <v>0</v>
      </c>
      <c r="D33" s="15" t="n">
        <v>50000</v>
      </c>
      <c r="E33" s="15" t="n">
        <v>50000</v>
      </c>
      <c r="F33" s="15" t="n">
        <v>80000</v>
      </c>
      <c r="G33" s="15" t="n">
        <f aca="false">+F33</f>
        <v>80000</v>
      </c>
      <c r="H33" s="235"/>
      <c r="I33" s="15" t="n">
        <f aca="false">G33+H33</f>
        <v>80000</v>
      </c>
      <c r="J33" s="15" t="n">
        <f aca="false">+I33</f>
        <v>80000</v>
      </c>
      <c r="K33" s="15" t="n">
        <f aca="false">+J33</f>
        <v>80000</v>
      </c>
      <c r="L33" s="15" t="n">
        <f aca="false">+K33</f>
        <v>80000</v>
      </c>
      <c r="M33" s="15" t="n">
        <f aca="false">+L33</f>
        <v>80000</v>
      </c>
      <c r="N33" s="15" t="n">
        <f aca="false">+M33</f>
        <v>80000</v>
      </c>
      <c r="O33" s="15"/>
    </row>
    <row r="34" customFormat="false" ht="12.75" hidden="false" customHeight="false" outlineLevel="0" collapsed="false">
      <c r="B34" s="15"/>
      <c r="C34" s="15"/>
      <c r="D34" s="15"/>
      <c r="E34" s="15"/>
      <c r="F34" s="15"/>
      <c r="G34" s="15"/>
      <c r="H34" s="235"/>
      <c r="I34" s="15"/>
      <c r="J34" s="15"/>
      <c r="K34" s="15"/>
      <c r="L34" s="15"/>
      <c r="M34" s="15"/>
      <c r="N34" s="15"/>
      <c r="O34" s="47"/>
    </row>
    <row r="35" customFormat="false" ht="12.75" hidden="false" customHeight="false" outlineLevel="0" collapsed="false">
      <c r="A35" s="164" t="s">
        <v>218</v>
      </c>
      <c r="B35" s="15" t="n">
        <v>40041</v>
      </c>
      <c r="C35" s="15" t="n">
        <v>8516</v>
      </c>
      <c r="D35" s="15" t="n">
        <v>7995</v>
      </c>
      <c r="E35" s="15" t="n">
        <v>7040</v>
      </c>
      <c r="F35" s="15" t="n">
        <v>7111</v>
      </c>
      <c r="G35" s="15" t="n">
        <f aca="false">F35+'Cash Flow '!G11</f>
        <v>8473.56086476402</v>
      </c>
      <c r="H35" s="235"/>
      <c r="I35" s="15" t="n">
        <f aca="false">G35+H35</f>
        <v>8473.56086476402</v>
      </c>
      <c r="J35" s="15" t="n">
        <f aca="false">I35+'Cash Flow '!H11</f>
        <v>10305.761962916</v>
      </c>
      <c r="K35" s="15" t="n">
        <f aca="false">J35+'Cash Flow '!J11</f>
        <v>16844.4780863677</v>
      </c>
      <c r="L35" s="15" t="n">
        <f aca="false">K35+'Cash Flow '!K11</f>
        <v>21460.8087369403</v>
      </c>
      <c r="M35" s="15" t="n">
        <f aca="false">L35+'Cash Flow '!L11</f>
        <v>24702.3352402182</v>
      </c>
      <c r="N35" s="15" t="n">
        <f aca="false">M35+'Cash Flow '!M11</f>
        <v>26963.3861506222</v>
      </c>
      <c r="O35" s="47"/>
    </row>
    <row r="36" customFormat="false" ht="12.75" hidden="false" customHeight="false" outlineLevel="0" collapsed="false">
      <c r="B36" s="15"/>
      <c r="C36" s="15"/>
      <c r="D36" s="15"/>
      <c r="E36" s="15"/>
      <c r="F36" s="15"/>
      <c r="G36" s="15"/>
      <c r="H36" s="235"/>
      <c r="I36" s="15"/>
      <c r="J36" s="15"/>
      <c r="K36" s="15"/>
      <c r="L36" s="15"/>
      <c r="M36" s="15"/>
      <c r="N36" s="15"/>
      <c r="O36" s="47"/>
    </row>
    <row r="37" customFormat="false" ht="12.75" hidden="false" customHeight="false" outlineLevel="0" collapsed="false">
      <c r="A37" s="164" t="s">
        <v>219</v>
      </c>
      <c r="B37" s="15" t="n">
        <v>89542</v>
      </c>
      <c r="C37" s="15" t="n">
        <v>113599</v>
      </c>
      <c r="D37" s="15" t="n">
        <v>108624</v>
      </c>
      <c r="E37" s="15" t="n">
        <v>110197</v>
      </c>
      <c r="F37" s="15" t="n">
        <v>122925</v>
      </c>
      <c r="G37" s="15" t="n">
        <f aca="false">F37+'Income Statement'!G35+'Cash Flow '!G31-(F20-'Income Statement'!G16-'Cash Flow '!G25-Dep!E52)</f>
        <v>128478.999487987</v>
      </c>
      <c r="H37" s="235" t="n">
        <f aca="false">Goodwill!G10</f>
        <v>91901.2068980974</v>
      </c>
      <c r="I37" s="15" t="n">
        <f aca="false">G37+H37</f>
        <v>220380.206386085</v>
      </c>
      <c r="J37" s="15" t="n">
        <f aca="false">I37+'Income Statement'!H35+'Cash Flow '!H31</f>
        <v>168193.980438261</v>
      </c>
      <c r="K37" s="15" t="n">
        <f aca="false">J37+'Income Statement'!J35+'Cash Flow '!J31</f>
        <v>133893.770667261</v>
      </c>
      <c r="L37" s="15" t="n">
        <f aca="false">K37+'Income Statement'!K35+'Cash Flow '!K31</f>
        <v>125751.789135929</v>
      </c>
      <c r="M37" s="15" t="n">
        <f aca="false">L37+'Income Statement'!L35+'Cash Flow '!L31</f>
        <v>125114.099729892</v>
      </c>
      <c r="N37" s="15" t="n">
        <f aca="false">M37+'Income Statement'!M35+'Cash Flow '!M31</f>
        <v>124834.441404408</v>
      </c>
      <c r="O37" s="47"/>
    </row>
    <row r="38" customFormat="false" ht="12.75" hidden="false" customHeight="false" outlineLevel="0" collapsed="false">
      <c r="B38" s="15"/>
      <c r="C38" s="15"/>
      <c r="D38" s="15"/>
      <c r="E38" s="15"/>
      <c r="F38" s="15"/>
      <c r="G38" s="15"/>
      <c r="H38" s="237"/>
      <c r="I38" s="15"/>
      <c r="J38" s="15"/>
      <c r="K38" s="15"/>
      <c r="L38" s="15"/>
      <c r="M38" s="15"/>
      <c r="N38" s="15"/>
      <c r="O38" s="47"/>
    </row>
    <row r="39" customFormat="false" ht="12.75" hidden="false" customHeight="false" outlineLevel="0" collapsed="false">
      <c r="A39" s="164" t="s">
        <v>220</v>
      </c>
      <c r="B39" s="179" t="n">
        <f aca="false">+B31+B35+B37+B33</f>
        <v>510399</v>
      </c>
      <c r="C39" s="179" t="n">
        <f aca="false">+C31+C35+C37+C33</f>
        <v>334018</v>
      </c>
      <c r="D39" s="179" t="n">
        <f aca="false">+D31+D35+D37+D33</f>
        <v>301802</v>
      </c>
      <c r="E39" s="179" t="n">
        <f aca="false">+E31+E35+E37+E33</f>
        <v>326283</v>
      </c>
      <c r="F39" s="179" t="n">
        <f aca="false">+F31+F35+F37+F33</f>
        <v>590981</v>
      </c>
      <c r="G39" s="179" t="n">
        <f aca="false">+G31+G35+G37+G33</f>
        <v>600585.833200644</v>
      </c>
      <c r="H39" s="238"/>
      <c r="I39" s="179" t="n">
        <f aca="false">+I31+I35+I37+I33</f>
        <v>692487.040098741</v>
      </c>
      <c r="J39" s="179" t="n">
        <f aca="false">+J31+J35+J37+J33</f>
        <v>633658.991373232</v>
      </c>
      <c r="K39" s="179" t="n">
        <f aca="false">+K31+K35+K37+K33</f>
        <v>620606.357507846</v>
      </c>
      <c r="L39" s="179" t="n">
        <f aca="false">+L31+L35+L37+L33</f>
        <v>624233.021591303</v>
      </c>
      <c r="M39" s="179" t="n">
        <f aca="false">+M31+M35+M37+M33</f>
        <v>639356.215170861</v>
      </c>
      <c r="N39" s="179" t="n">
        <f aca="false">+N31+N35+N37+N33</f>
        <v>653586.766898698</v>
      </c>
      <c r="O39" s="47"/>
    </row>
    <row r="40" customFormat="false" ht="12.75" hidden="false" customHeight="false" outlineLevel="0" collapsed="false">
      <c r="A40" s="14" t="s">
        <v>221</v>
      </c>
      <c r="B40" s="15" t="n">
        <f aca="false">B22-B39</f>
        <v>0</v>
      </c>
      <c r="C40" s="15" t="n">
        <f aca="false">C22-C39</f>
        <v>0</v>
      </c>
      <c r="D40" s="15" t="n">
        <f aca="false">D22-D39</f>
        <v>0</v>
      </c>
      <c r="E40" s="15" t="n">
        <f aca="false">E22-E39</f>
        <v>0</v>
      </c>
      <c r="F40" s="15" t="n">
        <f aca="false">F22-F39</f>
        <v>0</v>
      </c>
      <c r="G40" s="15" t="n">
        <f aca="false">G22-G39</f>
        <v>0</v>
      </c>
      <c r="H40" s="239" t="str">
        <f aca="false">IF(H22-H39=0," ","error")</f>
        <v> </v>
      </c>
      <c r="I40" s="15" t="n">
        <f aca="false">I22-I39</f>
        <v>0</v>
      </c>
      <c r="J40" s="15" t="n">
        <f aca="false">J22-J39</f>
        <v>0</v>
      </c>
      <c r="K40" s="15" t="n">
        <f aca="false">K22-K39</f>
        <v>0</v>
      </c>
      <c r="L40" s="15" t="n">
        <f aca="false">L22-L39</f>
        <v>0</v>
      </c>
      <c r="M40" s="15" t="n">
        <f aca="false">M22-M39</f>
        <v>0</v>
      </c>
      <c r="N40" s="15" t="n">
        <f aca="false">N22-N39</f>
        <v>0</v>
      </c>
    </row>
    <row r="41" customFormat="false" ht="12.75" hidden="false" customHeight="false" outlineLevel="0" collapsed="false">
      <c r="B41" s="15"/>
      <c r="C41" s="15"/>
      <c r="D41" s="15"/>
      <c r="E41" s="15"/>
      <c r="F41" s="15"/>
      <c r="G41" s="15"/>
      <c r="H41" s="15"/>
      <c r="I41" s="15"/>
      <c r="J41" s="15"/>
      <c r="K41" s="15"/>
      <c r="L41" s="15"/>
      <c r="M41" s="15"/>
      <c r="N41" s="15"/>
    </row>
    <row r="42" customFormat="false" ht="12.75" hidden="false" customHeight="false" outlineLevel="1" collapsed="false">
      <c r="A42" s="14" t="s">
        <v>222</v>
      </c>
      <c r="B42" s="15" t="n">
        <f aca="false">+B16-(B31-B27)+B20+B18</f>
        <v>257683</v>
      </c>
      <c r="C42" s="15" t="n">
        <f aca="false">+C16-(C31-C27)+C20+C18</f>
        <v>171015</v>
      </c>
      <c r="D42" s="15" t="n">
        <f aca="false">+D16-(D31-D27)+D20+D18</f>
        <v>197419</v>
      </c>
      <c r="E42" s="15" t="n">
        <f aca="false">+E16-(E31-E27)+E20+E18</f>
        <v>220737</v>
      </c>
      <c r="F42" s="15" t="n">
        <f aca="false">+F16-(F31-F27)+F20+F18</f>
        <v>310436</v>
      </c>
      <c r="G42" s="15" t="n">
        <f aca="false">+G16-(G31-G27)+G20+G18</f>
        <v>317352.560352751</v>
      </c>
      <c r="H42" s="15"/>
      <c r="I42" s="15" t="n">
        <f aca="false">+I16-(I31-I27)+I20+I18</f>
        <v>409253.767250849</v>
      </c>
      <c r="J42" s="15" t="n">
        <f aca="false">+J16-(J31-J27)+J20+J18</f>
        <v>358899.742401177</v>
      </c>
      <c r="K42" s="15" t="n">
        <f aca="false">+K16-(K31-K27)+K20+K18</f>
        <v>331138.248753628</v>
      </c>
      <c r="L42" s="15" t="n">
        <f aca="false">+L16-(L31-L27)+L20+L18</f>
        <v>327612.597872869</v>
      </c>
      <c r="M42" s="15" t="n">
        <f aca="false">+M16-(M31-M27)+M20+M18</f>
        <v>330216.434970111</v>
      </c>
      <c r="N42" s="15" t="n">
        <f aca="false">+N16-(N31-N27)+N20+N18</f>
        <v>332197.827555031</v>
      </c>
    </row>
    <row r="43" customFormat="false" ht="12.75" hidden="false" customHeight="false" outlineLevel="1" collapsed="false">
      <c r="A43" s="14" t="s">
        <v>223</v>
      </c>
      <c r="B43" s="15" t="n">
        <f aca="false">+B27+B33+B35+B37</f>
        <v>257683</v>
      </c>
      <c r="C43" s="15" t="n">
        <f aca="false">+C27+C33+C35+C37</f>
        <v>171015</v>
      </c>
      <c r="D43" s="15" t="n">
        <f aca="false">+D27+D33+D35+D37</f>
        <v>197419</v>
      </c>
      <c r="E43" s="15" t="n">
        <f aca="false">+E27+E33+E35+E37</f>
        <v>220737</v>
      </c>
      <c r="F43" s="15" t="n">
        <f aca="false">+F27+F33+F35+F37</f>
        <v>310436</v>
      </c>
      <c r="G43" s="15" t="n">
        <f aca="false">+G27+G33+G35+G37</f>
        <v>317352.560352751</v>
      </c>
      <c r="H43" s="15"/>
      <c r="I43" s="15" t="n">
        <f aca="false">+I27+I33+I35+I37</f>
        <v>409253.767250849</v>
      </c>
      <c r="J43" s="15" t="n">
        <f aca="false">+J27+J33+J35+J37</f>
        <v>358899.742401177</v>
      </c>
      <c r="K43" s="15" t="n">
        <f aca="false">+K27+K33+K35+K37</f>
        <v>331138.248753628</v>
      </c>
      <c r="L43" s="15" t="n">
        <f aca="false">+L27+L33+L35+L37</f>
        <v>327612.597872869</v>
      </c>
      <c r="M43" s="15" t="n">
        <f aca="false">+M27+M33+M35+M37</f>
        <v>330216.434970111</v>
      </c>
      <c r="N43" s="15" t="n">
        <f aca="false">+N27+N33+N35+N37</f>
        <v>332197.82755503</v>
      </c>
    </row>
    <row r="44" customFormat="false" ht="12.75" hidden="false" customHeight="false" outlineLevel="1" collapsed="false"/>
    <row r="45" customFormat="false" ht="12.75" hidden="false" customHeight="false" outlineLevel="1" collapsed="false">
      <c r="A45" s="14" t="s">
        <v>224</v>
      </c>
      <c r="B45" s="47" t="n">
        <f aca="false">SUM(B10:B15)</f>
        <v>486644</v>
      </c>
      <c r="C45" s="47" t="n">
        <f aca="false">SUM(C10:C15)</f>
        <v>305951</v>
      </c>
      <c r="D45" s="47" t="n">
        <f aca="false">SUM(D10:D15)</f>
        <v>270384</v>
      </c>
      <c r="E45" s="47" t="n">
        <f aca="false">SUM(E10:E15)</f>
        <v>285437</v>
      </c>
      <c r="F45" s="47" t="n">
        <f aca="false">SUM(F10:F15)</f>
        <v>557859</v>
      </c>
      <c r="G45" s="47" t="n">
        <f aca="false">SUM(G10:G15)</f>
        <v>570927.479233977</v>
      </c>
      <c r="H45" s="47"/>
      <c r="I45" s="47" t="n">
        <f aca="false">SUM(I10:I15)</f>
        <v>570927.479233977</v>
      </c>
      <c r="J45" s="47" t="n">
        <f aca="false">SUM(J10:J15)</f>
        <v>513694.470451174</v>
      </c>
      <c r="K45" s="47" t="n">
        <f aca="false">SUM(K10:K15)</f>
        <v>503848.583137864</v>
      </c>
      <c r="L45" s="47" t="n">
        <f aca="false">SUM(L10:L15)</f>
        <v>510698.660440064</v>
      </c>
      <c r="M45" s="47" t="n">
        <f aca="false">SUM(M10:M15)</f>
        <v>529061.933905033</v>
      </c>
      <c r="N45" s="47" t="n">
        <f aca="false">SUM(N10:N15)</f>
        <v>546549.232184947</v>
      </c>
    </row>
    <row r="46" customFormat="false" ht="15" hidden="false" customHeight="false" outlineLevel="1" collapsed="false">
      <c r="A46" s="14" t="s">
        <v>225</v>
      </c>
      <c r="B46" s="170" t="n">
        <f aca="false">-(B31)</f>
        <v>-380816</v>
      </c>
      <c r="C46" s="170" t="n">
        <f aca="false">-(C31)</f>
        <v>-211903</v>
      </c>
      <c r="D46" s="170" t="n">
        <f aca="false">-(D31)</f>
        <v>-135183</v>
      </c>
      <c r="E46" s="170" t="n">
        <f aca="false">-(E31)</f>
        <v>-159046</v>
      </c>
      <c r="F46" s="170" t="n">
        <f aca="false">-(F31)</f>
        <v>-380945</v>
      </c>
      <c r="G46" s="170" t="n">
        <f aca="false">-(G31)</f>
        <v>-383633.272847893</v>
      </c>
      <c r="H46" s="170"/>
      <c r="I46" s="170" t="n">
        <f aca="false">-(I31)</f>
        <v>-383633.272847893</v>
      </c>
      <c r="J46" s="170" t="n">
        <f aca="false">-(J31)</f>
        <v>-375159.248972055</v>
      </c>
      <c r="K46" s="170" t="n">
        <f aca="false">-(K31)</f>
        <v>-389868.108754217</v>
      </c>
      <c r="L46" s="170" t="n">
        <f aca="false">-(L31)</f>
        <v>-397020.423718433</v>
      </c>
      <c r="M46" s="170" t="n">
        <f aca="false">-(M31)</f>
        <v>-409539.78020075</v>
      </c>
      <c r="N46" s="170" t="n">
        <f aca="false">-(N31)</f>
        <v>-421788.939343667</v>
      </c>
    </row>
    <row r="47" customFormat="false" ht="12.75" hidden="false" customHeight="false" outlineLevel="1" collapsed="false">
      <c r="A47" s="14" t="s">
        <v>226</v>
      </c>
      <c r="B47" s="47" t="n">
        <f aca="false">+B45+B46</f>
        <v>105828</v>
      </c>
      <c r="C47" s="47" t="n">
        <f aca="false">+C45+C46</f>
        <v>94048</v>
      </c>
      <c r="D47" s="47" t="n">
        <f aca="false">+D45+D46</f>
        <v>135201</v>
      </c>
      <c r="E47" s="47" t="n">
        <f aca="false">+E45+E46</f>
        <v>126391</v>
      </c>
      <c r="F47" s="47" t="n">
        <f aca="false">+F45+F46</f>
        <v>176914</v>
      </c>
      <c r="G47" s="47" t="n">
        <f aca="false">+G45+G46</f>
        <v>187294.206386085</v>
      </c>
      <c r="H47" s="47"/>
      <c r="I47" s="47" t="n">
        <f aca="false">+I45+I46</f>
        <v>187294.206386085</v>
      </c>
      <c r="J47" s="47" t="n">
        <f aca="false">+J45+J46</f>
        <v>138535.221479119</v>
      </c>
      <c r="K47" s="47" t="n">
        <f aca="false">+K45+K46</f>
        <v>113980.474383646</v>
      </c>
      <c r="L47" s="47" t="n">
        <f aca="false">+L45+L46</f>
        <v>113678.236721631</v>
      </c>
      <c r="M47" s="47" t="n">
        <f aca="false">+M45+M46</f>
        <v>119522.153704282</v>
      </c>
      <c r="N47" s="47" t="n">
        <f aca="false">+N45+N46</f>
        <v>124760.292841279</v>
      </c>
    </row>
    <row r="48" customFormat="false" ht="12.75" hidden="false" customHeight="false" outlineLevel="1" collapsed="false">
      <c r="A48" s="164" t="s">
        <v>227</v>
      </c>
      <c r="B48" s="216" t="n">
        <f aca="false">+'Cash Flow '!H29</f>
        <v>0</v>
      </c>
      <c r="C48" s="216" t="n">
        <f aca="false">-(C47-B47)</f>
        <v>11780</v>
      </c>
      <c r="D48" s="216" t="n">
        <f aca="false">-(D47-C47)</f>
        <v>-41153</v>
      </c>
      <c r="E48" s="216" t="n">
        <f aca="false">-(E47-D47)</f>
        <v>8810</v>
      </c>
      <c r="F48" s="216" t="n">
        <f aca="false">-(F47-E47)</f>
        <v>-50523</v>
      </c>
      <c r="G48" s="216" t="n">
        <f aca="false">-(G47-F47)</f>
        <v>-10380.2063860846</v>
      </c>
      <c r="H48" s="216"/>
      <c r="I48" s="216" t="n">
        <f aca="false">-(I47-G47)</f>
        <v>-0</v>
      </c>
      <c r="J48" s="216" t="n">
        <f aca="false">-(J47-I47)</f>
        <v>48758.984906966</v>
      </c>
      <c r="K48" s="216" t="n">
        <f aca="false">-(K47-J47)</f>
        <v>24554.7470954722</v>
      </c>
      <c r="L48" s="216" t="n">
        <f aca="false">-(L47-K47)</f>
        <v>302.237662015774</v>
      </c>
      <c r="M48" s="216" t="n">
        <f aca="false">-(M47-L47)</f>
        <v>-5843.91698265181</v>
      </c>
      <c r="N48" s="216" t="n">
        <f aca="false">-(N47-M47)</f>
        <v>-5238.13913699676</v>
      </c>
    </row>
    <row r="49" customFormat="false" ht="12.75" hidden="false" customHeight="false" outlineLevel="1" collapsed="false"/>
    <row r="50" customFormat="false" ht="12.75" hidden="false" customHeight="false" outlineLevel="1" collapsed="false">
      <c r="B50" s="47"/>
      <c r="C50" s="47"/>
      <c r="D50" s="47"/>
      <c r="E50" s="47"/>
      <c r="F50" s="47"/>
      <c r="G50" s="47"/>
      <c r="H50" s="47"/>
      <c r="I50" s="47"/>
      <c r="J50" s="47"/>
      <c r="K50" s="47"/>
      <c r="L50" s="47"/>
      <c r="M50" s="47"/>
      <c r="N50" s="47"/>
    </row>
    <row r="51" customFormat="false" ht="12.75" hidden="false" customHeight="false" outlineLevel="0" collapsed="false">
      <c r="E51" s="47"/>
      <c r="K51" s="240"/>
      <c r="L51" s="240"/>
      <c r="M51" s="240"/>
      <c r="N51" s="240"/>
    </row>
    <row r="52" customFormat="false" ht="12.75" hidden="false" customHeight="false" outlineLevel="0" collapsed="false">
      <c r="A52" s="14" t="s">
        <v>138</v>
      </c>
      <c r="E52" s="47"/>
      <c r="K52" s="240"/>
      <c r="L52" s="240"/>
      <c r="M52" s="240"/>
      <c r="N52" s="240"/>
    </row>
    <row r="53" customFormat="false" ht="12.75" hidden="false" customHeight="false" outlineLevel="0" collapsed="false">
      <c r="E53" s="47"/>
      <c r="F53" s="47"/>
      <c r="G53" s="47"/>
      <c r="H53" s="47"/>
      <c r="I53" s="47"/>
    </row>
  </sheetData>
  <printOptions headings="false" gridLines="false" gridLinesSet="true" horizontalCentered="true" verticalCentered="false"/>
  <pageMargins left="0.747916666666667" right="0.747916666666667" top="0.529861111111111"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&amp;L&amp;7&amp;D &amp;T&amp;C&amp;8&amp;P&amp;R&amp;7o:/Corpdev/North America/Raul/Ammonia/&amp;F</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2000-11-17T14:43:42Z</dcterms:created>
  <dc:creator>Raul Rizo-Patron</dc:creator>
  <dc:description/>
  <dc:language>en-US</dc:language>
  <cp:lastModifiedBy>gbenite</cp:lastModifiedBy>
  <cp:lastPrinted>2001-03-15T13:43:14Z</cp:lastPrinted>
  <dcterms:modified xsi:type="dcterms:W3CDTF">2001-03-11T23:34:09Z</dcterms:modified>
  <cp:revision>0</cp:revision>
  <dc:subject/>
  <dc:title/>
</cp:coreProperties>
</file>