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vmlDrawing1.vml" ContentType="application/vnd.openxmlformats-officedocument.vmlDrawing"/>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Compensation Assumptions" sheetId="2" state="visible" r:id="rId4"/>
    <sheet name="Compensation Schedule" sheetId="3" state="visible" r:id="rId5"/>
    <sheet name="Stop Printing here" sheetId="4" state="visible" r:id="rId6"/>
    <sheet name="Calculations" sheetId="5" state="visible" r:id="rId7"/>
  </sheets>
  <definedNames>
    <definedName function="false" hidden="false" localSheetId="4" name="_xlnm.Print_Area" vbProcedure="false">Calculations!$A$1:$AM$320</definedName>
    <definedName function="false" hidden="false" localSheetId="4" name="_xlnm.Print_Titles" vbProcedure="false">Calculations!$4:$4</definedName>
    <definedName function="false" hidden="false" localSheetId="2" name="_xlnm.Print_Area" vbProcedure="false">'Compensation Schedule'!$A$5:$AE$247</definedName>
    <definedName function="false" hidden="false" localSheetId="2" name="_xlnm.Print_Titles" vbProcedure="false">'Compensation Schedule'!$2:$4</definedName>
  </definedNames>
  <calcPr iterateCount="100" refMode="A1" iterate="tru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V4" authorId="0">
      <text>
        <r>
          <rPr>
            <b val="true"/>
            <sz val="8"/>
            <color rgb="FF000000"/>
            <rFont val="Tahoma"/>
            <family val="0"/>
          </rPr>
          <t xml:space="preserve">dhill:
</t>
        </r>
        <r>
          <rPr>
            <sz val="8"/>
            <color rgb="FF000000"/>
            <rFont val="Tahoma"/>
            <family val="0"/>
          </rPr>
          <t xml:space="preserve">Currency Conversion Rates on Sheet 2
</t>
        </r>
      </text>
      <mc:AlternateContent>
        <mc:Choice Requires="v2">
          <commentPr autoFill="true" autoScale="false" colHidden="true" locked="false" rowHidden="false" textHAlign="justify" textVAlign="top">
            <anchor moveWithCells="false" sizeWithCells="false">
              <xdr:from>
                <xdr:col>52</xdr:col>
                <xdr:colOff>49</xdr:colOff>
                <xdr:row>2</xdr:row>
                <xdr:rowOff>7</xdr:rowOff>
              </xdr:from>
              <xdr:to>
                <xdr:col>57</xdr:col>
                <xdr:colOff>20</xdr:colOff>
                <xdr:row>5</xdr:row>
                <xdr:rowOff>30</xdr:rowOff>
              </xdr:to>
            </anchor>
          </commentPr>
        </mc:Choice>
        <mc:Fallback/>
      </mc:AlternateContent>
    </comment>
    <comment ref="AR4" authorId="0">
      <text>
        <r>
          <rPr>
            <b val="true"/>
            <sz val="8"/>
            <color rgb="FF000000"/>
            <rFont val="Tahoma"/>
            <family val="0"/>
          </rPr>
          <t xml:space="preserve">dhill:
</t>
        </r>
        <r>
          <rPr>
            <sz val="8"/>
            <color rgb="FF000000"/>
            <rFont val="Tahoma"/>
            <family val="0"/>
          </rPr>
          <t xml:space="preserve">Currency Rate as of 3/16/01
1RUB=.03489
</t>
        </r>
      </text>
      <mc:AlternateContent>
        <mc:Choice Requires="v2">
          <commentPr autoFill="true" autoScale="false" colHidden="false" locked="false" rowHidden="false" textHAlign="justify" textVAlign="top">
            <anchor moveWithCells="false" sizeWithCells="false">
              <xdr:from>
                <xdr:col>79</xdr:col>
                <xdr:colOff>38</xdr:colOff>
                <xdr:row>2</xdr:row>
                <xdr:rowOff>3</xdr:rowOff>
              </xdr:from>
              <xdr:to>
                <xdr:col>81</xdr:col>
                <xdr:colOff>38</xdr:colOff>
                <xdr:row>5</xdr:row>
                <xdr:rowOff>26</xdr:rowOff>
              </xdr:to>
            </anchor>
          </commentPr>
        </mc:Choice>
        <mc:Fallback/>
      </mc:AlternateContent>
    </comment>
  </commentList>
</comments>
</file>

<file path=xl/sharedStrings.xml><?xml version="1.0" encoding="utf-8"?>
<sst xmlns="http://schemas.openxmlformats.org/spreadsheetml/2006/main" count="2217" uniqueCount="434">
  <si>
    <t xml:space="preserve">Summary</t>
  </si>
  <si>
    <t xml:space="preserve">Transammonia Plan</t>
  </si>
  <si>
    <t xml:space="preserve">Enron Plan</t>
  </si>
  <si>
    <t xml:space="preserve">Severance</t>
  </si>
  <si>
    <t xml:space="preserve">Stay-on</t>
  </si>
  <si>
    <t xml:space="preserve">Cornell (estimate)</t>
  </si>
  <si>
    <t xml:space="preserve">Total</t>
  </si>
  <si>
    <t xml:space="preserve">Transammonia</t>
  </si>
  <si>
    <t xml:space="preserve">Enron Corp.</t>
  </si>
  <si>
    <t xml:space="preserve">150% TA</t>
  </si>
  <si>
    <t xml:space="preserve">150% ENE </t>
  </si>
  <si>
    <t xml:space="preserve">First Year</t>
  </si>
  <si>
    <t xml:space="preserve">Recent</t>
  </si>
  <si>
    <t xml:space="preserve">Base</t>
  </si>
  <si>
    <t xml:space="preserve">Target</t>
  </si>
  <si>
    <t xml:space="preserve">Stay-On</t>
  </si>
  <si>
    <t xml:space="preserve">Comp</t>
  </si>
  <si>
    <t xml:space="preserve">Date of</t>
  </si>
  <si>
    <t xml:space="preserve">TA</t>
  </si>
  <si>
    <t xml:space="preserve">Enron</t>
  </si>
  <si>
    <t xml:space="preserve">Location</t>
  </si>
  <si>
    <t xml:space="preserve">Company</t>
  </si>
  <si>
    <t xml:space="preserve">Cntrct</t>
  </si>
  <si>
    <t xml:space="preserve">Must</t>
  </si>
  <si>
    <t xml:space="preserve">Keep</t>
  </si>
  <si>
    <t xml:space="preserve">Employee Name </t>
  </si>
  <si>
    <t xml:space="preserve">Current Title</t>
  </si>
  <si>
    <t xml:space="preserve">Enron Title</t>
  </si>
  <si>
    <t xml:space="preserve">Salary</t>
  </si>
  <si>
    <t xml:space="preserve">Current Salary</t>
  </si>
  <si>
    <t xml:space="preserve">1999 Bonus</t>
  </si>
  <si>
    <t xml:space="preserve">EPP</t>
  </si>
  <si>
    <t xml:space="preserve">Bonus</t>
  </si>
  <si>
    <t xml:space="preserve">LTI</t>
  </si>
  <si>
    <t xml:space="preserve">W/TA bonus</t>
  </si>
  <si>
    <t xml:space="preserve">W/ENE bonus</t>
  </si>
  <si>
    <t xml:space="preserve">Hire</t>
  </si>
  <si>
    <t xml:space="preserve">Switzerland</t>
  </si>
  <si>
    <t xml:space="preserve">x</t>
  </si>
  <si>
    <t xml:space="preserve">Peter Baumann</t>
  </si>
  <si>
    <t xml:space="preserve">USD</t>
  </si>
  <si>
    <t xml:space="preserve">Darien</t>
  </si>
  <si>
    <t xml:space="preserve">Trammochem</t>
  </si>
  <si>
    <t xml:space="preserve">Koebbe, Gary</t>
  </si>
  <si>
    <t xml:space="preserve">President</t>
  </si>
  <si>
    <t xml:space="preserve">VP-C (Trading)</t>
  </si>
  <si>
    <t xml:space="preserve">Houston</t>
  </si>
  <si>
    <t xml:space="preserve">Sea-3, Inc.</t>
  </si>
  <si>
    <t xml:space="preserve">Cornell, William</t>
  </si>
  <si>
    <t xml:space="preserve">Consultant</t>
  </si>
  <si>
    <t xml:space="preserve">Tampa</t>
  </si>
  <si>
    <t xml:space="preserve">Hickson, Glenn</t>
  </si>
  <si>
    <t xml:space="preserve">VP</t>
  </si>
  <si>
    <t xml:space="preserve">New York</t>
  </si>
  <si>
    <t xml:space="preserve">Weiner, Edward</t>
  </si>
  <si>
    <t xml:space="preserve">CFO</t>
  </si>
  <si>
    <t xml:space="preserve">VP-CS</t>
  </si>
  <si>
    <t xml:space="preserve">Erzin Atac</t>
  </si>
  <si>
    <t xml:space="preserve">France</t>
  </si>
  <si>
    <t xml:space="preserve">Michel Dietlin</t>
  </si>
  <si>
    <t xml:space="preserve">James Ortiz</t>
  </si>
  <si>
    <t xml:space="preserve">Dir-C (Trading)</t>
  </si>
  <si>
    <t xml:space="preserve">Hart, Brent</t>
  </si>
  <si>
    <t xml:space="preserve">Benfield, James</t>
  </si>
  <si>
    <t xml:space="preserve">VP/Treasurer</t>
  </si>
  <si>
    <t xml:space="preserve">Dir-CS</t>
  </si>
  <si>
    <t xml:space="preserve">Camporini,Paul</t>
  </si>
  <si>
    <t xml:space="preserve">Financial Mgr.</t>
  </si>
  <si>
    <t xml:space="preserve">Mgr-CS</t>
  </si>
  <si>
    <t xml:space="preserve">Lovett, Robert</t>
  </si>
  <si>
    <t xml:space="preserve">Asst. VP</t>
  </si>
  <si>
    <t xml:space="preserve">Demyan, Francis</t>
  </si>
  <si>
    <t xml:space="preserve">Commercial Mgr.</t>
  </si>
  <si>
    <t xml:space="preserve"> </t>
  </si>
  <si>
    <t xml:space="preserve">Lowenfels, Fred</t>
  </si>
  <si>
    <t xml:space="preserve">Ex. VP/Lgl counsel</t>
  </si>
  <si>
    <t xml:space="preserve">Paul Brunner</t>
  </si>
  <si>
    <t xml:space="preserve">Hong Kong</t>
  </si>
  <si>
    <t xml:space="preserve">Jerrry Crossan</t>
  </si>
  <si>
    <t xml:space="preserve">Epstein, Louis</t>
  </si>
  <si>
    <t xml:space="preserve">Assc. Counsel</t>
  </si>
  <si>
    <t xml:space="preserve">Dir-ST</t>
  </si>
  <si>
    <t xml:space="preserve">Jordan</t>
  </si>
  <si>
    <t xml:space="preserve">Khalil Itani</t>
  </si>
  <si>
    <t xml:space="preserve">Berman, H. Lawrence</t>
  </si>
  <si>
    <t xml:space="preserve">VP/Controller</t>
  </si>
  <si>
    <t xml:space="preserve">UK</t>
  </si>
  <si>
    <t xml:space="preserve">Jimao Jiao</t>
  </si>
  <si>
    <t xml:space="preserve">Trammo Gas</t>
  </si>
  <si>
    <t xml:space="preserve">Blosser, David</t>
  </si>
  <si>
    <t xml:space="preserve">Trader</t>
  </si>
  <si>
    <t xml:space="preserve">Minnis, Jeffrey</t>
  </si>
  <si>
    <t xml:space="preserve">Vice President</t>
  </si>
  <si>
    <t xml:space="preserve">Amaroso, James</t>
  </si>
  <si>
    <t xml:space="preserve">Global Trading Mgr.</t>
  </si>
  <si>
    <t xml:space="preserve">Dir-C</t>
  </si>
  <si>
    <t xml:space="preserve">Tan, Benjamin</t>
  </si>
  <si>
    <t xml:space="preserve">Chief Info. Officer</t>
  </si>
  <si>
    <t xml:space="preserve">Andre Moysan</t>
  </si>
  <si>
    <t xml:space="preserve">Cox, Dudley</t>
  </si>
  <si>
    <t xml:space="preserve">Bateman, Richard</t>
  </si>
  <si>
    <t xml:space="preserve">Sheehan, John</t>
  </si>
  <si>
    <t xml:space="preserve">Ashok Kishore</t>
  </si>
  <si>
    <t xml:space="preserve">Christian Wendel</t>
  </si>
  <si>
    <t xml:space="preserve">Hendrik Van Dalfsen</t>
  </si>
  <si>
    <t xml:space="preserve">Jackson, Larry</t>
  </si>
  <si>
    <t xml:space="preserve">Mgr. NH3 Mktg.</t>
  </si>
  <si>
    <t xml:space="preserve">Mgr-C</t>
  </si>
  <si>
    <t xml:space="preserve">Konrad Riedli</t>
  </si>
  <si>
    <t xml:space="preserve">Madden, Donald</t>
  </si>
  <si>
    <t xml:space="preserve">Credit Mgr.</t>
  </si>
  <si>
    <t xml:space="preserve">Boyd, Lynn</t>
  </si>
  <si>
    <t xml:space="preserve">Trader/MTBE Coor.</t>
  </si>
  <si>
    <t xml:space="preserve">Xudong Zhong</t>
  </si>
  <si>
    <t xml:space="preserve">Netherlands</t>
  </si>
  <si>
    <t xml:space="preserve">Cees De Groot</t>
  </si>
  <si>
    <t xml:space="preserve">Newington</t>
  </si>
  <si>
    <t xml:space="preserve">Bogan, Paul</t>
  </si>
  <si>
    <t xml:space="preserve">VP Operations</t>
  </si>
  <si>
    <t xml:space="preserve">Karsten Jacobi</t>
  </si>
  <si>
    <t xml:space="preserve">Anthony Beagle</t>
  </si>
  <si>
    <t xml:space="preserve">Donaldson, Michael</t>
  </si>
  <si>
    <t xml:space="preserve">Acctg. Mgr.</t>
  </si>
  <si>
    <t xml:space="preserve">Eberth, William</t>
  </si>
  <si>
    <t xml:space="preserve">Mgr. Trading</t>
  </si>
  <si>
    <t xml:space="preserve">Mgr-C </t>
  </si>
  <si>
    <t xml:space="preserve">Zhong, S.</t>
  </si>
  <si>
    <t xml:space="preserve">Chartering</t>
  </si>
  <si>
    <t xml:space="preserve">R. Galioulline</t>
  </si>
  <si>
    <t xml:space="preserve">M. Dealmeida Rodrigues</t>
  </si>
  <si>
    <t xml:space="preserve">Vladislav Verchinine</t>
  </si>
  <si>
    <t xml:space="preserve">Melazzini, Jorge</t>
  </si>
  <si>
    <t xml:space="preserve">Sr. Mgr-IS Acct.Sys</t>
  </si>
  <si>
    <t xml:space="preserve">Urs Weber</t>
  </si>
  <si>
    <t xml:space="preserve">Cees Zegers</t>
  </si>
  <si>
    <t xml:space="preserve">Kelly, Lorraine</t>
  </si>
  <si>
    <t xml:space="preserve">Operations Mgr.</t>
  </si>
  <si>
    <t xml:space="preserve">Oleg Chernyshev</t>
  </si>
  <si>
    <t xml:space="preserve">Madrid</t>
  </si>
  <si>
    <t xml:space="preserve">Antonio Serafim</t>
  </si>
  <si>
    <t xml:space="preserve">Beijing</t>
  </si>
  <si>
    <t xml:space="preserve">Yang Xiangdong</t>
  </si>
  <si>
    <t xml:space="preserve">Angela Ruttimann</t>
  </si>
  <si>
    <t xml:space="preserve">Catherine Petitjean</t>
  </si>
  <si>
    <t xml:space="preserve">Mielke, John</t>
  </si>
  <si>
    <t xml:space="preserve">Tashkent</t>
  </si>
  <si>
    <t xml:space="preserve">Camilla Bafoeva</t>
  </si>
  <si>
    <t xml:space="preserve">SOUMES</t>
  </si>
  <si>
    <t xml:space="preserve">Shirvell, George</t>
  </si>
  <si>
    <t xml:space="preserve">Opr/Demurage Splt</t>
  </si>
  <si>
    <t xml:space="preserve">Peter Gaydon</t>
  </si>
  <si>
    <t xml:space="preserve">Florida</t>
  </si>
  <si>
    <t xml:space="preserve">Krutsinger, Vernon</t>
  </si>
  <si>
    <t xml:space="preserve">Mktg. Mgr.</t>
  </si>
  <si>
    <t xml:space="preserve">SpecSr-CS</t>
  </si>
  <si>
    <t xml:space="preserve">Patterson, Pat</t>
  </si>
  <si>
    <t xml:space="preserve">Guatamala</t>
  </si>
  <si>
    <t xml:space="preserve">Martin Jop</t>
  </si>
  <si>
    <t xml:space="preserve">Mohammed Abdullah</t>
  </si>
  <si>
    <t xml:space="preserve">Ukraine</t>
  </si>
  <si>
    <t xml:space="preserve">Eugene Zadorozhny</t>
  </si>
  <si>
    <t xml:space="preserve">Yoo Seung Kim</t>
  </si>
  <si>
    <t xml:space="preserve">Wertman, Kevin</t>
  </si>
  <si>
    <t xml:space="preserve">Mtc. Supv.</t>
  </si>
  <si>
    <t xml:space="preserve">Doel, Jeanmarie</t>
  </si>
  <si>
    <t xml:space="preserve">Distribution Mgr.</t>
  </si>
  <si>
    <t xml:space="preserve">Spec-CS</t>
  </si>
  <si>
    <t xml:space="preserve">Romania</t>
  </si>
  <si>
    <t xml:space="preserve">Paul Dumitrescu</t>
  </si>
  <si>
    <t xml:space="preserve">Turkey</t>
  </si>
  <si>
    <t xml:space="preserve">Gonul Erensoy</t>
  </si>
  <si>
    <t xml:space="preserve">Horne, Sandra</t>
  </si>
  <si>
    <t xml:space="preserve">Dist. Coord.</t>
  </si>
  <si>
    <t xml:space="preserve">Marcus Steinegger</t>
  </si>
  <si>
    <t xml:space="preserve">Leggio, Christopher</t>
  </si>
  <si>
    <t xml:space="preserve">Sr. Acct.</t>
  </si>
  <si>
    <t xml:space="preserve">SpecSR-CS</t>
  </si>
  <si>
    <t xml:space="preserve">Rene Van Der Veen</t>
  </si>
  <si>
    <t xml:space="preserve">PER PB</t>
  </si>
  <si>
    <t xml:space="preserve">Margareta Muller</t>
  </si>
  <si>
    <t xml:space="preserve">Portsmouth</t>
  </si>
  <si>
    <t xml:space="preserve">Murray, Barbara</t>
  </si>
  <si>
    <t xml:space="preserve">Admin. Sales Mgr.</t>
  </si>
  <si>
    <t xml:space="preserve">Young, Marilyn</t>
  </si>
  <si>
    <t xml:space="preserve">Tech. Specialist</t>
  </si>
  <si>
    <t xml:space="preserve">Spec -CS</t>
  </si>
  <si>
    <t xml:space="preserve">Moore, George</t>
  </si>
  <si>
    <t xml:space="preserve">Office Supervisor</t>
  </si>
  <si>
    <t xml:space="preserve">Jacqueline Zuger</t>
  </si>
  <si>
    <t xml:space="preserve">Sheet, Scott</t>
  </si>
  <si>
    <t xml:space="preserve">Tech. Support</t>
  </si>
  <si>
    <t xml:space="preserve">Valeria Neagu</t>
  </si>
  <si>
    <t xml:space="preserve">Bigus, Rose</t>
  </si>
  <si>
    <t xml:space="preserve">Data Adm/Coor.</t>
  </si>
  <si>
    <t xml:space="preserve">Julian Harja</t>
  </si>
  <si>
    <t xml:space="preserve">Lewis, Weston</t>
  </si>
  <si>
    <t xml:space="preserve">Mech. Supv.</t>
  </si>
  <si>
    <t xml:space="preserve">Griffin, Jay</t>
  </si>
  <si>
    <t xml:space="preserve">EE &amp; Instru. Supv</t>
  </si>
  <si>
    <t xml:space="preserve">Montagna, John</t>
  </si>
  <si>
    <t xml:space="preserve">Asst. Finacl. Mgr.</t>
  </si>
  <si>
    <t xml:space="preserve">Soner Ozer</t>
  </si>
  <si>
    <t xml:space="preserve">Anthony Young</t>
  </si>
  <si>
    <t xml:space="preserve">Plaisted, Donald</t>
  </si>
  <si>
    <t xml:space="preserve">Senior Operator</t>
  </si>
  <si>
    <t xml:space="preserve">Visoky, Margaret</t>
  </si>
  <si>
    <t xml:space="preserve">Sr. Trading Asst.</t>
  </si>
  <si>
    <t xml:space="preserve">SpecJR-CS</t>
  </si>
  <si>
    <t xml:space="preserve">Dragos Diaconu</t>
  </si>
  <si>
    <t xml:space="preserve">White, Billy</t>
  </si>
  <si>
    <t xml:space="preserve">Lead Operator</t>
  </si>
  <si>
    <t xml:space="preserve">Newton, Albert</t>
  </si>
  <si>
    <t xml:space="preserve">Ifantides, Vassilis</t>
  </si>
  <si>
    <t xml:space="preserve">Hays, Ronald</t>
  </si>
  <si>
    <t xml:space="preserve">Julie Pau Tan</t>
  </si>
  <si>
    <t xml:space="preserve">Sherman, R. Scott</t>
  </si>
  <si>
    <t xml:space="preserve">Operator</t>
  </si>
  <si>
    <t xml:space="preserve">Pontbriand, David</t>
  </si>
  <si>
    <t xml:space="preserve">Pennington, Jeffrey</t>
  </si>
  <si>
    <t xml:space="preserve">Paine, Stephen</t>
  </si>
  <si>
    <t xml:space="preserve">McFaden, SR.Timothy</t>
  </si>
  <si>
    <t xml:space="preserve">Hester, Dorothea</t>
  </si>
  <si>
    <t xml:space="preserve">Supply/Dist. Coord.</t>
  </si>
  <si>
    <t xml:space="preserve">Adm-CS</t>
  </si>
  <si>
    <t xml:space="preserve">Cong Lintao</t>
  </si>
  <si>
    <t xml:space="preserve">Le, Thuy</t>
  </si>
  <si>
    <t xml:space="preserve">Asst. Acctg. Mgr.</t>
  </si>
  <si>
    <t xml:space="preserve">SpecJr-CS</t>
  </si>
  <si>
    <t xml:space="preserve">Oktar Ozer</t>
  </si>
  <si>
    <t xml:space="preserve">Dai Yuan</t>
  </si>
  <si>
    <t xml:space="preserve">Tracey, Michael</t>
  </si>
  <si>
    <t xml:space="preserve">VP Marketing</t>
  </si>
  <si>
    <t xml:space="preserve">Li Ling</t>
  </si>
  <si>
    <t xml:space="preserve">Talbet, Alan</t>
  </si>
  <si>
    <t xml:space="preserve">King, John</t>
  </si>
  <si>
    <t xml:space="preserve">Ludwig, Jeanne</t>
  </si>
  <si>
    <t xml:space="preserve">Admin. Asst.</t>
  </si>
  <si>
    <t xml:space="preserve">Asst-CS</t>
  </si>
  <si>
    <t xml:space="preserve">Talbott Sr., Derek</t>
  </si>
  <si>
    <t xml:space="preserve">Schabel, John H.</t>
  </si>
  <si>
    <t xml:space="preserve">Laing Jr., Charles</t>
  </si>
  <si>
    <t xml:space="preserve">Hilkert, Irvin</t>
  </si>
  <si>
    <t xml:space="preserve">Grady, Jody</t>
  </si>
  <si>
    <t xml:space="preserve">Ferguson, Jon</t>
  </si>
  <si>
    <t xml:space="preserve">Wu Kai</t>
  </si>
  <si>
    <t xml:space="preserve">Joop Van Der Kooj</t>
  </si>
  <si>
    <t xml:space="preserve">Fernandez, Carrie</t>
  </si>
  <si>
    <t xml:space="preserve">Trader Asst./Splst.</t>
  </si>
  <si>
    <t xml:space="preserve">Maria Carrillo</t>
  </si>
  <si>
    <t xml:space="preserve">Cash, E. Reanee</t>
  </si>
  <si>
    <t xml:space="preserve">Dorina Fodor</t>
  </si>
  <si>
    <t xml:space="preserve">Melendi, Yvette</t>
  </si>
  <si>
    <t xml:space="preserve">Trading Asst.</t>
  </si>
  <si>
    <t xml:space="preserve">Christian Vlad</t>
  </si>
  <si>
    <t xml:space="preserve">Moscow</t>
  </si>
  <si>
    <t xml:space="preserve">Igor Brattsev</t>
  </si>
  <si>
    <t xml:space="preserve">ROUB</t>
  </si>
  <si>
    <t xml:space="preserve">Pedro Peneda Rufio</t>
  </si>
  <si>
    <t xml:space="preserve">Liliam Velazquez</t>
  </si>
  <si>
    <t xml:space="preserve">Brazil</t>
  </si>
  <si>
    <t xml:space="preserve">Adriana F Da Rocha</t>
  </si>
  <si>
    <t xml:space="preserve">Gemma Gomez</t>
  </si>
  <si>
    <t xml:space="preserve">Annette Vosssenaar</t>
  </si>
  <si>
    <t xml:space="preserve">Ahmet Bilen</t>
  </si>
  <si>
    <t xml:space="preserve">Fernando Tochetti</t>
  </si>
  <si>
    <t xml:space="preserve">Oguzhan Tavus</t>
  </si>
  <si>
    <t xml:space="preserve">Annet Koole-Jansen</t>
  </si>
  <si>
    <t xml:space="preserve">Elena Zharova</t>
  </si>
  <si>
    <t xml:space="preserve">Sanda Dumitrescu</t>
  </si>
  <si>
    <t xml:space="preserve">Marazoglu Benek</t>
  </si>
  <si>
    <t xml:space="preserve">Victor Taratynkin</t>
  </si>
  <si>
    <t xml:space="preserve">Serdar Gurz</t>
  </si>
  <si>
    <t xml:space="preserve">Sabri Fil</t>
  </si>
  <si>
    <t xml:space="preserve">Adrian Dumitrescu</t>
  </si>
  <si>
    <t xml:space="preserve">Marina Marinicheva</t>
  </si>
  <si>
    <t xml:space="preserve">Liang Yi</t>
  </si>
  <si>
    <t xml:space="preserve">LJ</t>
  </si>
  <si>
    <t xml:space="preserve">Valerj Shevchuk</t>
  </si>
  <si>
    <t xml:space="preserve">Elena Matveyeva</t>
  </si>
  <si>
    <t xml:space="preserve">Alexander Ivanov</t>
  </si>
  <si>
    <t xml:space="preserve">Lenar Galioulline</t>
  </si>
  <si>
    <t xml:space="preserve">TAG</t>
  </si>
  <si>
    <t xml:space="preserve">Eugenia Smolina</t>
  </si>
  <si>
    <t xml:space="preserve">Tatjana Goncharova</t>
  </si>
  <si>
    <t xml:space="preserve">Vildan Bekirov</t>
  </si>
  <si>
    <t xml:space="preserve">Tatiana Karlova</t>
  </si>
  <si>
    <t xml:space="preserve">Lubav Oblasova</t>
  </si>
  <si>
    <t xml:space="preserve">Alexandra Krutlina</t>
  </si>
  <si>
    <t xml:space="preserve">Valentin Vishniakov</t>
  </si>
  <si>
    <t xml:space="preserve">Igor Starikov</t>
  </si>
  <si>
    <t xml:space="preserve">Elena Simonova</t>
  </si>
  <si>
    <t xml:space="preserve">Oscar G. A. Perez</t>
  </si>
  <si>
    <t xml:space="preserve">Ygq</t>
  </si>
  <si>
    <t xml:space="preserve">Yuriji Svyatyshenko</t>
  </si>
  <si>
    <t xml:space="preserve">Svetlana Pasechnik</t>
  </si>
  <si>
    <t xml:space="preserve">Maruf Askarov</t>
  </si>
  <si>
    <t xml:space="preserve">TASH</t>
  </si>
  <si>
    <t xml:space="preserve">Hirsh, Jerry</t>
  </si>
  <si>
    <t xml:space="preserve">Dir. Of Admin.</t>
  </si>
  <si>
    <t xml:space="preserve">Mella, John</t>
  </si>
  <si>
    <t xml:space="preserve">Asst. Treasurer</t>
  </si>
  <si>
    <t xml:space="preserve">Kitton, Alan</t>
  </si>
  <si>
    <t xml:space="preserve">Tax Mgr.</t>
  </si>
  <si>
    <t xml:space="preserve">Heinrich Hasler</t>
  </si>
  <si>
    <t xml:space="preserve">Dower, Leonard</t>
  </si>
  <si>
    <t xml:space="preserve">Asst. Controller</t>
  </si>
  <si>
    <t xml:space="preserve">Nugent, Kevin</t>
  </si>
  <si>
    <t xml:space="preserve">Harrington, Marguerite</t>
  </si>
  <si>
    <t xml:space="preserve">Off. Mgr./ HR Mgr</t>
  </si>
  <si>
    <t xml:space="preserve">Mattaboni, Lois</t>
  </si>
  <si>
    <t xml:space="preserve">Mgr. HR &amp; Admin.</t>
  </si>
  <si>
    <t xml:space="preserve">Michael Moegle</t>
  </si>
  <si>
    <t xml:space="preserve">Carlson, Dan</t>
  </si>
  <si>
    <t xml:space="preserve">Asso Dir. Comp.Op.</t>
  </si>
  <si>
    <t xml:space="preserve">Frodella, Anthony</t>
  </si>
  <si>
    <t xml:space="preserve">Mgr. LC</t>
  </si>
  <si>
    <t xml:space="preserve">Appel, Marilyn</t>
  </si>
  <si>
    <t xml:space="preserve">Accounting  Mgr.</t>
  </si>
  <si>
    <t xml:space="preserve">Vasilo, Nicholas</t>
  </si>
  <si>
    <t xml:space="preserve">Acctg.Mgr.-Fertilzer</t>
  </si>
  <si>
    <t xml:space="preserve">Doliotis, Soula</t>
  </si>
  <si>
    <t xml:space="preserve">Sr. Staff Acct.</t>
  </si>
  <si>
    <t xml:space="preserve">Frasca, Yolanda</t>
  </si>
  <si>
    <t xml:space="preserve">Exec. Secty.</t>
  </si>
  <si>
    <t xml:space="preserve">Manuela pluss</t>
  </si>
  <si>
    <t xml:space="preserve">Prelee, Arlene</t>
  </si>
  <si>
    <t xml:space="preserve">Corp.Lgl.Dept.Mgr.</t>
  </si>
  <si>
    <t xml:space="preserve">Pavone, Pamela</t>
  </si>
  <si>
    <t xml:space="preserve">Operations </t>
  </si>
  <si>
    <t xml:space="preserve">Moayedi, Kourosh</t>
  </si>
  <si>
    <t xml:space="preserve">Roger Grab</t>
  </si>
  <si>
    <t xml:space="preserve">Susanne Girelli</t>
  </si>
  <si>
    <t xml:space="preserve">Saenz, Virginia</t>
  </si>
  <si>
    <t xml:space="preserve">L/C Documentary Coll'ctn. Specialist</t>
  </si>
  <si>
    <t xml:space="preserve">Senta Nauer</t>
  </si>
  <si>
    <t xml:space="preserve">Lisak, Adelaide</t>
  </si>
  <si>
    <t xml:space="preserve">Cash Mgr.</t>
  </si>
  <si>
    <t xml:space="preserve">Liliane Feyder</t>
  </si>
  <si>
    <t xml:space="preserve">Scragg, Rosemary</t>
  </si>
  <si>
    <t xml:space="preserve">Accountant</t>
  </si>
  <si>
    <t xml:space="preserve">Hussein, Helen</t>
  </si>
  <si>
    <t xml:space="preserve">Urs Dahler</t>
  </si>
  <si>
    <t xml:space="preserve">Calvelo, Mario</t>
  </si>
  <si>
    <t xml:space="preserve">Silverman, Karol</t>
  </si>
  <si>
    <t xml:space="preserve">Asst. to Lgl Dept.</t>
  </si>
  <si>
    <t xml:space="preserve">Rivera, Beatriz</t>
  </si>
  <si>
    <t xml:space="preserve">Diana Taylor</t>
  </si>
  <si>
    <t xml:space="preserve">Nicole Imhof</t>
  </si>
  <si>
    <t xml:space="preserve">Durant, Romy</t>
  </si>
  <si>
    <t xml:space="preserve">Staff Acct.</t>
  </si>
  <si>
    <t xml:space="preserve">Lilian Schmucki</t>
  </si>
  <si>
    <t xml:space="preserve">Gerda Hurschler</t>
  </si>
  <si>
    <t xml:space="preserve">Hernandez, Orlando</t>
  </si>
  <si>
    <t xml:space="preserve">Off. Serv. Supv.</t>
  </si>
  <si>
    <t xml:space="preserve">Tartaglia, Kristen</t>
  </si>
  <si>
    <t xml:space="preserve">Asst. Office Mgr.</t>
  </si>
  <si>
    <t xml:space="preserve">Siu-Ting Chan</t>
  </si>
  <si>
    <t xml:space="preserve">Benson Fung</t>
  </si>
  <si>
    <t xml:space="preserve">Alexandra Keller</t>
  </si>
  <si>
    <t xml:space="preserve">Christel Demuynck</t>
  </si>
  <si>
    <t xml:space="preserve">Cross, Thommie</t>
  </si>
  <si>
    <t xml:space="preserve">Asst. Dist. Mgr.</t>
  </si>
  <si>
    <t xml:space="preserve">Sherrie Tsang</t>
  </si>
  <si>
    <t xml:space="preserve">M. Lahitte</t>
  </si>
  <si>
    <t xml:space="preserve">Stanton, Nadine</t>
  </si>
  <si>
    <t xml:space="preserve">Petra Schatti</t>
  </si>
  <si>
    <t xml:space="preserve">Oakey Lo</t>
  </si>
  <si>
    <t xml:space="preserve">Jerusavage, Anna M.</t>
  </si>
  <si>
    <t xml:space="preserve">Accts. Pay/Rec.</t>
  </si>
  <si>
    <t xml:space="preserve">Crumpler, Deborah</t>
  </si>
  <si>
    <t xml:space="preserve">DiRico, Susan</t>
  </si>
  <si>
    <t xml:space="preserve">Receptionist</t>
  </si>
  <si>
    <t xml:space="preserve">Just, Angela</t>
  </si>
  <si>
    <t xml:space="preserve">Shellman, Xavier</t>
  </si>
  <si>
    <t xml:space="preserve">Reyes, Maricella</t>
  </si>
  <si>
    <t xml:space="preserve">Gen. Serv. Adm.</t>
  </si>
  <si>
    <t xml:space="preserve">Hussey, Susan</t>
  </si>
  <si>
    <t xml:space="preserve">Neal, Kimberly</t>
  </si>
  <si>
    <t xml:space="preserve">A. Ly</t>
  </si>
  <si>
    <t xml:space="preserve">McGinty, Mia</t>
  </si>
  <si>
    <t xml:space="preserve">Baril, Leah</t>
  </si>
  <si>
    <t xml:space="preserve">Cheryl Li</t>
  </si>
  <si>
    <t xml:space="preserve">Quiroga, Luz</t>
  </si>
  <si>
    <t xml:space="preserve">Omar Khalifeh</t>
  </si>
  <si>
    <t xml:space="preserve">Hedaya Hamati</t>
  </si>
  <si>
    <t xml:space="preserve">Nawaf Al-Attiyat</t>
  </si>
  <si>
    <t xml:space="preserve">Walid Salman  M.         Al-Attiyat</t>
  </si>
  <si>
    <t xml:space="preserve">Cornell</t>
  </si>
  <si>
    <t xml:space="preserve">STOP PRINTING HERE</t>
  </si>
  <si>
    <t xml:space="preserve">Transammonia, Inc.</t>
  </si>
  <si>
    <t xml:space="preserve">Closing Date</t>
  </si>
  <si>
    <t xml:space="preserve">Currency Conversion (Local to USD)</t>
  </si>
  <si>
    <t xml:space="preserve">Stay</t>
  </si>
  <si>
    <t xml:space="preserve">ENE</t>
  </si>
  <si>
    <t xml:space="preserve">Raul &amp; Basil</t>
  </si>
  <si>
    <t xml:space="preserve">Russian</t>
  </si>
  <si>
    <t xml:space="preserve">Product</t>
  </si>
  <si>
    <t xml:space="preserve">One Week of Pay</t>
  </si>
  <si>
    <t xml:space="preserve">Sev</t>
  </si>
  <si>
    <t xml:space="preserve">Highest Option</t>
  </si>
  <si>
    <t xml:space="preserve">Lowest Option</t>
  </si>
  <si>
    <t xml:space="preserve">10,000 Valuation</t>
  </si>
  <si>
    <t xml:space="preserve">10000 Valuation Rounded-Up</t>
  </si>
  <si>
    <t xml:space="preserve">99 bonuses</t>
  </si>
  <si>
    <t xml:space="preserve">00 Bonus</t>
  </si>
  <si>
    <t xml:space="preserve">Y/N</t>
  </si>
  <si>
    <t xml:space="preserve">Hire Date</t>
  </si>
  <si>
    <t xml:space="preserve">Years of Service</t>
  </si>
  <si>
    <t xml:space="preserve">26 Week Amount</t>
  </si>
  <si>
    <t xml:space="preserve">52 Week Amount</t>
  </si>
  <si>
    <t xml:space="preserve">Severance with Waiver</t>
  </si>
  <si>
    <t xml:space="preserve">Total Severance with Waiver </t>
  </si>
  <si>
    <t xml:space="preserve">Notes:</t>
  </si>
  <si>
    <t xml:space="preserve">Salaries</t>
  </si>
  <si>
    <t xml:space="preserve">Currency</t>
  </si>
  <si>
    <t xml:space="preserve">Amount </t>
  </si>
  <si>
    <t xml:space="preserve">Local Currency</t>
  </si>
  <si>
    <t xml:space="preserve">Cash</t>
  </si>
  <si>
    <t xml:space="preserve">Deferred</t>
  </si>
  <si>
    <t xml:space="preserve">N</t>
  </si>
  <si>
    <t xml:space="preserve">Y</t>
  </si>
  <si>
    <t xml:space="preserve">Calculated Salary at 13.50*2080, FT</t>
  </si>
  <si>
    <t xml:space="preserve">Transammonia, Inc.Trammo Gas</t>
  </si>
  <si>
    <t xml:space="preserve">Transammonia LTD.</t>
  </si>
  <si>
    <t xml:space="preserve">U.K.</t>
  </si>
  <si>
    <t xml:space="preserve">Trammochem AG</t>
  </si>
  <si>
    <t xml:space="preserve">Transammonia AG</t>
  </si>
  <si>
    <t xml:space="preserve">Guatemala</t>
  </si>
  <si>
    <t xml:space="preserve">Uruguay</t>
  </si>
  <si>
    <t xml:space="preserve">LACH</t>
  </si>
  <si>
    <t xml:space="preserve">TCAG</t>
  </si>
  <si>
    <t xml:space="preserve">USD ???</t>
  </si>
  <si>
    <t xml:space="preserve">Nethterlands</t>
  </si>
  <si>
    <t xml:space="preserve">Transammonia BV</t>
  </si>
</sst>
</file>

<file path=xl/styles.xml><?xml version="1.0" encoding="utf-8"?>
<styleSheet xmlns="http://schemas.openxmlformats.org/spreadsheetml/2006/main">
  <numFmts count="15">
    <numFmt numFmtId="164" formatCode="General"/>
    <numFmt numFmtId="165" formatCode="@"/>
    <numFmt numFmtId="166" formatCode="#,##0"/>
    <numFmt numFmtId="167" formatCode="\$#,##0"/>
    <numFmt numFmtId="168" formatCode="mm/dd/yy"/>
    <numFmt numFmtId="169" formatCode="_(* #,##0.00_);_(* \(#,##0.00\);_(* \-??_);_(@_)"/>
    <numFmt numFmtId="170" formatCode="_(* #,##0_);_(* \(#,##0\);_(* \-??_);_(@_)"/>
    <numFmt numFmtId="171" formatCode="0"/>
    <numFmt numFmtId="172" formatCode="0%"/>
    <numFmt numFmtId="173" formatCode="0.00"/>
    <numFmt numFmtId="174" formatCode="0.0"/>
    <numFmt numFmtId="175" formatCode="\$#,##0.00"/>
    <numFmt numFmtId="176" formatCode="_(* #,##0.0_);_(* \(#,##0.0\);_(* \-??_);_(@_)"/>
    <numFmt numFmtId="177" formatCode="_(\$* #,##0.00_);_(\$* \(#,##0.00\);_(\$* \-??_);_(@_)"/>
    <numFmt numFmtId="178"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u val="single"/>
      <sz val="10"/>
      <name val="Arial"/>
      <family val="2"/>
    </font>
    <font>
      <b val="true"/>
      <sz val="20"/>
      <name val="Arial"/>
      <family val="2"/>
    </font>
    <font>
      <sz val="10"/>
      <color rgb="FFFF0000"/>
      <name val="Arial"/>
      <family val="2"/>
    </font>
    <font>
      <b val="true"/>
      <sz val="12"/>
      <name val="Arial"/>
      <family val="2"/>
    </font>
    <font>
      <sz val="12"/>
      <name val="Arial"/>
      <family val="2"/>
    </font>
    <font>
      <b val="true"/>
      <sz val="10"/>
      <color rgb="FFFF000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FFFF00"/>
        <bgColor rgb="FFFFFF00"/>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style="medium"/>
      <diagonal/>
    </border>
    <border diagonalUp="false" diagonalDown="false">
      <left style="hair"/>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left" vertical="bottom" textRotation="0" wrapText="tru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left" vertical="bottom" textRotation="255"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general" vertical="bottom" textRotation="0" wrapText="false" indent="0" shrinkToFit="false"/>
      <protection locked="true" hidden="false"/>
    </xf>
    <xf numFmtId="166" fontId="6"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255"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7" fontId="5"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255"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6"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7" fontId="4" fillId="0" borderId="1" xfId="0" applyFont="true" applyBorder="true" applyAlignment="true" applyProtection="false">
      <alignment horizontal="general" vertical="bottom" textRotation="0" wrapText="false" indent="0" shrinkToFit="false"/>
      <protection locked="true" hidden="false"/>
    </xf>
    <xf numFmtId="166" fontId="5" fillId="0" borderId="1" xfId="0" applyFont="true" applyBorder="true" applyAlignment="true" applyProtection="false">
      <alignment horizontal="general" vertical="bottom" textRotation="0" wrapText="false" indent="0" shrinkToFit="false"/>
      <protection locked="true" hidden="false"/>
    </xf>
    <xf numFmtId="167" fontId="5" fillId="0" borderId="1" xfId="0" applyFont="true" applyBorder="true" applyAlignment="true" applyProtection="false">
      <alignment horizontal="general" vertical="bottom" textRotation="0" wrapText="false" indent="0" shrinkToFit="false"/>
      <protection locked="true" hidden="false"/>
    </xf>
    <xf numFmtId="168" fontId="0" fillId="0" borderId="1" xfId="0" applyFont="fals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70" fontId="5" fillId="0" borderId="1" xfId="15" applyFont="true" applyBorder="true" applyAlignment="true" applyProtection="true">
      <alignment horizontal="general" vertical="bottom" textRotation="0" wrapText="false" indent="0" shrinkToFit="false"/>
      <protection locked="true" hidden="false"/>
    </xf>
    <xf numFmtId="170" fontId="4" fillId="0" borderId="1" xfId="15"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71"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true" applyProtection="false">
      <alignment horizontal="general" vertical="bottom" textRotation="0" wrapText="false" indent="0" shrinkToFit="false"/>
      <protection locked="true" hidden="false"/>
    </xf>
    <xf numFmtId="166" fontId="5" fillId="0" borderId="2" xfId="0" applyFont="true" applyBorder="true" applyAlignment="true" applyProtection="false">
      <alignment horizontal="general" vertical="bottom" textRotation="0" wrapText="false" indent="0" shrinkToFit="false"/>
      <protection locked="true" hidden="false"/>
    </xf>
    <xf numFmtId="167" fontId="5" fillId="0" borderId="2" xfId="0" applyFont="true" applyBorder="true" applyAlignment="true" applyProtection="false">
      <alignment horizontal="general" vertical="bottom" textRotation="0" wrapText="false" indent="0" shrinkToFit="false"/>
      <protection locked="true" hidden="false"/>
    </xf>
    <xf numFmtId="170" fontId="5" fillId="0" borderId="2" xfId="15" applyFont="true" applyBorder="true" applyAlignment="true" applyProtection="true">
      <alignment horizontal="general" vertical="bottom" textRotation="0" wrapText="false" indent="0" shrinkToFit="false"/>
      <protection locked="true" hidden="false"/>
    </xf>
    <xf numFmtId="166" fontId="4" fillId="0" borderId="2"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bottom" textRotation="0" wrapText="false" indent="0" shrinkToFit="false"/>
      <protection locked="true" hidden="false"/>
    </xf>
    <xf numFmtId="166" fontId="4" fillId="0" borderId="3" xfId="0" applyFont="true" applyBorder="true" applyAlignment="true" applyProtection="false">
      <alignment horizontal="general" vertical="bottom" textRotation="0" wrapText="false" indent="0" shrinkToFit="false"/>
      <protection locked="true" hidden="false"/>
    </xf>
    <xf numFmtId="170" fontId="4" fillId="0" borderId="3" xfId="15"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70" fontId="5" fillId="0" borderId="1" xfId="15" applyFont="true" applyBorder="true" applyAlignment="true" applyProtection="true">
      <alignment horizontal="general" vertical="bottom" textRotation="0" wrapText="true" indent="0" shrinkToFit="false"/>
      <protection locked="true" hidden="false"/>
    </xf>
    <xf numFmtId="167" fontId="4" fillId="0" borderId="3"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bottom" textRotation="255" wrapText="false" indent="0" shrinkToFit="false"/>
      <protection locked="true" hidden="false"/>
    </xf>
    <xf numFmtId="165" fontId="4" fillId="0" borderId="0"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71" fontId="0" fillId="0" borderId="0" xfId="0" applyFont="false" applyBorder="true" applyAlignment="true" applyProtection="false">
      <alignment horizontal="center" vertical="bottom" textRotation="0" wrapText="false" indent="0" shrinkToFit="false"/>
      <protection locked="true" hidden="false"/>
    </xf>
    <xf numFmtId="172" fontId="0" fillId="0" borderId="0" xfId="0" applyFont="fals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72" fontId="10"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7" fontId="4" fillId="0" borderId="0" xfId="0" applyFont="true" applyBorder="true" applyAlignment="true" applyProtection="false">
      <alignment horizontal="center" vertical="bottom" textRotation="0" wrapText="false" indent="0" shrinkToFit="false"/>
      <protection locked="true" hidden="false"/>
    </xf>
    <xf numFmtId="169" fontId="0" fillId="0" borderId="0" xfId="15" applyFont="true" applyBorder="true" applyAlignment="true" applyProtection="true">
      <alignment horizontal="center" vertical="bottom" textRotation="0" wrapText="false" indent="0" shrinkToFit="false"/>
      <protection locked="true" hidden="false"/>
    </xf>
    <xf numFmtId="171" fontId="4" fillId="0" borderId="0" xfId="0" applyFont="true" applyBorder="true" applyAlignment="true" applyProtection="false">
      <alignment horizontal="center" vertical="bottom" textRotation="0" wrapText="false" indent="0" shrinkToFit="false"/>
      <protection locked="true" hidden="false"/>
    </xf>
    <xf numFmtId="166" fontId="4"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center" textRotation="90" wrapText="false" indent="0" shrinkToFit="false"/>
      <protection locked="true" hidden="false"/>
    </xf>
    <xf numFmtId="170" fontId="0" fillId="0" borderId="0" xfId="15" applyFont="true" applyBorder="true" applyAlignment="true" applyProtection="true">
      <alignment horizontal="center" vertical="bottom" textRotation="0" wrapText="false" indent="0" shrinkToFit="false"/>
      <protection locked="true" hidden="false"/>
    </xf>
    <xf numFmtId="173" fontId="0" fillId="0" borderId="0" xfId="0" applyFont="false" applyBorder="true" applyAlignment="true" applyProtection="false">
      <alignment horizontal="center" vertical="bottom" textRotation="0" wrapText="false" indent="0" shrinkToFit="false"/>
      <protection locked="true" hidden="false"/>
    </xf>
    <xf numFmtId="174" fontId="0" fillId="0" borderId="0" xfId="0" applyFont="false" applyBorder="true" applyAlignment="true" applyProtection="false">
      <alignment horizontal="center" vertical="bottom" textRotation="0" wrapText="false" indent="0" shrinkToFit="false"/>
      <protection locked="true" hidden="false"/>
    </xf>
    <xf numFmtId="175"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71" fontId="11" fillId="0" borderId="0" xfId="0" applyFont="true" applyBorder="true" applyAlignment="true" applyProtection="false">
      <alignment horizontal="center" vertical="bottom" textRotation="0" wrapText="false" indent="0" shrinkToFit="false"/>
      <protection locked="true" hidden="false"/>
    </xf>
    <xf numFmtId="176" fontId="0" fillId="0" borderId="0" xfId="15" applyFont="true" applyBorder="true" applyAlignment="true" applyProtection="true">
      <alignment horizontal="center" vertical="bottom" textRotation="0" wrapText="false" indent="0" shrinkToFit="false"/>
      <protection locked="true" hidden="false"/>
    </xf>
    <xf numFmtId="170" fontId="4" fillId="0" borderId="0" xfId="15" applyFont="true" applyBorder="true" applyAlignment="true" applyProtection="true">
      <alignment horizontal="center" vertical="bottom" textRotation="0" wrapText="false" indent="0" shrinkToFit="false"/>
      <protection locked="true" hidden="false"/>
    </xf>
    <xf numFmtId="173" fontId="11" fillId="0" borderId="0" xfId="0" applyFont="true" applyBorder="true" applyAlignment="true" applyProtection="false">
      <alignment horizontal="center" vertical="bottom" textRotation="0" wrapText="false" indent="0" shrinkToFit="false"/>
      <protection locked="true" hidden="false"/>
    </xf>
    <xf numFmtId="167" fontId="11" fillId="0" borderId="0" xfId="0" applyFont="true" applyBorder="true" applyAlignment="true" applyProtection="false">
      <alignment horizontal="center" vertical="bottom" textRotation="0" wrapText="false" indent="0" shrinkToFit="false"/>
      <protection locked="true" hidden="false"/>
    </xf>
    <xf numFmtId="166"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74" fontId="4"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71" fontId="8" fillId="0" borderId="0" xfId="0" applyFont="true" applyBorder="true" applyAlignment="true" applyProtection="false">
      <alignment horizontal="center" vertical="bottom" textRotation="0" wrapText="false" indent="0" shrinkToFit="false"/>
      <protection locked="true" hidden="false"/>
    </xf>
    <xf numFmtId="173" fontId="8" fillId="0" borderId="0" xfId="0" applyFont="true" applyBorder="true" applyAlignment="true" applyProtection="false">
      <alignment horizontal="center" vertical="bottom" textRotation="0" wrapText="false" indent="0" shrinkToFit="false"/>
      <protection locked="true" hidden="false"/>
    </xf>
    <xf numFmtId="167"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1" fontId="0" fillId="0" borderId="0"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9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general" vertical="center" textRotation="9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70" fontId="5" fillId="0" borderId="0" xfId="15" applyFont="true" applyBorder="true" applyAlignment="true" applyProtection="true">
      <alignment horizontal="center" vertical="bottom" textRotation="0" wrapText="false" indent="0" shrinkToFit="false"/>
      <protection locked="true" hidden="false"/>
    </xf>
    <xf numFmtId="174" fontId="5"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9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bottom" textRotation="255"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71" fontId="0" fillId="0" borderId="0" xfId="0" applyFont="false" applyBorder="true" applyAlignment="tru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center" textRotation="90" wrapText="false" indent="0" shrinkToFit="false"/>
      <protection locked="true" hidden="false"/>
    </xf>
    <xf numFmtId="170" fontId="11" fillId="0" borderId="0" xfId="15" applyFont="true" applyBorder="true" applyAlignment="true" applyProtection="true">
      <alignment horizontal="center" vertical="bottom" textRotation="0" wrapText="false" indent="0" shrinkToFit="false"/>
      <protection locked="true" hidden="false"/>
    </xf>
    <xf numFmtId="178" fontId="0" fillId="0" borderId="0"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119520</xdr:colOff>
      <xdr:row>1</xdr:row>
      <xdr:rowOff>56880</xdr:rowOff>
    </xdr:from>
    <xdr:to>
      <xdr:col>12</xdr:col>
      <xdr:colOff>538920</xdr:colOff>
      <xdr:row>45</xdr:row>
      <xdr:rowOff>37800</xdr:rowOff>
    </xdr:to>
    <xdr:sp>
      <xdr:nvSpPr>
        <xdr:cNvPr id="0" name="Text 1"/>
        <xdr:cNvSpPr/>
      </xdr:nvSpPr>
      <xdr:spPr>
        <a:xfrm>
          <a:off x="757800" y="218880"/>
          <a:ext cx="7439400" cy="7105680"/>
        </a:xfrm>
        <a:prstGeom prst="rect">
          <a:avLst/>
        </a:prstGeom>
        <a:solidFill>
          <a:srgbClr val="ffffff">
            <a:alpha val="50000"/>
          </a:srgbClr>
        </a:solidFill>
        <a:ln w="0">
          <a:noFill/>
        </a:ln>
      </xdr:spPr>
      <xdr:style>
        <a:lnRef idx="0"/>
        <a:fillRef idx="0"/>
        <a:effectRef idx="0"/>
        <a:fontRef idx="minor"/>
      </xdr:style>
      <xdr:txBody>
        <a:bodyPr lIns="20160" rIns="20160" tIns="20160" bIns="20160" anchor="t">
          <a:noAutofit/>
        </a:bodyPr>
        <a:p>
          <a:r>
            <a:rPr b="1" lang="en-US" sz="1000" strike="noStrike" u="none">
              <a:effectLst/>
              <a:uFillTx/>
              <a:latin typeface="Arial"/>
            </a:rPr>
            <a:t>Option A:  Transammonia Stay-on/Severance Plan:</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If base is over $100,000, employee receives 4 weeks of salary per year of service</a:t>
          </a:r>
          <a:endParaRPr b="0" lang="en-US" sz="1000" strike="noStrike" u="none">
            <a:effectLst/>
            <a:uFillTx/>
            <a:latin typeface="Times New Roman"/>
          </a:endParaRPr>
        </a:p>
        <a:p>
          <a:r>
            <a:rPr b="0" lang="en-US" sz="1000" strike="noStrike" u="none">
              <a:effectLst/>
              <a:uFillTx/>
              <a:latin typeface="Arial"/>
            </a:rPr>
            <a:t>If base is between $50,000 and $100,000, employee receives 2 weeks of salary per year of service</a:t>
          </a:r>
          <a:endParaRPr b="0" lang="en-US" sz="1000" strike="noStrike" u="none">
            <a:effectLst/>
            <a:uFillTx/>
            <a:latin typeface="Times New Roman"/>
          </a:endParaRPr>
        </a:p>
        <a:p>
          <a:r>
            <a:rPr b="0" lang="en-US" sz="1000" strike="noStrike" u="none">
              <a:effectLst/>
              <a:uFillTx/>
              <a:latin typeface="Arial"/>
            </a:rPr>
            <a:t>If base is under $50,000, employee receives 1 weeks of salary per year of service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stay bonus was calculated as 150% of what the TA severance would have been.</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Option B:  ENE Stay-on/Severance Plan:</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actual ENE severance plan consists of 1 week's pay for each $10,000 of base salary plus 1 week's pay for each year of service. If the employee signs a waiver, the calculation above is doubled.</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stay bonus was calculated as 150% of what the ENE severance would have been.</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In both cases, the week per $10,000 of base and the week per year of service were rounded up.</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Assumptions for Target Bonus and Target LTI:</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Target LTI assumes Excellent PRC ranking for the Top 12 "must" employees (except Oritz, Hart, Benfield, Camporini and Lovett which were increased beyond excellent because (1) we need them for this deal to make sense and (2) excellent in their position is not enough…this should be considered a one-time sign-on type of grant).  PRC ranking of “Strong” is assumed in calculating target bonus and LTI for employees that we’re keeping below the top 12.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Target Bonus and LTI is not shown for employees that are not yet slotted in an Enron position.</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Assumptions for Enron Recommended Base Salary:</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Enron’s proposed salary is equivalent to the employee’s current TA salary if their current salary is below $90,000.  If the current salary is greater than $90,000, the Enron equivalent salary was adjusted upward on an adhoc basis as per Aaron Brown.</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Additional Work To Be Done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Many of the "rank and file" employees still need to be assigned an Enron equivalent title and compensation package.  Futher work needs to be done with John Nowlan and HR.</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10440</xdr:colOff>
      <xdr:row>17</xdr:row>
      <xdr:rowOff>0</xdr:rowOff>
    </xdr:from>
    <xdr:to>
      <xdr:col>5</xdr:col>
      <xdr:colOff>22320</xdr:colOff>
      <xdr:row>17</xdr:row>
      <xdr:rowOff>0</xdr:rowOff>
    </xdr:to>
    <xdr:sp>
      <xdr:nvSpPr>
        <xdr:cNvPr id="1" name="Line 1"/>
        <xdr:cNvSpPr/>
      </xdr:nvSpPr>
      <xdr:spPr>
        <a:xfrm>
          <a:off x="3873960" y="2752560"/>
          <a:ext cx="11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29520</xdr:colOff>
      <xdr:row>17</xdr:row>
      <xdr:rowOff>0</xdr:rowOff>
    </xdr:from>
    <xdr:to>
      <xdr:col>19</xdr:col>
      <xdr:colOff>714600</xdr:colOff>
      <xdr:row>17</xdr:row>
      <xdr:rowOff>0</xdr:rowOff>
    </xdr:to>
    <xdr:sp>
      <xdr:nvSpPr>
        <xdr:cNvPr id="2" name="Line 2"/>
        <xdr:cNvSpPr/>
      </xdr:nvSpPr>
      <xdr:spPr>
        <a:xfrm>
          <a:off x="3893040" y="2752560"/>
          <a:ext cx="10162800" cy="0"/>
        </a:xfrm>
        <a:prstGeom prst="line">
          <a:avLst/>
        </a:prstGeom>
        <a:ln w="9360">
          <a:solidFill>
            <a:srgbClr val="00000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10440</xdr:colOff>
      <xdr:row>5</xdr:row>
      <xdr:rowOff>0</xdr:rowOff>
    </xdr:from>
    <xdr:to>
      <xdr:col>1</xdr:col>
      <xdr:colOff>22320</xdr:colOff>
      <xdr:row>5</xdr:row>
      <xdr:rowOff>0</xdr:rowOff>
    </xdr:to>
    <xdr:sp>
      <xdr:nvSpPr>
        <xdr:cNvPr id="3" name="Line 2"/>
        <xdr:cNvSpPr/>
      </xdr:nvSpPr>
      <xdr:spPr>
        <a:xfrm>
          <a:off x="281520" y="847800"/>
          <a:ext cx="11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29880</xdr:colOff>
      <xdr:row>5</xdr:row>
      <xdr:rowOff>0</xdr:rowOff>
    </xdr:from>
    <xdr:to>
      <xdr:col>48</xdr:col>
      <xdr:colOff>720</xdr:colOff>
      <xdr:row>5</xdr:row>
      <xdr:rowOff>0</xdr:rowOff>
    </xdr:to>
    <xdr:sp>
      <xdr:nvSpPr>
        <xdr:cNvPr id="4" name="Line 4"/>
        <xdr:cNvSpPr/>
      </xdr:nvSpPr>
      <xdr:spPr>
        <a:xfrm>
          <a:off x="300960" y="847800"/>
          <a:ext cx="170560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3:F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20.99"/>
    <col collapsed="false" customWidth="true" hidden="false" outlineLevel="0" max="6" min="6" style="0" width="19.7"/>
  </cols>
  <sheetData>
    <row r="3" customFormat="false" ht="12.75" hidden="false" customHeight="true" outlineLevel="0" collapsed="false">
      <c r="B3" s="1" t="s">
        <v>0</v>
      </c>
      <c r="C3" s="1"/>
      <c r="D3" s="1"/>
      <c r="E3" s="2" t="s">
        <v>1</v>
      </c>
      <c r="F3" s="2" t="s">
        <v>2</v>
      </c>
    </row>
    <row r="4" customFormat="false" ht="12.75" hidden="false" customHeight="false" outlineLevel="0" collapsed="false">
      <c r="B4" s="3"/>
      <c r="C4" s="3"/>
      <c r="D4" s="4"/>
      <c r="E4" s="5"/>
      <c r="F4" s="5"/>
    </row>
    <row r="5" customFormat="false" ht="12.75" hidden="false" customHeight="true" outlineLevel="0" collapsed="false">
      <c r="B5" s="1" t="s">
        <v>3</v>
      </c>
      <c r="C5" s="1"/>
      <c r="D5" s="1"/>
      <c r="E5" s="6" t="n">
        <f aca="false">+'Compensation Schedule'!F242</f>
        <v>1145060.92307692</v>
      </c>
      <c r="F5" s="6" t="n">
        <f aca="false">+'Compensation Schedule'!G242</f>
        <v>1935807.15384615</v>
      </c>
    </row>
    <row r="6" customFormat="false" ht="12.75" hidden="false" customHeight="true" outlineLevel="0" collapsed="false">
      <c r="B6" s="1" t="s">
        <v>4</v>
      </c>
      <c r="C6" s="1"/>
      <c r="D6" s="1"/>
      <c r="E6" s="6" t="n">
        <f aca="false">+'Compensation Schedule'!F243</f>
        <v>7838815.24984615</v>
      </c>
      <c r="F6" s="6" t="n">
        <f aca="false">+'Compensation Schedule'!G243</f>
        <v>10437830.1856154</v>
      </c>
    </row>
    <row r="7" customFormat="false" ht="12.75" hidden="false" customHeight="true" outlineLevel="0" collapsed="false">
      <c r="B7" s="1" t="s">
        <v>5</v>
      </c>
      <c r="C7" s="1"/>
      <c r="D7" s="1"/>
      <c r="E7" s="7" t="n">
        <v>2000000</v>
      </c>
      <c r="F7" s="7" t="n">
        <v>2000000</v>
      </c>
    </row>
    <row r="8" customFormat="false" ht="12.75" hidden="false" customHeight="true" outlineLevel="0" collapsed="false">
      <c r="B8" s="1" t="s">
        <v>6</v>
      </c>
      <c r="C8" s="1"/>
      <c r="D8" s="1"/>
      <c r="E8" s="6" t="n">
        <f aca="false">E5+E6+E7</f>
        <v>10983876.1729231</v>
      </c>
      <c r="F8" s="6" t="n">
        <f aca="false">F5+F6+F7</f>
        <v>14373637.3394615</v>
      </c>
    </row>
  </sheetData>
  <mergeCells count="5">
    <mergeCell ref="B3:D3"/>
    <mergeCell ref="B5:D5"/>
    <mergeCell ref="B6:D6"/>
    <mergeCell ref="B7:D7"/>
    <mergeCell ref="B8:D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48"/>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pane xSplit="6" ySplit="5" topLeftCell="G6" activePane="bottomRight" state="frozen"/>
      <selection pane="topLeft" activeCell="A1" activeCellId="0" sqref="A1"/>
      <selection pane="topRight" activeCell="G1" activeCellId="0" sqref="G1"/>
      <selection pane="bottomLeft" activeCell="A6" activeCellId="0" sqref="A6"/>
      <selection pane="bottomRight" activeCell="A5" activeCellId="0" sqref="A5"/>
    </sheetView>
  </sheetViews>
  <sheetFormatPr defaultColWidth="9.13671875" defaultRowHeight="12.75" customHeight="true" zeroHeight="false" outlineLevelRow="0" outlineLevelCol="0"/>
  <cols>
    <col collapsed="false" customWidth="true" hidden="false" outlineLevel="0" max="1" min="1" style="8" width="17.7"/>
    <col collapsed="false" customWidth="true" hidden="false" outlineLevel="0" max="2" min="2" style="8" width="19.14"/>
    <col collapsed="false" customWidth="true" hidden="false" outlineLevel="0" max="3" min="3" style="8" width="6.28"/>
    <col collapsed="false" customWidth="true" hidden="false" outlineLevel="0" max="4" min="4" style="8" width="5.13"/>
    <col collapsed="false" customWidth="true" hidden="false" outlineLevel="0" max="5" min="5" style="9" width="6.56"/>
    <col collapsed="false" customWidth="true" hidden="false" outlineLevel="0" max="6" min="6" style="10" width="21.7"/>
    <col collapsed="false" customWidth="true" hidden="false" outlineLevel="0" max="7" min="7" style="10" width="17.28"/>
    <col collapsed="false" customWidth="true" hidden="false" outlineLevel="0" max="8" min="8" style="10" width="14.7"/>
    <col collapsed="false" customWidth="true" hidden="false" outlineLevel="0" max="9" min="9" style="10" width="2.13"/>
    <col collapsed="false" customWidth="true" hidden="false" outlineLevel="0" max="10" min="10" style="6" width="14.28"/>
    <col collapsed="false" customWidth="true" hidden="true" outlineLevel="0" max="12" min="11" style="11" width="14.28"/>
    <col collapsed="false" customWidth="true" hidden="false" outlineLevel="0" max="13" min="13" style="6" width="11.13"/>
    <col collapsed="false" customWidth="true" hidden="false" outlineLevel="0" max="14" min="14" style="10" width="10.28"/>
    <col collapsed="false" customWidth="true" hidden="false" outlineLevel="0" max="15" min="15" style="12" width="12.14"/>
    <col collapsed="false" customWidth="true" hidden="false" outlineLevel="0" max="16" min="16" style="12" width="3.42"/>
    <col collapsed="false" customWidth="false" hidden="false" outlineLevel="0" max="19" min="17" style="10" width="9.14"/>
    <col collapsed="false" customWidth="true" hidden="false" outlineLevel="0" max="20" min="20" style="10" width="10.13"/>
    <col collapsed="false" customWidth="true" hidden="false" outlineLevel="0" max="21" min="21" style="10" width="2.7"/>
    <col collapsed="false" customWidth="false" hidden="false" outlineLevel="0" max="22" min="22" style="6" width="9.14"/>
    <col collapsed="false" customWidth="true" hidden="false" outlineLevel="0" max="23" min="23" style="10" width="10.13"/>
    <col collapsed="false" customWidth="true" hidden="false" outlineLevel="0" max="24" min="24" style="10" width="2.28"/>
    <col collapsed="false" customWidth="true" hidden="false" outlineLevel="0" max="25" min="25" style="10" width="11.85"/>
    <col collapsed="false" customWidth="true" hidden="false" outlineLevel="0" max="26" min="26" style="10" width="12.99"/>
    <col collapsed="false" customWidth="true" hidden="false" outlineLevel="0" max="27" min="27" style="10" width="1.99"/>
    <col collapsed="false" customWidth="false" hidden="false" outlineLevel="0" max="28" min="28" style="10" width="9.14"/>
    <col collapsed="false" customWidth="true" hidden="false" outlineLevel="0" max="29" min="29" style="10" width="3.14"/>
    <col collapsed="false" customWidth="true" hidden="false" outlineLevel="0" max="31" min="30" style="10" width="10.71"/>
    <col collapsed="false" customWidth="false" hidden="false" outlineLevel="0" max="257" min="32" style="10" width="9.14"/>
  </cols>
  <sheetData>
    <row r="2" customFormat="false" ht="12.75" hidden="false" customHeight="false" outlineLevel="0" collapsed="false">
      <c r="A2" s="13"/>
      <c r="B2" s="13"/>
      <c r="C2" s="13"/>
      <c r="D2" s="13"/>
      <c r="E2" s="14"/>
      <c r="F2" s="15"/>
      <c r="G2" s="15"/>
      <c r="H2" s="15"/>
      <c r="I2" s="15"/>
      <c r="J2" s="16" t="s">
        <v>7</v>
      </c>
      <c r="K2" s="16"/>
      <c r="L2" s="16"/>
      <c r="M2" s="16"/>
      <c r="N2" s="16"/>
      <c r="O2" s="16"/>
      <c r="P2" s="16"/>
      <c r="Q2" s="17" t="s">
        <v>8</v>
      </c>
      <c r="R2" s="17"/>
      <c r="S2" s="17"/>
      <c r="T2" s="17"/>
      <c r="U2" s="15"/>
      <c r="V2" s="17" t="s">
        <v>9</v>
      </c>
      <c r="W2" s="17" t="s">
        <v>10</v>
      </c>
      <c r="X2" s="17"/>
      <c r="Y2" s="17" t="s">
        <v>11</v>
      </c>
      <c r="Z2" s="17" t="s">
        <v>11</v>
      </c>
      <c r="AA2" s="17"/>
      <c r="AB2" s="15"/>
      <c r="AC2" s="15"/>
      <c r="AD2" s="15"/>
      <c r="AE2" s="15"/>
    </row>
    <row r="3" customFormat="false" ht="12.75" hidden="false" customHeight="false" outlineLevel="0" collapsed="false">
      <c r="A3" s="17"/>
      <c r="B3" s="17"/>
      <c r="C3" s="17"/>
      <c r="D3" s="17"/>
      <c r="E3" s="14"/>
      <c r="F3" s="17"/>
      <c r="G3" s="17"/>
      <c r="H3" s="17"/>
      <c r="I3" s="17"/>
      <c r="J3" s="16"/>
      <c r="K3" s="18"/>
      <c r="L3" s="18"/>
      <c r="M3" s="16"/>
      <c r="N3" s="17" t="s">
        <v>12</v>
      </c>
      <c r="O3" s="17" t="s">
        <v>6</v>
      </c>
      <c r="P3" s="17"/>
      <c r="Q3" s="17" t="s">
        <v>13</v>
      </c>
      <c r="R3" s="17" t="s">
        <v>14</v>
      </c>
      <c r="S3" s="17" t="s">
        <v>14</v>
      </c>
      <c r="T3" s="17" t="s">
        <v>6</v>
      </c>
      <c r="U3" s="15"/>
      <c r="V3" s="16" t="s">
        <v>15</v>
      </c>
      <c r="W3" s="17" t="s">
        <v>15</v>
      </c>
      <c r="X3" s="17"/>
      <c r="Y3" s="17" t="s">
        <v>16</v>
      </c>
      <c r="Z3" s="17" t="s">
        <v>16</v>
      </c>
      <c r="AA3" s="17"/>
      <c r="AB3" s="17" t="s">
        <v>17</v>
      </c>
      <c r="AC3" s="15"/>
      <c r="AD3" s="17" t="s">
        <v>18</v>
      </c>
      <c r="AE3" s="17" t="s">
        <v>19</v>
      </c>
    </row>
    <row r="4" customFormat="false" ht="12.75" hidden="false" customHeight="false" outlineLevel="0" collapsed="false">
      <c r="A4" s="17" t="s">
        <v>20</v>
      </c>
      <c r="B4" s="17" t="s">
        <v>21</v>
      </c>
      <c r="C4" s="17" t="s">
        <v>22</v>
      </c>
      <c r="D4" s="17" t="s">
        <v>23</v>
      </c>
      <c r="E4" s="14" t="s">
        <v>24</v>
      </c>
      <c r="F4" s="17" t="s">
        <v>25</v>
      </c>
      <c r="G4" s="17" t="s">
        <v>26</v>
      </c>
      <c r="H4" s="17" t="s">
        <v>27</v>
      </c>
      <c r="I4" s="17"/>
      <c r="J4" s="16" t="s">
        <v>28</v>
      </c>
      <c r="K4" s="18" t="s">
        <v>29</v>
      </c>
      <c r="L4" s="18" t="s">
        <v>29</v>
      </c>
      <c r="M4" s="16" t="s">
        <v>30</v>
      </c>
      <c r="N4" s="17" t="s">
        <v>31</v>
      </c>
      <c r="O4" s="17" t="s">
        <v>16</v>
      </c>
      <c r="P4" s="17"/>
      <c r="Q4" s="17" t="s">
        <v>28</v>
      </c>
      <c r="R4" s="17" t="s">
        <v>32</v>
      </c>
      <c r="S4" s="17" t="s">
        <v>33</v>
      </c>
      <c r="T4" s="17" t="s">
        <v>16</v>
      </c>
      <c r="U4" s="15"/>
      <c r="V4" s="16" t="s">
        <v>32</v>
      </c>
      <c r="W4" s="17" t="s">
        <v>32</v>
      </c>
      <c r="X4" s="17"/>
      <c r="Y4" s="17" t="s">
        <v>34</v>
      </c>
      <c r="Z4" s="17" t="s">
        <v>35</v>
      </c>
      <c r="AA4" s="17"/>
      <c r="AB4" s="17" t="s">
        <v>36</v>
      </c>
      <c r="AC4" s="15"/>
      <c r="AD4" s="17" t="s">
        <v>3</v>
      </c>
      <c r="AE4" s="17" t="s">
        <v>3</v>
      </c>
    </row>
    <row r="5" customFormat="false" ht="12.75" hidden="false" customHeight="false" outlineLevel="0" collapsed="false">
      <c r="A5" s="17"/>
      <c r="B5" s="17"/>
      <c r="C5" s="17"/>
      <c r="D5" s="17"/>
      <c r="E5" s="14"/>
      <c r="F5" s="17"/>
      <c r="G5" s="17"/>
      <c r="H5" s="17"/>
      <c r="I5" s="17"/>
      <c r="J5" s="19"/>
      <c r="K5" s="18"/>
      <c r="L5" s="18"/>
      <c r="M5" s="19"/>
      <c r="N5" s="17"/>
      <c r="O5" s="17"/>
      <c r="P5" s="17"/>
      <c r="Q5" s="17"/>
      <c r="R5" s="17"/>
      <c r="S5" s="17"/>
      <c r="T5" s="17"/>
      <c r="U5" s="15"/>
      <c r="V5" s="19"/>
      <c r="W5" s="16"/>
      <c r="X5" s="15"/>
      <c r="Y5" s="15"/>
      <c r="Z5" s="15"/>
      <c r="AA5" s="15"/>
      <c r="AB5" s="15"/>
      <c r="AC5" s="15"/>
      <c r="AD5" s="15"/>
      <c r="AE5" s="15"/>
    </row>
    <row r="6" customFormat="false" ht="12.75" hidden="false" customHeight="false" outlineLevel="0" collapsed="false">
      <c r="A6" s="17" t="s">
        <v>37</v>
      </c>
      <c r="B6" s="17" t="s">
        <v>7</v>
      </c>
      <c r="C6" s="14"/>
      <c r="D6" s="14" t="s">
        <v>38</v>
      </c>
      <c r="E6" s="14" t="s">
        <v>38</v>
      </c>
      <c r="F6" s="15" t="s">
        <v>39</v>
      </c>
      <c r="G6" s="15"/>
      <c r="H6" s="15"/>
      <c r="I6" s="15"/>
      <c r="J6" s="19" t="n">
        <f aca="false">VLOOKUP($F6,Calculations!$B$6:$AE$314,5,FALSE())</f>
        <v>500000</v>
      </c>
      <c r="K6" s="20" t="s">
        <v>40</v>
      </c>
      <c r="L6" s="20" t="n">
        <f aca="false">J6</f>
        <v>500000</v>
      </c>
      <c r="M6" s="19" t="n">
        <f aca="false">VLOOKUP($F6,Calculations!$B$6:$AE$314,24,FALSE())</f>
        <v>426000</v>
      </c>
      <c r="N6" s="19" t="n">
        <v>748130</v>
      </c>
      <c r="O6" s="16" t="n">
        <f aca="false">+N6+M6+J6</f>
        <v>1674130</v>
      </c>
      <c r="P6" s="16"/>
      <c r="Q6" s="19" t="n">
        <v>150000</v>
      </c>
      <c r="R6" s="19" t="n">
        <v>300000</v>
      </c>
      <c r="S6" s="19" t="n">
        <v>350000</v>
      </c>
      <c r="T6" s="19" t="n">
        <f aca="false">+S6+R6+Q6</f>
        <v>800000</v>
      </c>
      <c r="U6" s="15"/>
      <c r="V6" s="19" t="n">
        <f aca="false">VLOOKUP($F6,Calculations!$B$6:$AE$314,8,FALSE())</f>
        <v>0</v>
      </c>
      <c r="W6" s="19" t="n">
        <f aca="false">VLOOKUP($F6,Calculations!$B$6:$AE$314,11,FALSE())</f>
        <v>0</v>
      </c>
      <c r="X6" s="19"/>
      <c r="Y6" s="19" t="n">
        <f aca="false">T6+V6</f>
        <v>800000</v>
      </c>
      <c r="Z6" s="19" t="n">
        <f aca="false">T6+W6</f>
        <v>800000</v>
      </c>
      <c r="AA6" s="19"/>
      <c r="AB6" s="21" t="n">
        <f aca="false">VLOOKUP($F6,Calculations!$B$6:$AE$314,29,FALSE())</f>
        <v>24828</v>
      </c>
      <c r="AC6" s="15"/>
      <c r="AD6" s="19" t="n">
        <f aca="false">VLOOKUP($F6,Calculations!$B$6:$AE$314,7,FALSE())</f>
        <v>0</v>
      </c>
      <c r="AE6" s="19" t="n">
        <f aca="false">VLOOKUP($F6,Calculations!$B$6:$AE$314,10,FALSE())</f>
        <v>0</v>
      </c>
      <c r="AG6" s="6"/>
      <c r="AH6" s="6"/>
    </row>
    <row r="7" customFormat="false" ht="12.75" hidden="false" customHeight="false" outlineLevel="0" collapsed="false">
      <c r="A7" s="17" t="s">
        <v>41</v>
      </c>
      <c r="B7" s="17" t="s">
        <v>42</v>
      </c>
      <c r="C7" s="14"/>
      <c r="D7" s="14" t="s">
        <v>38</v>
      </c>
      <c r="E7" s="14" t="s">
        <v>38</v>
      </c>
      <c r="F7" s="15" t="s">
        <v>43</v>
      </c>
      <c r="G7" s="15" t="s">
        <v>44</v>
      </c>
      <c r="H7" s="15" t="s">
        <v>45</v>
      </c>
      <c r="I7" s="15"/>
      <c r="J7" s="19" t="n">
        <f aca="false">VLOOKUP($F7,Calculations!$B$6:$AE$314,5,FALSE())</f>
        <v>450000</v>
      </c>
      <c r="K7" s="20" t="s">
        <v>40</v>
      </c>
      <c r="L7" s="20" t="n">
        <f aca="false">J7</f>
        <v>450000</v>
      </c>
      <c r="M7" s="19" t="n">
        <f aca="false">VLOOKUP($F7,Calculations!$B$6:$AE$314,24,FALSE())</f>
        <v>505000</v>
      </c>
      <c r="N7" s="15"/>
      <c r="O7" s="16" t="n">
        <f aca="false">+N7+M7+J7</f>
        <v>955000</v>
      </c>
      <c r="P7" s="16"/>
      <c r="Q7" s="19" t="n">
        <v>150000</v>
      </c>
      <c r="R7" s="19" t="n">
        <v>300000</v>
      </c>
      <c r="S7" s="19" t="n">
        <v>350000</v>
      </c>
      <c r="T7" s="19" t="n">
        <f aca="false">+S7+R7+Q7</f>
        <v>800000</v>
      </c>
      <c r="U7" s="15"/>
      <c r="V7" s="19" t="n">
        <f aca="false">VLOOKUP($F7,Calculations!$B$6:$AE$314,8,FALSE())</f>
        <v>0</v>
      </c>
      <c r="W7" s="19" t="n">
        <f aca="false">VLOOKUP($F7,Calculations!$B$6:$AE$314,11,FALSE())</f>
        <v>0</v>
      </c>
      <c r="X7" s="19"/>
      <c r="Y7" s="19" t="n">
        <f aca="false">T7+V7</f>
        <v>800000</v>
      </c>
      <c r="Z7" s="19" t="n">
        <f aca="false">T7+W7</f>
        <v>800000</v>
      </c>
      <c r="AA7" s="19"/>
      <c r="AB7" s="21" t="n">
        <f aca="false">VLOOKUP($F7,Calculations!$B$6:$AE$314,29,FALSE())</f>
        <v>31826</v>
      </c>
      <c r="AC7" s="15"/>
      <c r="AD7" s="19" t="n">
        <f aca="false">VLOOKUP($F7,Calculations!$B$6:$AE$314,7,FALSE())</f>
        <v>0</v>
      </c>
      <c r="AE7" s="19" t="n">
        <f aca="false">VLOOKUP($F7,Calculations!$B$6:$AE$314,10,FALSE())</f>
        <v>0</v>
      </c>
      <c r="AG7" s="6"/>
      <c r="AH7" s="6"/>
    </row>
    <row r="8" customFormat="false" ht="12.75" hidden="false" customHeight="false" outlineLevel="0" collapsed="false">
      <c r="A8" s="17" t="s">
        <v>46</v>
      </c>
      <c r="B8" s="17" t="s">
        <v>47</v>
      </c>
      <c r="C8" s="14" t="s">
        <v>38</v>
      </c>
      <c r="D8" s="14" t="s">
        <v>38</v>
      </c>
      <c r="E8" s="14" t="s">
        <v>38</v>
      </c>
      <c r="F8" s="22" t="s">
        <v>48</v>
      </c>
      <c r="G8" s="15" t="s">
        <v>44</v>
      </c>
      <c r="H8" s="15" t="s">
        <v>49</v>
      </c>
      <c r="I8" s="15"/>
      <c r="J8" s="19" t="n">
        <f aca="false">VLOOKUP($F8,Calculations!$B$6:$AE$314,5,FALSE())</f>
        <v>375000</v>
      </c>
      <c r="K8" s="20" t="s">
        <v>40</v>
      </c>
      <c r="L8" s="20" t="n">
        <f aca="false">J8</f>
        <v>375000</v>
      </c>
      <c r="M8" s="19" t="n">
        <f aca="false">VLOOKUP($F8,Calculations!$B$6:$AE$314,24,FALSE())</f>
        <v>469365</v>
      </c>
      <c r="N8" s="15"/>
      <c r="O8" s="16" t="n">
        <f aca="false">+N8+M8+J8</f>
        <v>844365</v>
      </c>
      <c r="P8" s="16"/>
      <c r="Q8" s="19" t="n">
        <v>375000</v>
      </c>
      <c r="R8" s="19" t="n">
        <v>300000</v>
      </c>
      <c r="S8" s="19" t="n">
        <v>350000</v>
      </c>
      <c r="T8" s="19" t="n">
        <f aca="false">+S8+R8+Q8</f>
        <v>1025000</v>
      </c>
      <c r="U8" s="15"/>
      <c r="V8" s="19" t="n">
        <f aca="false">VLOOKUP($F8,Calculations!$B$6:$AE$314,8,FALSE())</f>
        <v>0</v>
      </c>
      <c r="W8" s="19" t="n">
        <f aca="false">VLOOKUP($F8,Calculations!$B$6:$AE$314,11,FALSE())</f>
        <v>0</v>
      </c>
      <c r="X8" s="19"/>
      <c r="Y8" s="19" t="n">
        <f aca="false">T8+V8</f>
        <v>1025000</v>
      </c>
      <c r="Z8" s="19" t="n">
        <f aca="false">T8+W8</f>
        <v>1025000</v>
      </c>
      <c r="AA8" s="19"/>
      <c r="AB8" s="21" t="n">
        <f aca="false">VLOOKUP($F8,Calculations!$B$6:$AE$314,29,FALSE())</f>
        <v>31138</v>
      </c>
      <c r="AC8" s="19"/>
      <c r="AD8" s="19" t="n">
        <f aca="false">VLOOKUP($F8,Calculations!$B$6:$AE$314,7,FALSE())</f>
        <v>0</v>
      </c>
      <c r="AE8" s="19" t="n">
        <f aca="false">VLOOKUP($F8,Calculations!$B$6:$AE$314,10,FALSE())</f>
        <v>0</v>
      </c>
      <c r="AG8" s="6"/>
      <c r="AH8" s="6"/>
    </row>
    <row r="9" customFormat="false" ht="12.75" hidden="false" customHeight="false" outlineLevel="0" collapsed="false">
      <c r="A9" s="17" t="s">
        <v>50</v>
      </c>
      <c r="B9" s="17" t="s">
        <v>7</v>
      </c>
      <c r="C9" s="14"/>
      <c r="D9" s="14" t="s">
        <v>38</v>
      </c>
      <c r="E9" s="14" t="s">
        <v>38</v>
      </c>
      <c r="F9" s="15" t="s">
        <v>51</v>
      </c>
      <c r="G9" s="15" t="s">
        <v>52</v>
      </c>
      <c r="H9" s="15" t="s">
        <v>49</v>
      </c>
      <c r="I9" s="15"/>
      <c r="J9" s="19" t="n">
        <f aca="false">VLOOKUP($F9,Calculations!$B$6:$AE$314,5,FALSE())</f>
        <v>350000</v>
      </c>
      <c r="K9" s="20" t="s">
        <v>40</v>
      </c>
      <c r="L9" s="20" t="n">
        <f aca="false">J9</f>
        <v>350000</v>
      </c>
      <c r="M9" s="19" t="n">
        <f aca="false">VLOOKUP($F9,Calculations!$B$6:$AE$314,24,FALSE())</f>
        <v>448140</v>
      </c>
      <c r="N9" s="15" t="n">
        <v>274630</v>
      </c>
      <c r="O9" s="16" t="n">
        <f aca="false">+N9+M9+J9</f>
        <v>1072770</v>
      </c>
      <c r="P9" s="16"/>
      <c r="Q9" s="19" t="n">
        <v>350000</v>
      </c>
      <c r="R9" s="19" t="n">
        <v>300000</v>
      </c>
      <c r="S9" s="19" t="n">
        <v>350000</v>
      </c>
      <c r="T9" s="19" t="n">
        <f aca="false">+S9+R9+Q9</f>
        <v>1000000</v>
      </c>
      <c r="U9" s="15"/>
      <c r="V9" s="19" t="n">
        <f aca="false">VLOOKUP($F9,Calculations!$B$6:$AE$314,8,FALSE())</f>
        <v>0</v>
      </c>
      <c r="W9" s="19" t="n">
        <f aca="false">VLOOKUP($F9,Calculations!$B$6:$AE$314,11,FALSE())</f>
        <v>0</v>
      </c>
      <c r="X9" s="19"/>
      <c r="Y9" s="19" t="n">
        <f aca="false">T9+V9</f>
        <v>1000000</v>
      </c>
      <c r="Z9" s="19" t="n">
        <f aca="false">T9+W9</f>
        <v>1000000</v>
      </c>
      <c r="AA9" s="19"/>
      <c r="AB9" s="21" t="n">
        <f aca="false">VLOOKUP($F9,Calculations!$B$6:$AE$314,29,FALSE())</f>
        <v>31733</v>
      </c>
      <c r="AC9" s="15"/>
      <c r="AD9" s="19" t="n">
        <f aca="false">VLOOKUP($F9,Calculations!$B$6:$AE$314,7,FALSE())</f>
        <v>0</v>
      </c>
      <c r="AE9" s="19" t="n">
        <f aca="false">VLOOKUP($F9,Calculations!$B$6:$AE$314,10,FALSE())</f>
        <v>0</v>
      </c>
      <c r="AG9" s="6"/>
      <c r="AH9" s="6"/>
    </row>
    <row r="10" customFormat="false" ht="12.75" hidden="false" customHeight="false" outlineLevel="0" collapsed="false">
      <c r="A10" s="17" t="s">
        <v>53</v>
      </c>
      <c r="B10" s="17" t="s">
        <v>7</v>
      </c>
      <c r="C10" s="14"/>
      <c r="D10" s="14" t="s">
        <v>38</v>
      </c>
      <c r="E10" s="14" t="s">
        <v>38</v>
      </c>
      <c r="F10" s="15" t="s">
        <v>54</v>
      </c>
      <c r="G10" s="15" t="s">
        <v>55</v>
      </c>
      <c r="H10" s="15" t="s">
        <v>56</v>
      </c>
      <c r="I10" s="15"/>
      <c r="J10" s="19" t="n">
        <f aca="false">VLOOKUP($F10,Calculations!$B$6:$AE$314,5,FALSE())</f>
        <v>350000</v>
      </c>
      <c r="K10" s="20" t="s">
        <v>40</v>
      </c>
      <c r="L10" s="20" t="n">
        <f aca="false">J10</f>
        <v>350000</v>
      </c>
      <c r="M10" s="19" t="n">
        <f aca="false">VLOOKUP($F10,Calculations!$B$6:$AE$314,24,FALSE())</f>
        <v>500000</v>
      </c>
      <c r="N10" s="15"/>
      <c r="O10" s="16" t="n">
        <f aca="false">+N10+M10+J10</f>
        <v>850000</v>
      </c>
      <c r="P10" s="16"/>
      <c r="Q10" s="19" t="n">
        <v>150000</v>
      </c>
      <c r="R10" s="19" t="n">
        <v>300000</v>
      </c>
      <c r="S10" s="19" t="n">
        <v>350000</v>
      </c>
      <c r="T10" s="19" t="n">
        <f aca="false">+S10+R10+Q10</f>
        <v>800000</v>
      </c>
      <c r="U10" s="15"/>
      <c r="V10" s="19" t="n">
        <f aca="false">VLOOKUP($F10,Calculations!$B$6:$AE$314,8,FALSE())</f>
        <v>0</v>
      </c>
      <c r="W10" s="19" t="n">
        <f aca="false">VLOOKUP($F10,Calculations!$B$6:$AE$314,11,FALSE())</f>
        <v>0</v>
      </c>
      <c r="X10" s="19"/>
      <c r="Y10" s="19" t="n">
        <f aca="false">T10+V10</f>
        <v>800000</v>
      </c>
      <c r="Z10" s="19" t="n">
        <f aca="false">T10+W10</f>
        <v>800000</v>
      </c>
      <c r="AA10" s="19"/>
      <c r="AB10" s="21" t="n">
        <f aca="false">VLOOKUP($F10,Calculations!$B$6:$AE$314,29,FALSE())</f>
        <v>32077</v>
      </c>
      <c r="AC10" s="15"/>
      <c r="AD10" s="19" t="n">
        <f aca="false">VLOOKUP($F10,Calculations!$B$6:$AE$314,7,FALSE())</f>
        <v>0</v>
      </c>
      <c r="AE10" s="19" t="n">
        <f aca="false">VLOOKUP($F10,Calculations!$B$6:$AE$314,10,FALSE())</f>
        <v>0</v>
      </c>
      <c r="AG10" s="6"/>
      <c r="AH10" s="6"/>
    </row>
    <row r="11" customFormat="false" ht="12.75" hidden="false" customHeight="false" outlineLevel="0" collapsed="false">
      <c r="A11" s="17" t="s">
        <v>37</v>
      </c>
      <c r="B11" s="17" t="s">
        <v>7</v>
      </c>
      <c r="C11" s="14"/>
      <c r="D11" s="14" t="s">
        <v>38</v>
      </c>
      <c r="E11" s="14" t="s">
        <v>38</v>
      </c>
      <c r="F11" s="15" t="s">
        <v>57</v>
      </c>
      <c r="G11" s="15"/>
      <c r="H11" s="15"/>
      <c r="I11" s="15"/>
      <c r="J11" s="19" t="n">
        <f aca="false">VLOOKUP($F11,Calculations!$B$6:$AE$314,5,FALSE())</f>
        <v>310345</v>
      </c>
      <c r="K11" s="20" t="s">
        <v>40</v>
      </c>
      <c r="L11" s="20" t="n">
        <f aca="false">J11</f>
        <v>310345</v>
      </c>
      <c r="M11" s="19" t="n">
        <f aca="false">VLOOKUP($F11,Calculations!$B$6:$AE$314,24,FALSE())</f>
        <v>745550</v>
      </c>
      <c r="N11" s="19" t="n">
        <v>937530</v>
      </c>
      <c r="O11" s="16" t="n">
        <f aca="false">+N11+M11+J11</f>
        <v>1993425</v>
      </c>
      <c r="P11" s="16"/>
      <c r="Q11" s="19" t="n">
        <v>150000</v>
      </c>
      <c r="R11" s="19" t="n">
        <v>300000</v>
      </c>
      <c r="S11" s="19" t="n">
        <v>350000</v>
      </c>
      <c r="T11" s="19" t="n">
        <f aca="false">+S11+R11+Q11</f>
        <v>800000</v>
      </c>
      <c r="U11" s="15"/>
      <c r="V11" s="19" t="n">
        <f aca="false">VLOOKUP($F11,Calculations!$B$6:$AE$314,8,FALSE())</f>
        <v>0</v>
      </c>
      <c r="W11" s="19" t="n">
        <f aca="false">VLOOKUP($F11,Calculations!$B$6:$AE$314,11,FALSE())</f>
        <v>0</v>
      </c>
      <c r="X11" s="19"/>
      <c r="Y11" s="19" t="n">
        <f aca="false">T11+V11</f>
        <v>800000</v>
      </c>
      <c r="Z11" s="19" t="n">
        <f aca="false">T11+W11</f>
        <v>800000</v>
      </c>
      <c r="AA11" s="19"/>
      <c r="AB11" s="21" t="n">
        <f aca="false">VLOOKUP($F11,Calculations!$B$6:$AE$314,29,FALSE())</f>
        <v>31472</v>
      </c>
      <c r="AC11" s="15"/>
      <c r="AD11" s="19" t="n">
        <f aca="false">VLOOKUP($F11,Calculations!$B$6:$AE$314,7,FALSE())</f>
        <v>0</v>
      </c>
      <c r="AE11" s="19" t="n">
        <f aca="false">VLOOKUP($F11,Calculations!$B$6:$AE$314,10,FALSE())</f>
        <v>0</v>
      </c>
      <c r="AG11" s="6"/>
      <c r="AH11" s="6"/>
    </row>
    <row r="12" customFormat="false" ht="12.75" hidden="false" customHeight="false" outlineLevel="0" collapsed="false">
      <c r="A12" s="17" t="s">
        <v>58</v>
      </c>
      <c r="B12" s="17" t="s">
        <v>7</v>
      </c>
      <c r="C12" s="14"/>
      <c r="D12" s="14" t="s">
        <v>38</v>
      </c>
      <c r="E12" s="14" t="s">
        <v>38</v>
      </c>
      <c r="F12" s="15" t="s">
        <v>59</v>
      </c>
      <c r="G12" s="15"/>
      <c r="H12" s="15"/>
      <c r="I12" s="15"/>
      <c r="J12" s="19" t="n">
        <f aca="false">VLOOKUP($F12,Calculations!$B$6:$AE$314,5,FALSE())</f>
        <v>300000</v>
      </c>
      <c r="K12" s="20" t="s">
        <v>40</v>
      </c>
      <c r="L12" s="20" t="n">
        <f aca="false">J12</f>
        <v>300000</v>
      </c>
      <c r="M12" s="19" t="n">
        <f aca="false">VLOOKUP($F12,Calculations!$B$6:$AE$314,24,FALSE())</f>
        <v>170000</v>
      </c>
      <c r="N12" s="15"/>
      <c r="O12" s="16" t="n">
        <f aca="false">+N12+M12+J12</f>
        <v>470000</v>
      </c>
      <c r="P12" s="16"/>
      <c r="Q12" s="19" t="n">
        <v>150000</v>
      </c>
      <c r="R12" s="19" t="n">
        <v>300000</v>
      </c>
      <c r="S12" s="19" t="n">
        <v>350000</v>
      </c>
      <c r="T12" s="19" t="n">
        <f aca="false">+S12+R12+Q12</f>
        <v>800000</v>
      </c>
      <c r="U12" s="15"/>
      <c r="V12" s="19" t="n">
        <f aca="false">VLOOKUP($F12,Calculations!$B$6:$AE$314,8,FALSE())</f>
        <v>0</v>
      </c>
      <c r="W12" s="19" t="n">
        <f aca="false">VLOOKUP($F12,Calculations!$B$6:$AE$314,11,FALSE())</f>
        <v>0</v>
      </c>
      <c r="X12" s="19"/>
      <c r="Y12" s="19" t="n">
        <f aca="false">T12+V12</f>
        <v>800000</v>
      </c>
      <c r="Z12" s="19" t="n">
        <f aca="false">T12+W12</f>
        <v>800000</v>
      </c>
      <c r="AA12" s="19"/>
      <c r="AB12" s="21" t="n">
        <f aca="false">VLOOKUP($F12,Calculations!$B$6:$AE$314,29,FALSE())</f>
        <v>28240</v>
      </c>
      <c r="AC12" s="15"/>
      <c r="AD12" s="19" t="n">
        <f aca="false">VLOOKUP($F12,Calculations!$B$6:$AE$314,7,FALSE())</f>
        <v>0</v>
      </c>
      <c r="AE12" s="19" t="n">
        <f aca="false">VLOOKUP($F12,Calculations!$B$6:$AE$314,10,FALSE())</f>
        <v>0</v>
      </c>
      <c r="AG12" s="6"/>
      <c r="AH12" s="6"/>
    </row>
    <row r="13" customFormat="false" ht="12.75" hidden="false" customHeight="false" outlineLevel="0" collapsed="false">
      <c r="A13" s="17" t="s">
        <v>37</v>
      </c>
      <c r="B13" s="17" t="s">
        <v>7</v>
      </c>
      <c r="C13" s="14"/>
      <c r="D13" s="14" t="s">
        <v>38</v>
      </c>
      <c r="E13" s="14" t="s">
        <v>38</v>
      </c>
      <c r="F13" s="15" t="s">
        <v>60</v>
      </c>
      <c r="G13" s="15"/>
      <c r="H13" s="15" t="s">
        <v>61</v>
      </c>
      <c r="I13" s="15"/>
      <c r="J13" s="19" t="n">
        <f aca="false">VLOOKUP($F13,Calculations!$B$6:$AE$314,5,FALSE())</f>
        <v>258621</v>
      </c>
      <c r="K13" s="20" t="s">
        <v>40</v>
      </c>
      <c r="L13" s="20" t="n">
        <f aca="false">J13</f>
        <v>258621</v>
      </c>
      <c r="M13" s="19" t="n">
        <f aca="false">VLOOKUP($F13,Calculations!$B$6:$AE$314,24,FALSE())</f>
        <v>122575</v>
      </c>
      <c r="N13" s="23" t="n">
        <v>132580</v>
      </c>
      <c r="O13" s="16" t="n">
        <f aca="false">+N13+M13+J13</f>
        <v>513776</v>
      </c>
      <c r="P13" s="16"/>
      <c r="Q13" s="19" t="n">
        <v>140000</v>
      </c>
      <c r="R13" s="19" t="n">
        <v>66000</v>
      </c>
      <c r="S13" s="19" t="n">
        <v>150000</v>
      </c>
      <c r="T13" s="19" t="n">
        <f aca="false">+S13+R13+Q13</f>
        <v>356000</v>
      </c>
      <c r="U13" s="15"/>
      <c r="V13" s="19" t="n">
        <f aca="false">VLOOKUP($F13,Calculations!$B$6:$AE$314,8,FALSE())</f>
        <v>0</v>
      </c>
      <c r="W13" s="19" t="n">
        <f aca="false">VLOOKUP($F13,Calculations!$B$6:$AE$314,11,FALSE())</f>
        <v>0</v>
      </c>
      <c r="X13" s="19"/>
      <c r="Y13" s="19" t="n">
        <f aca="false">T13+V13</f>
        <v>356000</v>
      </c>
      <c r="Z13" s="19" t="n">
        <f aca="false">T13+W13</f>
        <v>356000</v>
      </c>
      <c r="AA13" s="19"/>
      <c r="AB13" s="21" t="n">
        <f aca="false">VLOOKUP($F13,Calculations!$B$6:$AE$314,29,FALSE())</f>
        <v>34243</v>
      </c>
      <c r="AC13" s="15"/>
      <c r="AD13" s="19" t="n">
        <f aca="false">VLOOKUP($F13,Calculations!$B$6:$AE$314,7,FALSE())</f>
        <v>0</v>
      </c>
      <c r="AE13" s="19" t="n">
        <f aca="false">VLOOKUP($F13,Calculations!$B$6:$AE$314,10,FALSE())</f>
        <v>0</v>
      </c>
      <c r="AG13" s="6"/>
      <c r="AH13" s="6"/>
    </row>
    <row r="14" customFormat="false" ht="12.75" hidden="false" customHeight="false" outlineLevel="0" collapsed="false">
      <c r="A14" s="17" t="s">
        <v>50</v>
      </c>
      <c r="B14" s="17" t="s">
        <v>7</v>
      </c>
      <c r="C14" s="14"/>
      <c r="D14" s="14" t="s">
        <v>38</v>
      </c>
      <c r="E14" s="14" t="s">
        <v>38</v>
      </c>
      <c r="F14" s="15" t="s">
        <v>62</v>
      </c>
      <c r="G14" s="15" t="s">
        <v>52</v>
      </c>
      <c r="H14" s="15" t="s">
        <v>61</v>
      </c>
      <c r="I14" s="15"/>
      <c r="J14" s="19" t="n">
        <f aca="false">VLOOKUP($F14,Calculations!$B$6:$AE$314,5,FALSE())</f>
        <v>230000</v>
      </c>
      <c r="K14" s="20" t="s">
        <v>40</v>
      </c>
      <c r="L14" s="20" t="n">
        <f aca="false">J14</f>
        <v>230000</v>
      </c>
      <c r="M14" s="19" t="n">
        <f aca="false">VLOOKUP($F14,Calculations!$B$6:$AE$314,24,FALSE())</f>
        <v>241130</v>
      </c>
      <c r="N14" s="23" t="n">
        <v>265160</v>
      </c>
      <c r="O14" s="16" t="n">
        <f aca="false">+N14+M14+J14</f>
        <v>736290</v>
      </c>
      <c r="P14" s="16"/>
      <c r="Q14" s="19" t="n">
        <v>140000</v>
      </c>
      <c r="R14" s="19" t="n">
        <v>150000</v>
      </c>
      <c r="S14" s="19" t="n">
        <v>200000</v>
      </c>
      <c r="T14" s="19" t="n">
        <f aca="false">+S14+R14+Q14</f>
        <v>490000</v>
      </c>
      <c r="U14" s="15"/>
      <c r="V14" s="19" t="n">
        <f aca="false">VLOOKUP($F14,Calculations!$B$6:$AE$314,8,FALSE())</f>
        <v>0</v>
      </c>
      <c r="W14" s="19" t="n">
        <f aca="false">VLOOKUP($F14,Calculations!$B$6:$AE$314,11,FALSE())</f>
        <v>0</v>
      </c>
      <c r="X14" s="19"/>
      <c r="Y14" s="19" t="n">
        <f aca="false">T14+V14</f>
        <v>490000</v>
      </c>
      <c r="Z14" s="19" t="n">
        <f aca="false">T14+W14</f>
        <v>490000</v>
      </c>
      <c r="AA14" s="19"/>
      <c r="AB14" s="21" t="n">
        <f aca="false">VLOOKUP($F14,Calculations!$B$6:$AE$314,29,FALSE())</f>
        <v>35324</v>
      </c>
      <c r="AC14" s="15"/>
      <c r="AD14" s="19" t="n">
        <f aca="false">VLOOKUP($F14,Calculations!$B$6:$AE$314,7,FALSE())</f>
        <v>0</v>
      </c>
      <c r="AE14" s="19" t="n">
        <f aca="false">VLOOKUP($F14,Calculations!$B$6:$AE$314,10,FALSE())</f>
        <v>0</v>
      </c>
      <c r="AG14" s="6"/>
      <c r="AH14" s="6"/>
    </row>
    <row r="15" customFormat="false" ht="12.75" hidden="false" customHeight="false" outlineLevel="0" collapsed="false">
      <c r="A15" s="17" t="s">
        <v>53</v>
      </c>
      <c r="B15" s="17" t="s">
        <v>7</v>
      </c>
      <c r="C15" s="14"/>
      <c r="D15" s="14" t="s">
        <v>38</v>
      </c>
      <c r="E15" s="14" t="s">
        <v>38</v>
      </c>
      <c r="F15" s="15" t="s">
        <v>63</v>
      </c>
      <c r="G15" s="15" t="s">
        <v>64</v>
      </c>
      <c r="H15" s="15" t="s">
        <v>65</v>
      </c>
      <c r="I15" s="15"/>
      <c r="J15" s="19" t="n">
        <f aca="false">VLOOKUP($F15,Calculations!$B$6:$AE$314,5,FALSE())</f>
        <v>206000</v>
      </c>
      <c r="K15" s="20" t="s">
        <v>40</v>
      </c>
      <c r="L15" s="20" t="n">
        <f aca="false">J15</f>
        <v>206000</v>
      </c>
      <c r="M15" s="19" t="n">
        <f aca="false">VLOOKUP($F15,Calculations!$B$6:$AE$314,24,FALSE())</f>
        <v>90000</v>
      </c>
      <c r="N15" s="23"/>
      <c r="O15" s="16" t="n">
        <f aca="false">+N15+M15+J15</f>
        <v>296000</v>
      </c>
      <c r="P15" s="16"/>
      <c r="Q15" s="19" t="n">
        <v>140000</v>
      </c>
      <c r="R15" s="19" t="n">
        <v>50000</v>
      </c>
      <c r="S15" s="19" t="n">
        <v>150000</v>
      </c>
      <c r="T15" s="19" t="n">
        <f aca="false">+S15+R15+Q15</f>
        <v>340000</v>
      </c>
      <c r="U15" s="15"/>
      <c r="V15" s="19" t="n">
        <f aca="false">VLOOKUP($F15,Calculations!$B$6:$AE$314,8,FALSE())</f>
        <v>0</v>
      </c>
      <c r="W15" s="19" t="n">
        <f aca="false">VLOOKUP($F15,Calculations!$B$6:$AE$314,11,FALSE())</f>
        <v>0</v>
      </c>
      <c r="X15" s="19"/>
      <c r="Y15" s="19" t="n">
        <f aca="false">T15+V15</f>
        <v>340000</v>
      </c>
      <c r="Z15" s="19" t="n">
        <f aca="false">T15+W15</f>
        <v>340000</v>
      </c>
      <c r="AA15" s="19"/>
      <c r="AB15" s="21" t="n">
        <f aca="false">VLOOKUP($F15,Calculations!$B$6:$AE$314,29,FALSE())</f>
        <v>29430</v>
      </c>
      <c r="AC15" s="15"/>
      <c r="AD15" s="19" t="n">
        <f aca="false">VLOOKUP($F15,Calculations!$B$6:$AE$314,7,FALSE())</f>
        <v>0</v>
      </c>
      <c r="AE15" s="19" t="n">
        <f aca="false">VLOOKUP($F15,Calculations!$B$6:$AE$314,10,FALSE())</f>
        <v>0</v>
      </c>
      <c r="AG15" s="6"/>
      <c r="AH15" s="6"/>
    </row>
    <row r="16" customFormat="false" ht="12.75" hidden="false" customHeight="false" outlineLevel="0" collapsed="false">
      <c r="A16" s="17" t="s">
        <v>50</v>
      </c>
      <c r="B16" s="17" t="s">
        <v>7</v>
      </c>
      <c r="C16" s="14"/>
      <c r="D16" s="14" t="s">
        <v>38</v>
      </c>
      <c r="E16" s="14" t="s">
        <v>38</v>
      </c>
      <c r="F16" s="15" t="s">
        <v>66</v>
      </c>
      <c r="G16" s="15" t="s">
        <v>67</v>
      </c>
      <c r="H16" s="15" t="s">
        <v>68</v>
      </c>
      <c r="I16" s="15"/>
      <c r="J16" s="19" t="n">
        <f aca="false">VLOOKUP($F16,Calculations!$B$6:$AE$314,5,FALSE())</f>
        <v>137000</v>
      </c>
      <c r="K16" s="20" t="s">
        <v>40</v>
      </c>
      <c r="L16" s="20" t="n">
        <f aca="false">J16</f>
        <v>137000</v>
      </c>
      <c r="M16" s="19" t="n">
        <f aca="false">VLOOKUP($F16,Calculations!$B$6:$AE$314,24,FALSE())</f>
        <v>35000</v>
      </c>
      <c r="N16" s="23"/>
      <c r="O16" s="16" t="n">
        <f aca="false">+N16+M16+J16</f>
        <v>172000</v>
      </c>
      <c r="P16" s="16"/>
      <c r="Q16" s="19" t="n">
        <v>90000</v>
      </c>
      <c r="R16" s="19" t="n">
        <v>15000</v>
      </c>
      <c r="S16" s="19" t="n">
        <v>75000</v>
      </c>
      <c r="T16" s="19" t="n">
        <f aca="false">+S16+R16+Q16</f>
        <v>180000</v>
      </c>
      <c r="U16" s="15"/>
      <c r="V16" s="19" t="n">
        <f aca="false">VLOOKUP($F16,Calculations!$B$6:$AE$314,8,FALSE())</f>
        <v>0</v>
      </c>
      <c r="W16" s="19" t="n">
        <f aca="false">VLOOKUP($F16,Calculations!$B$6:$AE$314,11,FALSE())</f>
        <v>0</v>
      </c>
      <c r="X16" s="19"/>
      <c r="Y16" s="19" t="n">
        <f aca="false">T16+V16</f>
        <v>180000</v>
      </c>
      <c r="Z16" s="19" t="n">
        <f aca="false">T16+W16</f>
        <v>180000</v>
      </c>
      <c r="AA16" s="19"/>
      <c r="AB16" s="21" t="n">
        <f aca="false">VLOOKUP($F16,Calculations!$B$6:$AE$314,29,FALSE())</f>
        <v>31315</v>
      </c>
      <c r="AC16" s="15"/>
      <c r="AD16" s="19" t="n">
        <f aca="false">VLOOKUP($F16,Calculations!$B$6:$AE$314,7,FALSE())</f>
        <v>0</v>
      </c>
      <c r="AE16" s="19" t="n">
        <f aca="false">VLOOKUP($F16,Calculations!$B$6:$AE$314,10,FALSE())</f>
        <v>0</v>
      </c>
      <c r="AG16" s="6"/>
      <c r="AH16" s="6"/>
    </row>
    <row r="17" customFormat="false" ht="12.75" hidden="false" customHeight="false" outlineLevel="0" collapsed="false">
      <c r="A17" s="17" t="s">
        <v>53</v>
      </c>
      <c r="B17" s="17" t="s">
        <v>7</v>
      </c>
      <c r="C17" s="14"/>
      <c r="D17" s="14" t="s">
        <v>38</v>
      </c>
      <c r="E17" s="14" t="s">
        <v>38</v>
      </c>
      <c r="F17" s="15" t="s">
        <v>69</v>
      </c>
      <c r="G17" s="15" t="s">
        <v>70</v>
      </c>
      <c r="H17" s="15" t="s">
        <v>65</v>
      </c>
      <c r="I17" s="15"/>
      <c r="J17" s="19" t="n">
        <f aca="false">VLOOKUP($F17,Calculations!$B$6:$AE$314,5,FALSE())</f>
        <v>134000</v>
      </c>
      <c r="K17" s="20" t="s">
        <v>40</v>
      </c>
      <c r="L17" s="20" t="n">
        <f aca="false">J17</f>
        <v>134000</v>
      </c>
      <c r="M17" s="19" t="n">
        <f aca="false">VLOOKUP($F17,Calculations!$B$6:$AE$314,24,FALSE())</f>
        <v>50000</v>
      </c>
      <c r="N17" s="23"/>
      <c r="O17" s="16" t="n">
        <f aca="false">+N17+M17+J17</f>
        <v>184000</v>
      </c>
      <c r="P17" s="16"/>
      <c r="Q17" s="19" t="n">
        <v>115000</v>
      </c>
      <c r="R17" s="19" t="n">
        <v>50000</v>
      </c>
      <c r="S17" s="19" t="n">
        <v>75000</v>
      </c>
      <c r="T17" s="19" t="n">
        <f aca="false">+S17+R17+Q17</f>
        <v>240000</v>
      </c>
      <c r="U17" s="15"/>
      <c r="V17" s="19" t="n">
        <f aca="false">VLOOKUP($F17,Calculations!$B$6:$AE$314,8,FALSE())</f>
        <v>0</v>
      </c>
      <c r="W17" s="19" t="n">
        <f aca="false">VLOOKUP($F17,Calculations!$B$6:$AE$314,11,FALSE())</f>
        <v>0</v>
      </c>
      <c r="X17" s="19"/>
      <c r="Y17" s="19" t="n">
        <f aca="false">T17+V17</f>
        <v>240000</v>
      </c>
      <c r="Z17" s="19" t="n">
        <f aca="false">T17+W17</f>
        <v>240000</v>
      </c>
      <c r="AA17" s="19"/>
      <c r="AB17" s="21" t="n">
        <f aca="false">VLOOKUP($F17,Calculations!$B$6:$AE$314,29,FALSE())</f>
        <v>29311</v>
      </c>
      <c r="AC17" s="15"/>
      <c r="AD17" s="19" t="n">
        <f aca="false">VLOOKUP($F17,Calculations!$B$6:$AE$314,7,FALSE())</f>
        <v>0</v>
      </c>
      <c r="AE17" s="19" t="n">
        <f aca="false">VLOOKUP($F17,Calculations!$B$6:$AE$314,10,FALSE())</f>
        <v>0</v>
      </c>
      <c r="AG17" s="6"/>
      <c r="AH17" s="6"/>
    </row>
    <row r="18" customFormat="false" ht="12.75" hidden="false" customHeight="false" outlineLevel="0" collapsed="false">
      <c r="A18" s="17" t="s">
        <v>6</v>
      </c>
      <c r="B18" s="17"/>
      <c r="C18" s="14"/>
      <c r="D18" s="14"/>
      <c r="E18" s="14"/>
      <c r="F18" s="17"/>
      <c r="G18" s="17"/>
      <c r="H18" s="17"/>
      <c r="I18" s="17"/>
      <c r="J18" s="16" t="n">
        <f aca="false">SUM(J6:J17)</f>
        <v>3600966</v>
      </c>
      <c r="K18" s="18"/>
      <c r="L18" s="18"/>
      <c r="M18" s="16" t="n">
        <f aca="false">SUM(M6:M17)</f>
        <v>3802760</v>
      </c>
      <c r="N18" s="24" t="n">
        <f aca="false">SUM(N6:N17)</f>
        <v>2358030</v>
      </c>
      <c r="O18" s="16" t="n">
        <f aca="false">SUM(O6:O17)</f>
        <v>9761756</v>
      </c>
      <c r="P18" s="16"/>
      <c r="Q18" s="16" t="n">
        <f aca="false">SUM(Q6:Q17)</f>
        <v>2100000</v>
      </c>
      <c r="R18" s="16" t="n">
        <f aca="false">SUM(R6:R17)</f>
        <v>2431000</v>
      </c>
      <c r="S18" s="16" t="n">
        <f aca="false">SUM(S6:S17)</f>
        <v>3100000</v>
      </c>
      <c r="T18" s="16" t="n">
        <f aca="false">SUM(T6:T17)</f>
        <v>7631000</v>
      </c>
      <c r="U18" s="16"/>
      <c r="V18" s="16" t="n">
        <f aca="false">SUM(V6:V17)</f>
        <v>0</v>
      </c>
      <c r="W18" s="16" t="n">
        <f aca="false">SUM(W6:W17)</f>
        <v>0</v>
      </c>
      <c r="X18" s="16"/>
      <c r="Y18" s="16" t="n">
        <f aca="false">SUM(Y6:Y17)</f>
        <v>7631000</v>
      </c>
      <c r="Z18" s="16" t="n">
        <f aca="false">SUM(Z6:Z17)</f>
        <v>7631000</v>
      </c>
      <c r="AA18" s="16"/>
      <c r="AB18" s="16"/>
      <c r="AC18" s="16"/>
      <c r="AD18" s="16" t="n">
        <f aca="false">SUM(AD6:AD17)</f>
        <v>0</v>
      </c>
      <c r="AE18" s="16" t="n">
        <f aca="false">SUM(AE6:AE17)</f>
        <v>0</v>
      </c>
      <c r="AF18" s="12"/>
      <c r="AH18" s="6"/>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row>
    <row r="19" customFormat="false" ht="12.75" hidden="false" customHeight="false" outlineLevel="0" collapsed="false">
      <c r="A19" s="13"/>
      <c r="B19" s="13"/>
      <c r="C19" s="13"/>
      <c r="D19" s="13"/>
      <c r="E19" s="14"/>
      <c r="F19" s="15"/>
      <c r="G19" s="15"/>
      <c r="H19" s="15"/>
      <c r="I19" s="15"/>
      <c r="J19" s="19"/>
      <c r="K19" s="20"/>
      <c r="L19" s="20"/>
      <c r="M19" s="19"/>
      <c r="N19" s="23"/>
      <c r="O19" s="17"/>
      <c r="P19" s="17"/>
      <c r="Q19" s="15"/>
      <c r="R19" s="15"/>
      <c r="S19" s="15"/>
      <c r="T19" s="15"/>
      <c r="U19" s="15"/>
      <c r="V19" s="19"/>
      <c r="W19" s="15"/>
      <c r="X19" s="15"/>
      <c r="Y19" s="15"/>
      <c r="Z19" s="15"/>
      <c r="AA19" s="15"/>
      <c r="AB19" s="15"/>
      <c r="AC19" s="15"/>
      <c r="AD19" s="15"/>
      <c r="AE19" s="15"/>
      <c r="AH19" s="6"/>
    </row>
    <row r="20" customFormat="false" ht="12.75" hidden="false" customHeight="false" outlineLevel="0" collapsed="false">
      <c r="A20" s="17" t="s">
        <v>41</v>
      </c>
      <c r="B20" s="17" t="s">
        <v>42</v>
      </c>
      <c r="C20" s="14"/>
      <c r="D20" s="14"/>
      <c r="E20" s="14" t="s">
        <v>38</v>
      </c>
      <c r="F20" s="15" t="s">
        <v>71</v>
      </c>
      <c r="G20" s="15" t="s">
        <v>72</v>
      </c>
      <c r="H20" s="15" t="s">
        <v>61</v>
      </c>
      <c r="I20" s="15"/>
      <c r="J20" s="19" t="n">
        <f aca="false">VLOOKUP($F20,Calculations!$B$6:$AE$314,5,FALSE())</f>
        <v>351325</v>
      </c>
      <c r="K20" s="20" t="s">
        <v>40</v>
      </c>
      <c r="L20" s="20" t="n">
        <f aca="false">J20</f>
        <v>351325</v>
      </c>
      <c r="M20" s="19" t="n">
        <f aca="false">VLOOKUP($F20,Calculations!$B$6:$AE$314,24,FALSE())</f>
        <v>505000</v>
      </c>
      <c r="N20" s="23"/>
      <c r="O20" s="16" t="n">
        <f aca="false">+N20+M20+J20</f>
        <v>856325</v>
      </c>
      <c r="P20" s="16"/>
      <c r="Q20" s="19" t="n">
        <v>130000</v>
      </c>
      <c r="R20" s="19" t="n">
        <v>66000</v>
      </c>
      <c r="S20" s="19" t="n">
        <v>25000</v>
      </c>
      <c r="T20" s="19" t="n">
        <f aca="false">+S20+R20+Q20</f>
        <v>221000</v>
      </c>
      <c r="U20" s="15"/>
      <c r="V20" s="19" t="n">
        <f aca="false">VLOOKUP($F20,Calculations!$B$6:$AE$314,8,FALSE())</f>
        <v>486450</v>
      </c>
      <c r="W20" s="19" t="n">
        <f aca="false">VLOOKUP($F20,Calculations!$B$6:$AE$314,11,FALSE())</f>
        <v>526987.5</v>
      </c>
      <c r="X20" s="19"/>
      <c r="Y20" s="19" t="n">
        <f aca="false">T20+V20</f>
        <v>707450</v>
      </c>
      <c r="Z20" s="19" t="n">
        <f aca="false">T20+W20</f>
        <v>747987.5</v>
      </c>
      <c r="AA20" s="19"/>
      <c r="AB20" s="21" t="n">
        <f aca="false">VLOOKUP($F20,Calculations!$B$6:$AE$314,29,FALSE())</f>
        <v>32933</v>
      </c>
      <c r="AC20" s="15"/>
      <c r="AD20" s="19" t="n">
        <f aca="false">VLOOKUP($F20,Calculations!$B$6:$AE$314,7,FALSE())</f>
        <v>0</v>
      </c>
      <c r="AE20" s="19" t="n">
        <f aca="false">VLOOKUP($F20,Calculations!$B$6:$AE$314,10,FALSE())</f>
        <v>0</v>
      </c>
      <c r="AH20" s="6"/>
    </row>
    <row r="21" customFormat="false" ht="12.75" hidden="false" customHeight="false" outlineLevel="0" collapsed="false">
      <c r="A21" s="17" t="s">
        <v>53</v>
      </c>
      <c r="B21" s="17" t="s">
        <v>7</v>
      </c>
      <c r="C21" s="14"/>
      <c r="D21" s="14" t="s">
        <v>73</v>
      </c>
      <c r="E21" s="14" t="s">
        <v>38</v>
      </c>
      <c r="F21" s="15" t="s">
        <v>74</v>
      </c>
      <c r="G21" s="15" t="s">
        <v>75</v>
      </c>
      <c r="H21" s="15" t="s">
        <v>49</v>
      </c>
      <c r="I21" s="15"/>
      <c r="J21" s="19" t="n">
        <f aca="false">VLOOKUP($F21,Calculations!$B$6:$AE$314,5,FALSE())</f>
        <v>350000</v>
      </c>
      <c r="K21" s="20" t="s">
        <v>40</v>
      </c>
      <c r="L21" s="20" t="n">
        <f aca="false">J21</f>
        <v>350000</v>
      </c>
      <c r="M21" s="19" t="n">
        <f aca="false">VLOOKUP($F21,Calculations!$B$6:$AE$314,24,FALSE())</f>
        <v>350000</v>
      </c>
      <c r="N21" s="23"/>
      <c r="O21" s="16" t="n">
        <f aca="false">+N21+M21+J21</f>
        <v>700000</v>
      </c>
      <c r="P21" s="16"/>
      <c r="Q21" s="19" t="n">
        <v>350000</v>
      </c>
      <c r="R21" s="19" t="n">
        <v>175000</v>
      </c>
      <c r="S21" s="19" t="n">
        <v>275000</v>
      </c>
      <c r="T21" s="19" t="n">
        <f aca="false">+S21+R21+Q21</f>
        <v>800000</v>
      </c>
      <c r="U21" s="15"/>
      <c r="V21" s="19" t="n">
        <f aca="false">VLOOKUP($F21,Calculations!$B$6:$AE$314,8,FALSE())</f>
        <v>0</v>
      </c>
      <c r="W21" s="19" t="n">
        <f aca="false">VLOOKUP($F21,Calculations!$B$6:$AE$314,11,FALSE())</f>
        <v>0</v>
      </c>
      <c r="X21" s="19"/>
      <c r="Y21" s="19" t="n">
        <f aca="false">T21+V21</f>
        <v>800000</v>
      </c>
      <c r="Z21" s="19" t="n">
        <f aca="false">T21+W21</f>
        <v>800000</v>
      </c>
      <c r="AA21" s="19"/>
      <c r="AB21" s="21" t="n">
        <f aca="false">VLOOKUP($F21,Calculations!$B$6:$AE$314,29,FALSE())</f>
        <v>27211</v>
      </c>
      <c r="AC21" s="15"/>
      <c r="AD21" s="19" t="n">
        <f aca="false">VLOOKUP($F21,Calculations!$B$6:$AE$314,7,FALSE())</f>
        <v>0</v>
      </c>
      <c r="AE21" s="19" t="n">
        <f aca="false">VLOOKUP($F21,Calculations!$B$6:$AE$314,10,FALSE())</f>
        <v>0</v>
      </c>
      <c r="AH21" s="6"/>
    </row>
    <row r="22" customFormat="false" ht="12.75" hidden="false" customHeight="false" outlineLevel="0" collapsed="false">
      <c r="A22" s="17" t="s">
        <v>37</v>
      </c>
      <c r="B22" s="17" t="s">
        <v>42</v>
      </c>
      <c r="C22" s="14" t="s">
        <v>38</v>
      </c>
      <c r="D22" s="14"/>
      <c r="E22" s="14" t="s">
        <v>38</v>
      </c>
      <c r="F22" s="22" t="s">
        <v>76</v>
      </c>
      <c r="G22" s="15"/>
      <c r="H22" s="15" t="s">
        <v>61</v>
      </c>
      <c r="I22" s="15"/>
      <c r="J22" s="19" t="n">
        <f aca="false">VLOOKUP($F22,Calculations!$B$6:$AE$314,5,FALSE())</f>
        <v>285714</v>
      </c>
      <c r="K22" s="20" t="s">
        <v>40</v>
      </c>
      <c r="L22" s="20" t="n">
        <f aca="false">J22</f>
        <v>285714</v>
      </c>
      <c r="M22" s="19" t="n">
        <f aca="false">VLOOKUP($F22,Calculations!$B$6:$AE$314,24,FALSE())</f>
        <v>422000</v>
      </c>
      <c r="N22" s="23"/>
      <c r="O22" s="16" t="n">
        <f aca="false">+N22+M22+J22</f>
        <v>707714</v>
      </c>
      <c r="P22" s="16"/>
      <c r="Q22" s="19" t="n">
        <v>130000</v>
      </c>
      <c r="R22" s="19" t="n">
        <v>66000</v>
      </c>
      <c r="S22" s="19" t="n">
        <v>25000</v>
      </c>
      <c r="T22" s="19" t="n">
        <f aca="false">+S22+R22+Q22</f>
        <v>221000</v>
      </c>
      <c r="U22" s="15"/>
      <c r="V22" s="19" t="n">
        <f aca="false">VLOOKUP($F22,Calculations!$B$6:$AE$314,8,FALSE())</f>
        <v>461538</v>
      </c>
      <c r="W22" s="19" t="n">
        <f aca="false">VLOOKUP($F22,Calculations!$B$6:$AE$314,11,FALSE())</f>
        <v>428571</v>
      </c>
      <c r="X22" s="19"/>
      <c r="Y22" s="19" t="n">
        <f aca="false">T22+V22</f>
        <v>682538</v>
      </c>
      <c r="Z22" s="19" t="n">
        <f aca="false">T22+W22</f>
        <v>649571</v>
      </c>
      <c r="AA22" s="19"/>
      <c r="AB22" s="21" t="n">
        <f aca="false">VLOOKUP($F22,Calculations!$B$6:$AE$314,29,FALSE())</f>
        <v>31990</v>
      </c>
      <c r="AC22" s="15"/>
      <c r="AD22" s="19" t="n">
        <f aca="false">VLOOKUP($F22,Calculations!$B$6:$AE$314,7,FALSE())</f>
        <v>0</v>
      </c>
      <c r="AE22" s="19" t="n">
        <f aca="false">VLOOKUP($F22,Calculations!$B$6:$AE$314,10,FALSE())</f>
        <v>0</v>
      </c>
      <c r="AH22" s="6"/>
    </row>
    <row r="23" customFormat="false" ht="12.75" hidden="false" customHeight="false" outlineLevel="0" collapsed="false">
      <c r="A23" s="17" t="s">
        <v>77</v>
      </c>
      <c r="B23" s="17" t="s">
        <v>7</v>
      </c>
      <c r="C23" s="14"/>
      <c r="D23" s="14"/>
      <c r="E23" s="14" t="s">
        <v>38</v>
      </c>
      <c r="F23" s="15" t="s">
        <v>78</v>
      </c>
      <c r="G23" s="15"/>
      <c r="H23" s="15"/>
      <c r="I23" s="15"/>
      <c r="J23" s="19" t="n">
        <f aca="false">VLOOKUP($F23,Calculations!$B$6:$AE$314,5,FALSE())</f>
        <v>275000</v>
      </c>
      <c r="K23" s="20" t="s">
        <v>40</v>
      </c>
      <c r="L23" s="20" t="n">
        <f aca="false">J23</f>
        <v>275000</v>
      </c>
      <c r="M23" s="19" t="n">
        <f aca="false">VLOOKUP($F23,Calculations!$B$6:$AE$314,24,FALSE())</f>
        <v>340250</v>
      </c>
      <c r="N23" s="23" t="n">
        <v>445090</v>
      </c>
      <c r="O23" s="16" t="n">
        <f aca="false">+N23+M23+J23</f>
        <v>1060340</v>
      </c>
      <c r="P23" s="16"/>
      <c r="Q23" s="19" t="n">
        <v>150000</v>
      </c>
      <c r="R23" s="19"/>
      <c r="S23" s="19"/>
      <c r="T23" s="19" t="n">
        <f aca="false">+S23+R23+Q23</f>
        <v>150000</v>
      </c>
      <c r="U23" s="15"/>
      <c r="V23" s="19" t="n">
        <f aca="false">VLOOKUP($F23,Calculations!$B$6:$AE$314,8,FALSE())</f>
        <v>444230.769230769</v>
      </c>
      <c r="W23" s="19" t="n">
        <f aca="false">VLOOKUP($F23,Calculations!$B$6:$AE$314,11,FALSE())</f>
        <v>412500</v>
      </c>
      <c r="X23" s="19"/>
      <c r="Y23" s="19" t="n">
        <f aca="false">T23+V23</f>
        <v>594230.769230769</v>
      </c>
      <c r="Z23" s="19" t="n">
        <f aca="false">T23+W23</f>
        <v>562500</v>
      </c>
      <c r="AA23" s="19"/>
      <c r="AB23" s="21" t="n">
        <f aca="false">VLOOKUP($F23,Calculations!$B$6:$AE$314,29,FALSE())</f>
        <v>32203</v>
      </c>
      <c r="AC23" s="15"/>
      <c r="AD23" s="19" t="n">
        <f aca="false">VLOOKUP($F23,Calculations!$B$6:$AE$314,7,FALSE())</f>
        <v>0</v>
      </c>
      <c r="AE23" s="19" t="n">
        <f aca="false">VLOOKUP($F23,Calculations!$B$6:$AE$314,10,FALSE())</f>
        <v>0</v>
      </c>
      <c r="AH23" s="6"/>
    </row>
    <row r="24" customFormat="false" ht="12.75" hidden="false" customHeight="false" outlineLevel="0" collapsed="false">
      <c r="A24" s="17" t="s">
        <v>53</v>
      </c>
      <c r="B24" s="17" t="s">
        <v>7</v>
      </c>
      <c r="C24" s="14"/>
      <c r="D24" s="14"/>
      <c r="E24" s="14" t="s">
        <v>38</v>
      </c>
      <c r="F24" s="15" t="s">
        <v>79</v>
      </c>
      <c r="G24" s="15" t="s">
        <v>80</v>
      </c>
      <c r="H24" s="15" t="s">
        <v>81</v>
      </c>
      <c r="I24" s="15"/>
      <c r="J24" s="19" t="n">
        <f aca="false">VLOOKUP($F24,Calculations!$B$6:$AE$314,5,FALSE())</f>
        <v>245000</v>
      </c>
      <c r="K24" s="20" t="s">
        <v>40</v>
      </c>
      <c r="L24" s="20" t="n">
        <f aca="false">J24</f>
        <v>245000</v>
      </c>
      <c r="M24" s="19" t="n">
        <f aca="false">VLOOKUP($F24,Calculations!$B$6:$AE$314,24,FALSE())</f>
        <v>100000</v>
      </c>
      <c r="N24" s="23"/>
      <c r="O24" s="16" t="n">
        <f aca="false">+N24+M24+J24</f>
        <v>345000</v>
      </c>
      <c r="P24" s="16"/>
      <c r="Q24" s="19" t="n">
        <v>145000</v>
      </c>
      <c r="R24" s="19" t="n">
        <v>33000</v>
      </c>
      <c r="S24" s="19" t="n">
        <v>20000</v>
      </c>
      <c r="T24" s="19" t="n">
        <f aca="false">+S24+R24+Q24</f>
        <v>198000</v>
      </c>
      <c r="U24" s="15"/>
      <c r="V24" s="19" t="n">
        <f aca="false">VLOOKUP($F24,Calculations!$B$6:$AE$314,8,FALSE())</f>
        <v>282692.307692308</v>
      </c>
      <c r="W24" s="19" t="n">
        <f aca="false">VLOOKUP($F24,Calculations!$B$6:$AE$314,11,FALSE())</f>
        <v>367500</v>
      </c>
      <c r="X24" s="19"/>
      <c r="Y24" s="19" t="n">
        <f aca="false">T24+V24</f>
        <v>480692.307692308</v>
      </c>
      <c r="Z24" s="19" t="n">
        <f aca="false">T24+W24</f>
        <v>565500</v>
      </c>
      <c r="AA24" s="19"/>
      <c r="AB24" s="21" t="n">
        <f aca="false">VLOOKUP($F24,Calculations!$B$6:$AE$314,29,FALSE())</f>
        <v>33668</v>
      </c>
      <c r="AC24" s="15"/>
      <c r="AD24" s="19" t="n">
        <f aca="false">VLOOKUP($F24,Calculations!$B$6:$AE$314,7,FALSE())</f>
        <v>0</v>
      </c>
      <c r="AE24" s="19" t="n">
        <f aca="false">VLOOKUP($F24,Calculations!$B$6:$AE$314,10,FALSE())</f>
        <v>0</v>
      </c>
      <c r="AH24" s="6"/>
    </row>
    <row r="25" customFormat="false" ht="12.75" hidden="false" customHeight="false" outlineLevel="0" collapsed="false">
      <c r="A25" s="17" t="s">
        <v>82</v>
      </c>
      <c r="B25" s="17" t="s">
        <v>7</v>
      </c>
      <c r="C25" s="14"/>
      <c r="D25" s="14"/>
      <c r="E25" s="14" t="s">
        <v>38</v>
      </c>
      <c r="F25" s="15" t="s">
        <v>83</v>
      </c>
      <c r="G25" s="15"/>
      <c r="H25" s="15"/>
      <c r="I25" s="15"/>
      <c r="J25" s="19" t="n">
        <f aca="false">VLOOKUP($F25,Calculations!$B$6:$AE$314,5,FALSE())</f>
        <v>225000</v>
      </c>
      <c r="K25" s="20" t="s">
        <v>40</v>
      </c>
      <c r="L25" s="20" t="n">
        <f aca="false">J25</f>
        <v>225000</v>
      </c>
      <c r="M25" s="19" t="n">
        <f aca="false">VLOOKUP($F25,Calculations!$B$6:$AE$314,24,FALSE())</f>
        <v>122575</v>
      </c>
      <c r="N25" s="23" t="n">
        <v>132580</v>
      </c>
      <c r="O25" s="16" t="n">
        <f aca="false">+N25+M25+J25</f>
        <v>480155</v>
      </c>
      <c r="P25" s="16"/>
      <c r="Q25" s="19" t="n">
        <v>140000</v>
      </c>
      <c r="R25" s="19"/>
      <c r="S25" s="19"/>
      <c r="T25" s="19" t="n">
        <f aca="false">+S25+R25+Q25</f>
        <v>140000</v>
      </c>
      <c r="U25" s="15"/>
      <c r="V25" s="19" t="n">
        <f aca="false">VLOOKUP($F25,Calculations!$B$6:$AE$314,8,FALSE())</f>
        <v>441346.153846154</v>
      </c>
      <c r="W25" s="19" t="n">
        <f aca="false">VLOOKUP($F25,Calculations!$B$6:$AE$314,11,FALSE())</f>
        <v>337500</v>
      </c>
      <c r="X25" s="19"/>
      <c r="Y25" s="19" t="n">
        <f aca="false">T25+V25</f>
        <v>581346.153846154</v>
      </c>
      <c r="Z25" s="19" t="n">
        <f aca="false">T25+W25</f>
        <v>477500</v>
      </c>
      <c r="AA25" s="19"/>
      <c r="AB25" s="21" t="n">
        <f aca="false">VLOOKUP($F25,Calculations!$B$6:$AE$314,29,FALSE())</f>
        <v>30895</v>
      </c>
      <c r="AC25" s="15"/>
      <c r="AD25" s="19" t="n">
        <f aca="false">VLOOKUP($F25,Calculations!$B$6:$AE$314,7,FALSE())</f>
        <v>0</v>
      </c>
      <c r="AE25" s="19" t="n">
        <f aca="false">VLOOKUP($F25,Calculations!$B$6:$AE$314,10,FALSE())</f>
        <v>0</v>
      </c>
      <c r="AH25" s="6"/>
    </row>
    <row r="26" customFormat="false" ht="12.75" hidden="false" customHeight="false" outlineLevel="0" collapsed="false">
      <c r="A26" s="17" t="s">
        <v>53</v>
      </c>
      <c r="B26" s="17" t="s">
        <v>7</v>
      </c>
      <c r="C26" s="14"/>
      <c r="D26" s="14"/>
      <c r="E26" s="14" t="s">
        <v>38</v>
      </c>
      <c r="F26" s="15" t="s">
        <v>84</v>
      </c>
      <c r="G26" s="15" t="s">
        <v>85</v>
      </c>
      <c r="H26" s="15" t="s">
        <v>65</v>
      </c>
      <c r="I26" s="15"/>
      <c r="J26" s="19" t="n">
        <f aca="false">VLOOKUP($F26,Calculations!$B$6:$AE$314,5,FALSE())</f>
        <v>222000</v>
      </c>
      <c r="K26" s="20" t="s">
        <v>40</v>
      </c>
      <c r="L26" s="20" t="n">
        <f aca="false">J26</f>
        <v>222000</v>
      </c>
      <c r="M26" s="19" t="n">
        <f aca="false">VLOOKUP($F26,Calculations!$B$6:$AE$314,24,FALSE())</f>
        <v>75000</v>
      </c>
      <c r="N26" s="23"/>
      <c r="O26" s="16" t="n">
        <f aca="false">+N26+M26+J26</f>
        <v>297000</v>
      </c>
      <c r="P26" s="16"/>
      <c r="Q26" s="19" t="n">
        <v>120000</v>
      </c>
      <c r="R26" s="19" t="n">
        <v>25000</v>
      </c>
      <c r="S26" s="19" t="n">
        <v>12500</v>
      </c>
      <c r="T26" s="19" t="n">
        <f aca="false">+S26+R26+Q26</f>
        <v>157500</v>
      </c>
      <c r="U26" s="15"/>
      <c r="V26" s="19" t="n">
        <f aca="false">VLOOKUP($F26,Calculations!$B$6:$AE$314,8,FALSE())</f>
        <v>717230.769230769</v>
      </c>
      <c r="W26" s="19" t="n">
        <f aca="false">VLOOKUP($F26,Calculations!$B$6:$AE$314,11,FALSE())</f>
        <v>333000</v>
      </c>
      <c r="X26" s="19"/>
      <c r="Y26" s="19" t="n">
        <f aca="false">T26+V26</f>
        <v>874730.769230769</v>
      </c>
      <c r="Z26" s="19" t="n">
        <f aca="false">T26+W26</f>
        <v>490500</v>
      </c>
      <c r="AA26" s="19"/>
      <c r="AB26" s="21" t="n">
        <f aca="false">VLOOKUP($F26,Calculations!$B$6:$AE$314,29,FALSE())</f>
        <v>26931</v>
      </c>
      <c r="AC26" s="15"/>
      <c r="AD26" s="19" t="n">
        <f aca="false">VLOOKUP($F26,Calculations!$B$6:$AE$314,7,FALSE())</f>
        <v>0</v>
      </c>
      <c r="AE26" s="19" t="n">
        <f aca="false">VLOOKUP($F26,Calculations!$B$6:$AE$314,10,FALSE())</f>
        <v>0</v>
      </c>
      <c r="AH26" s="6"/>
    </row>
    <row r="27" customFormat="false" ht="12.75" hidden="false" customHeight="false" outlineLevel="0" collapsed="false">
      <c r="A27" s="17" t="s">
        <v>86</v>
      </c>
      <c r="B27" s="17" t="s">
        <v>7</v>
      </c>
      <c r="C27" s="14"/>
      <c r="D27" s="14"/>
      <c r="E27" s="14" t="s">
        <v>38</v>
      </c>
      <c r="F27" s="15" t="s">
        <v>87</v>
      </c>
      <c r="G27" s="15"/>
      <c r="H27" s="15"/>
      <c r="I27" s="15"/>
      <c r="J27" s="19" t="n">
        <f aca="false">VLOOKUP($F27,Calculations!$B$6:$AE$314,5,FALSE())</f>
        <v>213000</v>
      </c>
      <c r="K27" s="20" t="s">
        <v>40</v>
      </c>
      <c r="L27" s="20" t="n">
        <f aca="false">J27</f>
        <v>213000</v>
      </c>
      <c r="M27" s="19" t="n">
        <f aca="false">VLOOKUP($F27,Calculations!$B$6:$AE$314,24,FALSE())</f>
        <v>105050</v>
      </c>
      <c r="N27" s="23" t="n">
        <v>160990</v>
      </c>
      <c r="O27" s="16" t="n">
        <f aca="false">+N27+M27+J27</f>
        <v>479040</v>
      </c>
      <c r="P27" s="16"/>
      <c r="Q27" s="19" t="n">
        <v>140000</v>
      </c>
      <c r="R27" s="19"/>
      <c r="S27" s="19"/>
      <c r="T27" s="19" t="n">
        <f aca="false">+S27+R27+Q27</f>
        <v>140000</v>
      </c>
      <c r="U27" s="15"/>
      <c r="V27" s="19" t="n">
        <f aca="false">VLOOKUP($F27,Calculations!$B$6:$AE$314,8,FALSE())</f>
        <v>73730.7692307692</v>
      </c>
      <c r="W27" s="19" t="n">
        <f aca="false">VLOOKUP($F27,Calculations!$B$6:$AE$314,11,FALSE())</f>
        <v>307211.538461538</v>
      </c>
      <c r="X27" s="19"/>
      <c r="Y27" s="19" t="n">
        <f aca="false">T27+V27</f>
        <v>213730.769230769</v>
      </c>
      <c r="Z27" s="19" t="n">
        <f aca="false">T27+W27</f>
        <v>447211.538461538</v>
      </c>
      <c r="AA27" s="19"/>
      <c r="AB27" s="21" t="n">
        <f aca="false">VLOOKUP($F27,Calculations!$B$6:$AE$314,29,FALSE())</f>
        <v>36326</v>
      </c>
      <c r="AC27" s="15"/>
      <c r="AD27" s="19" t="n">
        <f aca="false">VLOOKUP($F27,Calculations!$B$6:$AE$314,7,FALSE())</f>
        <v>0</v>
      </c>
      <c r="AE27" s="19" t="n">
        <f aca="false">VLOOKUP($F27,Calculations!$B$6:$AE$314,10,FALSE())</f>
        <v>0</v>
      </c>
      <c r="AH27" s="6"/>
    </row>
    <row r="28" customFormat="false" ht="12.75" hidden="false" customHeight="false" outlineLevel="0" collapsed="false">
      <c r="A28" s="17" t="s">
        <v>46</v>
      </c>
      <c r="B28" s="17" t="s">
        <v>88</v>
      </c>
      <c r="C28" s="14" t="s">
        <v>38</v>
      </c>
      <c r="D28" s="14"/>
      <c r="E28" s="14" t="s">
        <v>38</v>
      </c>
      <c r="F28" s="22" t="s">
        <v>89</v>
      </c>
      <c r="G28" s="15" t="s">
        <v>90</v>
      </c>
      <c r="H28" s="15" t="s">
        <v>61</v>
      </c>
      <c r="I28" s="15"/>
      <c r="J28" s="19" t="n">
        <f aca="false">VLOOKUP($F28,Calculations!$B$6:$AE$314,5,FALSE())</f>
        <v>200000</v>
      </c>
      <c r="K28" s="20" t="s">
        <v>40</v>
      </c>
      <c r="L28" s="20" t="n">
        <f aca="false">J28</f>
        <v>200000</v>
      </c>
      <c r="M28" s="19" t="n">
        <f aca="false">VLOOKUP($F28,Calculations!$B$6:$AE$314,24,FALSE())</f>
        <v>1144365</v>
      </c>
      <c r="N28" s="23"/>
      <c r="O28" s="16" t="n">
        <f aca="false">+N28+M28+J28</f>
        <v>1344365</v>
      </c>
      <c r="P28" s="16"/>
      <c r="Q28" s="19" t="n">
        <v>130000</v>
      </c>
      <c r="R28" s="19" t="n">
        <v>66000</v>
      </c>
      <c r="S28" s="19" t="n">
        <v>25000</v>
      </c>
      <c r="T28" s="19" t="n">
        <f aca="false">+S28+R28+Q28</f>
        <v>221000</v>
      </c>
      <c r="U28" s="15"/>
      <c r="V28" s="19" t="n">
        <f aca="false">VLOOKUP($F28,Calculations!$B$6:$AE$314,8,FALSE())</f>
        <v>161538.461538462</v>
      </c>
      <c r="W28" s="19" t="n">
        <f aca="false">VLOOKUP($F28,Calculations!$B$6:$AE$314,11,FALSE())</f>
        <v>300000</v>
      </c>
      <c r="X28" s="19"/>
      <c r="Y28" s="19" t="n">
        <f aca="false">T28+V28</f>
        <v>382538.461538462</v>
      </c>
      <c r="Z28" s="19" t="n">
        <f aca="false">T28+W28</f>
        <v>521000</v>
      </c>
      <c r="AA28" s="19"/>
      <c r="AB28" s="21" t="n">
        <f aca="false">VLOOKUP($F28,Calculations!$B$6:$AE$314,29,FALSE())</f>
        <v>34807</v>
      </c>
      <c r="AC28" s="15"/>
      <c r="AD28" s="19" t="n">
        <f aca="false">VLOOKUP($F28,Calculations!$B$6:$AE$314,7,FALSE())</f>
        <v>0</v>
      </c>
      <c r="AE28" s="19" t="n">
        <f aca="false">VLOOKUP($F28,Calculations!$B$6:$AE$314,10,FALSE())</f>
        <v>0</v>
      </c>
      <c r="AH28" s="6"/>
    </row>
    <row r="29" customFormat="false" ht="12.75" hidden="false" customHeight="false" outlineLevel="0" collapsed="false">
      <c r="A29" s="17" t="s">
        <v>53</v>
      </c>
      <c r="B29" s="17" t="s">
        <v>7</v>
      </c>
      <c r="C29" s="14" t="s">
        <v>38</v>
      </c>
      <c r="D29" s="14"/>
      <c r="E29" s="14" t="s">
        <v>38</v>
      </c>
      <c r="F29" s="22" t="s">
        <v>91</v>
      </c>
      <c r="G29" s="15" t="s">
        <v>92</v>
      </c>
      <c r="H29" s="15" t="s">
        <v>65</v>
      </c>
      <c r="I29" s="15"/>
      <c r="J29" s="19" t="n">
        <f aca="false">VLOOKUP($F29,Calculations!$B$6:$AE$314,5,FALSE())</f>
        <v>200000</v>
      </c>
      <c r="K29" s="20" t="s">
        <v>40</v>
      </c>
      <c r="L29" s="20" t="n">
        <f aca="false">J29</f>
        <v>200000</v>
      </c>
      <c r="M29" s="19" t="n">
        <f aca="false">VLOOKUP($F29,Calculations!$B$6:$AE$314,24,FALSE())</f>
        <v>0</v>
      </c>
      <c r="N29" s="23"/>
      <c r="O29" s="16" t="n">
        <f aca="false">+N29+M29+J29</f>
        <v>200000</v>
      </c>
      <c r="P29" s="16"/>
      <c r="Q29" s="19" t="n">
        <v>128000</v>
      </c>
      <c r="R29" s="19" t="n">
        <v>25000</v>
      </c>
      <c r="S29" s="19" t="n">
        <v>12500</v>
      </c>
      <c r="T29" s="19" t="n">
        <f aca="false">+S29+R29+Q29</f>
        <v>165500</v>
      </c>
      <c r="U29" s="15"/>
      <c r="V29" s="19" t="n">
        <f aca="false">VLOOKUP($F29,Calculations!$B$6:$AE$314,8,FALSE())</f>
        <v>23076.9230769231</v>
      </c>
      <c r="W29" s="19" t="n">
        <f aca="false">VLOOKUP($F29,Calculations!$B$6:$AE$314,11,FALSE())</f>
        <v>242307.692307692</v>
      </c>
      <c r="X29" s="19"/>
      <c r="Y29" s="19" t="n">
        <f aca="false">T29+V29</f>
        <v>188576.923076923</v>
      </c>
      <c r="Z29" s="19" t="n">
        <f aca="false">T29+W29</f>
        <v>407807.692307692</v>
      </c>
      <c r="AA29" s="19"/>
      <c r="AB29" s="21" t="n">
        <f aca="false">VLOOKUP($F29,Calculations!$B$6:$AE$314,29,FALSE())</f>
        <v>36850</v>
      </c>
      <c r="AC29" s="15"/>
      <c r="AD29" s="19" t="n">
        <f aca="false">VLOOKUP($F29,Calculations!$B$6:$AE$314,7,FALSE())</f>
        <v>0</v>
      </c>
      <c r="AE29" s="19" t="n">
        <f aca="false">VLOOKUP($F29,Calculations!$B$6:$AE$314,10,FALSE())</f>
        <v>0</v>
      </c>
      <c r="AH29" s="6"/>
    </row>
    <row r="30" customFormat="false" ht="12.75" hidden="false" customHeight="false" outlineLevel="0" collapsed="false">
      <c r="A30" s="17" t="s">
        <v>41</v>
      </c>
      <c r="B30" s="17" t="s">
        <v>42</v>
      </c>
      <c r="C30" s="14"/>
      <c r="D30" s="14"/>
      <c r="E30" s="14" t="s">
        <v>38</v>
      </c>
      <c r="F30" s="15" t="s">
        <v>93</v>
      </c>
      <c r="G30" s="15" t="s">
        <v>94</v>
      </c>
      <c r="H30" s="15" t="s">
        <v>95</v>
      </c>
      <c r="I30" s="15"/>
      <c r="J30" s="19" t="n">
        <f aca="false">VLOOKUP($F30,Calculations!$B$6:$AE$314,5,FALSE())</f>
        <v>200000</v>
      </c>
      <c r="K30" s="20" t="s">
        <v>40</v>
      </c>
      <c r="L30" s="20" t="n">
        <f aca="false">J30</f>
        <v>200000</v>
      </c>
      <c r="M30" s="19" t="n">
        <f aca="false">VLOOKUP($F30,Calculations!$B$6:$AE$314,24,FALSE())</f>
        <v>0</v>
      </c>
      <c r="N30" s="23"/>
      <c r="O30" s="16" t="n">
        <f aca="false">+N30+M30+J30</f>
        <v>200000</v>
      </c>
      <c r="P30" s="16"/>
      <c r="Q30" s="19" t="n">
        <v>128000</v>
      </c>
      <c r="R30" s="19" t="n">
        <v>66000</v>
      </c>
      <c r="S30" s="19" t="n">
        <v>25000</v>
      </c>
      <c r="T30" s="19" t="n">
        <f aca="false">+S30+R30+Q30</f>
        <v>219000</v>
      </c>
      <c r="U30" s="15"/>
      <c r="V30" s="19" t="n">
        <f aca="false">VLOOKUP($F30,Calculations!$B$6:$AE$314,8,FALSE())</f>
        <v>23076.9230769231</v>
      </c>
      <c r="W30" s="19" t="n">
        <f aca="false">VLOOKUP($F30,Calculations!$B$6:$AE$314,11,FALSE())</f>
        <v>242307.692307692</v>
      </c>
      <c r="X30" s="19"/>
      <c r="Y30" s="19" t="n">
        <f aca="false">T30+V30</f>
        <v>242076.923076923</v>
      </c>
      <c r="Z30" s="19" t="n">
        <f aca="false">T30+W30</f>
        <v>461307.692307692</v>
      </c>
      <c r="AA30" s="19"/>
      <c r="AB30" s="21" t="n">
        <f aca="false">VLOOKUP($F30,Calculations!$B$6:$AE$314,29,FALSE())</f>
        <v>36717</v>
      </c>
      <c r="AC30" s="15"/>
      <c r="AD30" s="19" t="n">
        <f aca="false">VLOOKUP($F30,Calculations!$B$6:$AE$314,7,FALSE())</f>
        <v>0</v>
      </c>
      <c r="AE30" s="19" t="n">
        <f aca="false">VLOOKUP($F30,Calculations!$B$6:$AE$314,10,FALSE())</f>
        <v>0</v>
      </c>
      <c r="AH30" s="6"/>
    </row>
    <row r="31" customFormat="false" ht="12.75" hidden="false" customHeight="false" outlineLevel="0" collapsed="false">
      <c r="A31" s="17" t="s">
        <v>53</v>
      </c>
      <c r="B31" s="17" t="s">
        <v>7</v>
      </c>
      <c r="C31" s="14"/>
      <c r="D31" s="14"/>
      <c r="E31" s="14" t="s">
        <v>38</v>
      </c>
      <c r="F31" s="15" t="s">
        <v>96</v>
      </c>
      <c r="G31" s="15" t="s">
        <v>97</v>
      </c>
      <c r="H31" s="15" t="s">
        <v>81</v>
      </c>
      <c r="I31" s="15"/>
      <c r="J31" s="19" t="n">
        <f aca="false">VLOOKUP($F31,Calculations!$B$6:$AE$314,5,FALSE())</f>
        <v>190000</v>
      </c>
      <c r="K31" s="20" t="s">
        <v>40</v>
      </c>
      <c r="L31" s="20" t="n">
        <f aca="false">J31</f>
        <v>190000</v>
      </c>
      <c r="M31" s="19" t="n">
        <f aca="false">VLOOKUP($F31,Calculations!$B$6:$AE$314,24,FALSE())</f>
        <v>0</v>
      </c>
      <c r="N31" s="23"/>
      <c r="O31" s="16" t="n">
        <f aca="false">+N31+M31+J31</f>
        <v>190000</v>
      </c>
      <c r="P31" s="16"/>
      <c r="Q31" s="19" t="n">
        <v>145000</v>
      </c>
      <c r="R31" s="19" t="n">
        <v>33000</v>
      </c>
      <c r="S31" s="19" t="n">
        <v>20000</v>
      </c>
      <c r="T31" s="19" t="n">
        <f aca="false">+S31+R31+Q31</f>
        <v>198000</v>
      </c>
      <c r="U31" s="15"/>
      <c r="V31" s="19" t="n">
        <f aca="false">VLOOKUP($F31,Calculations!$B$6:$AE$314,8,FALSE())</f>
        <v>43846.1538461538</v>
      </c>
      <c r="W31" s="19" t="n">
        <f aca="false">VLOOKUP($F31,Calculations!$B$6:$AE$314,11,FALSE())</f>
        <v>230192.307692308</v>
      </c>
      <c r="X31" s="19"/>
      <c r="Y31" s="19" t="n">
        <f aca="false">T31+V31</f>
        <v>241846.153846154</v>
      </c>
      <c r="Z31" s="19" t="n">
        <f aca="false">T31+W31</f>
        <v>428192.307692308</v>
      </c>
      <c r="AA31" s="19"/>
      <c r="AB31" s="21" t="n">
        <f aca="false">VLOOKUP($F31,Calculations!$B$6:$AE$314,29,FALSE())</f>
        <v>36551</v>
      </c>
      <c r="AC31" s="15"/>
      <c r="AD31" s="19" t="n">
        <f aca="false">VLOOKUP($F31,Calculations!$B$6:$AE$314,7,FALSE())</f>
        <v>0</v>
      </c>
      <c r="AE31" s="19" t="n">
        <f aca="false">VLOOKUP($F31,Calculations!$B$6:$AE$314,10,FALSE())</f>
        <v>0</v>
      </c>
      <c r="AH31" s="6"/>
    </row>
    <row r="32" customFormat="false" ht="12.75" hidden="false" customHeight="false" outlineLevel="0" collapsed="false">
      <c r="A32" s="17" t="s">
        <v>58</v>
      </c>
      <c r="B32" s="17" t="s">
        <v>7</v>
      </c>
      <c r="C32" s="14"/>
      <c r="D32" s="14"/>
      <c r="E32" s="14" t="s">
        <v>38</v>
      </c>
      <c r="F32" s="15" t="s">
        <v>98</v>
      </c>
      <c r="G32" s="15"/>
      <c r="H32" s="15"/>
      <c r="I32" s="15"/>
      <c r="J32" s="19" t="n">
        <f aca="false">VLOOKUP($F32,Calculations!$B$6:$AE$314,5,FALSE())</f>
        <v>180000</v>
      </c>
      <c r="K32" s="20" t="s">
        <v>40</v>
      </c>
      <c r="L32" s="20" t="n">
        <f aca="false">J32</f>
        <v>180000</v>
      </c>
      <c r="M32" s="19" t="n">
        <f aca="false">VLOOKUP($F32,Calculations!$B$6:$AE$314,24,FALSE())</f>
        <v>50000</v>
      </c>
      <c r="N32" s="23"/>
      <c r="O32" s="16" t="n">
        <f aca="false">+N32+M32+J32</f>
        <v>230000</v>
      </c>
      <c r="P32" s="16"/>
      <c r="Q32" s="19" t="n">
        <v>135000</v>
      </c>
      <c r="R32" s="19"/>
      <c r="S32" s="19"/>
      <c r="T32" s="19" t="n">
        <f aca="false">+S32+R32+Q32</f>
        <v>135000</v>
      </c>
      <c r="U32" s="15"/>
      <c r="V32" s="19" t="n">
        <f aca="false">VLOOKUP($F32,Calculations!$B$6:$AE$314,8,FALSE())</f>
        <v>436153.846153846</v>
      </c>
      <c r="W32" s="19" t="n">
        <f aca="false">VLOOKUP($F32,Calculations!$B$6:$AE$314,11,FALSE())</f>
        <v>270000</v>
      </c>
      <c r="X32" s="19"/>
      <c r="Y32" s="19" t="n">
        <f aca="false">T32+V32</f>
        <v>571153.846153846</v>
      </c>
      <c r="Z32" s="19" t="n">
        <f aca="false">T32+W32</f>
        <v>405000</v>
      </c>
      <c r="AA32" s="19"/>
      <c r="AB32" s="21" t="n">
        <f aca="false">VLOOKUP($F32,Calculations!$B$6:$AE$314,29,FALSE())</f>
        <v>29453</v>
      </c>
      <c r="AC32" s="15"/>
      <c r="AD32" s="19" t="n">
        <f aca="false">VLOOKUP($F32,Calculations!$B$6:$AE$314,7,FALSE())</f>
        <v>0</v>
      </c>
      <c r="AE32" s="19" t="n">
        <f aca="false">VLOOKUP($F32,Calculations!$B$6:$AE$314,10,FALSE())</f>
        <v>0</v>
      </c>
      <c r="AH32" s="6"/>
    </row>
    <row r="33" customFormat="false" ht="12.75" hidden="false" customHeight="false" outlineLevel="0" collapsed="false">
      <c r="A33" s="17" t="s">
        <v>53</v>
      </c>
      <c r="B33" s="17" t="s">
        <v>7</v>
      </c>
      <c r="C33" s="14"/>
      <c r="D33" s="14"/>
      <c r="E33" s="14" t="s">
        <v>38</v>
      </c>
      <c r="F33" s="15" t="s">
        <v>99</v>
      </c>
      <c r="G33" s="15" t="s">
        <v>92</v>
      </c>
      <c r="H33" s="15" t="s">
        <v>65</v>
      </c>
      <c r="I33" s="15"/>
      <c r="J33" s="19" t="n">
        <f aca="false">VLOOKUP($F33,Calculations!$B$6:$AE$314,5,FALSE())</f>
        <v>180000</v>
      </c>
      <c r="K33" s="20" t="s">
        <v>40</v>
      </c>
      <c r="L33" s="20" t="n">
        <f aca="false">J33</f>
        <v>180000</v>
      </c>
      <c r="M33" s="19" t="n">
        <f aca="false">VLOOKUP($F33,Calculations!$B$6:$AE$314,24,FALSE())</f>
        <v>50000</v>
      </c>
      <c r="N33" s="23"/>
      <c r="O33" s="16" t="n">
        <f aca="false">+N33+M33+J33</f>
        <v>230000</v>
      </c>
      <c r="P33" s="16"/>
      <c r="Q33" s="19" t="n">
        <v>115000</v>
      </c>
      <c r="R33" s="19" t="n">
        <v>25000</v>
      </c>
      <c r="S33" s="19" t="n">
        <v>12500</v>
      </c>
      <c r="T33" s="19" t="n">
        <f aca="false">+S33+R33+Q33</f>
        <v>152500</v>
      </c>
      <c r="U33" s="15"/>
      <c r="V33" s="19" t="n">
        <f aca="false">VLOOKUP($F33,Calculations!$B$6:$AE$314,8,FALSE())</f>
        <v>456923.076923077</v>
      </c>
      <c r="W33" s="19" t="n">
        <f aca="false">VLOOKUP($F33,Calculations!$B$6:$AE$314,11,FALSE())</f>
        <v>270000</v>
      </c>
      <c r="X33" s="19"/>
      <c r="Y33" s="19" t="n">
        <f aca="false">T33+V33</f>
        <v>609423.076923077</v>
      </c>
      <c r="Z33" s="19" t="n">
        <f aca="false">T33+W33</f>
        <v>422500</v>
      </c>
      <c r="AA33" s="19"/>
      <c r="AB33" s="21" t="n">
        <f aca="false">VLOOKUP($F33,Calculations!$B$6:$AE$314,29,FALSE())</f>
        <v>29157</v>
      </c>
      <c r="AC33" s="15"/>
      <c r="AD33" s="19" t="n">
        <f aca="false">VLOOKUP($F33,Calculations!$B$6:$AE$314,7,FALSE())</f>
        <v>0</v>
      </c>
      <c r="AE33" s="19" t="n">
        <f aca="false">VLOOKUP($F33,Calculations!$B$6:$AE$314,10,FALSE())</f>
        <v>0</v>
      </c>
      <c r="AH33" s="6"/>
    </row>
    <row r="34" customFormat="false" ht="12.75" hidden="false" customHeight="false" outlineLevel="0" collapsed="false">
      <c r="A34" s="17" t="s">
        <v>41</v>
      </c>
      <c r="B34" s="17" t="s">
        <v>42</v>
      </c>
      <c r="C34" s="14"/>
      <c r="D34" s="14"/>
      <c r="E34" s="14" t="s">
        <v>38</v>
      </c>
      <c r="F34" s="15" t="s">
        <v>100</v>
      </c>
      <c r="G34" s="15" t="s">
        <v>72</v>
      </c>
      <c r="H34" s="15" t="s">
        <v>95</v>
      </c>
      <c r="I34" s="15"/>
      <c r="J34" s="19" t="n">
        <f aca="false">VLOOKUP($F34,Calculations!$B$6:$AE$314,5,FALSE())</f>
        <v>176000</v>
      </c>
      <c r="K34" s="20" t="s">
        <v>40</v>
      </c>
      <c r="L34" s="20" t="n">
        <f aca="false">J34</f>
        <v>176000</v>
      </c>
      <c r="M34" s="19" t="n">
        <f aca="false">VLOOKUP($F34,Calculations!$B$6:$AE$314,24,FALSE())</f>
        <v>90000</v>
      </c>
      <c r="N34" s="23"/>
      <c r="O34" s="16" t="n">
        <f aca="false">+N34+M34+J34</f>
        <v>266000</v>
      </c>
      <c r="P34" s="16"/>
      <c r="Q34" s="19" t="n">
        <v>128000</v>
      </c>
      <c r="R34" s="19" t="n">
        <v>66000</v>
      </c>
      <c r="S34" s="19" t="n">
        <v>25000</v>
      </c>
      <c r="T34" s="19" t="n">
        <f aca="false">+S34+R34+Q34</f>
        <v>219000</v>
      </c>
      <c r="U34" s="15"/>
      <c r="V34" s="19" t="n">
        <f aca="false">VLOOKUP($F34,Calculations!$B$6:$AE$314,8,FALSE())</f>
        <v>243692.307692308</v>
      </c>
      <c r="W34" s="19" t="n">
        <f aca="false">VLOOKUP($F34,Calculations!$B$6:$AE$314,11,FALSE())</f>
        <v>264000</v>
      </c>
      <c r="X34" s="19"/>
      <c r="Y34" s="19" t="n">
        <f aca="false">T34+V34</f>
        <v>462692.307692308</v>
      </c>
      <c r="Z34" s="19" t="n">
        <f aca="false">T34+W34</f>
        <v>483000</v>
      </c>
      <c r="AA34" s="19"/>
      <c r="AB34" s="21" t="n">
        <f aca="false">VLOOKUP($F34,Calculations!$B$6:$AE$314,29,FALSE())</f>
        <v>32874</v>
      </c>
      <c r="AC34" s="15"/>
      <c r="AD34" s="19" t="n">
        <f aca="false">VLOOKUP($F34,Calculations!$B$6:$AE$314,7,FALSE())</f>
        <v>0</v>
      </c>
      <c r="AE34" s="19" t="n">
        <f aca="false">VLOOKUP($F34,Calculations!$B$6:$AE$314,10,FALSE())</f>
        <v>0</v>
      </c>
      <c r="AH34" s="6"/>
    </row>
    <row r="35" customFormat="false" ht="12.75" hidden="false" customHeight="false" outlineLevel="0" collapsed="false">
      <c r="A35" s="17" t="s">
        <v>53</v>
      </c>
      <c r="B35" s="17" t="s">
        <v>7</v>
      </c>
      <c r="C35" s="14"/>
      <c r="D35" s="14"/>
      <c r="E35" s="14" t="s">
        <v>38</v>
      </c>
      <c r="F35" s="15" t="s">
        <v>101</v>
      </c>
      <c r="G35" s="15" t="s">
        <v>70</v>
      </c>
      <c r="H35" s="15" t="s">
        <v>68</v>
      </c>
      <c r="I35" s="15"/>
      <c r="J35" s="19" t="n">
        <f aca="false">VLOOKUP($F35,Calculations!$B$6:$AE$314,5,FALSE())</f>
        <v>161840</v>
      </c>
      <c r="K35" s="20" t="s">
        <v>40</v>
      </c>
      <c r="L35" s="20" t="n">
        <f aca="false">J35</f>
        <v>161840</v>
      </c>
      <c r="M35" s="19" t="n">
        <f aca="false">VLOOKUP($F35,Calculations!$B$6:$AE$314,24,FALSE())</f>
        <v>38000</v>
      </c>
      <c r="N35" s="23"/>
      <c r="O35" s="16" t="n">
        <f aca="false">+N35+M35+J35</f>
        <v>199840</v>
      </c>
      <c r="P35" s="16"/>
      <c r="Q35" s="19" t="n">
        <v>90000</v>
      </c>
      <c r="R35" s="19" t="n">
        <v>15000</v>
      </c>
      <c r="S35" s="19" t="n">
        <v>7500</v>
      </c>
      <c r="T35" s="19" t="n">
        <f aca="false">+S35+R35+Q35</f>
        <v>112500</v>
      </c>
      <c r="U35" s="15"/>
      <c r="V35" s="19" t="n">
        <f aca="false">VLOOKUP($F35,Calculations!$B$6:$AE$314,8,FALSE())</f>
        <v>410824.615384615</v>
      </c>
      <c r="W35" s="19" t="n">
        <f aca="false">VLOOKUP($F35,Calculations!$B$6:$AE$314,11,FALSE())</f>
        <v>242760</v>
      </c>
      <c r="X35" s="19"/>
      <c r="Y35" s="19" t="n">
        <f aca="false">T35+V35</f>
        <v>523324.615384615</v>
      </c>
      <c r="Z35" s="19" t="n">
        <f aca="false">T35+W35</f>
        <v>355260</v>
      </c>
      <c r="AA35" s="19"/>
      <c r="AB35" s="21" t="n">
        <f aca="false">VLOOKUP($F35,Calculations!$B$6:$AE$314,29,FALSE())</f>
        <v>29115</v>
      </c>
      <c r="AC35" s="15"/>
      <c r="AD35" s="19" t="n">
        <f aca="false">VLOOKUP($F35,Calculations!$B$6:$AE$314,7,FALSE())</f>
        <v>0</v>
      </c>
      <c r="AE35" s="19" t="n">
        <f aca="false">VLOOKUP($F35,Calculations!$B$6:$AE$314,10,FALSE())</f>
        <v>0</v>
      </c>
      <c r="AH35" s="6"/>
    </row>
    <row r="36" customFormat="false" ht="12.75" hidden="false" customHeight="false" outlineLevel="0" collapsed="false">
      <c r="A36" s="17" t="s">
        <v>37</v>
      </c>
      <c r="B36" s="17" t="s">
        <v>42</v>
      </c>
      <c r="C36" s="14"/>
      <c r="D36" s="14"/>
      <c r="E36" s="14" t="s">
        <v>38</v>
      </c>
      <c r="F36" s="15" t="s">
        <v>102</v>
      </c>
      <c r="G36" s="15"/>
      <c r="H36" s="15"/>
      <c r="I36" s="15"/>
      <c r="J36" s="19" t="n">
        <f aca="false">VLOOKUP($F36,Calculations!$B$6:$AE$314,5,FALSE())</f>
        <v>161492</v>
      </c>
      <c r="K36" s="20" t="s">
        <v>40</v>
      </c>
      <c r="L36" s="20" t="n">
        <f aca="false">J36</f>
        <v>161492</v>
      </c>
      <c r="M36" s="19" t="n">
        <f aca="false">VLOOKUP($F36,Calculations!$B$6:$AE$314,24,FALSE())</f>
        <v>225000</v>
      </c>
      <c r="N36" s="23"/>
      <c r="O36" s="16" t="n">
        <f aca="false">+N36+M36+J36</f>
        <v>386492</v>
      </c>
      <c r="P36" s="16"/>
      <c r="Q36" s="19" t="n">
        <v>125000</v>
      </c>
      <c r="R36" s="19"/>
      <c r="S36" s="19"/>
      <c r="T36" s="19" t="n">
        <f aca="false">+S36+R36+Q36</f>
        <v>125000</v>
      </c>
      <c r="U36" s="15"/>
      <c r="V36" s="19" t="n">
        <f aca="false">VLOOKUP($F36,Calculations!$B$6:$AE$314,8,FALSE())</f>
        <v>74534.7692307692</v>
      </c>
      <c r="W36" s="19" t="n">
        <f aca="false">VLOOKUP($F36,Calculations!$B$6:$AE$314,11,FALSE())</f>
        <v>195653.769230769</v>
      </c>
      <c r="X36" s="19"/>
      <c r="Y36" s="19" t="n">
        <f aca="false">T36+V36</f>
        <v>199534.769230769</v>
      </c>
      <c r="Z36" s="19" t="n">
        <f aca="false">T36+W36</f>
        <v>320653.769230769</v>
      </c>
      <c r="AA36" s="19"/>
      <c r="AB36" s="21" t="n">
        <f aca="false">VLOOKUP($F36,Calculations!$B$6:$AE$314,29,FALSE())</f>
        <v>35796</v>
      </c>
      <c r="AC36" s="15"/>
      <c r="AD36" s="19" t="n">
        <f aca="false">VLOOKUP($F36,Calculations!$B$6:$AE$314,7,FALSE())</f>
        <v>0</v>
      </c>
      <c r="AE36" s="19" t="n">
        <f aca="false">VLOOKUP($F36,Calculations!$B$6:$AE$314,10,FALSE())</f>
        <v>0</v>
      </c>
      <c r="AH36" s="6"/>
    </row>
    <row r="37" customFormat="false" ht="12.75" hidden="false" customHeight="false" outlineLevel="0" collapsed="false">
      <c r="A37" s="17" t="s">
        <v>37</v>
      </c>
      <c r="B37" s="17" t="s">
        <v>7</v>
      </c>
      <c r="C37" s="14"/>
      <c r="D37" s="14"/>
      <c r="E37" s="14" t="s">
        <v>38</v>
      </c>
      <c r="F37" s="15" t="s">
        <v>103</v>
      </c>
      <c r="G37" s="15"/>
      <c r="H37" s="15" t="s">
        <v>61</v>
      </c>
      <c r="I37" s="15"/>
      <c r="J37" s="19" t="n">
        <f aca="false">VLOOKUP($F37,Calculations!$B$6:$AE$314,5,FALSE())</f>
        <v>155839</v>
      </c>
      <c r="K37" s="20" t="s">
        <v>40</v>
      </c>
      <c r="L37" s="20" t="n">
        <f aca="false">J37</f>
        <v>155839</v>
      </c>
      <c r="M37" s="19" t="n">
        <f aca="false">VLOOKUP($F37,Calculations!$B$6:$AE$314,24,FALSE())</f>
        <v>57525</v>
      </c>
      <c r="N37" s="23" t="n">
        <v>66290</v>
      </c>
      <c r="O37" s="16" t="n">
        <f aca="false">+N37+M37+J37</f>
        <v>279654</v>
      </c>
      <c r="P37" s="16"/>
      <c r="Q37" s="19" t="n">
        <v>128000</v>
      </c>
      <c r="R37" s="19" t="n">
        <v>66000</v>
      </c>
      <c r="S37" s="19" t="n">
        <v>65000</v>
      </c>
      <c r="T37" s="19" t="n">
        <f aca="false">+S37+R37+Q37</f>
        <v>259000</v>
      </c>
      <c r="U37" s="15"/>
      <c r="V37" s="19" t="n">
        <f aca="false">VLOOKUP($F37,Calculations!$B$6:$AE$314,8,FALSE())</f>
        <v>53944.2692307692</v>
      </c>
      <c r="W37" s="19" t="n">
        <f aca="false">VLOOKUP($F37,Calculations!$B$6:$AE$314,11,FALSE())</f>
        <v>170823.519230769</v>
      </c>
      <c r="X37" s="19"/>
      <c r="Y37" s="19" t="n">
        <f aca="false">T37+V37</f>
        <v>312944.269230769</v>
      </c>
      <c r="Z37" s="19" t="n">
        <f aca="false">T37+W37</f>
        <v>429823.519230769</v>
      </c>
      <c r="AA37" s="19"/>
      <c r="AB37" s="21" t="n">
        <f aca="false">VLOOKUP($F37,Calculations!$B$6:$AE$314,29,FALSE())</f>
        <v>36008</v>
      </c>
      <c r="AC37" s="15"/>
      <c r="AD37" s="19" t="n">
        <f aca="false">VLOOKUP($F37,Calculations!$B$6:$AE$314,7,FALSE())</f>
        <v>0</v>
      </c>
      <c r="AE37" s="19" t="n">
        <f aca="false">VLOOKUP($F37,Calculations!$B$6:$AE$314,10,FALSE())</f>
        <v>0</v>
      </c>
      <c r="AH37" s="6"/>
    </row>
    <row r="38" customFormat="false" ht="12.75" hidden="false" customHeight="false" outlineLevel="0" collapsed="false">
      <c r="A38" s="17" t="s">
        <v>37</v>
      </c>
      <c r="B38" s="17" t="s">
        <v>7</v>
      </c>
      <c r="C38" s="14"/>
      <c r="D38" s="14"/>
      <c r="E38" s="14" t="s">
        <v>38</v>
      </c>
      <c r="F38" s="15" t="s">
        <v>104</v>
      </c>
      <c r="G38" s="15"/>
      <c r="H38" s="15"/>
      <c r="I38" s="15"/>
      <c r="J38" s="19" t="n">
        <f aca="false">VLOOKUP($F38,Calculations!$B$6:$AE$314,5,FALSE())</f>
        <v>143312</v>
      </c>
      <c r="K38" s="20" t="s">
        <v>40</v>
      </c>
      <c r="L38" s="20" t="n">
        <f aca="false">J38</f>
        <v>143312</v>
      </c>
      <c r="M38" s="19" t="n">
        <f aca="false">VLOOKUP($F38,Calculations!$B$6:$AE$314,24,FALSE())</f>
        <v>60025</v>
      </c>
      <c r="N38" s="23" t="n">
        <v>56820</v>
      </c>
      <c r="O38" s="16" t="n">
        <f aca="false">+N38+M38+J38</f>
        <v>260157</v>
      </c>
      <c r="P38" s="16"/>
      <c r="Q38" s="19" t="n">
        <v>115000</v>
      </c>
      <c r="R38" s="19"/>
      <c r="S38" s="19"/>
      <c r="T38" s="19" t="n">
        <f aca="false">+S38+R38+Q38</f>
        <v>115000</v>
      </c>
      <c r="U38" s="15"/>
      <c r="V38" s="19" t="n">
        <f aca="false">VLOOKUP($F38,Calculations!$B$6:$AE$314,8,FALSE())</f>
        <v>99216</v>
      </c>
      <c r="W38" s="19" t="n">
        <f aca="false">VLOOKUP($F38,Calculations!$B$6:$AE$314,11,FALSE())</f>
        <v>173628</v>
      </c>
      <c r="X38" s="19"/>
      <c r="Y38" s="19" t="n">
        <f aca="false">T38+V38</f>
        <v>214216</v>
      </c>
      <c r="Z38" s="19" t="n">
        <f aca="false">T38+W38</f>
        <v>288628</v>
      </c>
      <c r="AA38" s="19"/>
      <c r="AB38" s="21" t="n">
        <f aca="false">VLOOKUP($F38,Calculations!$B$6:$AE$314,29,FALSE())</f>
        <v>35073</v>
      </c>
      <c r="AC38" s="15"/>
      <c r="AD38" s="19" t="n">
        <f aca="false">VLOOKUP($F38,Calculations!$B$6:$AE$314,7,FALSE())</f>
        <v>0</v>
      </c>
      <c r="AE38" s="19" t="n">
        <f aca="false">VLOOKUP($F38,Calculations!$B$6:$AE$314,10,FALSE())</f>
        <v>0</v>
      </c>
      <c r="AH38" s="6"/>
    </row>
    <row r="39" customFormat="false" ht="12.75" hidden="false" customHeight="false" outlineLevel="0" collapsed="false">
      <c r="A39" s="17" t="s">
        <v>50</v>
      </c>
      <c r="B39" s="17" t="s">
        <v>7</v>
      </c>
      <c r="C39" s="14"/>
      <c r="D39" s="14"/>
      <c r="E39" s="14" t="s">
        <v>38</v>
      </c>
      <c r="F39" s="15" t="s">
        <v>105</v>
      </c>
      <c r="G39" s="15" t="s">
        <v>106</v>
      </c>
      <c r="H39" s="15" t="s">
        <v>107</v>
      </c>
      <c r="I39" s="15"/>
      <c r="J39" s="19" t="n">
        <f aca="false">VLOOKUP($F39,Calculations!$B$6:$AE$314,5,FALSE())</f>
        <v>140000</v>
      </c>
      <c r="K39" s="20" t="s">
        <v>40</v>
      </c>
      <c r="L39" s="20" t="n">
        <f aca="false">J39</f>
        <v>140000</v>
      </c>
      <c r="M39" s="19" t="n">
        <f aca="false">VLOOKUP($F39,Calculations!$B$6:$AE$314,24,FALSE())</f>
        <v>30000</v>
      </c>
      <c r="N39" s="23"/>
      <c r="O39" s="16" t="n">
        <f aca="false">+N39+M39+J39</f>
        <v>170000</v>
      </c>
      <c r="P39" s="16"/>
      <c r="Q39" s="19" t="n">
        <v>100000</v>
      </c>
      <c r="R39" s="19" t="n">
        <v>35000</v>
      </c>
      <c r="S39" s="19" t="n">
        <v>15000</v>
      </c>
      <c r="T39" s="19" t="n">
        <f aca="false">+S39+R39+Q39</f>
        <v>150000</v>
      </c>
      <c r="U39" s="15"/>
      <c r="V39" s="19" t="n">
        <f aca="false">VLOOKUP($F39,Calculations!$B$6:$AE$314,8,FALSE())</f>
        <v>64615.3846153846</v>
      </c>
      <c r="W39" s="19" t="n">
        <f aca="false">VLOOKUP($F39,Calculations!$B$6:$AE$314,11,FALSE())</f>
        <v>145384.615384615</v>
      </c>
      <c r="X39" s="19"/>
      <c r="Y39" s="19" t="n">
        <f aca="false">T39+V39</f>
        <v>214615.384615385</v>
      </c>
      <c r="Z39" s="19" t="n">
        <f aca="false">T39+W39</f>
        <v>295384.615384615</v>
      </c>
      <c r="AA39" s="19"/>
      <c r="AB39" s="21" t="n">
        <f aca="false">VLOOKUP($F39,Calculations!$B$6:$AE$314,29,FALSE())</f>
        <v>35884</v>
      </c>
      <c r="AC39" s="15"/>
      <c r="AD39" s="19" t="n">
        <f aca="false">VLOOKUP($F39,Calculations!$B$6:$AE$314,7,FALSE())</f>
        <v>0</v>
      </c>
      <c r="AE39" s="19" t="n">
        <f aca="false">VLOOKUP($F39,Calculations!$B$6:$AE$314,10,FALSE())</f>
        <v>0</v>
      </c>
      <c r="AH39" s="6"/>
    </row>
    <row r="40" customFormat="false" ht="12.75" hidden="false" customHeight="false" outlineLevel="0" collapsed="false">
      <c r="A40" s="17" t="s">
        <v>37</v>
      </c>
      <c r="B40" s="17" t="s">
        <v>7</v>
      </c>
      <c r="C40" s="14"/>
      <c r="D40" s="14"/>
      <c r="E40" s="14" t="s">
        <v>38</v>
      </c>
      <c r="F40" s="15" t="s">
        <v>108</v>
      </c>
      <c r="G40" s="15"/>
      <c r="H40" s="15"/>
      <c r="I40" s="15"/>
      <c r="J40" s="19" t="n">
        <f aca="false">VLOOKUP($F40,Calculations!$B$6:$AE$314,5,FALSE())</f>
        <v>137931</v>
      </c>
      <c r="K40" s="20" t="s">
        <v>40</v>
      </c>
      <c r="L40" s="20" t="n">
        <f aca="false">J40</f>
        <v>137931</v>
      </c>
      <c r="M40" s="19" t="n">
        <f aca="false">VLOOKUP($F40,Calculations!$B$6:$AE$314,24,FALSE())</f>
        <v>60000</v>
      </c>
      <c r="N40" s="23" t="n">
        <v>113640</v>
      </c>
      <c r="O40" s="16" t="n">
        <f aca="false">+N40+M40+J40</f>
        <v>311571</v>
      </c>
      <c r="P40" s="16"/>
      <c r="Q40" s="19" t="n">
        <v>115000</v>
      </c>
      <c r="R40" s="19"/>
      <c r="S40" s="19"/>
      <c r="T40" s="19" t="n">
        <f aca="false">+S40+R40+Q40</f>
        <v>115000</v>
      </c>
      <c r="U40" s="15"/>
      <c r="V40" s="19" t="n">
        <f aca="false">VLOOKUP($F40,Calculations!$B$6:$AE$314,8,FALSE())</f>
        <v>47745.3461538462</v>
      </c>
      <c r="W40" s="19" t="n">
        <f aca="false">VLOOKUP($F40,Calculations!$B$6:$AE$314,11,FALSE())</f>
        <v>135278.480769231</v>
      </c>
      <c r="X40" s="19"/>
      <c r="Y40" s="19" t="n">
        <f aca="false">T40+V40</f>
        <v>162745.346153846</v>
      </c>
      <c r="Z40" s="19" t="n">
        <f aca="false">T40+W40</f>
        <v>250278.480769231</v>
      </c>
      <c r="AA40" s="19"/>
      <c r="AB40" s="21" t="n">
        <f aca="false">VLOOKUP($F40,Calculations!$B$6:$AE$314,29,FALSE())</f>
        <v>36100</v>
      </c>
      <c r="AC40" s="15"/>
      <c r="AD40" s="19" t="n">
        <f aca="false">VLOOKUP($F40,Calculations!$B$6:$AE$314,7,FALSE())</f>
        <v>0</v>
      </c>
      <c r="AE40" s="19" t="n">
        <f aca="false">VLOOKUP($F40,Calculations!$B$6:$AE$314,10,FALSE())</f>
        <v>0</v>
      </c>
      <c r="AH40" s="6"/>
    </row>
    <row r="41" customFormat="false" ht="12.75" hidden="false" customHeight="false" outlineLevel="0" collapsed="false">
      <c r="A41" s="17" t="s">
        <v>53</v>
      </c>
      <c r="B41" s="17" t="s">
        <v>7</v>
      </c>
      <c r="C41" s="14"/>
      <c r="D41" s="14"/>
      <c r="E41" s="14" t="s">
        <v>38</v>
      </c>
      <c r="F41" s="15" t="s">
        <v>109</v>
      </c>
      <c r="G41" s="15" t="s">
        <v>110</v>
      </c>
      <c r="H41" s="15" t="s">
        <v>68</v>
      </c>
      <c r="I41" s="15"/>
      <c r="J41" s="19" t="n">
        <f aca="false">VLOOKUP($F41,Calculations!$B$6:$AE$314,5,FALSE())</f>
        <v>132430</v>
      </c>
      <c r="K41" s="20" t="s">
        <v>40</v>
      </c>
      <c r="L41" s="20" t="n">
        <f aca="false">J41</f>
        <v>132430</v>
      </c>
      <c r="M41" s="19" t="n">
        <f aca="false">VLOOKUP($F41,Calculations!$B$6:$AE$314,24,FALSE())</f>
        <v>13000</v>
      </c>
      <c r="N41" s="23"/>
      <c r="O41" s="16" t="n">
        <f aca="false">+N41+M41+J41</f>
        <v>145430</v>
      </c>
      <c r="P41" s="16"/>
      <c r="Q41" s="19" t="n">
        <v>90000</v>
      </c>
      <c r="R41" s="19" t="n">
        <v>15000</v>
      </c>
      <c r="S41" s="19" t="n">
        <v>7500</v>
      </c>
      <c r="T41" s="19" t="n">
        <f aca="false">+S41+R41+Q41</f>
        <v>112500</v>
      </c>
      <c r="U41" s="15"/>
      <c r="V41" s="19" t="n">
        <f aca="false">VLOOKUP($F41,Calculations!$B$6:$AE$314,8,FALSE())</f>
        <v>76401.9230769231</v>
      </c>
      <c r="W41" s="19" t="n">
        <f aca="false">VLOOKUP($F41,Calculations!$B$6:$AE$314,11,FALSE())</f>
        <v>145163.653846154</v>
      </c>
      <c r="X41" s="19"/>
      <c r="Y41" s="19" t="n">
        <f aca="false">T41+V41</f>
        <v>188901.923076923</v>
      </c>
      <c r="Z41" s="19" t="n">
        <f aca="false">T41+W41</f>
        <v>257663.653846154</v>
      </c>
      <c r="AA41" s="19"/>
      <c r="AB41" s="21" t="n">
        <f aca="false">VLOOKUP($F41,Calculations!$B$6:$AE$314,29,FALSE())</f>
        <v>35464</v>
      </c>
      <c r="AC41" s="15"/>
      <c r="AD41" s="19" t="n">
        <f aca="false">VLOOKUP($F41,Calculations!$B$6:$AE$314,7,FALSE())</f>
        <v>0</v>
      </c>
      <c r="AE41" s="19" t="n">
        <f aca="false">VLOOKUP($F41,Calculations!$B$6:$AE$314,10,FALSE())</f>
        <v>0</v>
      </c>
      <c r="AH41" s="6"/>
    </row>
    <row r="42" customFormat="false" ht="12.75" hidden="false" customHeight="false" outlineLevel="0" collapsed="false">
      <c r="A42" s="17" t="s">
        <v>41</v>
      </c>
      <c r="B42" s="17" t="s">
        <v>42</v>
      </c>
      <c r="C42" s="14"/>
      <c r="D42" s="14"/>
      <c r="E42" s="14" t="s">
        <v>38</v>
      </c>
      <c r="F42" s="15" t="s">
        <v>111</v>
      </c>
      <c r="G42" s="15" t="s">
        <v>112</v>
      </c>
      <c r="H42" s="15" t="s">
        <v>107</v>
      </c>
      <c r="I42" s="15"/>
      <c r="J42" s="19" t="n">
        <f aca="false">VLOOKUP($F42,Calculations!$B$6:$AE$314,5,FALSE())</f>
        <v>106920</v>
      </c>
      <c r="K42" s="20" t="s">
        <v>40</v>
      </c>
      <c r="L42" s="20" t="n">
        <f aca="false">J42</f>
        <v>106920</v>
      </c>
      <c r="M42" s="19" t="n">
        <f aca="false">VLOOKUP($F42,Calculations!$B$6:$AE$314,24,FALSE())</f>
        <v>80000</v>
      </c>
      <c r="N42" s="23"/>
      <c r="O42" s="16" t="n">
        <f aca="false">+N42+M42+J42</f>
        <v>186920</v>
      </c>
      <c r="P42" s="16"/>
      <c r="Q42" s="19" t="n">
        <v>100000</v>
      </c>
      <c r="R42" s="19" t="n">
        <v>35000</v>
      </c>
      <c r="S42" s="19" t="n">
        <v>15000</v>
      </c>
      <c r="T42" s="19" t="n">
        <f aca="false">+S42+R42+Q42</f>
        <v>150000</v>
      </c>
      <c r="U42" s="15"/>
      <c r="V42" s="19" t="n">
        <f aca="false">VLOOKUP($F42,Calculations!$B$6:$AE$314,8,FALSE())</f>
        <v>172716.923076923</v>
      </c>
      <c r="W42" s="19" t="n">
        <f aca="false">VLOOKUP($F42,Calculations!$B$6:$AE$314,11,FALSE())</f>
        <v>154211.538461538</v>
      </c>
      <c r="X42" s="19"/>
      <c r="Y42" s="19" t="n">
        <f aca="false">T42+V42</f>
        <v>322716.923076923</v>
      </c>
      <c r="Z42" s="19" t="n">
        <f aca="false">T42+W42</f>
        <v>304211.538461539</v>
      </c>
      <c r="AA42" s="19"/>
      <c r="AB42" s="21" t="n">
        <f aca="false">VLOOKUP($F42,Calculations!$B$6:$AE$314,29,FALSE())</f>
        <v>31915</v>
      </c>
      <c r="AC42" s="15"/>
      <c r="AD42" s="19" t="n">
        <f aca="false">VLOOKUP($F42,Calculations!$B$6:$AE$314,7,FALSE())</f>
        <v>0</v>
      </c>
      <c r="AE42" s="19" t="n">
        <f aca="false">VLOOKUP($F42,Calculations!$B$6:$AE$314,10,FALSE())</f>
        <v>0</v>
      </c>
      <c r="AH42" s="6"/>
    </row>
    <row r="43" customFormat="false" ht="12.75" hidden="false" customHeight="false" outlineLevel="0" collapsed="false">
      <c r="A43" s="17" t="s">
        <v>86</v>
      </c>
      <c r="B43" s="17" t="s">
        <v>7</v>
      </c>
      <c r="C43" s="14"/>
      <c r="D43" s="14"/>
      <c r="E43" s="14" t="s">
        <v>38</v>
      </c>
      <c r="F43" s="15" t="s">
        <v>113</v>
      </c>
      <c r="G43" s="15"/>
      <c r="H43" s="15"/>
      <c r="I43" s="15"/>
      <c r="J43" s="19" t="n">
        <f aca="false">VLOOKUP($F43,Calculations!$B$6:$AE$314,5,FALSE())</f>
        <v>106500</v>
      </c>
      <c r="K43" s="20" t="s">
        <v>40</v>
      </c>
      <c r="L43" s="20" t="n">
        <f aca="false">J43</f>
        <v>106500</v>
      </c>
      <c r="M43" s="19" t="n">
        <f aca="false">VLOOKUP($F43,Calculations!$B$6:$AE$314,24,FALSE())</f>
        <v>50000</v>
      </c>
      <c r="N43" s="23" t="n">
        <v>47350</v>
      </c>
      <c r="O43" s="16" t="n">
        <f aca="false">+N43+M43+J43</f>
        <v>203850</v>
      </c>
      <c r="P43" s="16"/>
      <c r="Q43" s="19" t="n">
        <v>105000</v>
      </c>
      <c r="R43" s="19"/>
      <c r="S43" s="19"/>
      <c r="T43" s="19" t="n">
        <f aca="false">+S43+R43+Q43</f>
        <v>105000</v>
      </c>
      <c r="U43" s="15"/>
      <c r="V43" s="19" t="n">
        <f aca="false">VLOOKUP($F43,Calculations!$B$6:$AE$314,8,FALSE())</f>
        <v>36865.3846153846</v>
      </c>
      <c r="W43" s="19" t="n">
        <f aca="false">VLOOKUP($F43,Calculations!$B$6:$AE$314,11,FALSE())</f>
        <v>86019.2307692308</v>
      </c>
      <c r="X43" s="19"/>
      <c r="Y43" s="19" t="n">
        <f aca="false">T43+V43</f>
        <v>141865.384615385</v>
      </c>
      <c r="Z43" s="19" t="n">
        <f aca="false">T43+W43</f>
        <v>191019.230769231</v>
      </c>
      <c r="AA43" s="19"/>
      <c r="AB43" s="21" t="n">
        <f aca="false">VLOOKUP($F43,Calculations!$B$6:$AE$314,29,FALSE())</f>
        <v>36175</v>
      </c>
      <c r="AC43" s="15"/>
      <c r="AD43" s="19" t="n">
        <f aca="false">VLOOKUP($F43,Calculations!$B$6:$AE$314,7,FALSE())</f>
        <v>0</v>
      </c>
      <c r="AE43" s="19" t="n">
        <f aca="false">VLOOKUP($F43,Calculations!$B$6:$AE$314,10,FALSE())</f>
        <v>0</v>
      </c>
      <c r="AH43" s="6"/>
    </row>
    <row r="44" customFormat="false" ht="12.75" hidden="false" customHeight="false" outlineLevel="0" collapsed="false">
      <c r="A44" s="17" t="s">
        <v>114</v>
      </c>
      <c r="B44" s="17" t="s">
        <v>7</v>
      </c>
      <c r="C44" s="14"/>
      <c r="D44" s="14"/>
      <c r="E44" s="14" t="s">
        <v>38</v>
      </c>
      <c r="F44" s="22" t="s">
        <v>115</v>
      </c>
      <c r="G44" s="15"/>
      <c r="H44" s="15"/>
      <c r="I44" s="15"/>
      <c r="J44" s="19" t="n">
        <f aca="false">VLOOKUP($F44,Calculations!$B$6:$AE$314,5,FALSE())</f>
        <v>105423</v>
      </c>
      <c r="K44" s="20" t="s">
        <v>40</v>
      </c>
      <c r="L44" s="20" t="n">
        <f aca="false">J44</f>
        <v>105423</v>
      </c>
      <c r="M44" s="19" t="n">
        <f aca="false">VLOOKUP($F44,Calculations!$B$6:$AE$314,24,FALSE())</f>
        <v>45000</v>
      </c>
      <c r="N44" s="23"/>
      <c r="O44" s="16" t="n">
        <f aca="false">+N44+M44+J44</f>
        <v>150423</v>
      </c>
      <c r="P44" s="16"/>
      <c r="Q44" s="19" t="n">
        <v>105000</v>
      </c>
      <c r="R44" s="19"/>
      <c r="S44" s="19"/>
      <c r="T44" s="19" t="n">
        <f aca="false">+S44+R44+Q44</f>
        <v>105000</v>
      </c>
      <c r="U44" s="15"/>
      <c r="V44" s="19" t="n">
        <f aca="false">VLOOKUP($F44,Calculations!$B$6:$AE$314,8,FALSE())</f>
        <v>121641.923076923</v>
      </c>
      <c r="W44" s="19" t="n">
        <f aca="false">VLOOKUP($F44,Calculations!$B$6:$AE$314,11,FALSE())</f>
        <v>127724.019230769</v>
      </c>
      <c r="X44" s="19"/>
      <c r="Y44" s="19" t="n">
        <f aca="false">T44+V44</f>
        <v>226641.923076923</v>
      </c>
      <c r="Z44" s="19" t="n">
        <f aca="false">T44+W44</f>
        <v>232724.019230769</v>
      </c>
      <c r="AA44" s="19"/>
      <c r="AB44" s="21" t="n">
        <f aca="false">VLOOKUP($F44,Calculations!$B$6:$AE$314,29,FALSE())</f>
        <v>33451</v>
      </c>
      <c r="AC44" s="15"/>
      <c r="AD44" s="19" t="n">
        <f aca="false">VLOOKUP($F44,Calculations!$B$6:$AE$314,7,FALSE())</f>
        <v>0</v>
      </c>
      <c r="AE44" s="19" t="n">
        <f aca="false">VLOOKUP($F44,Calculations!$B$6:$AE$314,10,FALSE())</f>
        <v>0</v>
      </c>
      <c r="AH44" s="6"/>
    </row>
    <row r="45" customFormat="false" ht="12.75" hidden="false" customHeight="false" outlineLevel="0" collapsed="false">
      <c r="A45" s="17" t="s">
        <v>116</v>
      </c>
      <c r="B45" s="17" t="s">
        <v>47</v>
      </c>
      <c r="C45" s="14"/>
      <c r="D45" s="14"/>
      <c r="E45" s="14" t="s">
        <v>38</v>
      </c>
      <c r="F45" s="15" t="s">
        <v>117</v>
      </c>
      <c r="G45" s="15" t="s">
        <v>118</v>
      </c>
      <c r="H45" s="15"/>
      <c r="I45" s="15"/>
      <c r="J45" s="19" t="n">
        <f aca="false">VLOOKUP($F45,Calculations!$B$6:$AE$314,5,FALSE())</f>
        <v>105000</v>
      </c>
      <c r="K45" s="20" t="s">
        <v>40</v>
      </c>
      <c r="L45" s="20" t="n">
        <f aca="false">J45</f>
        <v>105000</v>
      </c>
      <c r="M45" s="19" t="n">
        <f aca="false">VLOOKUP($F45,Calculations!$B$6:$AE$314,24,FALSE())</f>
        <v>40000</v>
      </c>
      <c r="N45" s="23"/>
      <c r="O45" s="16" t="n">
        <f aca="false">+N45+M45+J45</f>
        <v>145000</v>
      </c>
      <c r="P45" s="16"/>
      <c r="Q45" s="19" t="n">
        <v>105000</v>
      </c>
      <c r="R45" s="19"/>
      <c r="S45" s="19"/>
      <c r="T45" s="19" t="n">
        <f aca="false">+S45+R45+Q45</f>
        <v>105000</v>
      </c>
      <c r="U45" s="15"/>
      <c r="V45" s="19" t="n">
        <f aca="false">VLOOKUP($F45,Calculations!$B$6:$AE$314,8,FALSE())</f>
        <v>315000</v>
      </c>
      <c r="W45" s="19" t="n">
        <f aca="false">VLOOKUP($F45,Calculations!$B$6:$AE$314,11,FALSE())</f>
        <v>157500</v>
      </c>
      <c r="X45" s="19"/>
      <c r="Y45" s="19" t="n">
        <f aca="false">T45+V45</f>
        <v>420000</v>
      </c>
      <c r="Z45" s="19" t="n">
        <f aca="false">T45+W45</f>
        <v>262500</v>
      </c>
      <c r="AA45" s="19"/>
      <c r="AB45" s="21" t="n">
        <f aca="false">VLOOKUP($F45,Calculations!$B$6:$AE$314,29,FALSE())</f>
        <v>27485</v>
      </c>
      <c r="AC45" s="15"/>
      <c r="AD45" s="19" t="n">
        <f aca="false">VLOOKUP($F45,Calculations!$B$6:$AE$314,7,FALSE())</f>
        <v>0</v>
      </c>
      <c r="AE45" s="19" t="n">
        <f aca="false">VLOOKUP($F45,Calculations!$B$6:$AE$314,10,FALSE())</f>
        <v>0</v>
      </c>
      <c r="AH45" s="6"/>
    </row>
    <row r="46" customFormat="false" ht="12.75" hidden="false" customHeight="false" outlineLevel="0" collapsed="false">
      <c r="A46" s="17" t="s">
        <v>37</v>
      </c>
      <c r="B46" s="17" t="s">
        <v>7</v>
      </c>
      <c r="C46" s="14"/>
      <c r="D46" s="14"/>
      <c r="E46" s="25" t="s">
        <v>38</v>
      </c>
      <c r="F46" s="15" t="s">
        <v>119</v>
      </c>
      <c r="G46" s="15"/>
      <c r="H46" s="15"/>
      <c r="I46" s="15"/>
      <c r="J46" s="19" t="n">
        <f aca="false">VLOOKUP($F46,Calculations!$B$6:$AE$314,5,FALSE())</f>
        <v>101911</v>
      </c>
      <c r="K46" s="20" t="s">
        <v>40</v>
      </c>
      <c r="L46" s="20" t="n">
        <f aca="false">J46</f>
        <v>101911</v>
      </c>
      <c r="M46" s="19" t="n">
        <f aca="false">VLOOKUP($F46,Calculations!$B$6:$AE$314,24,FALSE())</f>
        <v>35000</v>
      </c>
      <c r="N46" s="23" t="n">
        <v>47350</v>
      </c>
      <c r="O46" s="16" t="n">
        <f aca="false">+N46+M46+J46</f>
        <v>184261</v>
      </c>
      <c r="P46" s="16"/>
      <c r="Q46" s="19" t="n">
        <f aca="false">+J46</f>
        <v>101911</v>
      </c>
      <c r="R46" s="19"/>
      <c r="S46" s="19"/>
      <c r="T46" s="19" t="n">
        <f aca="false">+S46+R46+Q46</f>
        <v>101911</v>
      </c>
      <c r="U46" s="15"/>
      <c r="V46" s="19" t="n">
        <f aca="false">VLOOKUP($F46,Calculations!$B$6:$AE$314,8,FALSE())</f>
        <v>82312.7307692308</v>
      </c>
      <c r="W46" s="19" t="n">
        <f aca="false">VLOOKUP($F46,Calculations!$B$6:$AE$314,11,FALSE())</f>
        <v>105830.653846154</v>
      </c>
      <c r="X46" s="19"/>
      <c r="Y46" s="19" t="n">
        <f aca="false">T46+V46</f>
        <v>184223.730769231</v>
      </c>
      <c r="Z46" s="19" t="n">
        <f aca="false">T46+W46</f>
        <v>207741.653846154</v>
      </c>
      <c r="AA46" s="19"/>
      <c r="AB46" s="21" t="n">
        <f aca="false">VLOOKUP($F46,Calculations!$B$6:$AE$314,29,FALSE())</f>
        <v>34486</v>
      </c>
      <c r="AC46" s="15"/>
      <c r="AD46" s="19" t="n">
        <f aca="false">VLOOKUP($F46,Calculations!$B$6:$AE$314,7,FALSE())</f>
        <v>0</v>
      </c>
      <c r="AE46" s="19" t="n">
        <f aca="false">VLOOKUP($F46,Calculations!$B$6:$AE$314,10,FALSE())</f>
        <v>0</v>
      </c>
      <c r="AH46" s="6"/>
    </row>
    <row r="47" customFormat="false" ht="12.75" hidden="false" customHeight="false" outlineLevel="0" collapsed="false">
      <c r="A47" s="17" t="s">
        <v>37</v>
      </c>
      <c r="B47" s="17" t="s">
        <v>7</v>
      </c>
      <c r="C47" s="14"/>
      <c r="D47" s="14"/>
      <c r="E47" s="14" t="s">
        <v>38</v>
      </c>
      <c r="F47" s="15" t="s">
        <v>120</v>
      </c>
      <c r="G47" s="15"/>
      <c r="H47" s="15"/>
      <c r="I47" s="15"/>
      <c r="J47" s="19" t="n">
        <f aca="false">VLOOKUP($F47,Calculations!$B$6:$AE$314,5,FALSE())</f>
        <v>101897</v>
      </c>
      <c r="K47" s="20" t="s">
        <v>40</v>
      </c>
      <c r="L47" s="20" t="n">
        <f aca="false">J47</f>
        <v>101897</v>
      </c>
      <c r="M47" s="19" t="n">
        <f aca="false">VLOOKUP($F47,Calculations!$B$6:$AE$314,24,FALSE())</f>
        <v>25000</v>
      </c>
      <c r="N47" s="23" t="n">
        <v>47350</v>
      </c>
      <c r="O47" s="16" t="n">
        <f aca="false">+N47+M47+J47</f>
        <v>174247</v>
      </c>
      <c r="P47" s="16"/>
      <c r="Q47" s="19" t="n">
        <f aca="false">+J47</f>
        <v>101897</v>
      </c>
      <c r="R47" s="19"/>
      <c r="S47" s="19"/>
      <c r="T47" s="19" t="n">
        <f aca="false">+S47+R47+Q47</f>
        <v>101897</v>
      </c>
      <c r="U47" s="15"/>
      <c r="V47" s="19" t="n">
        <f aca="false">VLOOKUP($F47,Calculations!$B$6:$AE$314,8,FALSE())</f>
        <v>58786.7307692308</v>
      </c>
      <c r="W47" s="19" t="n">
        <f aca="false">VLOOKUP($F47,Calculations!$B$6:$AE$314,11,FALSE())</f>
        <v>94058.7692307692</v>
      </c>
      <c r="X47" s="19"/>
      <c r="Y47" s="19" t="n">
        <f aca="false">T47+V47</f>
        <v>160683.730769231</v>
      </c>
      <c r="Z47" s="19" t="n">
        <f aca="false">T47+W47</f>
        <v>195955.769230769</v>
      </c>
      <c r="AA47" s="19"/>
      <c r="AB47" s="21" t="n">
        <f aca="false">VLOOKUP($F47,Calculations!$B$6:$AE$314,29,FALSE())</f>
        <v>35490</v>
      </c>
      <c r="AC47" s="15"/>
      <c r="AD47" s="19" t="n">
        <f aca="false">VLOOKUP($F47,Calculations!$B$6:$AE$314,7,FALSE())</f>
        <v>0</v>
      </c>
      <c r="AE47" s="19" t="n">
        <f aca="false">VLOOKUP($F47,Calculations!$B$6:$AE$314,10,FALSE())</f>
        <v>0</v>
      </c>
      <c r="AH47" s="6"/>
    </row>
    <row r="48" customFormat="false" ht="12.75" hidden="false" customHeight="false" outlineLevel="0" collapsed="false">
      <c r="A48" s="17" t="s">
        <v>46</v>
      </c>
      <c r="B48" s="17" t="s">
        <v>7</v>
      </c>
      <c r="C48" s="14"/>
      <c r="D48" s="14"/>
      <c r="E48" s="14" t="s">
        <v>38</v>
      </c>
      <c r="F48" s="15" t="s">
        <v>121</v>
      </c>
      <c r="G48" s="15" t="s">
        <v>122</v>
      </c>
      <c r="H48" s="15" t="s">
        <v>68</v>
      </c>
      <c r="I48" s="15"/>
      <c r="J48" s="19" t="n">
        <f aca="false">VLOOKUP($F48,Calculations!$B$6:$AE$314,5,FALSE())</f>
        <v>100000</v>
      </c>
      <c r="K48" s="20" t="s">
        <v>40</v>
      </c>
      <c r="L48" s="20" t="n">
        <f aca="false">J48</f>
        <v>100000</v>
      </c>
      <c r="M48" s="19" t="n">
        <f aca="false">VLOOKUP($F48,Calculations!$B$6:$AE$314,24,FALSE())</f>
        <v>20000</v>
      </c>
      <c r="N48" s="23"/>
      <c r="O48" s="16" t="n">
        <f aca="false">+N48+M48+J48</f>
        <v>120000</v>
      </c>
      <c r="P48" s="16"/>
      <c r="Q48" s="19" t="n">
        <v>90000</v>
      </c>
      <c r="R48" s="19" t="n">
        <v>15000</v>
      </c>
      <c r="S48" s="19" t="n">
        <v>7500</v>
      </c>
      <c r="T48" s="19" t="n">
        <f aca="false">+S48+R48+Q48</f>
        <v>112500</v>
      </c>
      <c r="U48" s="15"/>
      <c r="V48" s="19" t="n">
        <f aca="false">VLOOKUP($F48,Calculations!$B$6:$AE$314,8,FALSE())</f>
        <v>69230.7692307692</v>
      </c>
      <c r="W48" s="19" t="n">
        <f aca="false">VLOOKUP($F48,Calculations!$B$6:$AE$314,11,FALSE())</f>
        <v>92307.6923076923</v>
      </c>
      <c r="X48" s="19"/>
      <c r="Y48" s="19" t="n">
        <f aca="false">T48+V48</f>
        <v>181730.769230769</v>
      </c>
      <c r="Z48" s="19" t="n">
        <f aca="false">T48+W48</f>
        <v>204807.692307692</v>
      </c>
      <c r="AA48" s="19"/>
      <c r="AB48" s="21" t="n">
        <f aca="false">VLOOKUP($F48,Calculations!$B$6:$AE$314,29,FALSE())</f>
        <v>35004</v>
      </c>
      <c r="AC48" s="15"/>
      <c r="AD48" s="19" t="n">
        <f aca="false">VLOOKUP($F48,Calculations!$B$6:$AE$314,7,FALSE())</f>
        <v>0</v>
      </c>
      <c r="AE48" s="19" t="n">
        <f aca="false">VLOOKUP($F48,Calculations!$B$6:$AE$314,10,FALSE())</f>
        <v>0</v>
      </c>
      <c r="AH48" s="6"/>
    </row>
    <row r="49" customFormat="false" ht="12.75" hidden="false" customHeight="false" outlineLevel="0" collapsed="false">
      <c r="A49" s="17" t="s">
        <v>50</v>
      </c>
      <c r="B49" s="17" t="s">
        <v>7</v>
      </c>
      <c r="C49" s="14"/>
      <c r="D49" s="14"/>
      <c r="E49" s="14" t="s">
        <v>38</v>
      </c>
      <c r="F49" s="15" t="s">
        <v>123</v>
      </c>
      <c r="G49" s="15" t="s">
        <v>124</v>
      </c>
      <c r="H49" s="15" t="s">
        <v>125</v>
      </c>
      <c r="I49" s="15"/>
      <c r="J49" s="19" t="n">
        <f aca="false">VLOOKUP($F49,Calculations!$B$6:$AE$314,5,FALSE())</f>
        <v>91500</v>
      </c>
      <c r="K49" s="20" t="s">
        <v>40</v>
      </c>
      <c r="L49" s="20" t="n">
        <f aca="false">J49</f>
        <v>91500</v>
      </c>
      <c r="M49" s="19" t="n">
        <f aca="false">VLOOKUP($F49,Calculations!$B$6:$AE$314,24,FALSE())</f>
        <v>18000</v>
      </c>
      <c r="N49" s="23"/>
      <c r="O49" s="16" t="n">
        <f aca="false">+N49+M49+J49</f>
        <v>109500</v>
      </c>
      <c r="P49" s="16"/>
      <c r="Q49" s="19" t="n">
        <v>100000</v>
      </c>
      <c r="R49" s="19" t="n">
        <v>35000</v>
      </c>
      <c r="S49" s="19" t="n">
        <v>15000</v>
      </c>
      <c r="T49" s="19" t="n">
        <f aca="false">+S49+R49+Q49</f>
        <v>150000</v>
      </c>
      <c r="U49" s="15"/>
      <c r="V49" s="19" t="n">
        <f aca="false">VLOOKUP($F49,Calculations!$B$6:$AE$314,8,FALSE())</f>
        <v>31673.0769230769</v>
      </c>
      <c r="W49" s="19" t="n">
        <f aca="false">VLOOKUP($F49,Calculations!$B$6:$AE$314,11,FALSE())</f>
        <v>84461.5384615384</v>
      </c>
      <c r="X49" s="19"/>
      <c r="Y49" s="19" t="n">
        <f aca="false">T49+V49</f>
        <v>181673.076923077</v>
      </c>
      <c r="Z49" s="19" t="n">
        <f aca="false">T49+W49</f>
        <v>234461.538461538</v>
      </c>
      <c r="AA49" s="19"/>
      <c r="AB49" s="21" t="n">
        <f aca="false">VLOOKUP($F49,Calculations!$B$6:$AE$314,29,FALSE())</f>
        <v>35017</v>
      </c>
      <c r="AC49" s="15"/>
      <c r="AD49" s="19" t="n">
        <f aca="false">VLOOKUP($F49,Calculations!$B$6:$AE$314,7,FALSE())</f>
        <v>0</v>
      </c>
      <c r="AE49" s="19" t="n">
        <f aca="false">VLOOKUP($F49,Calculations!$B$6:$AE$314,10,FALSE())</f>
        <v>0</v>
      </c>
      <c r="AH49" s="6"/>
    </row>
    <row r="50" customFormat="false" ht="12.75" hidden="false" customHeight="false" outlineLevel="0" collapsed="false">
      <c r="A50" s="17" t="s">
        <v>50</v>
      </c>
      <c r="B50" s="17" t="s">
        <v>7</v>
      </c>
      <c r="C50" s="14"/>
      <c r="D50" s="14"/>
      <c r="E50" s="14" t="s">
        <v>38</v>
      </c>
      <c r="F50" s="15" t="s">
        <v>126</v>
      </c>
      <c r="G50" s="15" t="s">
        <v>127</v>
      </c>
      <c r="H50" s="15" t="s">
        <v>68</v>
      </c>
      <c r="I50" s="15"/>
      <c r="J50" s="19" t="n">
        <f aca="false">VLOOKUP($F50,Calculations!$B$6:$AE$314,5,FALSE())</f>
        <v>90000</v>
      </c>
      <c r="K50" s="20" t="s">
        <v>40</v>
      </c>
      <c r="L50" s="20" t="n">
        <f aca="false">J50</f>
        <v>90000</v>
      </c>
      <c r="M50" s="19" t="n">
        <f aca="false">VLOOKUP($F50,Calculations!$B$6:$AE$314,24,FALSE())</f>
        <v>0</v>
      </c>
      <c r="N50" s="23"/>
      <c r="O50" s="16" t="n">
        <f aca="false">+N50+M50+J50</f>
        <v>90000</v>
      </c>
      <c r="P50" s="16"/>
      <c r="Q50" s="19" t="n">
        <v>90000</v>
      </c>
      <c r="R50" s="19" t="n">
        <v>15000</v>
      </c>
      <c r="S50" s="19" t="n">
        <v>7500</v>
      </c>
      <c r="T50" s="19" t="n">
        <f aca="false">+S50+R50+Q50</f>
        <v>112500</v>
      </c>
      <c r="U50" s="15"/>
      <c r="V50" s="19" t="n">
        <f aca="false">VLOOKUP($F50,Calculations!$B$6:$AE$314,8,FALSE())</f>
        <v>5192.30769230769</v>
      </c>
      <c r="W50" s="19" t="n">
        <f aca="false">VLOOKUP($F50,Calculations!$B$6:$AE$314,11,FALSE())</f>
        <v>51923.0769230769</v>
      </c>
      <c r="X50" s="19"/>
      <c r="Y50" s="19" t="n">
        <f aca="false">T50+V50</f>
        <v>117692.307692308</v>
      </c>
      <c r="Z50" s="19" t="n">
        <f aca="false">T50+W50</f>
        <v>164423.076923077</v>
      </c>
      <c r="AA50" s="19"/>
      <c r="AB50" s="21" t="n">
        <f aca="false">VLOOKUP($F50,Calculations!$B$6:$AE$314,29,FALSE())</f>
        <v>36927</v>
      </c>
      <c r="AC50" s="15"/>
      <c r="AD50" s="19" t="n">
        <f aca="false">VLOOKUP($F50,Calculations!$B$6:$AE$314,7,FALSE())</f>
        <v>0</v>
      </c>
      <c r="AE50" s="19" t="n">
        <f aca="false">VLOOKUP($F50,Calculations!$B$6:$AE$314,10,FALSE())</f>
        <v>0</v>
      </c>
      <c r="AH50" s="6"/>
    </row>
    <row r="51" customFormat="false" ht="12.75" hidden="false" customHeight="false" outlineLevel="0" collapsed="false">
      <c r="A51" s="17" t="s">
        <v>37</v>
      </c>
      <c r="B51" s="17" t="s">
        <v>7</v>
      </c>
      <c r="C51" s="14"/>
      <c r="D51" s="14"/>
      <c r="E51" s="14" t="s">
        <v>38</v>
      </c>
      <c r="F51" s="15" t="s">
        <v>128</v>
      </c>
      <c r="G51" s="15"/>
      <c r="H51" s="15"/>
      <c r="I51" s="15"/>
      <c r="J51" s="19" t="n">
        <f aca="false">VLOOKUP($F51,Calculations!$B$6:$AE$314,5,FALSE())</f>
        <v>89286</v>
      </c>
      <c r="K51" s="20" t="s">
        <v>40</v>
      </c>
      <c r="L51" s="20" t="n">
        <f aca="false">J51</f>
        <v>89286</v>
      </c>
      <c r="M51" s="19" t="n">
        <f aca="false">VLOOKUP($F51,Calculations!$B$6:$AE$314,24,FALSE())</f>
        <v>56030</v>
      </c>
      <c r="N51" s="23" t="n">
        <v>56820</v>
      </c>
      <c r="O51" s="16" t="n">
        <f aca="false">+N51+M51+J51</f>
        <v>202136</v>
      </c>
      <c r="P51" s="16"/>
      <c r="Q51" s="19" t="n">
        <f aca="false">+J51</f>
        <v>89286</v>
      </c>
      <c r="R51" s="19"/>
      <c r="S51" s="19"/>
      <c r="T51" s="19" t="n">
        <f aca="false">+S51+R51+Q51</f>
        <v>89286</v>
      </c>
      <c r="U51" s="15"/>
      <c r="V51" s="19" t="n">
        <f aca="false">VLOOKUP($F51,Calculations!$B$6:$AE$314,8,FALSE())</f>
        <v>36057.8076923077</v>
      </c>
      <c r="W51" s="19" t="n">
        <f aca="false">VLOOKUP($F51,Calculations!$B$6:$AE$314,11,FALSE())</f>
        <v>82417.8461538462</v>
      </c>
      <c r="X51" s="19"/>
      <c r="Y51" s="19" t="n">
        <f aca="false">T51+V51</f>
        <v>125343.807692308</v>
      </c>
      <c r="Z51" s="19" t="n">
        <f aca="false">T51+W51</f>
        <v>171703.846153846</v>
      </c>
      <c r="AA51" s="19"/>
      <c r="AB51" s="21" t="n">
        <f aca="false">VLOOKUP($F51,Calculations!$B$6:$AE$314,29,FALSE())</f>
        <v>34547</v>
      </c>
      <c r="AC51" s="15"/>
      <c r="AD51" s="19" t="n">
        <f aca="false">VLOOKUP($F51,Calculations!$B$6:$AE$314,7,FALSE())</f>
        <v>0</v>
      </c>
      <c r="AE51" s="19" t="n">
        <f aca="false">VLOOKUP($F51,Calculations!$B$6:$AE$314,10,FALSE())</f>
        <v>0</v>
      </c>
      <c r="AH51" s="6"/>
    </row>
    <row r="52" customFormat="false" ht="12.75" hidden="false" customHeight="false" outlineLevel="0" collapsed="false">
      <c r="A52" s="17" t="s">
        <v>58</v>
      </c>
      <c r="B52" s="17" t="s">
        <v>7</v>
      </c>
      <c r="C52" s="14"/>
      <c r="D52" s="14"/>
      <c r="E52" s="14" t="s">
        <v>38</v>
      </c>
      <c r="F52" s="15" t="s">
        <v>129</v>
      </c>
      <c r="G52" s="15"/>
      <c r="H52" s="15"/>
      <c r="I52" s="15"/>
      <c r="J52" s="19" t="n">
        <f aca="false">VLOOKUP($F52,Calculations!$B$6:$AE$314,5,FALSE())</f>
        <v>87417</v>
      </c>
      <c r="K52" s="20" t="s">
        <v>40</v>
      </c>
      <c r="L52" s="20" t="n">
        <f aca="false">J52</f>
        <v>87417</v>
      </c>
      <c r="M52" s="19" t="n">
        <f aca="false">VLOOKUP($F52,Calculations!$B$6:$AE$314,24,FALSE())</f>
        <v>20000</v>
      </c>
      <c r="N52" s="23"/>
      <c r="O52" s="16" t="n">
        <f aca="false">+N52+M52+J52</f>
        <v>107417</v>
      </c>
      <c r="P52" s="16"/>
      <c r="Q52" s="19" t="n">
        <f aca="false">+J52</f>
        <v>87417</v>
      </c>
      <c r="R52" s="19"/>
      <c r="S52" s="19"/>
      <c r="T52" s="19" t="n">
        <f aca="false">+S52+R52+Q52</f>
        <v>87417</v>
      </c>
      <c r="U52" s="15"/>
      <c r="V52" s="19" t="n">
        <f aca="false">VLOOKUP($F52,Calculations!$B$6:$AE$314,8,FALSE())</f>
        <v>55476.1730769231</v>
      </c>
      <c r="W52" s="19" t="n">
        <f aca="false">VLOOKUP($F52,Calculations!$B$6:$AE$314,11,FALSE())</f>
        <v>100865.769230769</v>
      </c>
      <c r="X52" s="19"/>
      <c r="Y52" s="19" t="n">
        <f aca="false">T52+V52</f>
        <v>142893.173076923</v>
      </c>
      <c r="Z52" s="19" t="n">
        <f aca="false">T52+W52</f>
        <v>188282.769230769</v>
      </c>
      <c r="AA52" s="19"/>
      <c r="AB52" s="21" t="n">
        <f aca="false">VLOOKUP($F52,Calculations!$B$6:$AE$314,29,FALSE())</f>
        <v>33308</v>
      </c>
      <c r="AC52" s="15"/>
      <c r="AD52" s="19" t="n">
        <f aca="false">VLOOKUP($F52,Calculations!$B$6:$AE$314,7,FALSE())</f>
        <v>0</v>
      </c>
      <c r="AE52" s="19" t="n">
        <f aca="false">VLOOKUP($F52,Calculations!$B$6:$AE$314,10,FALSE())</f>
        <v>0</v>
      </c>
      <c r="AH52" s="6"/>
    </row>
    <row r="53" customFormat="false" ht="12.75" hidden="false" customHeight="false" outlineLevel="0" collapsed="false">
      <c r="A53" s="17" t="s">
        <v>37</v>
      </c>
      <c r="B53" s="17" t="s">
        <v>7</v>
      </c>
      <c r="C53" s="14"/>
      <c r="D53" s="14"/>
      <c r="E53" s="14" t="s">
        <v>38</v>
      </c>
      <c r="F53" s="15" t="s">
        <v>130</v>
      </c>
      <c r="G53" s="15"/>
      <c r="H53" s="15" t="s">
        <v>61</v>
      </c>
      <c r="I53" s="15"/>
      <c r="J53" s="19" t="n">
        <f aca="false">VLOOKUP($F53,Calculations!$B$6:$AE$314,5,FALSE())</f>
        <v>85987</v>
      </c>
      <c r="K53" s="20" t="s">
        <v>40</v>
      </c>
      <c r="L53" s="20" t="n">
        <f aca="false">J53</f>
        <v>85987</v>
      </c>
      <c r="M53" s="19" t="n">
        <f aca="false">VLOOKUP($F53,Calculations!$B$6:$AE$314,24,FALSE())</f>
        <v>65000</v>
      </c>
      <c r="N53" s="23" t="n">
        <v>37880</v>
      </c>
      <c r="O53" s="16" t="n">
        <f aca="false">+N53+M53+J53</f>
        <v>188867</v>
      </c>
      <c r="P53" s="16"/>
      <c r="Q53" s="19" t="n">
        <v>110000</v>
      </c>
      <c r="R53" s="19" t="n">
        <v>66000</v>
      </c>
      <c r="S53" s="19" t="n">
        <v>65000</v>
      </c>
      <c r="T53" s="19" t="n">
        <f aca="false">+S53+R53+Q53</f>
        <v>241000</v>
      </c>
      <c r="U53" s="15"/>
      <c r="V53" s="19" t="n">
        <f aca="false">VLOOKUP($F53,Calculations!$B$6:$AE$314,8,FALSE())</f>
        <v>34725.5192307692</v>
      </c>
      <c r="W53" s="19" t="n">
        <f aca="false">VLOOKUP($F53,Calculations!$B$6:$AE$314,11,FALSE())</f>
        <v>79372.6153846154</v>
      </c>
      <c r="X53" s="19"/>
      <c r="Y53" s="19" t="n">
        <f aca="false">T53+V53</f>
        <v>275725.519230769</v>
      </c>
      <c r="Z53" s="19" t="n">
        <f aca="false">T53+W53</f>
        <v>320372.615384615</v>
      </c>
      <c r="AA53" s="19"/>
      <c r="AB53" s="21" t="n">
        <f aca="false">VLOOKUP($F53,Calculations!$B$6:$AE$314,29,FALSE())</f>
        <v>34547</v>
      </c>
      <c r="AC53" s="15"/>
      <c r="AD53" s="19" t="n">
        <f aca="false">VLOOKUP($F53,Calculations!$B$6:$AE$314,7,FALSE())</f>
        <v>0</v>
      </c>
      <c r="AE53" s="19" t="n">
        <f aca="false">VLOOKUP($F53,Calculations!$B$6:$AE$314,10,FALSE())</f>
        <v>0</v>
      </c>
      <c r="AH53" s="6"/>
    </row>
    <row r="54" customFormat="false" ht="12.75" hidden="false" customHeight="false" outlineLevel="0" collapsed="false">
      <c r="A54" s="17" t="s">
        <v>53</v>
      </c>
      <c r="B54" s="17" t="s">
        <v>7</v>
      </c>
      <c r="C54" s="14"/>
      <c r="D54" s="14"/>
      <c r="E54" s="14" t="s">
        <v>38</v>
      </c>
      <c r="F54" s="15" t="s">
        <v>131</v>
      </c>
      <c r="G54" s="15" t="s">
        <v>132</v>
      </c>
      <c r="H54" s="15" t="s">
        <v>68</v>
      </c>
      <c r="I54" s="15"/>
      <c r="J54" s="19" t="n">
        <f aca="false">VLOOKUP($F54,Calculations!$B$6:$AE$314,5,FALSE())</f>
        <v>85000</v>
      </c>
      <c r="K54" s="20" t="s">
        <v>40</v>
      </c>
      <c r="L54" s="20" t="n">
        <f aca="false">J54</f>
        <v>85000</v>
      </c>
      <c r="M54" s="19" t="n">
        <f aca="false">VLOOKUP($F54,Calculations!$B$6:$AE$314,24,FALSE())</f>
        <v>7000</v>
      </c>
      <c r="N54" s="23"/>
      <c r="O54" s="16" t="n">
        <f aca="false">+N54+M54+J54</f>
        <v>92000</v>
      </c>
      <c r="P54" s="16"/>
      <c r="Q54" s="19" t="n">
        <v>90000</v>
      </c>
      <c r="R54" s="19" t="n">
        <v>15000</v>
      </c>
      <c r="S54" s="19" t="n">
        <v>7500</v>
      </c>
      <c r="T54" s="19" t="n">
        <f aca="false">+S54+R54+Q54</f>
        <v>112500</v>
      </c>
      <c r="U54" s="15"/>
      <c r="V54" s="19" t="n">
        <f aca="false">VLOOKUP($F54,Calculations!$B$6:$AE$314,8,FALSE())</f>
        <v>53942.3076923077</v>
      </c>
      <c r="W54" s="19" t="n">
        <f aca="false">VLOOKUP($F54,Calculations!$B$6:$AE$314,11,FALSE())</f>
        <v>98076.9230769231</v>
      </c>
      <c r="X54" s="19"/>
      <c r="Y54" s="19" t="n">
        <f aca="false">T54+V54</f>
        <v>166442.307692308</v>
      </c>
      <c r="Z54" s="19" t="n">
        <f aca="false">T54+W54</f>
        <v>210576.923076923</v>
      </c>
      <c r="AA54" s="19"/>
      <c r="AB54" s="21" t="n">
        <f aca="false">VLOOKUP($F54,Calculations!$B$6:$AE$314,29,FALSE())</f>
        <v>33294</v>
      </c>
      <c r="AC54" s="15"/>
      <c r="AD54" s="19" t="n">
        <f aca="false">VLOOKUP($F54,Calculations!$B$6:$AE$314,7,FALSE())</f>
        <v>0</v>
      </c>
      <c r="AE54" s="19" t="n">
        <f aca="false">VLOOKUP($F54,Calculations!$B$6:$AE$314,10,FALSE())</f>
        <v>0</v>
      </c>
      <c r="AH54" s="6"/>
    </row>
    <row r="55" customFormat="false" ht="12.75" hidden="false" customHeight="false" outlineLevel="0" collapsed="false">
      <c r="A55" s="17" t="s">
        <v>37</v>
      </c>
      <c r="B55" s="17" t="s">
        <v>7</v>
      </c>
      <c r="C55" s="14"/>
      <c r="D55" s="14"/>
      <c r="E55" s="14" t="s">
        <v>38</v>
      </c>
      <c r="F55" s="15" t="s">
        <v>133</v>
      </c>
      <c r="G55" s="15"/>
      <c r="H55" s="15"/>
      <c r="I55" s="15"/>
      <c r="J55" s="19" t="n">
        <f aca="false">VLOOKUP($F55,Calculations!$B$6:$AE$314,5,FALSE())</f>
        <v>82759</v>
      </c>
      <c r="K55" s="20" t="s">
        <v>40</v>
      </c>
      <c r="L55" s="20" t="n">
        <f aca="false">J55</f>
        <v>82759</v>
      </c>
      <c r="M55" s="19" t="n">
        <f aca="false">VLOOKUP($F55,Calculations!$B$6:$AE$314,24,FALSE())</f>
        <v>30000</v>
      </c>
      <c r="N55" s="23" t="n">
        <v>28410</v>
      </c>
      <c r="O55" s="16" t="n">
        <f aca="false">+N55+M55+J55</f>
        <v>141169</v>
      </c>
      <c r="P55" s="16"/>
      <c r="Q55" s="19" t="n">
        <f aca="false">+J55</f>
        <v>82759</v>
      </c>
      <c r="R55" s="19"/>
      <c r="S55" s="19"/>
      <c r="T55" s="19" t="n">
        <f aca="false">+S55+R55+Q55</f>
        <v>82759</v>
      </c>
      <c r="U55" s="15"/>
      <c r="V55" s="19" t="n">
        <f aca="false">VLOOKUP($F55,Calculations!$B$6:$AE$314,8,FALSE())</f>
        <v>28647.3461538462</v>
      </c>
      <c r="W55" s="19" t="n">
        <f aca="false">VLOOKUP($F55,Calculations!$B$6:$AE$314,11,FALSE())</f>
        <v>71618.3653846154</v>
      </c>
      <c r="X55" s="19"/>
      <c r="Y55" s="19" t="n">
        <f aca="false">T55+V55</f>
        <v>111406.346153846</v>
      </c>
      <c r="Z55" s="19" t="n">
        <f aca="false">T55+W55</f>
        <v>154377.365384615</v>
      </c>
      <c r="AA55" s="19"/>
      <c r="AB55" s="21" t="n">
        <f aca="false">VLOOKUP($F55,Calculations!$B$6:$AE$314,29,FALSE())</f>
        <v>34869</v>
      </c>
      <c r="AC55" s="15"/>
      <c r="AD55" s="19" t="n">
        <f aca="false">VLOOKUP($F55,Calculations!$B$6:$AE$314,7,FALSE())</f>
        <v>0</v>
      </c>
      <c r="AE55" s="19" t="n">
        <f aca="false">VLOOKUP($F55,Calculations!$B$6:$AE$314,10,FALSE())</f>
        <v>0</v>
      </c>
      <c r="AH55" s="6"/>
    </row>
    <row r="56" customFormat="false" ht="12.75" hidden="false" customHeight="false" outlineLevel="0" collapsed="false">
      <c r="A56" s="17" t="s">
        <v>37</v>
      </c>
      <c r="B56" s="17" t="s">
        <v>7</v>
      </c>
      <c r="C56" s="14"/>
      <c r="D56" s="14"/>
      <c r="E56" s="14" t="s">
        <v>38</v>
      </c>
      <c r="F56" s="15" t="s">
        <v>134</v>
      </c>
      <c r="G56" s="15"/>
      <c r="H56" s="15"/>
      <c r="I56" s="15"/>
      <c r="J56" s="19" t="n">
        <f aca="false">VLOOKUP($F56,Calculations!$B$6:$AE$314,5,FALSE())</f>
        <v>82759</v>
      </c>
      <c r="K56" s="20" t="s">
        <v>40</v>
      </c>
      <c r="L56" s="20" t="n">
        <f aca="false">J56</f>
        <v>82759</v>
      </c>
      <c r="M56" s="19" t="n">
        <f aca="false">VLOOKUP($F56,Calculations!$B$6:$AE$314,24,FALSE())</f>
        <v>15000</v>
      </c>
      <c r="N56" s="23"/>
      <c r="O56" s="16" t="n">
        <f aca="false">+N56+M56+J56</f>
        <v>97759</v>
      </c>
      <c r="P56" s="16"/>
      <c r="Q56" s="19" t="n">
        <f aca="false">+J56</f>
        <v>82759</v>
      </c>
      <c r="R56" s="19"/>
      <c r="S56" s="19"/>
      <c r="T56" s="19" t="n">
        <f aca="false">+S56+R56+Q56</f>
        <v>82759</v>
      </c>
      <c r="U56" s="15"/>
      <c r="V56" s="19" t="n">
        <f aca="false">VLOOKUP($F56,Calculations!$B$6:$AE$314,8,FALSE())</f>
        <v>47745.5769230769</v>
      </c>
      <c r="W56" s="19" t="n">
        <f aca="false">VLOOKUP($F56,Calculations!$B$6:$AE$314,11,FALSE())</f>
        <v>90716.5961538462</v>
      </c>
      <c r="X56" s="19"/>
      <c r="Y56" s="19" t="n">
        <f aca="false">T56+V56</f>
        <v>130504.576923077</v>
      </c>
      <c r="Z56" s="19" t="n">
        <f aca="false">T56+W56</f>
        <v>173475.596153846</v>
      </c>
      <c r="AA56" s="19"/>
      <c r="AB56" s="21" t="n">
        <f aca="false">VLOOKUP($F56,Calculations!$B$6:$AE$314,29,FALSE())</f>
        <v>33451</v>
      </c>
      <c r="AC56" s="15"/>
      <c r="AD56" s="19" t="n">
        <f aca="false">VLOOKUP($F56,Calculations!$B$6:$AE$314,7,FALSE())</f>
        <v>0</v>
      </c>
      <c r="AE56" s="19" t="n">
        <f aca="false">VLOOKUP($F56,Calculations!$B$6:$AE$314,10,FALSE())</f>
        <v>0</v>
      </c>
      <c r="AH56" s="6"/>
    </row>
    <row r="57" customFormat="false" ht="12.75" hidden="false" customHeight="false" outlineLevel="0" collapsed="false">
      <c r="A57" s="17" t="s">
        <v>41</v>
      </c>
      <c r="B57" s="17" t="s">
        <v>42</v>
      </c>
      <c r="C57" s="14"/>
      <c r="D57" s="14"/>
      <c r="E57" s="14" t="s">
        <v>38</v>
      </c>
      <c r="F57" s="15" t="s">
        <v>135</v>
      </c>
      <c r="G57" s="15" t="s">
        <v>136</v>
      </c>
      <c r="H57" s="15"/>
      <c r="I57" s="15"/>
      <c r="J57" s="19" t="n">
        <f aca="false">VLOOKUP($F57,Calculations!$B$6:$AE$314,5,FALSE())</f>
        <v>81648</v>
      </c>
      <c r="K57" s="20" t="s">
        <v>40</v>
      </c>
      <c r="L57" s="20" t="n">
        <f aca="false">J57</f>
        <v>81648</v>
      </c>
      <c r="M57" s="19" t="n">
        <f aca="false">VLOOKUP($F57,Calculations!$B$6:$AE$314,24,FALSE())</f>
        <v>12000</v>
      </c>
      <c r="N57" s="23"/>
      <c r="O57" s="16" t="n">
        <f aca="false">+N57+M57+J57</f>
        <v>93648</v>
      </c>
      <c r="P57" s="16"/>
      <c r="Q57" s="19" t="n">
        <f aca="false">+J57</f>
        <v>81648</v>
      </c>
      <c r="R57" s="19"/>
      <c r="S57" s="19"/>
      <c r="T57" s="19" t="n">
        <f aca="false">+S57+R57+Q57</f>
        <v>81648</v>
      </c>
      <c r="U57" s="15"/>
      <c r="V57" s="19" t="n">
        <f aca="false">VLOOKUP($F57,Calculations!$B$6:$AE$314,8,FALSE())</f>
        <v>61236</v>
      </c>
      <c r="W57" s="19" t="n">
        <f aca="false">VLOOKUP($F57,Calculations!$B$6:$AE$314,11,FALSE())</f>
        <v>103630.153846154</v>
      </c>
      <c r="X57" s="19"/>
      <c r="Y57" s="19" t="n">
        <f aca="false">T57+V57</f>
        <v>142884</v>
      </c>
      <c r="Z57" s="19" t="n">
        <f aca="false">T57+W57</f>
        <v>185278.153846154</v>
      </c>
      <c r="AA57" s="19"/>
      <c r="AB57" s="21" t="n">
        <f aca="false">VLOOKUP($F57,Calculations!$B$6:$AE$314,29,FALSE())</f>
        <v>32272</v>
      </c>
      <c r="AC57" s="15"/>
      <c r="AD57" s="19" t="n">
        <f aca="false">VLOOKUP($F57,Calculations!$B$6:$AE$314,7,FALSE())</f>
        <v>0</v>
      </c>
      <c r="AE57" s="19" t="n">
        <f aca="false">VLOOKUP($F57,Calculations!$B$6:$AE$314,10,FALSE())</f>
        <v>0</v>
      </c>
      <c r="AH57" s="6"/>
    </row>
    <row r="58" customFormat="false" ht="12.75" hidden="false" customHeight="false" outlineLevel="0" collapsed="false">
      <c r="A58" s="17" t="s">
        <v>37</v>
      </c>
      <c r="B58" s="17" t="s">
        <v>42</v>
      </c>
      <c r="C58" s="14"/>
      <c r="D58" s="14"/>
      <c r="E58" s="14" t="s">
        <v>38</v>
      </c>
      <c r="F58" s="15" t="s">
        <v>137</v>
      </c>
      <c r="G58" s="15"/>
      <c r="H58" s="15"/>
      <c r="I58" s="15"/>
      <c r="J58" s="19" t="n">
        <f aca="false">VLOOKUP($F58,Calculations!$B$6:$AE$314,5,FALSE())</f>
        <v>80357</v>
      </c>
      <c r="K58" s="20" t="s">
        <v>40</v>
      </c>
      <c r="L58" s="20" t="n">
        <f aca="false">J58</f>
        <v>80357</v>
      </c>
      <c r="M58" s="19" t="n">
        <f aca="false">VLOOKUP($F58,Calculations!$B$6:$AE$314,24,FALSE())</f>
        <v>10000</v>
      </c>
      <c r="N58" s="23"/>
      <c r="O58" s="16" t="n">
        <f aca="false">+N58+M58+J58</f>
        <v>90357</v>
      </c>
      <c r="P58" s="16"/>
      <c r="Q58" s="19" t="n">
        <f aca="false">+J58</f>
        <v>80357</v>
      </c>
      <c r="R58" s="19"/>
      <c r="S58" s="19"/>
      <c r="T58" s="19" t="n">
        <f aca="false">+S58+R58+Q58</f>
        <v>80357</v>
      </c>
      <c r="U58" s="15"/>
      <c r="V58" s="19" t="n">
        <f aca="false">VLOOKUP($F58,Calculations!$B$6:$AE$314,8,FALSE())</f>
        <v>27815.8846153846</v>
      </c>
      <c r="W58" s="19" t="n">
        <f aca="false">VLOOKUP($F58,Calculations!$B$6:$AE$314,11,FALSE())</f>
        <v>69539.7115384616</v>
      </c>
      <c r="X58" s="19"/>
      <c r="Y58" s="19" t="n">
        <f aca="false">T58+V58</f>
        <v>108172.884615385</v>
      </c>
      <c r="Z58" s="19" t="n">
        <f aca="false">T58+W58</f>
        <v>149896.711538462</v>
      </c>
      <c r="AA58" s="19"/>
      <c r="AB58" s="21" t="n">
        <f aca="false">VLOOKUP($F58,Calculations!$B$6:$AE$314,29,FALSE())</f>
        <v>35065</v>
      </c>
      <c r="AC58" s="15"/>
      <c r="AD58" s="19" t="n">
        <f aca="false">VLOOKUP($F58,Calculations!$B$6:$AE$314,7,FALSE())</f>
        <v>0</v>
      </c>
      <c r="AE58" s="19" t="n">
        <f aca="false">VLOOKUP($F58,Calculations!$B$6:$AE$314,10,FALSE())</f>
        <v>0</v>
      </c>
      <c r="AH58" s="6"/>
    </row>
    <row r="59" customFormat="false" ht="12.75" hidden="false" customHeight="false" outlineLevel="0" collapsed="false">
      <c r="A59" s="17" t="s">
        <v>138</v>
      </c>
      <c r="B59" s="17" t="s">
        <v>7</v>
      </c>
      <c r="C59" s="14"/>
      <c r="D59" s="14"/>
      <c r="E59" s="14" t="s">
        <v>38</v>
      </c>
      <c r="F59" s="15" t="s">
        <v>139</v>
      </c>
      <c r="G59" s="15"/>
      <c r="H59" s="15"/>
      <c r="I59" s="15"/>
      <c r="J59" s="19" t="n">
        <f aca="false">VLOOKUP($F59,Calculations!$B$6:$AE$314,5,FALSE())</f>
        <v>80000</v>
      </c>
      <c r="K59" s="20" t="s">
        <v>40</v>
      </c>
      <c r="L59" s="20" t="n">
        <f aca="false">J59</f>
        <v>80000</v>
      </c>
      <c r="M59" s="19" t="n">
        <f aca="false">VLOOKUP($F59,Calculations!$B$6:$AE$314,24,FALSE())</f>
        <v>10000</v>
      </c>
      <c r="N59" s="23"/>
      <c r="O59" s="16" t="n">
        <f aca="false">+N59+M59+J59</f>
        <v>90000</v>
      </c>
      <c r="P59" s="16"/>
      <c r="Q59" s="19" t="n">
        <f aca="false">+J59</f>
        <v>80000</v>
      </c>
      <c r="R59" s="19"/>
      <c r="S59" s="19"/>
      <c r="T59" s="19" t="n">
        <f aca="false">+S59+R59+Q59</f>
        <v>80000</v>
      </c>
      <c r="U59" s="15"/>
      <c r="V59" s="19" t="n">
        <f aca="false">VLOOKUP($F59,Calculations!$B$6:$AE$314,8,FALSE())</f>
        <v>32307.6923076923</v>
      </c>
      <c r="W59" s="19" t="n">
        <f aca="false">VLOOKUP($F59,Calculations!$B$6:$AE$314,11,FALSE())</f>
        <v>69230.7692307692</v>
      </c>
      <c r="X59" s="19"/>
      <c r="Y59" s="19" t="n">
        <f aca="false">T59+V59</f>
        <v>112307.692307692</v>
      </c>
      <c r="Z59" s="19" t="n">
        <f aca="false">T59+W59</f>
        <v>149230.769230769</v>
      </c>
      <c r="AA59" s="19"/>
      <c r="AB59" s="21" t="n">
        <f aca="false">VLOOKUP($F59,Calculations!$B$6:$AE$314,29,FALSE())</f>
        <v>34820</v>
      </c>
      <c r="AC59" s="15"/>
      <c r="AD59" s="19" t="n">
        <f aca="false">VLOOKUP($F59,Calculations!$B$6:$AE$314,7,FALSE())</f>
        <v>0</v>
      </c>
      <c r="AE59" s="19" t="n">
        <f aca="false">VLOOKUP($F59,Calculations!$B$6:$AE$314,10,FALSE())</f>
        <v>0</v>
      </c>
      <c r="AH59" s="6"/>
    </row>
    <row r="60" customFormat="false" ht="12.75" hidden="false" customHeight="false" outlineLevel="0" collapsed="false">
      <c r="A60" s="17" t="s">
        <v>140</v>
      </c>
      <c r="B60" s="17" t="s">
        <v>7</v>
      </c>
      <c r="C60" s="14"/>
      <c r="D60" s="14"/>
      <c r="E60" s="14" t="s">
        <v>38</v>
      </c>
      <c r="F60" s="15" t="s">
        <v>141</v>
      </c>
      <c r="G60" s="15"/>
      <c r="H60" s="15"/>
      <c r="I60" s="15"/>
      <c r="J60" s="19" t="n">
        <f aca="false">VLOOKUP($F60,Calculations!$B$6:$AE$314,5,FALSE())</f>
        <v>79981</v>
      </c>
      <c r="K60" s="20" t="s">
        <v>40</v>
      </c>
      <c r="L60" s="20" t="n">
        <f aca="false">J60</f>
        <v>79981</v>
      </c>
      <c r="M60" s="19" t="n">
        <f aca="false">VLOOKUP($F60,Calculations!$B$6:$AE$314,24,FALSE())</f>
        <v>35000</v>
      </c>
      <c r="N60" s="23" t="n">
        <v>28410</v>
      </c>
      <c r="O60" s="16" t="n">
        <f aca="false">+N60+M60+J60</f>
        <v>143391</v>
      </c>
      <c r="P60" s="16"/>
      <c r="Q60" s="19" t="n">
        <f aca="false">+J60</f>
        <v>79981</v>
      </c>
      <c r="R60" s="19"/>
      <c r="S60" s="19"/>
      <c r="T60" s="19" t="n">
        <f aca="false">+S60+R60+Q60</f>
        <v>79981</v>
      </c>
      <c r="U60" s="15"/>
      <c r="V60" s="19" t="n">
        <f aca="false">VLOOKUP($F60,Calculations!$B$6:$AE$314,8,FALSE())</f>
        <v>18457.1538461538</v>
      </c>
      <c r="W60" s="19" t="n">
        <f aca="false">VLOOKUP($F60,Calculations!$B$6:$AE$314,11,FALSE())</f>
        <v>55371.4615384615</v>
      </c>
      <c r="X60" s="19"/>
      <c r="Y60" s="19" t="n">
        <f aca="false">T60+V60</f>
        <v>98438.1538461538</v>
      </c>
      <c r="Z60" s="19" t="n">
        <f aca="false">T60+W60</f>
        <v>135352.461538462</v>
      </c>
      <c r="AA60" s="19"/>
      <c r="AB60" s="21" t="n">
        <f aca="false">VLOOKUP($F60,Calculations!$B$6:$AE$314,29,FALSE())</f>
        <v>35947</v>
      </c>
      <c r="AC60" s="15"/>
      <c r="AD60" s="19" t="n">
        <f aca="false">VLOOKUP($F60,Calculations!$B$6:$AE$314,7,FALSE())</f>
        <v>0</v>
      </c>
      <c r="AE60" s="19" t="n">
        <f aca="false">VLOOKUP($F60,Calculations!$B$6:$AE$314,10,FALSE())</f>
        <v>0</v>
      </c>
      <c r="AH60" s="6"/>
    </row>
    <row r="61" customFormat="false" ht="12.75" hidden="false" customHeight="false" outlineLevel="0" collapsed="false">
      <c r="A61" s="17" t="s">
        <v>37</v>
      </c>
      <c r="B61" s="17" t="s">
        <v>7</v>
      </c>
      <c r="C61" s="14"/>
      <c r="D61" s="14"/>
      <c r="E61" s="14" t="s">
        <v>38</v>
      </c>
      <c r="F61" s="15" t="s">
        <v>142</v>
      </c>
      <c r="G61" s="15"/>
      <c r="H61" s="15"/>
      <c r="I61" s="15"/>
      <c r="J61" s="19" t="n">
        <f aca="false">VLOOKUP($F61,Calculations!$B$6:$AE$314,5,FALSE())</f>
        <v>79618</v>
      </c>
      <c r="K61" s="20" t="s">
        <v>40</v>
      </c>
      <c r="L61" s="20" t="n">
        <f aca="false">J61</f>
        <v>79618</v>
      </c>
      <c r="M61" s="19" t="n">
        <f aca="false">VLOOKUP($F61,Calculations!$B$6:$AE$314,24,FALSE())</f>
        <v>17500</v>
      </c>
      <c r="N61" s="23"/>
      <c r="O61" s="16" t="n">
        <f aca="false">+N61+M61+J61</f>
        <v>97118</v>
      </c>
      <c r="P61" s="16"/>
      <c r="Q61" s="19" t="n">
        <f aca="false">+J61</f>
        <v>79618</v>
      </c>
      <c r="R61" s="19"/>
      <c r="S61" s="19"/>
      <c r="T61" s="19" t="n">
        <f aca="false">+S61+R61+Q61</f>
        <v>79618</v>
      </c>
      <c r="U61" s="15"/>
      <c r="V61" s="19" t="n">
        <f aca="false">VLOOKUP($F61,Calculations!$B$6:$AE$314,8,FALSE())</f>
        <v>101053.615384615</v>
      </c>
      <c r="W61" s="19" t="n">
        <f aca="false">VLOOKUP($F61,Calculations!$B$6:$AE$314,11,FALSE())</f>
        <v>119427</v>
      </c>
      <c r="X61" s="19"/>
      <c r="Y61" s="19" t="n">
        <f aca="false">T61+V61</f>
        <v>180671.615384615</v>
      </c>
      <c r="Z61" s="19" t="n">
        <f aca="false">T61+W61</f>
        <v>199045</v>
      </c>
      <c r="AA61" s="19"/>
      <c r="AB61" s="21" t="n">
        <f aca="false">VLOOKUP($F61,Calculations!$B$6:$AE$314,29,FALSE())</f>
        <v>28976</v>
      </c>
      <c r="AC61" s="15"/>
      <c r="AD61" s="19" t="n">
        <f aca="false">VLOOKUP($F61,Calculations!$B$6:$AE$314,7,FALSE())</f>
        <v>0</v>
      </c>
      <c r="AE61" s="19" t="n">
        <f aca="false">VLOOKUP($F61,Calculations!$B$6:$AE$314,10,FALSE())</f>
        <v>0</v>
      </c>
      <c r="AH61" s="6"/>
    </row>
    <row r="62" customFormat="false" ht="12.75" hidden="false" customHeight="false" outlineLevel="0" collapsed="false">
      <c r="A62" s="17" t="s">
        <v>58</v>
      </c>
      <c r="B62" s="17" t="s">
        <v>7</v>
      </c>
      <c r="C62" s="14"/>
      <c r="D62" s="14"/>
      <c r="E62" s="14" t="s">
        <v>38</v>
      </c>
      <c r="F62" s="15" t="s">
        <v>143</v>
      </c>
      <c r="G62" s="15"/>
      <c r="H62" s="15"/>
      <c r="I62" s="15"/>
      <c r="J62" s="19" t="n">
        <f aca="false">VLOOKUP($F62,Calculations!$B$6:$AE$314,5,FALSE())</f>
        <v>78676</v>
      </c>
      <c r="K62" s="20" t="s">
        <v>40</v>
      </c>
      <c r="L62" s="20" t="n">
        <f aca="false">J62</f>
        <v>78676</v>
      </c>
      <c r="M62" s="19" t="n">
        <f aca="false">VLOOKUP($F62,Calculations!$B$6:$AE$314,24,FALSE())</f>
        <v>10000</v>
      </c>
      <c r="N62" s="23"/>
      <c r="O62" s="16" t="n">
        <f aca="false">+N62+M62+J62</f>
        <v>88676</v>
      </c>
      <c r="P62" s="16"/>
      <c r="Q62" s="19" t="n">
        <f aca="false">+J62</f>
        <v>78676</v>
      </c>
      <c r="R62" s="19"/>
      <c r="S62" s="19"/>
      <c r="T62" s="19" t="n">
        <f aca="false">+S62+R62+Q62</f>
        <v>78676</v>
      </c>
      <c r="U62" s="15"/>
      <c r="V62" s="19" t="n">
        <f aca="false">VLOOKUP($F62,Calculations!$B$6:$AE$314,8,FALSE())</f>
        <v>108936</v>
      </c>
      <c r="W62" s="19" t="n">
        <f aca="false">VLOOKUP($F62,Calculations!$B$6:$AE$314,11,FALSE())</f>
        <v>118014</v>
      </c>
      <c r="X62" s="19"/>
      <c r="Y62" s="19" t="n">
        <f aca="false">T62+V62</f>
        <v>187612</v>
      </c>
      <c r="Z62" s="19" t="n">
        <f aca="false">T62+W62</f>
        <v>196690</v>
      </c>
      <c r="AA62" s="19"/>
      <c r="AB62" s="21" t="n">
        <f aca="false">VLOOKUP($F62,Calculations!$B$6:$AE$314,29,FALSE())</f>
        <v>28277</v>
      </c>
      <c r="AC62" s="15"/>
      <c r="AD62" s="19" t="n">
        <f aca="false">VLOOKUP($F62,Calculations!$B$6:$AE$314,7,FALSE())</f>
        <v>0</v>
      </c>
      <c r="AE62" s="19" t="n">
        <f aca="false">VLOOKUP($F62,Calculations!$B$6:$AE$314,10,FALSE())</f>
        <v>0</v>
      </c>
      <c r="AH62" s="6"/>
    </row>
    <row r="63" customFormat="false" ht="12.75" hidden="false" customHeight="false" outlineLevel="0" collapsed="false">
      <c r="A63" s="17" t="s">
        <v>116</v>
      </c>
      <c r="B63" s="17" t="s">
        <v>47</v>
      </c>
      <c r="C63" s="14"/>
      <c r="D63" s="14"/>
      <c r="E63" s="14" t="s">
        <v>38</v>
      </c>
      <c r="F63" s="15" t="s">
        <v>144</v>
      </c>
      <c r="G63" s="15" t="s">
        <v>136</v>
      </c>
      <c r="H63" s="15"/>
      <c r="I63" s="15"/>
      <c r="J63" s="19" t="n">
        <f aca="false">VLOOKUP($F63,Calculations!$B$6:$AE$314,5,FALSE())</f>
        <v>78217</v>
      </c>
      <c r="K63" s="20" t="s">
        <v>40</v>
      </c>
      <c r="L63" s="20" t="n">
        <f aca="false">J63</f>
        <v>78217</v>
      </c>
      <c r="M63" s="19" t="n">
        <f aca="false">VLOOKUP($F63,Calculations!$B$6:$AE$314,24,FALSE())</f>
        <v>0</v>
      </c>
      <c r="N63" s="23"/>
      <c r="O63" s="16" t="n">
        <f aca="false">+N63+M63+J63</f>
        <v>78217</v>
      </c>
      <c r="P63" s="16"/>
      <c r="Q63" s="19" t="n">
        <f aca="false">+J63</f>
        <v>78217</v>
      </c>
      <c r="R63" s="19"/>
      <c r="S63" s="19"/>
      <c r="T63" s="19" t="n">
        <f aca="false">+S63+R63+Q63</f>
        <v>78217</v>
      </c>
      <c r="U63" s="15"/>
      <c r="V63" s="19" t="n">
        <f aca="false">VLOOKUP($F63,Calculations!$B$6:$AE$314,8,FALSE())</f>
        <v>117325.5</v>
      </c>
      <c r="W63" s="19" t="n">
        <f aca="false">VLOOKUP($F63,Calculations!$B$6:$AE$314,11,FALSE())</f>
        <v>117325.5</v>
      </c>
      <c r="X63" s="19"/>
      <c r="Y63" s="19" t="n">
        <f aca="false">T63+V63</f>
        <v>195542.5</v>
      </c>
      <c r="Z63" s="19" t="n">
        <f aca="false">T63+W63</f>
        <v>195542.5</v>
      </c>
      <c r="AA63" s="19"/>
      <c r="AB63" s="21" t="n">
        <f aca="false">VLOOKUP($F63,Calculations!$B$6:$AE$314,29,FALSE())</f>
        <v>27530</v>
      </c>
      <c r="AC63" s="15"/>
      <c r="AD63" s="19" t="n">
        <f aca="false">VLOOKUP($F63,Calculations!$B$6:$AE$314,7,FALSE())</f>
        <v>0</v>
      </c>
      <c r="AE63" s="19" t="n">
        <f aca="false">VLOOKUP($F63,Calculations!$B$6:$AE$314,10,FALSE())</f>
        <v>0</v>
      </c>
      <c r="AH63" s="6"/>
    </row>
    <row r="64" customFormat="false" ht="12.75" hidden="false" customHeight="false" outlineLevel="0" collapsed="false">
      <c r="A64" s="17" t="s">
        <v>145</v>
      </c>
      <c r="B64" s="17" t="s">
        <v>7</v>
      </c>
      <c r="C64" s="14"/>
      <c r="D64" s="14"/>
      <c r="E64" s="14" t="s">
        <v>38</v>
      </c>
      <c r="F64" s="15" t="s">
        <v>146</v>
      </c>
      <c r="G64" s="15"/>
      <c r="H64" s="15"/>
      <c r="I64" s="15"/>
      <c r="J64" s="19" t="n">
        <f aca="false">VLOOKUP($F64,Calculations!$B$6:$AE$314,5,FALSE())</f>
        <v>76800</v>
      </c>
      <c r="K64" s="20" t="s">
        <v>147</v>
      </c>
      <c r="L64" s="20"/>
      <c r="M64" s="19" t="n">
        <f aca="false">VLOOKUP($F64,Calculations!$B$6:$AE$314,24,FALSE())</f>
        <v>0</v>
      </c>
      <c r="N64" s="23"/>
      <c r="O64" s="16" t="n">
        <f aca="false">+N64+M64+J64</f>
        <v>76800</v>
      </c>
      <c r="P64" s="16"/>
      <c r="Q64" s="19" t="n">
        <f aca="false">+J64</f>
        <v>76800</v>
      </c>
      <c r="R64" s="19"/>
      <c r="S64" s="19"/>
      <c r="T64" s="19" t="n">
        <f aca="false">+S64+R64+Q64</f>
        <v>76800</v>
      </c>
      <c r="U64" s="15"/>
      <c r="V64" s="19" t="n">
        <f aca="false">VLOOKUP($F64,Calculations!$B$6:$AE$314,8,FALSE())</f>
        <v>8861.53846153846</v>
      </c>
      <c r="W64" s="19" t="n">
        <f aca="false">VLOOKUP($F64,Calculations!$B$6:$AE$314,11,FALSE())</f>
        <v>44307.6923076923</v>
      </c>
      <c r="X64" s="19"/>
      <c r="Y64" s="19" t="n">
        <f aca="false">T64+V64</f>
        <v>85661.5384615385</v>
      </c>
      <c r="Z64" s="19" t="n">
        <f aca="false">T64+W64</f>
        <v>121107.692307692</v>
      </c>
      <c r="AA64" s="19"/>
      <c r="AB64" s="21" t="n">
        <f aca="false">VLOOKUP($F64,Calculations!$B$6:$AE$314,29,FALSE())</f>
        <v>36617</v>
      </c>
      <c r="AC64" s="15"/>
      <c r="AD64" s="19" t="n">
        <f aca="false">VLOOKUP($F64,Calculations!$B$6:$AE$314,7,FALSE())</f>
        <v>0</v>
      </c>
      <c r="AE64" s="19" t="n">
        <f aca="false">VLOOKUP($F64,Calculations!$B$6:$AE$314,10,FALSE())</f>
        <v>0</v>
      </c>
      <c r="AH64" s="6"/>
    </row>
    <row r="65" customFormat="false" ht="12.75" hidden="false" customHeight="false" outlineLevel="0" collapsed="false">
      <c r="A65" s="17" t="s">
        <v>41</v>
      </c>
      <c r="B65" s="17" t="s">
        <v>42</v>
      </c>
      <c r="C65" s="14"/>
      <c r="D65" s="14"/>
      <c r="E65" s="14" t="s">
        <v>38</v>
      </c>
      <c r="F65" s="15" t="s">
        <v>148</v>
      </c>
      <c r="G65" s="15" t="s">
        <v>149</v>
      </c>
      <c r="H65" s="15"/>
      <c r="I65" s="15"/>
      <c r="J65" s="19" t="n">
        <f aca="false">VLOOKUP($F65,Calculations!$B$6:$AE$314,5,FALSE())</f>
        <v>75819</v>
      </c>
      <c r="K65" s="20" t="s">
        <v>40</v>
      </c>
      <c r="L65" s="20" t="n">
        <f aca="false">J65</f>
        <v>75819</v>
      </c>
      <c r="M65" s="19" t="n">
        <f aca="false">VLOOKUP($F65,Calculations!$B$6:$AE$314,24,FALSE())</f>
        <v>10000</v>
      </c>
      <c r="N65" s="23"/>
      <c r="O65" s="16" t="n">
        <f aca="false">+N65+M65+J65</f>
        <v>85819</v>
      </c>
      <c r="P65" s="16"/>
      <c r="Q65" s="19" t="n">
        <f aca="false">+J65</f>
        <v>75819</v>
      </c>
      <c r="R65" s="19"/>
      <c r="S65" s="19"/>
      <c r="T65" s="19" t="n">
        <f aca="false">+S65+R65+Q65</f>
        <v>75819</v>
      </c>
      <c r="U65" s="15"/>
      <c r="V65" s="19" t="n">
        <f aca="false">VLOOKUP($F65,Calculations!$B$6:$AE$314,8,FALSE())</f>
        <v>21870.8653846154</v>
      </c>
      <c r="W65" s="19" t="n">
        <f aca="false">VLOOKUP($F65,Calculations!$B$6:$AE$314,11,FALSE())</f>
        <v>56864.25</v>
      </c>
      <c r="X65" s="19"/>
      <c r="Y65" s="19" t="n">
        <f aca="false">T65+V65</f>
        <v>97689.8653846154</v>
      </c>
      <c r="Z65" s="19" t="n">
        <f aca="false">T65+W65</f>
        <v>132683.25</v>
      </c>
      <c r="AA65" s="19"/>
      <c r="AB65" s="21" t="n">
        <f aca="false">VLOOKUP($F65,Calculations!$B$6:$AE$314,29,FALSE())</f>
        <v>35548</v>
      </c>
      <c r="AC65" s="15"/>
      <c r="AD65" s="19" t="n">
        <f aca="false">VLOOKUP($F65,Calculations!$B$6:$AE$314,7,FALSE())</f>
        <v>0</v>
      </c>
      <c r="AE65" s="19" t="n">
        <f aca="false">VLOOKUP($F65,Calculations!$B$6:$AE$314,10,FALSE())</f>
        <v>0</v>
      </c>
      <c r="AH65" s="6"/>
    </row>
    <row r="66" customFormat="false" ht="12.75" hidden="false" customHeight="false" outlineLevel="0" collapsed="false">
      <c r="A66" s="17" t="s">
        <v>77</v>
      </c>
      <c r="B66" s="17" t="s">
        <v>7</v>
      </c>
      <c r="C66" s="14"/>
      <c r="D66" s="14"/>
      <c r="E66" s="14" t="s">
        <v>38</v>
      </c>
      <c r="F66" s="15" t="s">
        <v>150</v>
      </c>
      <c r="G66" s="15"/>
      <c r="H66" s="15"/>
      <c r="I66" s="15"/>
      <c r="J66" s="19" t="n">
        <f aca="false">VLOOKUP($F66,Calculations!$B$6:$AE$314,5,FALSE())</f>
        <v>75096</v>
      </c>
      <c r="K66" s="20" t="s">
        <v>40</v>
      </c>
      <c r="L66" s="20" t="n">
        <f aca="false">J66</f>
        <v>75096</v>
      </c>
      <c r="M66" s="19" t="n">
        <f aca="false">VLOOKUP($F66,Calculations!$B$6:$AE$314,24,FALSE())</f>
        <v>10000</v>
      </c>
      <c r="N66" s="23"/>
      <c r="O66" s="16" t="n">
        <f aca="false">+N66+M66+J66</f>
        <v>85096</v>
      </c>
      <c r="P66" s="16"/>
      <c r="Q66" s="19" t="n">
        <f aca="false">+J66</f>
        <v>75096</v>
      </c>
      <c r="R66" s="19"/>
      <c r="S66" s="19"/>
      <c r="T66" s="19" t="n">
        <f aca="false">+S66+R66+Q66</f>
        <v>75096</v>
      </c>
      <c r="U66" s="15"/>
      <c r="V66" s="19" t="n">
        <f aca="false">VLOOKUP($F66,Calculations!$B$6:$AE$314,8,FALSE())</f>
        <v>30327.2307692308</v>
      </c>
      <c r="W66" s="19" t="n">
        <f aca="false">VLOOKUP($F66,Calculations!$B$6:$AE$314,11,FALSE())</f>
        <v>64986.9230769231</v>
      </c>
      <c r="X66" s="19"/>
      <c r="Y66" s="19" t="n">
        <f aca="false">T66+V66</f>
        <v>105423.230769231</v>
      </c>
      <c r="Z66" s="19" t="n">
        <f aca="false">T66+W66</f>
        <v>140082.923076923</v>
      </c>
      <c r="AA66" s="19"/>
      <c r="AB66" s="21" t="n">
        <f aca="false">VLOOKUP($F66,Calculations!$B$6:$AE$314,29,FALSE())</f>
        <v>34759</v>
      </c>
      <c r="AC66" s="15"/>
      <c r="AD66" s="19" t="n">
        <f aca="false">VLOOKUP($F66,Calculations!$B$6:$AE$314,7,FALSE())</f>
        <v>0</v>
      </c>
      <c r="AE66" s="19" t="n">
        <f aca="false">VLOOKUP($F66,Calculations!$B$6:$AE$314,10,FALSE())</f>
        <v>0</v>
      </c>
      <c r="AH66" s="6"/>
    </row>
    <row r="67" customFormat="false" ht="12.75" hidden="false" customHeight="false" outlineLevel="0" collapsed="false">
      <c r="A67" s="17" t="s">
        <v>151</v>
      </c>
      <c r="B67" s="17" t="s">
        <v>47</v>
      </c>
      <c r="C67" s="14"/>
      <c r="D67" s="14"/>
      <c r="E67" s="14" t="s">
        <v>38</v>
      </c>
      <c r="F67" s="15" t="s">
        <v>152</v>
      </c>
      <c r="G67" s="15" t="s">
        <v>153</v>
      </c>
      <c r="H67" s="15" t="s">
        <v>154</v>
      </c>
      <c r="I67" s="15"/>
      <c r="J67" s="19" t="n">
        <f aca="false">VLOOKUP($F67,Calculations!$B$6:$AE$314,5,FALSE())</f>
        <v>75000</v>
      </c>
      <c r="K67" s="20" t="s">
        <v>40</v>
      </c>
      <c r="L67" s="20" t="n">
        <f aca="false">J67</f>
        <v>75000</v>
      </c>
      <c r="M67" s="19" t="n">
        <f aca="false">VLOOKUP($F67,Calculations!$B$6:$AE$314,24,FALSE())</f>
        <v>0</v>
      </c>
      <c r="N67" s="23"/>
      <c r="O67" s="16" t="n">
        <f aca="false">+N67+M67+J67</f>
        <v>75000</v>
      </c>
      <c r="P67" s="16"/>
      <c r="Q67" s="19" t="n">
        <f aca="false">+J67</f>
        <v>75000</v>
      </c>
      <c r="R67" s="19"/>
      <c r="S67" s="19"/>
      <c r="T67" s="19" t="n">
        <f aca="false">+S67+R67+Q67</f>
        <v>75000</v>
      </c>
      <c r="U67" s="15"/>
      <c r="V67" s="19" t="n">
        <f aca="false">VLOOKUP($F67,Calculations!$B$6:$AE$314,8,FALSE())</f>
        <v>8653.84615384615</v>
      </c>
      <c r="W67" s="19" t="n">
        <f aca="false">VLOOKUP($F67,Calculations!$B$6:$AE$314,11,FALSE())</f>
        <v>43269.2307692308</v>
      </c>
      <c r="X67" s="19"/>
      <c r="Y67" s="19" t="n">
        <f aca="false">T67+V67</f>
        <v>83653.8461538462</v>
      </c>
      <c r="Z67" s="19" t="n">
        <f aca="false">T67+W67</f>
        <v>118269.230769231</v>
      </c>
      <c r="AA67" s="19"/>
      <c r="AB67" s="21" t="n">
        <f aca="false">VLOOKUP($F67,Calculations!$B$6:$AE$314,29,FALSE())</f>
        <v>36332</v>
      </c>
      <c r="AC67" s="15"/>
      <c r="AD67" s="19" t="n">
        <f aca="false">VLOOKUP($F67,Calculations!$B$6:$AE$314,7,FALSE())</f>
        <v>0</v>
      </c>
      <c r="AE67" s="19" t="n">
        <f aca="false">VLOOKUP($F67,Calculations!$B$6:$AE$314,10,FALSE())</f>
        <v>0</v>
      </c>
      <c r="AH67" s="6"/>
    </row>
    <row r="68" customFormat="false" ht="12.75" hidden="false" customHeight="false" outlineLevel="0" collapsed="false">
      <c r="A68" s="17" t="s">
        <v>151</v>
      </c>
      <c r="B68" s="17" t="s">
        <v>47</v>
      </c>
      <c r="C68" s="14"/>
      <c r="D68" s="14"/>
      <c r="E68" s="14" t="s">
        <v>38</v>
      </c>
      <c r="F68" s="15" t="s">
        <v>155</v>
      </c>
      <c r="G68" s="15" t="s">
        <v>136</v>
      </c>
      <c r="H68" s="15"/>
      <c r="I68" s="15"/>
      <c r="J68" s="19" t="n">
        <f aca="false">VLOOKUP($F68,Calculations!$B$6:$AE$314,5,FALSE())</f>
        <v>72000</v>
      </c>
      <c r="K68" s="20" t="s">
        <v>40</v>
      </c>
      <c r="L68" s="20" t="n">
        <f aca="false">J68</f>
        <v>72000</v>
      </c>
      <c r="M68" s="19" t="n">
        <f aca="false">VLOOKUP($F68,Calculations!$B$6:$AE$314,24,FALSE())</f>
        <v>0</v>
      </c>
      <c r="N68" s="23"/>
      <c r="O68" s="16" t="n">
        <f aca="false">+N68+M68+J68</f>
        <v>72000</v>
      </c>
      <c r="P68" s="16"/>
      <c r="Q68" s="19" t="n">
        <f aca="false">+J68</f>
        <v>72000</v>
      </c>
      <c r="R68" s="19"/>
      <c r="S68" s="19"/>
      <c r="T68" s="19" t="n">
        <f aca="false">+S68+R68+Q68</f>
        <v>72000</v>
      </c>
      <c r="U68" s="15"/>
      <c r="V68" s="19" t="n">
        <f aca="false">VLOOKUP($F68,Calculations!$B$6:$AE$314,8,FALSE())</f>
        <v>8307.69230769231</v>
      </c>
      <c r="W68" s="19" t="n">
        <f aca="false">VLOOKUP($F68,Calculations!$B$6:$AE$314,11,FALSE())</f>
        <v>41538.4615384615</v>
      </c>
      <c r="X68" s="19"/>
      <c r="Y68" s="19" t="n">
        <f aca="false">T68+V68</f>
        <v>80307.6923076923</v>
      </c>
      <c r="Z68" s="19" t="n">
        <f aca="false">T68+W68</f>
        <v>113538.461538462</v>
      </c>
      <c r="AA68" s="19"/>
      <c r="AB68" s="21" t="n">
        <f aca="false">VLOOKUP($F68,Calculations!$B$6:$AE$314,29,FALSE())</f>
        <v>36535</v>
      </c>
      <c r="AC68" s="15"/>
      <c r="AD68" s="19" t="n">
        <f aca="false">VLOOKUP($F68,Calculations!$B$6:$AE$314,7,FALSE())</f>
        <v>0</v>
      </c>
      <c r="AE68" s="19" t="n">
        <f aca="false">VLOOKUP($F68,Calculations!$B$6:$AE$314,10,FALSE())</f>
        <v>0</v>
      </c>
      <c r="AH68" s="6"/>
    </row>
    <row r="69" customFormat="false" ht="12.75" hidden="false" customHeight="false" outlineLevel="0" collapsed="false">
      <c r="A69" s="17" t="s">
        <v>156</v>
      </c>
      <c r="B69" s="17" t="s">
        <v>7</v>
      </c>
      <c r="C69" s="14"/>
      <c r="D69" s="14"/>
      <c r="E69" s="14" t="s">
        <v>38</v>
      </c>
      <c r="F69" s="15" t="s">
        <v>157</v>
      </c>
      <c r="G69" s="15"/>
      <c r="H69" s="15"/>
      <c r="I69" s="15"/>
      <c r="J69" s="19" t="n">
        <f aca="false">VLOOKUP($F69,Calculations!$B$6:$AE$314,5,FALSE())</f>
        <v>72000</v>
      </c>
      <c r="K69" s="20" t="s">
        <v>40</v>
      </c>
      <c r="L69" s="20" t="n">
        <f aca="false">J69</f>
        <v>72000</v>
      </c>
      <c r="M69" s="19" t="n">
        <f aca="false">VLOOKUP($F69,Calculations!$B$6:$AE$314,24,FALSE())</f>
        <v>56030</v>
      </c>
      <c r="N69" s="23" t="n">
        <v>56820</v>
      </c>
      <c r="O69" s="16" t="n">
        <f aca="false">+N69+M69+J69</f>
        <v>184850</v>
      </c>
      <c r="P69" s="16"/>
      <c r="Q69" s="19" t="n">
        <f aca="false">+J69</f>
        <v>72000</v>
      </c>
      <c r="R69" s="19"/>
      <c r="S69" s="19"/>
      <c r="T69" s="19" t="n">
        <f aca="false">+S69+R69+Q69</f>
        <v>72000</v>
      </c>
      <c r="U69" s="15"/>
      <c r="V69" s="19" t="n">
        <f aca="false">VLOOKUP($F69,Calculations!$B$6:$AE$314,8,FALSE())</f>
        <v>20769.2307692308</v>
      </c>
      <c r="W69" s="19" t="n">
        <f aca="false">VLOOKUP($F69,Calculations!$B$6:$AE$314,11,FALSE())</f>
        <v>54000</v>
      </c>
      <c r="X69" s="19"/>
      <c r="Y69" s="19" t="n">
        <f aca="false">T69+V69</f>
        <v>92769.2307692308</v>
      </c>
      <c r="Z69" s="19" t="n">
        <f aca="false">T69+W69</f>
        <v>126000</v>
      </c>
      <c r="AA69" s="19"/>
      <c r="AB69" s="21" t="n">
        <f aca="false">VLOOKUP($F69,Calculations!$B$6:$AE$314,29,FALSE())</f>
        <v>35394</v>
      </c>
      <c r="AC69" s="15"/>
      <c r="AD69" s="19" t="n">
        <f aca="false">VLOOKUP($F69,Calculations!$B$6:$AE$314,7,FALSE())</f>
        <v>0</v>
      </c>
      <c r="AE69" s="19" t="n">
        <f aca="false">VLOOKUP($F69,Calculations!$B$6:$AE$314,10,FALSE())</f>
        <v>0</v>
      </c>
      <c r="AH69" s="6"/>
    </row>
    <row r="70" customFormat="false" ht="12.75" hidden="false" customHeight="false" outlineLevel="0" collapsed="false">
      <c r="A70" s="17" t="s">
        <v>77</v>
      </c>
      <c r="B70" s="17" t="s">
        <v>7</v>
      </c>
      <c r="C70" s="14"/>
      <c r="D70" s="14"/>
      <c r="E70" s="14" t="s">
        <v>38</v>
      </c>
      <c r="F70" s="15" t="s">
        <v>158</v>
      </c>
      <c r="G70" s="15"/>
      <c r="H70" s="15"/>
      <c r="I70" s="15"/>
      <c r="J70" s="19" t="n">
        <f aca="false">VLOOKUP($F70,Calculations!$B$6:$AE$314,5,FALSE())</f>
        <v>70090</v>
      </c>
      <c r="K70" s="20" t="s">
        <v>40</v>
      </c>
      <c r="L70" s="20" t="n">
        <f aca="false">J70</f>
        <v>70090</v>
      </c>
      <c r="M70" s="19" t="n">
        <f aca="false">VLOOKUP($F70,Calculations!$B$6:$AE$314,24,FALSE())</f>
        <v>25000</v>
      </c>
      <c r="N70" s="23"/>
      <c r="O70" s="16" t="n">
        <f aca="false">+N70+M70+J70</f>
        <v>95090</v>
      </c>
      <c r="P70" s="16"/>
      <c r="Q70" s="19" t="n">
        <f aca="false">+J70</f>
        <v>70090</v>
      </c>
      <c r="R70" s="19"/>
      <c r="S70" s="19"/>
      <c r="T70" s="19" t="n">
        <f aca="false">+S70+R70+Q70</f>
        <v>70090</v>
      </c>
      <c r="U70" s="15"/>
      <c r="V70" s="19" t="n">
        <f aca="false">VLOOKUP($F70,Calculations!$B$6:$AE$314,8,FALSE())</f>
        <v>24261.9230769231</v>
      </c>
      <c r="W70" s="19" t="n">
        <f aca="false">VLOOKUP($F70,Calculations!$B$6:$AE$314,11,FALSE())</f>
        <v>56611.1538461539</v>
      </c>
      <c r="X70" s="19"/>
      <c r="Y70" s="19" t="n">
        <f aca="false">T70+V70</f>
        <v>94351.9230769231</v>
      </c>
      <c r="Z70" s="19" t="n">
        <f aca="false">T70+W70</f>
        <v>126701.153846154</v>
      </c>
      <c r="AA70" s="19"/>
      <c r="AB70" s="21" t="n">
        <f aca="false">VLOOKUP($F70,Calculations!$B$6:$AE$314,29,FALSE())</f>
        <v>35164</v>
      </c>
      <c r="AC70" s="15"/>
      <c r="AD70" s="19" t="n">
        <f aca="false">VLOOKUP($F70,Calculations!$B$6:$AE$314,7,FALSE())</f>
        <v>0</v>
      </c>
      <c r="AE70" s="19" t="n">
        <f aca="false">VLOOKUP($F70,Calculations!$B$6:$AE$314,10,FALSE())</f>
        <v>0</v>
      </c>
      <c r="AH70" s="6"/>
    </row>
    <row r="71" customFormat="false" ht="12.75" hidden="false" customHeight="false" outlineLevel="0" collapsed="false">
      <c r="A71" s="17" t="s">
        <v>159</v>
      </c>
      <c r="B71" s="17" t="s">
        <v>7</v>
      </c>
      <c r="C71" s="14"/>
      <c r="D71" s="14"/>
      <c r="E71" s="14" t="s">
        <v>38</v>
      </c>
      <c r="F71" s="15" t="s">
        <v>160</v>
      </c>
      <c r="G71" s="15"/>
      <c r="H71" s="15"/>
      <c r="I71" s="15"/>
      <c r="J71" s="19" t="n">
        <f aca="false">VLOOKUP($F71,Calculations!$B$6:$AE$314,5,FALSE())</f>
        <v>70000</v>
      </c>
      <c r="K71" s="20" t="s">
        <v>40</v>
      </c>
      <c r="L71" s="20" t="n">
        <f aca="false">J71</f>
        <v>70000</v>
      </c>
      <c r="M71" s="19" t="n">
        <f aca="false">VLOOKUP($F71,Calculations!$B$6:$AE$314,24,FALSE())</f>
        <v>51030</v>
      </c>
      <c r="N71" s="23" t="n">
        <v>56820</v>
      </c>
      <c r="O71" s="16" t="n">
        <f aca="false">+N71+M71+J71</f>
        <v>177850</v>
      </c>
      <c r="P71" s="16"/>
      <c r="Q71" s="19" t="n">
        <f aca="false">+J71</f>
        <v>70000</v>
      </c>
      <c r="R71" s="19"/>
      <c r="S71" s="19"/>
      <c r="T71" s="19" t="n">
        <f aca="false">+S71+R71+Q71</f>
        <v>70000</v>
      </c>
      <c r="U71" s="15"/>
      <c r="V71" s="19" t="n">
        <f aca="false">VLOOKUP($F71,Calculations!$B$6:$AE$314,8,FALSE())</f>
        <v>24230.7692307692</v>
      </c>
      <c r="W71" s="19" t="n">
        <f aca="false">VLOOKUP($F71,Calculations!$B$6:$AE$314,11,FALSE())</f>
        <v>52500</v>
      </c>
      <c r="X71" s="19"/>
      <c r="Y71" s="19" t="n">
        <f aca="false">T71+V71</f>
        <v>94230.7692307692</v>
      </c>
      <c r="Z71" s="19" t="n">
        <f aca="false">T71+W71</f>
        <v>122500</v>
      </c>
      <c r="AA71" s="19"/>
      <c r="AB71" s="21" t="n">
        <f aca="false">VLOOKUP($F71,Calculations!$B$6:$AE$314,29,FALSE())</f>
        <v>34912</v>
      </c>
      <c r="AC71" s="15"/>
      <c r="AD71" s="19" t="n">
        <f aca="false">VLOOKUP($F71,Calculations!$B$6:$AE$314,7,FALSE())</f>
        <v>0</v>
      </c>
      <c r="AE71" s="19" t="n">
        <f aca="false">VLOOKUP($F71,Calculations!$B$6:$AE$314,10,FALSE())</f>
        <v>0</v>
      </c>
      <c r="AH71" s="6"/>
    </row>
    <row r="72" customFormat="false" ht="12.75" hidden="false" customHeight="false" outlineLevel="0" collapsed="false">
      <c r="A72" s="17" t="s">
        <v>37</v>
      </c>
      <c r="B72" s="17" t="s">
        <v>7</v>
      </c>
      <c r="C72" s="14"/>
      <c r="D72" s="14"/>
      <c r="E72" s="14" t="s">
        <v>38</v>
      </c>
      <c r="F72" s="15" t="s">
        <v>161</v>
      </c>
      <c r="G72" s="15"/>
      <c r="H72" s="15"/>
      <c r="I72" s="15"/>
      <c r="J72" s="19" t="n">
        <f aca="false">VLOOKUP($F72,Calculations!$B$6:$AE$314,5,FALSE())</f>
        <v>68471</v>
      </c>
      <c r="K72" s="20" t="s">
        <v>40</v>
      </c>
      <c r="L72" s="20" t="n">
        <f aca="false">J72</f>
        <v>68471</v>
      </c>
      <c r="M72" s="19" t="n">
        <f aca="false">VLOOKUP($F72,Calculations!$B$6:$AE$314,24,FALSE())</f>
        <v>0</v>
      </c>
      <c r="N72" s="23"/>
      <c r="O72" s="16" t="n">
        <f aca="false">+N72+M72+J72</f>
        <v>68471</v>
      </c>
      <c r="P72" s="16"/>
      <c r="Q72" s="19" t="n">
        <f aca="false">+J72</f>
        <v>68471</v>
      </c>
      <c r="R72" s="19"/>
      <c r="S72" s="19"/>
      <c r="T72" s="19" t="n">
        <f aca="false">+S72+R72+Q72</f>
        <v>68471</v>
      </c>
      <c r="U72" s="15"/>
      <c r="V72" s="19" t="n">
        <f aca="false">VLOOKUP($F72,Calculations!$B$6:$AE$314,8,FALSE())</f>
        <v>7900.5</v>
      </c>
      <c r="W72" s="19" t="n">
        <f aca="false">VLOOKUP($F72,Calculations!$B$6:$AE$314,11,FALSE())</f>
        <v>35552.25</v>
      </c>
      <c r="X72" s="19"/>
      <c r="Y72" s="19" t="n">
        <f aca="false">T72+V72</f>
        <v>76371.5</v>
      </c>
      <c r="Z72" s="19" t="n">
        <f aca="false">T72+W72</f>
        <v>104023.25</v>
      </c>
      <c r="AA72" s="19"/>
      <c r="AB72" s="21" t="n">
        <f aca="false">VLOOKUP($F72,Calculations!$B$6:$AE$314,29,FALSE())</f>
        <v>36526</v>
      </c>
      <c r="AC72" s="15"/>
      <c r="AD72" s="19" t="n">
        <f aca="false">VLOOKUP($F72,Calculations!$B$6:$AE$314,7,FALSE())</f>
        <v>0</v>
      </c>
      <c r="AE72" s="19" t="n">
        <f aca="false">VLOOKUP($F72,Calculations!$B$6:$AE$314,10,FALSE())</f>
        <v>0</v>
      </c>
      <c r="AH72" s="6"/>
    </row>
    <row r="73" customFormat="false" ht="12.75" hidden="false" customHeight="false" outlineLevel="0" collapsed="false">
      <c r="A73" s="17" t="s">
        <v>151</v>
      </c>
      <c r="B73" s="17" t="s">
        <v>47</v>
      </c>
      <c r="C73" s="14"/>
      <c r="D73" s="14"/>
      <c r="E73" s="14" t="s">
        <v>38</v>
      </c>
      <c r="F73" s="15" t="s">
        <v>162</v>
      </c>
      <c r="G73" s="15" t="s">
        <v>163</v>
      </c>
      <c r="H73" s="15"/>
      <c r="I73" s="15"/>
      <c r="J73" s="19" t="n">
        <f aca="false">VLOOKUP($F73,Calculations!$B$6:$AE$314,5,FALSE())</f>
        <v>67000</v>
      </c>
      <c r="K73" s="20" t="s">
        <v>40</v>
      </c>
      <c r="L73" s="20" t="n">
        <f aca="false">J73</f>
        <v>67000</v>
      </c>
      <c r="M73" s="19" t="n">
        <f aca="false">VLOOKUP($F73,Calculations!$B$6:$AE$314,24,FALSE())</f>
        <v>0</v>
      </c>
      <c r="N73" s="23"/>
      <c r="O73" s="16" t="n">
        <f aca="false">+N73+M73+J73</f>
        <v>67000</v>
      </c>
      <c r="P73" s="16"/>
      <c r="Q73" s="19" t="n">
        <f aca="false">+J73</f>
        <v>67000</v>
      </c>
      <c r="R73" s="19"/>
      <c r="S73" s="19"/>
      <c r="T73" s="19" t="n">
        <f aca="false">+S73+R73+Q73</f>
        <v>67000</v>
      </c>
      <c r="U73" s="15"/>
      <c r="V73" s="19" t="n">
        <f aca="false">VLOOKUP($F73,Calculations!$B$6:$AE$314,8,FALSE())</f>
        <v>7730.76923076923</v>
      </c>
      <c r="W73" s="19" t="n">
        <f aca="false">VLOOKUP($F73,Calculations!$B$6:$AE$314,11,FALSE())</f>
        <v>34788.4615384615</v>
      </c>
      <c r="X73" s="19"/>
      <c r="Y73" s="19" t="n">
        <f aca="false">T73+V73</f>
        <v>74730.7692307692</v>
      </c>
      <c r="Z73" s="19" t="n">
        <f aca="false">T73+W73</f>
        <v>101788.461538462</v>
      </c>
      <c r="AA73" s="19"/>
      <c r="AB73" s="21" t="n">
        <f aca="false">VLOOKUP($F73,Calculations!$B$6:$AE$314,29,FALSE())</f>
        <v>36560</v>
      </c>
      <c r="AC73" s="15"/>
      <c r="AD73" s="19" t="n">
        <f aca="false">VLOOKUP($F73,Calculations!$B$6:$AE$314,7,FALSE())</f>
        <v>0</v>
      </c>
      <c r="AE73" s="19" t="n">
        <f aca="false">VLOOKUP($F73,Calculations!$B$6:$AE$314,10,FALSE())</f>
        <v>0</v>
      </c>
      <c r="AH73" s="6"/>
    </row>
    <row r="74" customFormat="false" ht="12.75" hidden="false" customHeight="false" outlineLevel="0" collapsed="false">
      <c r="A74" s="17" t="s">
        <v>46</v>
      </c>
      <c r="B74" s="17" t="s">
        <v>47</v>
      </c>
      <c r="C74" s="14"/>
      <c r="D74" s="14"/>
      <c r="E74" s="14" t="s">
        <v>38</v>
      </c>
      <c r="F74" s="15" t="s">
        <v>164</v>
      </c>
      <c r="G74" s="15" t="s">
        <v>165</v>
      </c>
      <c r="H74" s="15" t="s">
        <v>166</v>
      </c>
      <c r="I74" s="15"/>
      <c r="J74" s="19" t="n">
        <f aca="false">VLOOKUP($F74,Calculations!$B$6:$AE$314,5,FALSE())</f>
        <v>65000</v>
      </c>
      <c r="K74" s="20" t="s">
        <v>40</v>
      </c>
      <c r="L74" s="20" t="n">
        <f aca="false">J74</f>
        <v>65000</v>
      </c>
      <c r="M74" s="19" t="n">
        <f aca="false">VLOOKUP($F74,Calculations!$B$6:$AE$314,24,FALSE())</f>
        <v>27500</v>
      </c>
      <c r="N74" s="23"/>
      <c r="O74" s="16" t="n">
        <f aca="false">+N74+M74+J74</f>
        <v>92500</v>
      </c>
      <c r="P74" s="16"/>
      <c r="Q74" s="19" t="n">
        <f aca="false">+J74</f>
        <v>65000</v>
      </c>
      <c r="R74" s="19"/>
      <c r="S74" s="19"/>
      <c r="T74" s="19" t="n">
        <f aca="false">+S74+R74+Q74</f>
        <v>65000</v>
      </c>
      <c r="U74" s="15"/>
      <c r="V74" s="19" t="n">
        <f aca="false">VLOOKUP($F74,Calculations!$B$6:$AE$314,8,FALSE())</f>
        <v>63750</v>
      </c>
      <c r="W74" s="19" t="n">
        <f aca="false">VLOOKUP($F74,Calculations!$B$6:$AE$314,11,FALSE())</f>
        <v>90000</v>
      </c>
      <c r="X74" s="19"/>
      <c r="Y74" s="19" t="n">
        <f aca="false">T74+V74</f>
        <v>128750</v>
      </c>
      <c r="Z74" s="19" t="n">
        <f aca="false">T74+W74</f>
        <v>155000</v>
      </c>
      <c r="AA74" s="19"/>
      <c r="AB74" s="21" t="n">
        <f aca="false">VLOOKUP($F74,Calculations!$B$6:$AE$314,29,FALSE())</f>
        <v>31126</v>
      </c>
      <c r="AC74" s="15"/>
      <c r="AD74" s="19" t="n">
        <f aca="false">VLOOKUP($F74,Calculations!$B$6:$AE$314,7,FALSE())</f>
        <v>0</v>
      </c>
      <c r="AE74" s="19" t="n">
        <f aca="false">VLOOKUP($F74,Calculations!$B$6:$AE$314,10,FALSE())</f>
        <v>0</v>
      </c>
      <c r="AH74" s="6"/>
    </row>
    <row r="75" customFormat="false" ht="12.75" hidden="false" customHeight="false" outlineLevel="0" collapsed="false">
      <c r="A75" s="17" t="s">
        <v>167</v>
      </c>
      <c r="B75" s="17" t="s">
        <v>7</v>
      </c>
      <c r="C75" s="14"/>
      <c r="D75" s="14"/>
      <c r="E75" s="14" t="s">
        <v>38</v>
      </c>
      <c r="F75" s="15" t="s">
        <v>168</v>
      </c>
      <c r="G75" s="15"/>
      <c r="H75" s="15"/>
      <c r="I75" s="15"/>
      <c r="J75" s="19" t="n">
        <f aca="false">VLOOKUP($F75,Calculations!$B$6:$AE$314,5,FALSE())</f>
        <v>64800</v>
      </c>
      <c r="K75" s="20" t="s">
        <v>40</v>
      </c>
      <c r="L75" s="20" t="n">
        <f aca="false">J75</f>
        <v>64800</v>
      </c>
      <c r="M75" s="19" t="n">
        <f aca="false">VLOOKUP($F75,Calculations!$B$6:$AE$314,24,FALSE())</f>
        <v>20000</v>
      </c>
      <c r="N75" s="23"/>
      <c r="O75" s="16" t="n">
        <f aca="false">+N75+M75+J75</f>
        <v>84800</v>
      </c>
      <c r="P75" s="16"/>
      <c r="Q75" s="19" t="n">
        <f aca="false">+J75</f>
        <v>64800</v>
      </c>
      <c r="R75" s="19"/>
      <c r="S75" s="19"/>
      <c r="T75" s="19" t="n">
        <f aca="false">+S75+R75+Q75</f>
        <v>64800</v>
      </c>
      <c r="U75" s="15"/>
      <c r="V75" s="19" t="n">
        <f aca="false">VLOOKUP($F75,Calculations!$B$6:$AE$314,8,FALSE())</f>
        <v>59815.3846153846</v>
      </c>
      <c r="W75" s="19" t="n">
        <f aca="false">VLOOKUP($F75,Calculations!$B$6:$AE$314,11,FALSE())</f>
        <v>85984.6153846154</v>
      </c>
      <c r="X75" s="19"/>
      <c r="Y75" s="19" t="n">
        <f aca="false">T75+V75</f>
        <v>124615.384615385</v>
      </c>
      <c r="Z75" s="19" t="n">
        <f aca="false">T75+W75</f>
        <v>150784.615384615</v>
      </c>
      <c r="AA75" s="19"/>
      <c r="AB75" s="21" t="n">
        <f aca="false">VLOOKUP($F75,Calculations!$B$6:$AE$314,29,FALSE())</f>
        <v>31291</v>
      </c>
      <c r="AC75" s="15"/>
      <c r="AD75" s="19" t="n">
        <f aca="false">VLOOKUP($F75,Calculations!$B$6:$AE$314,7,FALSE())</f>
        <v>0</v>
      </c>
      <c r="AE75" s="19" t="n">
        <f aca="false">VLOOKUP($F75,Calculations!$B$6:$AE$314,10,FALSE())</f>
        <v>0</v>
      </c>
      <c r="AH75" s="6"/>
    </row>
    <row r="76" customFormat="false" ht="12.75" hidden="false" customHeight="false" outlineLevel="0" collapsed="false">
      <c r="A76" s="17" t="s">
        <v>169</v>
      </c>
      <c r="B76" s="17" t="s">
        <v>7</v>
      </c>
      <c r="C76" s="14"/>
      <c r="D76" s="14"/>
      <c r="E76" s="14" t="s">
        <v>38</v>
      </c>
      <c r="F76" s="22" t="s">
        <v>170</v>
      </c>
      <c r="G76" s="15"/>
      <c r="H76" s="15"/>
      <c r="I76" s="15"/>
      <c r="J76" s="19" t="n">
        <f aca="false">VLOOKUP($F76,Calculations!$B$6:$AE$314,5,FALSE())</f>
        <v>64400</v>
      </c>
      <c r="K76" s="20" t="s">
        <v>40</v>
      </c>
      <c r="L76" s="20" t="n">
        <f aca="false">J76</f>
        <v>64400</v>
      </c>
      <c r="M76" s="19" t="n">
        <f aca="false">VLOOKUP($F76,Calculations!$B$6:$AE$314,24,FALSE())</f>
        <v>45000</v>
      </c>
      <c r="N76" s="23"/>
      <c r="O76" s="16" t="n">
        <f aca="false">+N76+M76+J76</f>
        <v>109400</v>
      </c>
      <c r="P76" s="16"/>
      <c r="Q76" s="19" t="n">
        <f aca="false">+J76</f>
        <v>64400</v>
      </c>
      <c r="R76" s="19"/>
      <c r="S76" s="19"/>
      <c r="T76" s="19" t="n">
        <f aca="false">+S76+R76+Q76</f>
        <v>64400</v>
      </c>
      <c r="U76" s="15"/>
      <c r="V76" s="19" t="n">
        <f aca="false">VLOOKUP($F76,Calculations!$B$6:$AE$314,8,FALSE())</f>
        <v>37153.8461538462</v>
      </c>
      <c r="W76" s="19" t="n">
        <f aca="false">VLOOKUP($F76,Calculations!$B$6:$AE$314,11,FALSE())</f>
        <v>63161.5384615385</v>
      </c>
      <c r="X76" s="19"/>
      <c r="Y76" s="19" t="n">
        <f aca="false">T76+V76</f>
        <v>101553.846153846</v>
      </c>
      <c r="Z76" s="19" t="n">
        <f aca="false">T76+W76</f>
        <v>127561.538461538</v>
      </c>
      <c r="AA76" s="19"/>
      <c r="AB76" s="21" t="n">
        <f aca="false">VLOOKUP($F76,Calculations!$B$6:$AE$314,29,FALSE())</f>
        <v>33695</v>
      </c>
      <c r="AC76" s="15"/>
      <c r="AD76" s="19" t="n">
        <f aca="false">VLOOKUP($F76,Calculations!$B$6:$AE$314,7,FALSE())</f>
        <v>0</v>
      </c>
      <c r="AE76" s="19" t="n">
        <f aca="false">VLOOKUP($F76,Calculations!$B$6:$AE$314,10,FALSE())</f>
        <v>0</v>
      </c>
      <c r="AH76" s="6"/>
    </row>
    <row r="77" customFormat="false" ht="12.75" hidden="false" customHeight="false" outlineLevel="0" collapsed="false">
      <c r="A77" s="17" t="s">
        <v>46</v>
      </c>
      <c r="B77" s="17" t="s">
        <v>88</v>
      </c>
      <c r="C77" s="14"/>
      <c r="D77" s="14"/>
      <c r="E77" s="14" t="s">
        <v>38</v>
      </c>
      <c r="F77" s="15" t="s">
        <v>171</v>
      </c>
      <c r="G77" s="15" t="s">
        <v>172</v>
      </c>
      <c r="H77" s="15" t="s">
        <v>166</v>
      </c>
      <c r="I77" s="15"/>
      <c r="J77" s="19" t="n">
        <f aca="false">VLOOKUP($F77,Calculations!$B$6:$AE$314,5,FALSE())</f>
        <v>62000</v>
      </c>
      <c r="K77" s="20" t="s">
        <v>40</v>
      </c>
      <c r="L77" s="20" t="n">
        <f aca="false">J77</f>
        <v>62000</v>
      </c>
      <c r="M77" s="19" t="n">
        <f aca="false">VLOOKUP($F77,Calculations!$B$6:$AE$314,24,FALSE())</f>
        <v>20000</v>
      </c>
      <c r="N77" s="23"/>
      <c r="O77" s="16" t="n">
        <f aca="false">+N77+M77+J77</f>
        <v>82000</v>
      </c>
      <c r="P77" s="16"/>
      <c r="Q77" s="19" t="n">
        <f aca="false">+J77</f>
        <v>62000</v>
      </c>
      <c r="R77" s="19"/>
      <c r="S77" s="19"/>
      <c r="T77" s="19" t="n">
        <f aca="false">+S77+R77+Q77</f>
        <v>62000</v>
      </c>
      <c r="U77" s="15"/>
      <c r="V77" s="19" t="n">
        <f aca="false">VLOOKUP($F77,Calculations!$B$6:$AE$314,8,FALSE())</f>
        <v>10730.7692307692</v>
      </c>
      <c r="W77" s="19" t="n">
        <f aca="false">VLOOKUP($F77,Calculations!$B$6:$AE$314,11,FALSE())</f>
        <v>35769.2307692308</v>
      </c>
      <c r="X77" s="19"/>
      <c r="Y77" s="19" t="n">
        <f aca="false">T77+V77</f>
        <v>72730.7692307692</v>
      </c>
      <c r="Z77" s="19" t="n">
        <f aca="false">T77+W77</f>
        <v>97769.2307692308</v>
      </c>
      <c r="AA77" s="19"/>
      <c r="AB77" s="21" t="n">
        <f aca="false">VLOOKUP($F77,Calculations!$B$6:$AE$314,29,FALSE())</f>
        <v>36136</v>
      </c>
      <c r="AC77" s="15"/>
      <c r="AD77" s="19" t="n">
        <f aca="false">VLOOKUP($F77,Calculations!$B$6:$AE$314,7,FALSE())</f>
        <v>0</v>
      </c>
      <c r="AE77" s="19" t="n">
        <f aca="false">VLOOKUP($F77,Calculations!$B$6:$AE$314,10,FALSE())</f>
        <v>0</v>
      </c>
      <c r="AH77" s="6"/>
    </row>
    <row r="78" customFormat="false" ht="12.75" hidden="false" customHeight="false" outlineLevel="0" collapsed="false">
      <c r="A78" s="17" t="s">
        <v>37</v>
      </c>
      <c r="B78" s="17" t="s">
        <v>7</v>
      </c>
      <c r="C78" s="14"/>
      <c r="D78" s="14"/>
      <c r="E78" s="14" t="s">
        <v>38</v>
      </c>
      <c r="F78" s="15" t="s">
        <v>173</v>
      </c>
      <c r="G78" s="15"/>
      <c r="H78" s="15"/>
      <c r="I78" s="15"/>
      <c r="J78" s="19" t="n">
        <f aca="false">VLOOKUP($F78,Calculations!$B$6:$AE$314,5,FALSE())</f>
        <v>60690</v>
      </c>
      <c r="K78" s="20" t="s">
        <v>40</v>
      </c>
      <c r="L78" s="20" t="n">
        <f aca="false">J78</f>
        <v>60690</v>
      </c>
      <c r="M78" s="19" t="n">
        <f aca="false">VLOOKUP($F78,Calculations!$B$6:$AE$314,24,FALSE())</f>
        <v>15000</v>
      </c>
      <c r="N78" s="23"/>
      <c r="O78" s="16" t="n">
        <f aca="false">+N78+M78+J78</f>
        <v>75690</v>
      </c>
      <c r="P78" s="16"/>
      <c r="Q78" s="19" t="n">
        <f aca="false">+J78</f>
        <v>60690</v>
      </c>
      <c r="R78" s="19"/>
      <c r="S78" s="19"/>
      <c r="T78" s="19" t="n">
        <f aca="false">+S78+R78+Q78</f>
        <v>60690</v>
      </c>
      <c r="U78" s="15"/>
      <c r="V78" s="19" t="n">
        <f aca="false">VLOOKUP($F78,Calculations!$B$6:$AE$314,8,FALSE())</f>
        <v>24509.4230769231</v>
      </c>
      <c r="W78" s="19" t="n">
        <f aca="false">VLOOKUP($F78,Calculations!$B$6:$AE$314,11,FALSE())</f>
        <v>49018.8461538462</v>
      </c>
      <c r="X78" s="19"/>
      <c r="Y78" s="19" t="n">
        <f aca="false">T78+V78</f>
        <v>85199.4230769231</v>
      </c>
      <c r="Z78" s="19" t="n">
        <f aca="false">T78+W78</f>
        <v>109708.846153846</v>
      </c>
      <c r="AA78" s="19"/>
      <c r="AB78" s="21" t="n">
        <f aca="false">VLOOKUP($F78,Calculations!$B$6:$AE$314,29,FALSE())</f>
        <v>34610</v>
      </c>
      <c r="AC78" s="15"/>
      <c r="AD78" s="19" t="n">
        <f aca="false">VLOOKUP($F78,Calculations!$B$6:$AE$314,7,FALSE())</f>
        <v>0</v>
      </c>
      <c r="AE78" s="19" t="n">
        <f aca="false">VLOOKUP($F78,Calculations!$B$6:$AE$314,10,FALSE())</f>
        <v>0</v>
      </c>
      <c r="AH78" s="6"/>
    </row>
    <row r="79" customFormat="false" ht="12.75" hidden="false" customHeight="false" outlineLevel="0" collapsed="false">
      <c r="A79" s="17" t="s">
        <v>53</v>
      </c>
      <c r="B79" s="17" t="s">
        <v>7</v>
      </c>
      <c r="C79" s="14"/>
      <c r="D79" s="14"/>
      <c r="E79" s="14" t="s">
        <v>38</v>
      </c>
      <c r="F79" s="15" t="s">
        <v>174</v>
      </c>
      <c r="G79" s="15" t="s">
        <v>175</v>
      </c>
      <c r="H79" s="15" t="s">
        <v>176</v>
      </c>
      <c r="I79" s="15"/>
      <c r="J79" s="19" t="n">
        <f aca="false">VLOOKUP($F79,Calculations!$B$6:$AE$314,5,FALSE())</f>
        <v>60000</v>
      </c>
      <c r="K79" s="20" t="s">
        <v>40</v>
      </c>
      <c r="L79" s="20" t="n">
        <f aca="false">J79</f>
        <v>60000</v>
      </c>
      <c r="M79" s="19" t="n">
        <f aca="false">VLOOKUP($F79,Calculations!$B$6:$AE$314,24,FALSE())</f>
        <v>0</v>
      </c>
      <c r="N79" s="23"/>
      <c r="O79" s="16" t="n">
        <f aca="false">+N79+M79+J79</f>
        <v>60000</v>
      </c>
      <c r="P79" s="16"/>
      <c r="Q79" s="19" t="n">
        <f aca="false">+J79</f>
        <v>60000</v>
      </c>
      <c r="R79" s="19"/>
      <c r="S79" s="19"/>
      <c r="T79" s="19" t="n">
        <f aca="false">+S79+R79+Q79</f>
        <v>60000</v>
      </c>
      <c r="U79" s="15"/>
      <c r="V79" s="19" t="n">
        <f aca="false">VLOOKUP($F79,Calculations!$B$6:$AE$314,8,FALSE())</f>
        <v>3461.53846153846</v>
      </c>
      <c r="W79" s="19" t="n">
        <f aca="false">VLOOKUP($F79,Calculations!$B$6:$AE$314,11,FALSE())</f>
        <v>24230.7692307692</v>
      </c>
      <c r="X79" s="19"/>
      <c r="Y79" s="19" t="n">
        <f aca="false">T79+V79</f>
        <v>63461.5384615385</v>
      </c>
      <c r="Z79" s="19" t="n">
        <f aca="false">T79+W79</f>
        <v>84230.7692307692</v>
      </c>
      <c r="AA79" s="19"/>
      <c r="AB79" s="21" t="n">
        <f aca="false">VLOOKUP($F79,Calculations!$B$6:$AE$314,29,FALSE())</f>
        <v>36878</v>
      </c>
      <c r="AC79" s="15"/>
      <c r="AD79" s="19" t="n">
        <f aca="false">VLOOKUP($F79,Calculations!$B$6:$AE$314,7,FALSE())</f>
        <v>0</v>
      </c>
      <c r="AE79" s="19" t="n">
        <f aca="false">VLOOKUP($F79,Calculations!$B$6:$AE$314,10,FALSE())</f>
        <v>0</v>
      </c>
      <c r="AH79" s="6"/>
    </row>
    <row r="80" customFormat="false" ht="12.75" hidden="false" customHeight="false" outlineLevel="0" collapsed="false">
      <c r="A80" s="17" t="s">
        <v>114</v>
      </c>
      <c r="B80" s="17" t="s">
        <v>7</v>
      </c>
      <c r="C80" s="14"/>
      <c r="D80" s="14"/>
      <c r="E80" s="14" t="s">
        <v>38</v>
      </c>
      <c r="F80" s="15" t="s">
        <v>177</v>
      </c>
      <c r="G80" s="15"/>
      <c r="H80" s="15"/>
      <c r="I80" s="15"/>
      <c r="J80" s="19" t="n">
        <f aca="false">VLOOKUP($F80,Calculations!$B$6:$AE$314,5,FALSE())</f>
        <v>60000</v>
      </c>
      <c r="K80" s="20" t="s">
        <v>178</v>
      </c>
      <c r="L80" s="20"/>
      <c r="M80" s="19" t="n">
        <f aca="false">VLOOKUP($F80,Calculations!$B$6:$AE$314,24,FALSE())</f>
        <v>0</v>
      </c>
      <c r="N80" s="23"/>
      <c r="O80" s="16" t="n">
        <f aca="false">+N80+M80+J80</f>
        <v>60000</v>
      </c>
      <c r="P80" s="16"/>
      <c r="Q80" s="19" t="n">
        <f aca="false">+J80</f>
        <v>60000</v>
      </c>
      <c r="R80" s="19"/>
      <c r="S80" s="19"/>
      <c r="T80" s="19" t="n">
        <f aca="false">+S80+R80+Q80</f>
        <v>60000</v>
      </c>
      <c r="U80" s="15"/>
      <c r="V80" s="19" t="n">
        <f aca="false">VLOOKUP($F80,Calculations!$B$6:$AE$314,8,FALSE())</f>
        <v>3461.53846153846</v>
      </c>
      <c r="W80" s="19" t="n">
        <f aca="false">VLOOKUP($F80,Calculations!$B$6:$AE$314,11,FALSE())</f>
        <v>24230.7692307692</v>
      </c>
      <c r="X80" s="19"/>
      <c r="Y80" s="19" t="n">
        <f aca="false">T80+V80</f>
        <v>63461.5384615385</v>
      </c>
      <c r="Z80" s="19" t="n">
        <f aca="false">T80+W80</f>
        <v>84230.7692307692</v>
      </c>
      <c r="AA80" s="19"/>
      <c r="AB80" s="21" t="n">
        <f aca="false">VLOOKUP($F80,Calculations!$B$6:$AE$314,29,FALSE())</f>
        <v>36982</v>
      </c>
      <c r="AC80" s="15"/>
      <c r="AD80" s="19" t="n">
        <f aca="false">VLOOKUP($F80,Calculations!$B$6:$AE$314,7,FALSE())</f>
        <v>0</v>
      </c>
      <c r="AE80" s="19" t="n">
        <f aca="false">VLOOKUP($F80,Calculations!$B$6:$AE$314,10,FALSE())</f>
        <v>0</v>
      </c>
      <c r="AH80" s="6"/>
    </row>
    <row r="81" customFormat="false" ht="12.75" hidden="false" customHeight="false" outlineLevel="0" collapsed="false">
      <c r="A81" s="17" t="s">
        <v>37</v>
      </c>
      <c r="B81" s="17" t="s">
        <v>7</v>
      </c>
      <c r="C81" s="14"/>
      <c r="D81" s="14"/>
      <c r="E81" s="14" t="s">
        <v>38</v>
      </c>
      <c r="F81" s="15" t="s">
        <v>179</v>
      </c>
      <c r="G81" s="15"/>
      <c r="H81" s="15"/>
      <c r="I81" s="15"/>
      <c r="J81" s="19" t="n">
        <f aca="false">VLOOKUP($F81,Calculations!$B$6:$AE$314,5,FALSE())</f>
        <v>56886</v>
      </c>
      <c r="K81" s="20" t="s">
        <v>40</v>
      </c>
      <c r="L81" s="20" t="n">
        <f aca="false">J81</f>
        <v>56886</v>
      </c>
      <c r="M81" s="19" t="n">
        <f aca="false">VLOOKUP($F81,Calculations!$B$6:$AE$314,24,FALSE())</f>
        <v>10000</v>
      </c>
      <c r="N81" s="23"/>
      <c r="O81" s="16" t="n">
        <f aca="false">+N81+M81+J81</f>
        <v>66886</v>
      </c>
      <c r="P81" s="16"/>
      <c r="Q81" s="19" t="n">
        <f aca="false">+J81</f>
        <v>56886</v>
      </c>
      <c r="R81" s="19"/>
      <c r="S81" s="19"/>
      <c r="T81" s="19" t="n">
        <f aca="false">+S81+R81+Q81</f>
        <v>56886</v>
      </c>
      <c r="U81" s="15"/>
      <c r="V81" s="19" t="n">
        <f aca="false">VLOOKUP($F81,Calculations!$B$6:$AE$314,8,FALSE())</f>
        <v>9845.65384615385</v>
      </c>
      <c r="W81" s="19" t="n">
        <f aca="false">VLOOKUP($F81,Calculations!$B$6:$AE$314,11,FALSE())</f>
        <v>29536.9615384615</v>
      </c>
      <c r="X81" s="19"/>
      <c r="Y81" s="19" t="n">
        <f aca="false">T81+V81</f>
        <v>66731.6538461538</v>
      </c>
      <c r="Z81" s="19" t="n">
        <f aca="false">T81+W81</f>
        <v>86422.9615384616</v>
      </c>
      <c r="AA81" s="19"/>
      <c r="AB81" s="21" t="n">
        <f aca="false">VLOOKUP($F81,Calculations!$B$6:$AE$314,29,FALSE())</f>
        <v>36100</v>
      </c>
      <c r="AC81" s="15"/>
      <c r="AD81" s="19" t="n">
        <f aca="false">VLOOKUP($F81,Calculations!$B$6:$AE$314,7,FALSE())</f>
        <v>0</v>
      </c>
      <c r="AE81" s="19" t="n">
        <f aca="false">VLOOKUP($F81,Calculations!$B$6:$AE$314,10,FALSE())</f>
        <v>0</v>
      </c>
      <c r="AH81" s="6"/>
    </row>
    <row r="82" customFormat="false" ht="12.75" hidden="false" customHeight="false" outlineLevel="0" collapsed="false">
      <c r="A82" s="17" t="s">
        <v>180</v>
      </c>
      <c r="B82" s="17" t="s">
        <v>47</v>
      </c>
      <c r="C82" s="14"/>
      <c r="D82" s="14"/>
      <c r="E82" s="14" t="s">
        <v>38</v>
      </c>
      <c r="F82" s="15" t="s">
        <v>181</v>
      </c>
      <c r="G82" s="15" t="s">
        <v>182</v>
      </c>
      <c r="H82" s="15" t="s">
        <v>166</v>
      </c>
      <c r="I82" s="15"/>
      <c r="J82" s="19" t="n">
        <f aca="false">VLOOKUP($F82,Calculations!$B$6:$AE$314,5,FALSE())</f>
        <v>55000</v>
      </c>
      <c r="K82" s="20" t="s">
        <v>40</v>
      </c>
      <c r="L82" s="20" t="n">
        <f aca="false">J82</f>
        <v>55000</v>
      </c>
      <c r="M82" s="19" t="n">
        <f aca="false">VLOOKUP($F82,Calculations!$B$6:$AE$314,24,FALSE())</f>
        <v>5000</v>
      </c>
      <c r="N82" s="23"/>
      <c r="O82" s="16" t="n">
        <f aca="false">+N82+M82+J82</f>
        <v>60000</v>
      </c>
      <c r="P82" s="16"/>
      <c r="Q82" s="19" t="n">
        <f aca="false">+J82</f>
        <v>55000</v>
      </c>
      <c r="R82" s="19"/>
      <c r="S82" s="19"/>
      <c r="T82" s="19" t="n">
        <f aca="false">+S82+R82+Q82</f>
        <v>55000</v>
      </c>
      <c r="U82" s="15"/>
      <c r="V82" s="19" t="n">
        <f aca="false">VLOOKUP($F82,Calculations!$B$6:$AE$314,8,FALSE())</f>
        <v>38076.9230769231</v>
      </c>
      <c r="W82" s="19" t="n">
        <f aca="false">VLOOKUP($F82,Calculations!$B$6:$AE$314,11,FALSE())</f>
        <v>57115.3846153846</v>
      </c>
      <c r="X82" s="19"/>
      <c r="Y82" s="19" t="n">
        <f aca="false">T82+V82</f>
        <v>93076.9230769231</v>
      </c>
      <c r="Z82" s="19" t="n">
        <f aca="false">T82+W82</f>
        <v>112115.384615385</v>
      </c>
      <c r="AA82" s="19"/>
      <c r="AB82" s="21" t="n">
        <f aca="false">VLOOKUP($F82,Calculations!$B$6:$AE$314,29,FALSE())</f>
        <v>32965</v>
      </c>
      <c r="AC82" s="15"/>
      <c r="AD82" s="19" t="n">
        <f aca="false">VLOOKUP($F82,Calculations!$B$6:$AE$314,7,FALSE())</f>
        <v>0</v>
      </c>
      <c r="AE82" s="19" t="n">
        <f aca="false">VLOOKUP($F82,Calculations!$B$6:$AE$314,10,FALSE())</f>
        <v>0</v>
      </c>
      <c r="AH82" s="6"/>
    </row>
    <row r="83" customFormat="false" ht="12.75" hidden="false" customHeight="false" outlineLevel="0" collapsed="false">
      <c r="A83" s="17" t="s">
        <v>53</v>
      </c>
      <c r="B83" s="17" t="s">
        <v>7</v>
      </c>
      <c r="C83" s="14"/>
      <c r="D83" s="14"/>
      <c r="E83" s="14" t="s">
        <v>38</v>
      </c>
      <c r="F83" s="15" t="s">
        <v>183</v>
      </c>
      <c r="G83" s="15" t="s">
        <v>184</v>
      </c>
      <c r="H83" s="15" t="s">
        <v>185</v>
      </c>
      <c r="I83" s="15"/>
      <c r="J83" s="19" t="n">
        <f aca="false">VLOOKUP($F83,Calculations!$B$6:$AE$314,5,FALSE())</f>
        <v>55000</v>
      </c>
      <c r="K83" s="20" t="s">
        <v>40</v>
      </c>
      <c r="L83" s="20" t="n">
        <f aca="false">J83</f>
        <v>55000</v>
      </c>
      <c r="M83" s="19" t="n">
        <f aca="false">VLOOKUP($F83,Calculations!$B$6:$AE$314,24,FALSE())</f>
        <v>0</v>
      </c>
      <c r="N83" s="23"/>
      <c r="O83" s="16" t="n">
        <f aca="false">+N83+M83+J83</f>
        <v>55000</v>
      </c>
      <c r="P83" s="16"/>
      <c r="Q83" s="19" t="n">
        <f aca="false">+J83</f>
        <v>55000</v>
      </c>
      <c r="R83" s="19"/>
      <c r="S83" s="19"/>
      <c r="T83" s="19" t="n">
        <f aca="false">+S83+R83+Q83</f>
        <v>55000</v>
      </c>
      <c r="U83" s="15"/>
      <c r="V83" s="19" t="n">
        <f aca="false">VLOOKUP($F83,Calculations!$B$6:$AE$314,8,FALSE())</f>
        <v>6346.15384615385</v>
      </c>
      <c r="W83" s="19" t="n">
        <f aca="false">VLOOKUP($F83,Calculations!$B$6:$AE$314,11,FALSE())</f>
        <v>25384.6153846154</v>
      </c>
      <c r="X83" s="19"/>
      <c r="Y83" s="19" t="n">
        <f aca="false">T83+V83</f>
        <v>61346.1538461538</v>
      </c>
      <c r="Z83" s="19" t="n">
        <f aca="false">T83+W83</f>
        <v>80384.6153846154</v>
      </c>
      <c r="AA83" s="19"/>
      <c r="AB83" s="21" t="n">
        <f aca="false">VLOOKUP($F83,Calculations!$B$6:$AE$314,29,FALSE())</f>
        <v>36549</v>
      </c>
      <c r="AC83" s="15"/>
      <c r="AD83" s="19" t="n">
        <f aca="false">VLOOKUP($F83,Calculations!$B$6:$AE$314,7,FALSE())</f>
        <v>0</v>
      </c>
      <c r="AE83" s="19" t="n">
        <f aca="false">VLOOKUP($F83,Calculations!$B$6:$AE$314,10,FALSE())</f>
        <v>0</v>
      </c>
      <c r="AH83" s="6"/>
    </row>
    <row r="84" customFormat="false" ht="12.75" hidden="false" customHeight="false" outlineLevel="0" collapsed="false">
      <c r="A84" s="17" t="s">
        <v>116</v>
      </c>
      <c r="B84" s="17" t="s">
        <v>47</v>
      </c>
      <c r="C84" s="14"/>
      <c r="D84" s="14"/>
      <c r="E84" s="14" t="s">
        <v>38</v>
      </c>
      <c r="F84" s="15" t="s">
        <v>186</v>
      </c>
      <c r="G84" s="15" t="s">
        <v>187</v>
      </c>
      <c r="H84" s="15"/>
      <c r="I84" s="15"/>
      <c r="J84" s="19" t="n">
        <f aca="false">VLOOKUP($F84,Calculations!$B$6:$AE$314,5,FALSE())</f>
        <v>54955</v>
      </c>
      <c r="K84" s="20" t="s">
        <v>40</v>
      </c>
      <c r="L84" s="20" t="n">
        <f aca="false">J84</f>
        <v>54955</v>
      </c>
      <c r="M84" s="19" t="n">
        <f aca="false">VLOOKUP($F84,Calculations!$B$6:$AE$314,24,FALSE())</f>
        <v>0</v>
      </c>
      <c r="N84" s="23"/>
      <c r="O84" s="16" t="n">
        <f aca="false">+N84+M84+J84</f>
        <v>54955</v>
      </c>
      <c r="P84" s="16"/>
      <c r="Q84" s="19" t="n">
        <f aca="false">+J84</f>
        <v>54955</v>
      </c>
      <c r="R84" s="19"/>
      <c r="S84" s="19"/>
      <c r="T84" s="19" t="n">
        <f aca="false">+S84+R84+Q84</f>
        <v>54955</v>
      </c>
      <c r="U84" s="15"/>
      <c r="V84" s="19" t="n">
        <f aca="false">VLOOKUP($F84,Calculations!$B$6:$AE$314,8,FALSE())</f>
        <v>34875.2884615385</v>
      </c>
      <c r="W84" s="19" t="n">
        <f aca="false">VLOOKUP($F84,Calculations!$B$6:$AE$314,11,FALSE())</f>
        <v>53898.1730769231</v>
      </c>
      <c r="X84" s="19"/>
      <c r="Y84" s="19" t="n">
        <f aca="false">T84+V84</f>
        <v>89830.2884615385</v>
      </c>
      <c r="Z84" s="19" t="n">
        <f aca="false">T84+W84</f>
        <v>108853.173076923</v>
      </c>
      <c r="AA84" s="19"/>
      <c r="AB84" s="21" t="n">
        <f aca="false">VLOOKUP($F84,Calculations!$B$6:$AE$314,29,FALSE())</f>
        <v>33161</v>
      </c>
      <c r="AC84" s="15"/>
      <c r="AD84" s="19" t="n">
        <f aca="false">VLOOKUP($F84,Calculations!$B$6:$AE$314,7,FALSE())</f>
        <v>0</v>
      </c>
      <c r="AE84" s="19" t="n">
        <f aca="false">VLOOKUP($F84,Calculations!$B$6:$AE$314,10,FALSE())</f>
        <v>0</v>
      </c>
      <c r="AH84" s="6"/>
    </row>
    <row r="85" customFormat="false" ht="12.75" hidden="false" customHeight="false" outlineLevel="0" collapsed="false">
      <c r="A85" s="17" t="s">
        <v>37</v>
      </c>
      <c r="B85" s="17" t="s">
        <v>42</v>
      </c>
      <c r="C85" s="14"/>
      <c r="D85" s="14"/>
      <c r="E85" s="14" t="s">
        <v>38</v>
      </c>
      <c r="F85" s="15" t="s">
        <v>188</v>
      </c>
      <c r="G85" s="15"/>
      <c r="H85" s="15"/>
      <c r="I85" s="15"/>
      <c r="J85" s="19" t="n">
        <f aca="false">VLOOKUP($F85,Calculations!$B$6:$AE$314,5,FALSE())</f>
        <v>54037</v>
      </c>
      <c r="K85" s="20" t="s">
        <v>40</v>
      </c>
      <c r="L85" s="20" t="n">
        <f aca="false">J85</f>
        <v>54037</v>
      </c>
      <c r="M85" s="19" t="n">
        <f aca="false">VLOOKUP($F85,Calculations!$B$6:$AE$314,24,FALSE())</f>
        <v>8000</v>
      </c>
      <c r="N85" s="23"/>
      <c r="O85" s="16" t="n">
        <f aca="false">+N85+M85+J85</f>
        <v>62037</v>
      </c>
      <c r="P85" s="16"/>
      <c r="Q85" s="19" t="n">
        <f aca="false">+J85</f>
        <v>54037</v>
      </c>
      <c r="R85" s="19"/>
      <c r="S85" s="19"/>
      <c r="T85" s="19" t="n">
        <f aca="false">+S85+R85+Q85</f>
        <v>54037</v>
      </c>
      <c r="U85" s="15"/>
      <c r="V85" s="19" t="n">
        <f aca="false">VLOOKUP($F85,Calculations!$B$6:$AE$314,8,FALSE())</f>
        <v>37410.2307692308</v>
      </c>
      <c r="W85" s="19" t="n">
        <f aca="false">VLOOKUP($F85,Calculations!$B$6:$AE$314,11,FALSE())</f>
        <v>56115.3461538462</v>
      </c>
      <c r="X85" s="19"/>
      <c r="Y85" s="19" t="n">
        <f aca="false">T85+V85</f>
        <v>91447.2307692308</v>
      </c>
      <c r="Z85" s="19" t="n">
        <f aca="false">T85+W85</f>
        <v>110152.346153846</v>
      </c>
      <c r="AA85" s="19"/>
      <c r="AB85" s="21" t="n">
        <f aca="false">VLOOKUP($F85,Calculations!$B$6:$AE$314,29,FALSE())</f>
        <v>32994</v>
      </c>
      <c r="AC85" s="15"/>
      <c r="AD85" s="19" t="n">
        <f aca="false">VLOOKUP($F85,Calculations!$B$6:$AE$314,7,FALSE())</f>
        <v>0</v>
      </c>
      <c r="AE85" s="19" t="n">
        <f aca="false">VLOOKUP($F85,Calculations!$B$6:$AE$314,10,FALSE())</f>
        <v>0</v>
      </c>
      <c r="AH85" s="6"/>
    </row>
    <row r="86" customFormat="false" ht="12.75" hidden="false" customHeight="false" outlineLevel="0" collapsed="false">
      <c r="A86" s="17" t="s">
        <v>53</v>
      </c>
      <c r="B86" s="17" t="s">
        <v>7</v>
      </c>
      <c r="C86" s="14"/>
      <c r="D86" s="14"/>
      <c r="E86" s="14" t="s">
        <v>38</v>
      </c>
      <c r="F86" s="15" t="s">
        <v>189</v>
      </c>
      <c r="G86" s="15" t="s">
        <v>190</v>
      </c>
      <c r="H86" s="15" t="s">
        <v>166</v>
      </c>
      <c r="I86" s="15"/>
      <c r="J86" s="19" t="n">
        <f aca="false">VLOOKUP($F86,Calculations!$B$6:$AE$314,5,FALSE())</f>
        <v>54000</v>
      </c>
      <c r="K86" s="20" t="s">
        <v>40</v>
      </c>
      <c r="L86" s="20" t="n">
        <f aca="false">J86</f>
        <v>54000</v>
      </c>
      <c r="M86" s="19" t="n">
        <f aca="false">VLOOKUP($F86,Calculations!$B$6:$AE$314,24,FALSE())</f>
        <v>0</v>
      </c>
      <c r="N86" s="23"/>
      <c r="O86" s="16" t="n">
        <f aca="false">+N86+M86+J86</f>
        <v>54000</v>
      </c>
      <c r="P86" s="16"/>
      <c r="Q86" s="19" t="n">
        <f aca="false">+J86</f>
        <v>54000</v>
      </c>
      <c r="R86" s="19"/>
      <c r="S86" s="19"/>
      <c r="T86" s="19" t="n">
        <f aca="false">+S86+R86+Q86</f>
        <v>54000</v>
      </c>
      <c r="U86" s="15"/>
      <c r="V86" s="19" t="n">
        <f aca="false">VLOOKUP($F86,Calculations!$B$6:$AE$314,8,FALSE())</f>
        <v>6230.76923076923</v>
      </c>
      <c r="W86" s="19" t="n">
        <f aca="false">VLOOKUP($F86,Calculations!$B$6:$AE$314,11,FALSE())</f>
        <v>24923.0769230769</v>
      </c>
      <c r="X86" s="19"/>
      <c r="Y86" s="19" t="n">
        <f aca="false">T86+V86</f>
        <v>60230.7692307692</v>
      </c>
      <c r="Z86" s="19" t="n">
        <f aca="false">T86+W86</f>
        <v>78923.0769230769</v>
      </c>
      <c r="AA86" s="19"/>
      <c r="AB86" s="21" t="n">
        <f aca="false">VLOOKUP($F86,Calculations!$B$6:$AE$314,29,FALSE())</f>
        <v>36689</v>
      </c>
      <c r="AC86" s="15"/>
      <c r="AD86" s="19" t="n">
        <f aca="false">VLOOKUP($F86,Calculations!$B$6:$AE$314,7,FALSE())</f>
        <v>0</v>
      </c>
      <c r="AE86" s="19" t="n">
        <f aca="false">VLOOKUP($F86,Calculations!$B$6:$AE$314,10,FALSE())</f>
        <v>0</v>
      </c>
      <c r="AH86" s="6"/>
    </row>
    <row r="87" customFormat="false" ht="12.75" hidden="false" customHeight="false" outlineLevel="0" collapsed="false">
      <c r="A87" s="17" t="s">
        <v>167</v>
      </c>
      <c r="B87" s="17" t="s">
        <v>7</v>
      </c>
      <c r="C87" s="14"/>
      <c r="D87" s="14"/>
      <c r="E87" s="14" t="s">
        <v>38</v>
      </c>
      <c r="F87" s="15" t="s">
        <v>191</v>
      </c>
      <c r="G87" s="15"/>
      <c r="H87" s="15"/>
      <c r="I87" s="15"/>
      <c r="J87" s="19" t="n">
        <f aca="false">VLOOKUP($F87,Calculations!$B$6:$AE$314,5,FALSE())</f>
        <v>52800</v>
      </c>
      <c r="K87" s="20" t="s">
        <v>40</v>
      </c>
      <c r="L87" s="20" t="n">
        <f aca="false">J87</f>
        <v>52800</v>
      </c>
      <c r="M87" s="19" t="n">
        <f aca="false">VLOOKUP($F87,Calculations!$B$6:$AE$314,24,FALSE())</f>
        <v>10000</v>
      </c>
      <c r="N87" s="23"/>
      <c r="O87" s="16" t="n">
        <f aca="false">+N87+M87+J87</f>
        <v>62800</v>
      </c>
      <c r="P87" s="16"/>
      <c r="Q87" s="19" t="n">
        <f aca="false">+J87</f>
        <v>52800</v>
      </c>
      <c r="R87" s="19"/>
      <c r="S87" s="19"/>
      <c r="T87" s="19" t="n">
        <f aca="false">+S87+R87+Q87</f>
        <v>52800</v>
      </c>
      <c r="U87" s="15"/>
      <c r="V87" s="19" t="n">
        <f aca="false">VLOOKUP($F87,Calculations!$B$6:$AE$314,8,FALSE())</f>
        <v>30461.5384615385</v>
      </c>
      <c r="W87" s="19" t="n">
        <f aca="false">VLOOKUP($F87,Calculations!$B$6:$AE$314,11,FALSE())</f>
        <v>48738.4615384615</v>
      </c>
      <c r="X87" s="19"/>
      <c r="Y87" s="19" t="n">
        <f aca="false">T87+V87</f>
        <v>83261.5384615385</v>
      </c>
      <c r="Z87" s="19" t="n">
        <f aca="false">T87+W87</f>
        <v>101538.461538462</v>
      </c>
      <c r="AA87" s="19"/>
      <c r="AB87" s="21" t="n">
        <f aca="false">VLOOKUP($F87,Calculations!$B$6:$AE$314,29,FALSE())</f>
        <v>33623</v>
      </c>
      <c r="AC87" s="15"/>
      <c r="AD87" s="19" t="n">
        <f aca="false">VLOOKUP($F87,Calculations!$B$6:$AE$314,7,FALSE())</f>
        <v>0</v>
      </c>
      <c r="AE87" s="19" t="n">
        <f aca="false">VLOOKUP($F87,Calculations!$B$6:$AE$314,10,FALSE())</f>
        <v>0</v>
      </c>
      <c r="AH87" s="6"/>
    </row>
    <row r="88" customFormat="false" ht="12.75" hidden="false" customHeight="false" outlineLevel="0" collapsed="false">
      <c r="A88" s="17" t="s">
        <v>53</v>
      </c>
      <c r="B88" s="17" t="s">
        <v>7</v>
      </c>
      <c r="C88" s="14"/>
      <c r="D88" s="14"/>
      <c r="E88" s="14" t="s">
        <v>38</v>
      </c>
      <c r="F88" s="15" t="s">
        <v>192</v>
      </c>
      <c r="G88" s="15" t="s">
        <v>193</v>
      </c>
      <c r="H88" s="15" t="s">
        <v>166</v>
      </c>
      <c r="I88" s="15"/>
      <c r="J88" s="19" t="n">
        <f aca="false">VLOOKUP($F88,Calculations!$B$6:$AE$314,5,FALSE())</f>
        <v>52600</v>
      </c>
      <c r="K88" s="20" t="s">
        <v>40</v>
      </c>
      <c r="L88" s="20" t="n">
        <f aca="false">J88</f>
        <v>52600</v>
      </c>
      <c r="M88" s="19" t="n">
        <f aca="false">VLOOKUP($F88,Calculations!$B$6:$AE$314,24,FALSE())</f>
        <v>0</v>
      </c>
      <c r="N88" s="23"/>
      <c r="O88" s="16" t="n">
        <f aca="false">+N88+M88+J88</f>
        <v>52600</v>
      </c>
      <c r="P88" s="16"/>
      <c r="Q88" s="19" t="n">
        <f aca="false">+J88</f>
        <v>52600</v>
      </c>
      <c r="R88" s="19"/>
      <c r="S88" s="19"/>
      <c r="T88" s="19" t="n">
        <f aca="false">+S88+R88+Q88</f>
        <v>52600</v>
      </c>
      <c r="U88" s="15"/>
      <c r="V88" s="19" t="n">
        <f aca="false">VLOOKUP($F88,Calculations!$B$6:$AE$314,8,FALSE())</f>
        <v>69796.1538461538</v>
      </c>
      <c r="W88" s="19" t="n">
        <f aca="false">VLOOKUP($F88,Calculations!$B$6:$AE$314,11,FALSE())</f>
        <v>78900</v>
      </c>
      <c r="X88" s="19"/>
      <c r="Y88" s="19" t="n">
        <f aca="false">T88+V88</f>
        <v>122396.153846154</v>
      </c>
      <c r="Z88" s="19" t="n">
        <f aca="false">T88+W88</f>
        <v>131500</v>
      </c>
      <c r="AA88" s="19"/>
      <c r="AB88" s="21" t="n">
        <f aca="false">VLOOKUP($F88,Calculations!$B$6:$AE$314,29,FALSE())</f>
        <v>28751</v>
      </c>
      <c r="AC88" s="15"/>
      <c r="AD88" s="19" t="n">
        <f aca="false">VLOOKUP($F88,Calculations!$B$6:$AE$314,7,FALSE())</f>
        <v>0</v>
      </c>
      <c r="AE88" s="19" t="n">
        <f aca="false">VLOOKUP($F88,Calculations!$B$6:$AE$314,10,FALSE())</f>
        <v>0</v>
      </c>
      <c r="AH88" s="6"/>
    </row>
    <row r="89" customFormat="false" ht="12.75" hidden="false" customHeight="false" outlineLevel="0" collapsed="false">
      <c r="A89" s="17" t="s">
        <v>37</v>
      </c>
      <c r="B89" s="17" t="s">
        <v>7</v>
      </c>
      <c r="C89" s="14"/>
      <c r="D89" s="14"/>
      <c r="E89" s="14" t="s">
        <v>38</v>
      </c>
      <c r="F89" s="15" t="s">
        <v>194</v>
      </c>
      <c r="G89" s="15"/>
      <c r="H89" s="15"/>
      <c r="I89" s="15"/>
      <c r="J89" s="19" t="n">
        <f aca="false">VLOOKUP($F89,Calculations!$B$6:$AE$314,5,FALSE())</f>
        <v>50507</v>
      </c>
      <c r="K89" s="20" t="s">
        <v>40</v>
      </c>
      <c r="L89" s="20" t="n">
        <f aca="false">J89</f>
        <v>50507</v>
      </c>
      <c r="M89" s="19" t="n">
        <f aca="false">VLOOKUP($F89,Calculations!$B$6:$AE$314,24,FALSE())</f>
        <v>5000</v>
      </c>
      <c r="N89" s="23"/>
      <c r="O89" s="16" t="n">
        <f aca="false">+N89+M89+J89</f>
        <v>55507</v>
      </c>
      <c r="P89" s="16"/>
      <c r="Q89" s="19" t="n">
        <f aca="false">+J89</f>
        <v>50507</v>
      </c>
      <c r="R89" s="19"/>
      <c r="S89" s="19"/>
      <c r="T89" s="19" t="n">
        <f aca="false">+S89+R89+Q89</f>
        <v>50507</v>
      </c>
      <c r="U89" s="15"/>
      <c r="V89" s="19" t="n">
        <f aca="false">VLOOKUP($F89,Calculations!$B$6:$AE$314,8,FALSE())</f>
        <v>11655.4615384615</v>
      </c>
      <c r="W89" s="19" t="n">
        <f aca="false">VLOOKUP($F89,Calculations!$B$6:$AE$314,11,FALSE())</f>
        <v>29138.6538461538</v>
      </c>
      <c r="X89" s="19"/>
      <c r="Y89" s="19" t="n">
        <f aca="false">T89+V89</f>
        <v>62162.4615384615</v>
      </c>
      <c r="Z89" s="19" t="n">
        <f aca="false">T89+W89</f>
        <v>79645.6538461538</v>
      </c>
      <c r="AA89" s="19"/>
      <c r="AB89" s="21" t="n">
        <f aca="false">VLOOKUP($F89,Calculations!$B$6:$AE$314,29,FALSE())</f>
        <v>35657</v>
      </c>
      <c r="AC89" s="15"/>
      <c r="AD89" s="19" t="n">
        <f aca="false">VLOOKUP($F89,Calculations!$B$6:$AE$314,7,FALSE())</f>
        <v>0</v>
      </c>
      <c r="AE89" s="19" t="n">
        <f aca="false">VLOOKUP($F89,Calculations!$B$6:$AE$314,10,FALSE())</f>
        <v>0</v>
      </c>
      <c r="AH89" s="6"/>
    </row>
    <row r="90" customFormat="false" ht="12.75" hidden="false" customHeight="false" outlineLevel="0" collapsed="false">
      <c r="A90" s="17" t="s">
        <v>116</v>
      </c>
      <c r="B90" s="17" t="s">
        <v>47</v>
      </c>
      <c r="C90" s="14"/>
      <c r="D90" s="14"/>
      <c r="E90" s="14" t="s">
        <v>38</v>
      </c>
      <c r="F90" s="15" t="s">
        <v>195</v>
      </c>
      <c r="G90" s="15" t="s">
        <v>196</v>
      </c>
      <c r="H90" s="15"/>
      <c r="I90" s="15"/>
      <c r="J90" s="19" t="n">
        <f aca="false">VLOOKUP($F90,Calculations!$B$6:$AE$314,5,FALSE())</f>
        <v>50290</v>
      </c>
      <c r="K90" s="20" t="s">
        <v>40</v>
      </c>
      <c r="L90" s="20" t="n">
        <f aca="false">J90</f>
        <v>50290</v>
      </c>
      <c r="M90" s="19" t="n">
        <f aca="false">VLOOKUP($F90,Calculations!$B$6:$AE$314,24,FALSE())</f>
        <v>0</v>
      </c>
      <c r="N90" s="23"/>
      <c r="O90" s="16" t="n">
        <f aca="false">+N90+M90+J90</f>
        <v>50290</v>
      </c>
      <c r="P90" s="16"/>
      <c r="Q90" s="19" t="n">
        <f aca="false">+J90</f>
        <v>50290</v>
      </c>
      <c r="R90" s="19"/>
      <c r="S90" s="19"/>
      <c r="T90" s="19" t="n">
        <f aca="false">+S90+R90+Q90</f>
        <v>50290</v>
      </c>
      <c r="U90" s="15"/>
      <c r="V90" s="19" t="n">
        <f aca="false">VLOOKUP($F90,Calculations!$B$6:$AE$314,8,FALSE())</f>
        <v>69632.3076923077</v>
      </c>
      <c r="W90" s="19" t="n">
        <f aca="false">VLOOKUP($F90,Calculations!$B$6:$AE$314,11,FALSE())</f>
        <v>75435</v>
      </c>
      <c r="X90" s="19"/>
      <c r="Y90" s="19" t="n">
        <f aca="false">T90+V90</f>
        <v>119922.307692308</v>
      </c>
      <c r="Z90" s="19" t="n">
        <f aca="false">T90+W90</f>
        <v>125725</v>
      </c>
      <c r="AA90" s="19"/>
      <c r="AB90" s="21" t="n">
        <f aca="false">VLOOKUP($F90,Calculations!$B$6:$AE$314,29,FALSE())</f>
        <v>28233</v>
      </c>
      <c r="AC90" s="15"/>
      <c r="AD90" s="19" t="n">
        <f aca="false">VLOOKUP($F90,Calculations!$B$6:$AE$314,7,FALSE())</f>
        <v>0</v>
      </c>
      <c r="AE90" s="19" t="n">
        <f aca="false">VLOOKUP($F90,Calculations!$B$6:$AE$314,10,FALSE())</f>
        <v>0</v>
      </c>
      <c r="AH90" s="6"/>
    </row>
    <row r="91" customFormat="false" ht="12.75" hidden="false" customHeight="false" outlineLevel="0" collapsed="false">
      <c r="A91" s="17" t="s">
        <v>116</v>
      </c>
      <c r="B91" s="17" t="s">
        <v>47</v>
      </c>
      <c r="C91" s="14"/>
      <c r="D91" s="14"/>
      <c r="E91" s="14" t="s">
        <v>38</v>
      </c>
      <c r="F91" s="15" t="s">
        <v>197</v>
      </c>
      <c r="G91" s="15" t="s">
        <v>198</v>
      </c>
      <c r="H91" s="15"/>
      <c r="I91" s="15"/>
      <c r="J91" s="19" t="n">
        <f aca="false">VLOOKUP($F91,Calculations!$B$6:$AE$314,5,FALSE())</f>
        <v>50290</v>
      </c>
      <c r="K91" s="20" t="s">
        <v>40</v>
      </c>
      <c r="L91" s="20" t="n">
        <f aca="false">J91</f>
        <v>50290</v>
      </c>
      <c r="M91" s="19" t="n">
        <f aca="false">VLOOKUP($F91,Calculations!$B$6:$AE$314,24,FALSE())</f>
        <v>0</v>
      </c>
      <c r="N91" s="23"/>
      <c r="O91" s="16" t="n">
        <f aca="false">+N91+M91+J91</f>
        <v>50290</v>
      </c>
      <c r="P91" s="16"/>
      <c r="Q91" s="19" t="n">
        <f aca="false">+J91</f>
        <v>50290</v>
      </c>
      <c r="R91" s="19"/>
      <c r="S91" s="19"/>
      <c r="T91" s="19" t="n">
        <f aca="false">+S91+R91+Q91</f>
        <v>50290</v>
      </c>
      <c r="U91" s="15"/>
      <c r="V91" s="19" t="n">
        <f aca="false">VLOOKUP($F91,Calculations!$B$6:$AE$314,8,FALSE())</f>
        <v>11605.3846153846</v>
      </c>
      <c r="W91" s="19" t="n">
        <f aca="false">VLOOKUP($F91,Calculations!$B$6:$AE$314,11,FALSE())</f>
        <v>29013.4615384615</v>
      </c>
      <c r="X91" s="19"/>
      <c r="Y91" s="19" t="n">
        <f aca="false">T91+V91</f>
        <v>61895.3846153846</v>
      </c>
      <c r="Z91" s="19" t="n">
        <f aca="false">T91+W91</f>
        <v>79303.4615384615</v>
      </c>
      <c r="AA91" s="19"/>
      <c r="AB91" s="21" t="n">
        <f aca="false">VLOOKUP($F91,Calculations!$B$6:$AE$314,29,FALSE())</f>
        <v>35702</v>
      </c>
      <c r="AC91" s="15"/>
      <c r="AD91" s="19" t="n">
        <f aca="false">VLOOKUP($F91,Calculations!$B$6:$AE$314,7,FALSE())</f>
        <v>0</v>
      </c>
      <c r="AE91" s="19" t="n">
        <f aca="false">VLOOKUP($F91,Calculations!$B$6:$AE$314,10,FALSE())</f>
        <v>0</v>
      </c>
      <c r="AH91" s="6"/>
    </row>
    <row r="92" customFormat="false" ht="12.75" hidden="false" customHeight="false" outlineLevel="0" collapsed="false">
      <c r="A92" s="17" t="s">
        <v>50</v>
      </c>
      <c r="B92" s="17" t="s">
        <v>7</v>
      </c>
      <c r="C92" s="14"/>
      <c r="D92" s="14"/>
      <c r="E92" s="14" t="s">
        <v>38</v>
      </c>
      <c r="F92" s="15" t="s">
        <v>199</v>
      </c>
      <c r="G92" s="15" t="s">
        <v>200</v>
      </c>
      <c r="H92" s="15" t="s">
        <v>166</v>
      </c>
      <c r="I92" s="15"/>
      <c r="J92" s="19" t="n">
        <f aca="false">VLOOKUP($F92,Calculations!$B$6:$AE$314,5,FALSE())</f>
        <v>50000</v>
      </c>
      <c r="K92" s="20" t="s">
        <v>40</v>
      </c>
      <c r="L92" s="20" t="n">
        <f aca="false">J92</f>
        <v>50000</v>
      </c>
      <c r="M92" s="19" t="n">
        <f aca="false">VLOOKUP($F92,Calculations!$B$6:$AE$314,24,FALSE())</f>
        <v>0</v>
      </c>
      <c r="N92" s="23"/>
      <c r="O92" s="16" t="n">
        <f aca="false">+N92+M92+J92</f>
        <v>50000</v>
      </c>
      <c r="P92" s="16"/>
      <c r="Q92" s="19" t="n">
        <f aca="false">+J92</f>
        <v>50000</v>
      </c>
      <c r="R92" s="19"/>
      <c r="S92" s="19"/>
      <c r="T92" s="19" t="n">
        <f aca="false">+S92+R92+Q92</f>
        <v>50000</v>
      </c>
      <c r="U92" s="15"/>
      <c r="V92" s="19" t="n">
        <f aca="false">VLOOKUP($F92,Calculations!$B$6:$AE$314,8,FALSE())</f>
        <v>20192.3076923077</v>
      </c>
      <c r="W92" s="19" t="n">
        <f aca="false">VLOOKUP($F92,Calculations!$B$6:$AE$314,11,FALSE())</f>
        <v>34615.3846153846</v>
      </c>
      <c r="X92" s="19"/>
      <c r="Y92" s="19" t="n">
        <f aca="false">T92+V92</f>
        <v>70192.3076923077</v>
      </c>
      <c r="Z92" s="19" t="n">
        <f aca="false">T92+W92</f>
        <v>84615.3846153846</v>
      </c>
      <c r="AA92" s="19"/>
      <c r="AB92" s="21" t="n">
        <f aca="false">VLOOKUP($F92,Calculations!$B$6:$AE$314,29,FALSE())</f>
        <v>34834</v>
      </c>
      <c r="AC92" s="15"/>
      <c r="AD92" s="19" t="n">
        <f aca="false">VLOOKUP($F92,Calculations!$B$6:$AE$314,7,FALSE())</f>
        <v>0</v>
      </c>
      <c r="AE92" s="19" t="n">
        <f aca="false">VLOOKUP($F92,Calculations!$B$6:$AE$314,10,FALSE())</f>
        <v>0</v>
      </c>
      <c r="AH92" s="6"/>
    </row>
    <row r="93" customFormat="false" ht="12.75" hidden="false" customHeight="false" outlineLevel="0" collapsed="false">
      <c r="A93" s="17" t="s">
        <v>169</v>
      </c>
      <c r="B93" s="17" t="s">
        <v>7</v>
      </c>
      <c r="C93" s="14"/>
      <c r="D93" s="14"/>
      <c r="E93" s="14" t="s">
        <v>38</v>
      </c>
      <c r="F93" s="22" t="s">
        <v>201</v>
      </c>
      <c r="G93" s="15"/>
      <c r="H93" s="15"/>
      <c r="I93" s="15"/>
      <c r="J93" s="19" t="n">
        <f aca="false">VLOOKUP($F93,Calculations!$B$6:$AE$314,5,FALSE())</f>
        <v>49800</v>
      </c>
      <c r="K93" s="20" t="s">
        <v>40</v>
      </c>
      <c r="L93" s="20" t="n">
        <f aca="false">J93</f>
        <v>49800</v>
      </c>
      <c r="M93" s="19" t="n">
        <f aca="false">VLOOKUP($F93,Calculations!$B$6:$AE$314,24,FALSE())</f>
        <v>20000</v>
      </c>
      <c r="N93" s="23"/>
      <c r="O93" s="16" t="n">
        <f aca="false">+N93+M93+J93</f>
        <v>69800</v>
      </c>
      <c r="P93" s="16"/>
      <c r="Q93" s="19" t="n">
        <f aca="false">+J93</f>
        <v>49800</v>
      </c>
      <c r="R93" s="19"/>
      <c r="S93" s="19"/>
      <c r="T93" s="19" t="n">
        <f aca="false">+S93+R93+Q93</f>
        <v>49800</v>
      </c>
      <c r="U93" s="15"/>
      <c r="V93" s="19" t="n">
        <f aca="false">VLOOKUP($F93,Calculations!$B$6:$AE$314,8,FALSE())</f>
        <v>12928.8461538462</v>
      </c>
      <c r="W93" s="19" t="n">
        <f aca="false">VLOOKUP($F93,Calculations!$B$6:$AE$314,11,FALSE())</f>
        <v>40223.0769230769</v>
      </c>
      <c r="X93" s="19"/>
      <c r="Y93" s="19" t="n">
        <f aca="false">T93+V93</f>
        <v>62728.8461538462</v>
      </c>
      <c r="Z93" s="19" t="n">
        <f aca="false">T93+W93</f>
        <v>90023.0769230769</v>
      </c>
      <c r="AA93" s="19"/>
      <c r="AB93" s="21" t="n">
        <f aca="false">VLOOKUP($F93,Calculations!$B$6:$AE$314,29,FALSE())</f>
        <v>33771</v>
      </c>
      <c r="AC93" s="15"/>
      <c r="AD93" s="19" t="n">
        <f aca="false">VLOOKUP($F93,Calculations!$B$6:$AE$314,7,FALSE())</f>
        <v>0</v>
      </c>
      <c r="AE93" s="19" t="n">
        <f aca="false">VLOOKUP($F93,Calculations!$B$6:$AE$314,10,FALSE())</f>
        <v>0</v>
      </c>
      <c r="AH93" s="6"/>
    </row>
    <row r="94" customFormat="false" ht="12.75" hidden="false" customHeight="false" outlineLevel="0" collapsed="false">
      <c r="A94" s="17" t="s">
        <v>37</v>
      </c>
      <c r="B94" s="17" t="s">
        <v>42</v>
      </c>
      <c r="C94" s="14"/>
      <c r="D94" s="14"/>
      <c r="E94" s="14" t="s">
        <v>38</v>
      </c>
      <c r="F94" s="15" t="s">
        <v>202</v>
      </c>
      <c r="G94" s="15"/>
      <c r="H94" s="15"/>
      <c r="I94" s="15"/>
      <c r="J94" s="19" t="n">
        <f aca="false">VLOOKUP($F94,Calculations!$B$6:$AE$314,5,FALSE())</f>
        <v>49524</v>
      </c>
      <c r="K94" s="20" t="s">
        <v>40</v>
      </c>
      <c r="L94" s="20" t="n">
        <f aca="false">J94</f>
        <v>49524</v>
      </c>
      <c r="M94" s="19" t="n">
        <f aca="false">VLOOKUP($F94,Calculations!$B$6:$AE$314,24,FALSE())</f>
        <v>0</v>
      </c>
      <c r="N94" s="23"/>
      <c r="O94" s="16" t="n">
        <f aca="false">+N94+M94+J94</f>
        <v>49524</v>
      </c>
      <c r="P94" s="16"/>
      <c r="Q94" s="19" t="n">
        <f aca="false">+J94</f>
        <v>49524</v>
      </c>
      <c r="R94" s="19"/>
      <c r="S94" s="19"/>
      <c r="T94" s="19" t="n">
        <f aca="false">+S94+R94+Q94</f>
        <v>49524</v>
      </c>
      <c r="U94" s="15"/>
      <c r="V94" s="19" t="n">
        <f aca="false">VLOOKUP($F94,Calculations!$B$6:$AE$314,8,FALSE())</f>
        <v>10000.0384615385</v>
      </c>
      <c r="W94" s="19" t="n">
        <f aca="false">VLOOKUP($F94,Calculations!$B$6:$AE$314,11,FALSE())</f>
        <v>34285.8461538462</v>
      </c>
      <c r="X94" s="19"/>
      <c r="Y94" s="19" t="n">
        <f aca="false">T94+V94</f>
        <v>59524.0384615385</v>
      </c>
      <c r="Z94" s="19" t="n">
        <f aca="false">T94+W94</f>
        <v>83809.8461538462</v>
      </c>
      <c r="AA94" s="19"/>
      <c r="AB94" s="21" t="n">
        <f aca="false">VLOOKUP($F94,Calculations!$B$6:$AE$314,29,FALSE())</f>
        <v>34700</v>
      </c>
      <c r="AC94" s="15"/>
      <c r="AD94" s="19" t="n">
        <f aca="false">VLOOKUP($F94,Calculations!$B$6:$AE$314,7,FALSE())</f>
        <v>0</v>
      </c>
      <c r="AE94" s="19" t="n">
        <f aca="false">VLOOKUP($F94,Calculations!$B$6:$AE$314,10,FALSE())</f>
        <v>0</v>
      </c>
      <c r="AH94" s="6"/>
    </row>
    <row r="95" customFormat="false" ht="12.75" hidden="false" customHeight="false" outlineLevel="0" collapsed="false">
      <c r="A95" s="17" t="s">
        <v>116</v>
      </c>
      <c r="B95" s="17" t="s">
        <v>47</v>
      </c>
      <c r="C95" s="14"/>
      <c r="D95" s="14"/>
      <c r="E95" s="14" t="s">
        <v>38</v>
      </c>
      <c r="F95" s="15" t="s">
        <v>203</v>
      </c>
      <c r="G95" s="15" t="s">
        <v>204</v>
      </c>
      <c r="H95" s="15"/>
      <c r="I95" s="15"/>
      <c r="J95" s="19" t="n">
        <f aca="false">VLOOKUP($F95,Calculations!$B$6:$AE$314,5,FALSE())</f>
        <v>47570</v>
      </c>
      <c r="K95" s="20" t="s">
        <v>40</v>
      </c>
      <c r="L95" s="20" t="n">
        <f aca="false">J95</f>
        <v>47570</v>
      </c>
      <c r="M95" s="19" t="n">
        <f aca="false">VLOOKUP($F95,Calculations!$B$6:$AE$314,24,FALSE())</f>
        <v>0</v>
      </c>
      <c r="N95" s="23"/>
      <c r="O95" s="16" t="n">
        <f aca="false">+N95+M95+J95</f>
        <v>47570</v>
      </c>
      <c r="P95" s="16"/>
      <c r="Q95" s="19" t="n">
        <f aca="false">+J95</f>
        <v>47570</v>
      </c>
      <c r="R95" s="19"/>
      <c r="S95" s="19"/>
      <c r="T95" s="19" t="n">
        <f aca="false">+S95+R95+Q95</f>
        <v>47570</v>
      </c>
      <c r="U95" s="15"/>
      <c r="V95" s="19" t="n">
        <f aca="false">VLOOKUP($F95,Calculations!$B$6:$AE$314,8,FALSE())</f>
        <v>20583.1730769231</v>
      </c>
      <c r="W95" s="19" t="n">
        <f aca="false">VLOOKUP($F95,Calculations!$B$6:$AE$314,11,FALSE())</f>
        <v>54888.4615384615</v>
      </c>
      <c r="X95" s="19"/>
      <c r="Y95" s="19" t="n">
        <f aca="false">T95+V95</f>
        <v>68153.1730769231</v>
      </c>
      <c r="Z95" s="19" t="n">
        <f aca="false">T95+W95</f>
        <v>102458.461538462</v>
      </c>
      <c r="AA95" s="19"/>
      <c r="AB95" s="21" t="n">
        <f aca="false">VLOOKUP($F95,Calculations!$B$6:$AE$314,29,FALSE())</f>
        <v>31873</v>
      </c>
      <c r="AC95" s="15"/>
      <c r="AD95" s="19" t="n">
        <f aca="false">VLOOKUP($F95,Calculations!$B$6:$AE$314,7,FALSE())</f>
        <v>0</v>
      </c>
      <c r="AE95" s="19" t="n">
        <f aca="false">VLOOKUP($F95,Calculations!$B$6:$AE$314,10,FALSE())</f>
        <v>0</v>
      </c>
      <c r="AH95" s="6"/>
    </row>
    <row r="96" customFormat="false" ht="12.75" hidden="false" customHeight="false" outlineLevel="0" collapsed="false">
      <c r="A96" s="17" t="s">
        <v>50</v>
      </c>
      <c r="B96" s="17" t="s">
        <v>7</v>
      </c>
      <c r="C96" s="14"/>
      <c r="D96" s="14"/>
      <c r="E96" s="14" t="s">
        <v>38</v>
      </c>
      <c r="F96" s="15" t="s">
        <v>205</v>
      </c>
      <c r="G96" s="15" t="s">
        <v>206</v>
      </c>
      <c r="H96" s="15" t="s">
        <v>207</v>
      </c>
      <c r="I96" s="15"/>
      <c r="J96" s="19" t="n">
        <f aca="false">VLOOKUP($F96,Calculations!$B$6:$AE$314,5,FALSE())</f>
        <v>46000</v>
      </c>
      <c r="K96" s="20" t="s">
        <v>40</v>
      </c>
      <c r="L96" s="20" t="n">
        <f aca="false">J96</f>
        <v>46000</v>
      </c>
      <c r="M96" s="19" t="n">
        <f aca="false">VLOOKUP($F96,Calculations!$B$6:$AE$314,24,FALSE())</f>
        <v>0</v>
      </c>
      <c r="N96" s="23"/>
      <c r="O96" s="16" t="n">
        <f aca="false">+N96+M96+J96</f>
        <v>46000</v>
      </c>
      <c r="P96" s="16"/>
      <c r="Q96" s="19" t="n">
        <f aca="false">+J96</f>
        <v>46000</v>
      </c>
      <c r="R96" s="19"/>
      <c r="S96" s="19"/>
      <c r="T96" s="19" t="n">
        <f aca="false">+S96+R96+Q96</f>
        <v>46000</v>
      </c>
      <c r="U96" s="15"/>
      <c r="V96" s="19" t="n">
        <f aca="false">VLOOKUP($F96,Calculations!$B$6:$AE$314,8,FALSE())</f>
        <v>17250</v>
      </c>
      <c r="W96" s="19" t="n">
        <f aca="false">VLOOKUP($F96,Calculations!$B$6:$AE$314,11,FALSE())</f>
        <v>47769.2307692308</v>
      </c>
      <c r="X96" s="19"/>
      <c r="Y96" s="19" t="n">
        <f aca="false">T96+V96</f>
        <v>63250</v>
      </c>
      <c r="Z96" s="19" t="n">
        <f aca="false">T96+W96</f>
        <v>93769.2307692308</v>
      </c>
      <c r="AA96" s="19"/>
      <c r="AB96" s="21" t="n">
        <f aca="false">VLOOKUP($F96,Calculations!$B$6:$AE$314,29,FALSE())</f>
        <v>32384</v>
      </c>
      <c r="AC96" s="15"/>
      <c r="AD96" s="19" t="n">
        <f aca="false">VLOOKUP($F96,Calculations!$B$6:$AE$314,7,FALSE())</f>
        <v>0</v>
      </c>
      <c r="AE96" s="19" t="n">
        <f aca="false">VLOOKUP($F96,Calculations!$B$6:$AE$314,10,FALSE())</f>
        <v>0</v>
      </c>
      <c r="AH96" s="6"/>
    </row>
    <row r="97" customFormat="false" ht="12.75" hidden="false" customHeight="false" outlineLevel="0" collapsed="false">
      <c r="A97" s="17" t="s">
        <v>37</v>
      </c>
      <c r="B97" s="17" t="s">
        <v>7</v>
      </c>
      <c r="C97" s="14"/>
      <c r="D97" s="14"/>
      <c r="E97" s="14" t="s">
        <v>38</v>
      </c>
      <c r="F97" s="15" t="s">
        <v>208</v>
      </c>
      <c r="G97" s="15"/>
      <c r="H97" s="15"/>
      <c r="I97" s="15"/>
      <c r="J97" s="19" t="n">
        <f aca="false">VLOOKUP($F97,Calculations!$B$6:$AE$314,5,FALSE())</f>
        <v>45541</v>
      </c>
      <c r="K97" s="20" t="s">
        <v>40</v>
      </c>
      <c r="L97" s="20" t="n">
        <f aca="false">J97</f>
        <v>45541</v>
      </c>
      <c r="M97" s="19" t="n">
        <f aca="false">VLOOKUP($F97,Calculations!$B$6:$AE$314,24,FALSE())</f>
        <v>0</v>
      </c>
      <c r="N97" s="23"/>
      <c r="O97" s="16" t="n">
        <f aca="false">+N97+M97+J97</f>
        <v>45541</v>
      </c>
      <c r="P97" s="16"/>
      <c r="Q97" s="19" t="n">
        <f aca="false">+J97</f>
        <v>45541</v>
      </c>
      <c r="R97" s="19"/>
      <c r="S97" s="19"/>
      <c r="T97" s="19" t="n">
        <f aca="false">+S97+R97+Q97</f>
        <v>45541</v>
      </c>
      <c r="U97" s="15"/>
      <c r="V97" s="19" t="n">
        <f aca="false">VLOOKUP($F97,Calculations!$B$6:$AE$314,8,FALSE())</f>
        <v>6568.41346153846</v>
      </c>
      <c r="W97" s="19" t="n">
        <f aca="false">VLOOKUP($F97,Calculations!$B$6:$AE$314,11,FALSE())</f>
        <v>26273.6538461538</v>
      </c>
      <c r="X97" s="19"/>
      <c r="Y97" s="19" t="n">
        <f aca="false">T97+V97</f>
        <v>52109.4134615385</v>
      </c>
      <c r="Z97" s="19" t="n">
        <f aca="false">T97+W97</f>
        <v>71814.6538461538</v>
      </c>
      <c r="AA97" s="19"/>
      <c r="AB97" s="21" t="n">
        <f aca="false">VLOOKUP($F97,Calculations!$B$6:$AE$314,29,FALSE())</f>
        <v>35370</v>
      </c>
      <c r="AC97" s="15"/>
      <c r="AD97" s="19" t="n">
        <f aca="false">VLOOKUP($F97,Calculations!$B$6:$AE$314,7,FALSE())</f>
        <v>0</v>
      </c>
      <c r="AE97" s="19" t="n">
        <f aca="false">VLOOKUP($F97,Calculations!$B$6:$AE$314,10,FALSE())</f>
        <v>0</v>
      </c>
      <c r="AH97" s="6"/>
    </row>
    <row r="98" customFormat="false" ht="12.75" hidden="false" customHeight="false" outlineLevel="0" collapsed="false">
      <c r="A98" s="17" t="s">
        <v>116</v>
      </c>
      <c r="B98" s="17" t="s">
        <v>47</v>
      </c>
      <c r="C98" s="14"/>
      <c r="D98" s="14"/>
      <c r="E98" s="14" t="s">
        <v>38</v>
      </c>
      <c r="F98" s="15" t="s">
        <v>209</v>
      </c>
      <c r="G98" s="15" t="s">
        <v>210</v>
      </c>
      <c r="H98" s="15"/>
      <c r="I98" s="15"/>
      <c r="J98" s="19" t="n">
        <f aca="false">VLOOKUP($F98,Calculations!$B$6:$AE$314,5,FALSE())</f>
        <v>45261</v>
      </c>
      <c r="K98" s="20" t="s">
        <v>40</v>
      </c>
      <c r="L98" s="20" t="n">
        <f aca="false">J98</f>
        <v>45261</v>
      </c>
      <c r="M98" s="19" t="n">
        <f aca="false">VLOOKUP($F98,Calculations!$B$6:$AE$314,24,FALSE())</f>
        <v>0</v>
      </c>
      <c r="N98" s="23"/>
      <c r="O98" s="16" t="n">
        <f aca="false">+N98+M98+J98</f>
        <v>45261</v>
      </c>
      <c r="P98" s="16"/>
      <c r="Q98" s="19" t="n">
        <f aca="false">+J98</f>
        <v>45261</v>
      </c>
      <c r="R98" s="19"/>
      <c r="S98" s="19"/>
      <c r="T98" s="19" t="n">
        <f aca="false">+S98+R98+Q98</f>
        <v>45261</v>
      </c>
      <c r="U98" s="15"/>
      <c r="V98" s="19" t="n">
        <f aca="false">VLOOKUP($F98,Calculations!$B$6:$AE$314,8,FALSE())</f>
        <v>18278.4807692308</v>
      </c>
      <c r="W98" s="19" t="n">
        <f aca="false">VLOOKUP($F98,Calculations!$B$6:$AE$314,11,FALSE())</f>
        <v>49613.0192307692</v>
      </c>
      <c r="X98" s="19"/>
      <c r="Y98" s="19" t="n">
        <f aca="false">T98+V98</f>
        <v>63539.4807692308</v>
      </c>
      <c r="Z98" s="19" t="n">
        <f aca="false">T98+W98</f>
        <v>94874.0192307692</v>
      </c>
      <c r="AA98" s="19"/>
      <c r="AB98" s="21" t="n">
        <f aca="false">VLOOKUP($F98,Calculations!$B$6:$AE$314,29,FALSE())</f>
        <v>32237</v>
      </c>
      <c r="AC98" s="15"/>
      <c r="AD98" s="19" t="n">
        <f aca="false">VLOOKUP($F98,Calculations!$B$6:$AE$314,7,FALSE())</f>
        <v>0</v>
      </c>
      <c r="AE98" s="19" t="n">
        <f aca="false">VLOOKUP($F98,Calculations!$B$6:$AE$314,10,FALSE())</f>
        <v>0</v>
      </c>
      <c r="AH98" s="6"/>
    </row>
    <row r="99" customFormat="false" ht="12.75" hidden="false" customHeight="false" outlineLevel="0" collapsed="false">
      <c r="A99" s="17" t="s">
        <v>116</v>
      </c>
      <c r="B99" s="17" t="s">
        <v>47</v>
      </c>
      <c r="C99" s="14"/>
      <c r="D99" s="14"/>
      <c r="E99" s="14" t="s">
        <v>38</v>
      </c>
      <c r="F99" s="15" t="s">
        <v>211</v>
      </c>
      <c r="G99" s="15" t="s">
        <v>210</v>
      </c>
      <c r="H99" s="15"/>
      <c r="I99" s="15"/>
      <c r="J99" s="19" t="n">
        <f aca="false">VLOOKUP($F99,Calculations!$B$6:$AE$314,5,FALSE())</f>
        <v>45261</v>
      </c>
      <c r="K99" s="20" t="s">
        <v>40</v>
      </c>
      <c r="L99" s="20" t="n">
        <f aca="false">J99</f>
        <v>45261</v>
      </c>
      <c r="M99" s="19" t="n">
        <f aca="false">VLOOKUP($F99,Calculations!$B$6:$AE$314,24,FALSE())</f>
        <v>0</v>
      </c>
      <c r="N99" s="23"/>
      <c r="O99" s="16" t="n">
        <f aca="false">+N99+M99+J99</f>
        <v>45261</v>
      </c>
      <c r="P99" s="16"/>
      <c r="Q99" s="19" t="n">
        <f aca="false">+J99</f>
        <v>45261</v>
      </c>
      <c r="R99" s="19"/>
      <c r="S99" s="19"/>
      <c r="T99" s="19" t="n">
        <f aca="false">+S99+R99+Q99</f>
        <v>45261</v>
      </c>
      <c r="U99" s="15"/>
      <c r="V99" s="19" t="n">
        <f aca="false">VLOOKUP($F99,Calculations!$B$6:$AE$314,8,FALSE())</f>
        <v>15667.2692307692</v>
      </c>
      <c r="W99" s="19" t="n">
        <f aca="false">VLOOKUP($F99,Calculations!$B$6:$AE$314,11,FALSE())</f>
        <v>44390.5961538462</v>
      </c>
      <c r="X99" s="19"/>
      <c r="Y99" s="19" t="n">
        <f aca="false">T99+V99</f>
        <v>60928.2692307692</v>
      </c>
      <c r="Z99" s="19" t="n">
        <f aca="false">T99+W99</f>
        <v>89651.5961538462</v>
      </c>
      <c r="AA99" s="19"/>
      <c r="AB99" s="21" t="n">
        <f aca="false">VLOOKUP($F99,Calculations!$B$6:$AE$314,29,FALSE())</f>
        <v>32720</v>
      </c>
      <c r="AC99" s="15"/>
      <c r="AD99" s="19" t="n">
        <f aca="false">VLOOKUP($F99,Calculations!$B$6:$AE$314,7,FALSE())</f>
        <v>0</v>
      </c>
      <c r="AE99" s="19" t="n">
        <f aca="false">VLOOKUP($F99,Calculations!$B$6:$AE$314,10,FALSE())</f>
        <v>0</v>
      </c>
      <c r="AH99" s="6"/>
    </row>
    <row r="100" customFormat="false" ht="12.75" hidden="false" customHeight="false" outlineLevel="0" collapsed="false">
      <c r="A100" s="17" t="s">
        <v>116</v>
      </c>
      <c r="B100" s="17" t="s">
        <v>47</v>
      </c>
      <c r="C100" s="14"/>
      <c r="D100" s="14"/>
      <c r="E100" s="14" t="s">
        <v>38</v>
      </c>
      <c r="F100" s="15" t="s">
        <v>212</v>
      </c>
      <c r="G100" s="15" t="s">
        <v>210</v>
      </c>
      <c r="H100" s="15"/>
      <c r="I100" s="15"/>
      <c r="J100" s="19" t="n">
        <f aca="false">VLOOKUP($F100,Calculations!$B$6:$AE$314,5,FALSE())</f>
        <v>45261</v>
      </c>
      <c r="K100" s="20" t="s">
        <v>40</v>
      </c>
      <c r="L100" s="20" t="n">
        <f aca="false">J100</f>
        <v>45261</v>
      </c>
      <c r="M100" s="19" t="n">
        <f aca="false">VLOOKUP($F100,Calculations!$B$6:$AE$314,24,FALSE())</f>
        <v>0</v>
      </c>
      <c r="N100" s="23"/>
      <c r="O100" s="16" t="n">
        <f aca="false">+N100+M100+J100</f>
        <v>45261</v>
      </c>
      <c r="P100" s="16"/>
      <c r="Q100" s="19" t="n">
        <f aca="false">+J100</f>
        <v>45261</v>
      </c>
      <c r="R100" s="19"/>
      <c r="S100" s="19"/>
      <c r="T100" s="19" t="n">
        <f aca="false">+S100+R100+Q100</f>
        <v>45261</v>
      </c>
      <c r="U100" s="15"/>
      <c r="V100" s="19" t="n">
        <f aca="false">VLOOKUP($F100,Calculations!$B$6:$AE$314,8,FALSE())</f>
        <v>33945.75</v>
      </c>
      <c r="W100" s="19" t="n">
        <f aca="false">VLOOKUP($F100,Calculations!$B$6:$AE$314,11,FALSE())</f>
        <v>67891.5</v>
      </c>
      <c r="X100" s="19"/>
      <c r="Y100" s="19" t="n">
        <f aca="false">T100+V100</f>
        <v>79206.75</v>
      </c>
      <c r="Z100" s="19" t="n">
        <f aca="false">T100+W100</f>
        <v>113152.5</v>
      </c>
      <c r="AA100" s="19"/>
      <c r="AB100" s="21" t="n">
        <f aca="false">VLOOKUP($F100,Calculations!$B$6:$AE$314,29,FALSE())</f>
        <v>27540</v>
      </c>
      <c r="AC100" s="15"/>
      <c r="AD100" s="19" t="n">
        <f aca="false">VLOOKUP($F100,Calculations!$B$6:$AE$314,7,FALSE())</f>
        <v>0</v>
      </c>
      <c r="AE100" s="19" t="n">
        <f aca="false">VLOOKUP($F100,Calculations!$B$6:$AE$314,10,FALSE())</f>
        <v>0</v>
      </c>
      <c r="AH100" s="6"/>
    </row>
    <row r="101" customFormat="false" ht="12.75" hidden="false" customHeight="false" outlineLevel="0" collapsed="false">
      <c r="A101" s="17" t="s">
        <v>116</v>
      </c>
      <c r="B101" s="17" t="s">
        <v>47</v>
      </c>
      <c r="C101" s="14"/>
      <c r="D101" s="14"/>
      <c r="E101" s="14" t="s">
        <v>38</v>
      </c>
      <c r="F101" s="15" t="s">
        <v>213</v>
      </c>
      <c r="G101" s="15" t="s">
        <v>210</v>
      </c>
      <c r="H101" s="15"/>
      <c r="I101" s="15"/>
      <c r="J101" s="19" t="n">
        <f aca="false">VLOOKUP($F101,Calculations!$B$6:$AE$314,5,FALSE())</f>
        <v>45261</v>
      </c>
      <c r="K101" s="20" t="s">
        <v>40</v>
      </c>
      <c r="L101" s="20" t="n">
        <f aca="false">J101</f>
        <v>45261</v>
      </c>
      <c r="M101" s="19" t="n">
        <f aca="false">VLOOKUP($F101,Calculations!$B$6:$AE$314,24,FALSE())</f>
        <v>0</v>
      </c>
      <c r="N101" s="23"/>
      <c r="O101" s="16" t="n">
        <f aca="false">+N101+M101+J101</f>
        <v>45261</v>
      </c>
      <c r="P101" s="16"/>
      <c r="Q101" s="19" t="n">
        <f aca="false">+J101</f>
        <v>45261</v>
      </c>
      <c r="R101" s="19"/>
      <c r="S101" s="19"/>
      <c r="T101" s="19" t="n">
        <f aca="false">+S101+R101+Q101</f>
        <v>45261</v>
      </c>
      <c r="U101" s="15"/>
      <c r="V101" s="19" t="n">
        <f aca="false">VLOOKUP($F101,Calculations!$B$6:$AE$314,8,FALSE())</f>
        <v>16972.875</v>
      </c>
      <c r="W101" s="19" t="n">
        <f aca="false">VLOOKUP($F101,Calculations!$B$6:$AE$314,11,FALSE())</f>
        <v>47001.8076923077</v>
      </c>
      <c r="X101" s="19"/>
      <c r="Y101" s="19" t="n">
        <f aca="false">T101+V101</f>
        <v>62233.875</v>
      </c>
      <c r="Z101" s="19" t="n">
        <f aca="false">T101+W101</f>
        <v>92262.8076923077</v>
      </c>
      <c r="AA101" s="19"/>
      <c r="AB101" s="21" t="n">
        <f aca="false">VLOOKUP($F101,Calculations!$B$6:$AE$314,29,FALSE())</f>
        <v>32482</v>
      </c>
      <c r="AC101" s="15"/>
      <c r="AD101" s="19" t="n">
        <f aca="false">VLOOKUP($F101,Calculations!$B$6:$AE$314,7,FALSE())</f>
        <v>0</v>
      </c>
      <c r="AE101" s="19" t="n">
        <f aca="false">VLOOKUP($F101,Calculations!$B$6:$AE$314,10,FALSE())</f>
        <v>0</v>
      </c>
      <c r="AH101" s="6"/>
    </row>
    <row r="102" customFormat="false" ht="12.75" hidden="false" customHeight="false" outlineLevel="0" collapsed="false">
      <c r="A102" s="17" t="s">
        <v>86</v>
      </c>
      <c r="B102" s="17" t="s">
        <v>7</v>
      </c>
      <c r="C102" s="14"/>
      <c r="D102" s="14"/>
      <c r="E102" s="14" t="s">
        <v>38</v>
      </c>
      <c r="F102" s="15" t="s">
        <v>214</v>
      </c>
      <c r="G102" s="15"/>
      <c r="H102" s="15"/>
      <c r="I102" s="15"/>
      <c r="J102" s="19" t="n">
        <f aca="false">VLOOKUP($F102,Calculations!$B$6:$AE$314,5,FALSE())</f>
        <v>44619</v>
      </c>
      <c r="K102" s="20" t="s">
        <v>40</v>
      </c>
      <c r="L102" s="20" t="n">
        <f aca="false">J102</f>
        <v>44619</v>
      </c>
      <c r="M102" s="19" t="n">
        <f aca="false">VLOOKUP($F102,Calculations!$B$6:$AE$314,24,FALSE())</f>
        <v>0</v>
      </c>
      <c r="N102" s="23"/>
      <c r="O102" s="16" t="n">
        <f aca="false">+N102+M102+J102</f>
        <v>44619</v>
      </c>
      <c r="P102" s="16"/>
      <c r="Q102" s="19" t="n">
        <f aca="false">+J102</f>
        <v>44619</v>
      </c>
      <c r="R102" s="19"/>
      <c r="S102" s="19"/>
      <c r="T102" s="19" t="n">
        <f aca="false">+S102+R102+Q102</f>
        <v>44619</v>
      </c>
      <c r="U102" s="15"/>
      <c r="V102" s="19" t="n">
        <f aca="false">VLOOKUP($F102,Calculations!$B$6:$AE$314,8,FALSE())</f>
        <v>2574.17307692308</v>
      </c>
      <c r="W102" s="19" t="n">
        <f aca="false">VLOOKUP($F102,Calculations!$B$6:$AE$314,11,FALSE())</f>
        <v>18019.2115384615</v>
      </c>
      <c r="X102" s="19"/>
      <c r="Y102" s="19" t="n">
        <f aca="false">T102+V102</f>
        <v>47193.1730769231</v>
      </c>
      <c r="Z102" s="19" t="n">
        <f aca="false">T102+W102</f>
        <v>62638.2115384615</v>
      </c>
      <c r="AA102" s="19"/>
      <c r="AB102" s="21" t="n">
        <f aca="false">VLOOKUP($F102,Calculations!$B$6:$AE$314,29,FALSE())</f>
        <v>36381</v>
      </c>
      <c r="AC102" s="15"/>
      <c r="AD102" s="19" t="n">
        <f aca="false">VLOOKUP($F102,Calculations!$B$6:$AE$314,7,FALSE())</f>
        <v>0</v>
      </c>
      <c r="AE102" s="19" t="n">
        <f aca="false">VLOOKUP($F102,Calculations!$B$6:$AE$314,10,FALSE())</f>
        <v>0</v>
      </c>
      <c r="AH102" s="6"/>
    </row>
    <row r="103" customFormat="false" ht="12.75" hidden="false" customHeight="false" outlineLevel="0" collapsed="false">
      <c r="A103" s="17" t="s">
        <v>116</v>
      </c>
      <c r="B103" s="17" t="s">
        <v>47</v>
      </c>
      <c r="C103" s="14"/>
      <c r="D103" s="14"/>
      <c r="E103" s="14" t="s">
        <v>38</v>
      </c>
      <c r="F103" s="15" t="s">
        <v>215</v>
      </c>
      <c r="G103" s="15" t="s">
        <v>216</v>
      </c>
      <c r="H103" s="15"/>
      <c r="I103" s="15"/>
      <c r="J103" s="19" t="n">
        <f aca="false">VLOOKUP($F103,Calculations!$B$6:$AE$314,5,FALSE())</f>
        <v>44054</v>
      </c>
      <c r="K103" s="20" t="s">
        <v>40</v>
      </c>
      <c r="L103" s="20" t="n">
        <f aca="false">J103</f>
        <v>44054</v>
      </c>
      <c r="M103" s="19" t="n">
        <f aca="false">VLOOKUP($F103,Calculations!$B$6:$AE$314,24,FALSE())</f>
        <v>0</v>
      </c>
      <c r="N103" s="23"/>
      <c r="O103" s="16" t="n">
        <f aca="false">+N103+M103+J103</f>
        <v>44054</v>
      </c>
      <c r="P103" s="16"/>
      <c r="Q103" s="19" t="n">
        <f aca="false">+J103</f>
        <v>44054</v>
      </c>
      <c r="R103" s="19"/>
      <c r="S103" s="19"/>
      <c r="T103" s="19" t="n">
        <f aca="false">+S103+R103+Q103</f>
        <v>44054</v>
      </c>
      <c r="U103" s="15"/>
      <c r="V103" s="19" t="n">
        <f aca="false">VLOOKUP($F103,Calculations!$B$6:$AE$314,8,FALSE())</f>
        <v>2541.57692307692</v>
      </c>
      <c r="W103" s="19" t="n">
        <f aca="false">VLOOKUP($F103,Calculations!$B$6:$AE$314,11,FALSE())</f>
        <v>17791.0384615385</v>
      </c>
      <c r="X103" s="19"/>
      <c r="Y103" s="19" t="n">
        <f aca="false">T103+V103</f>
        <v>46595.5769230769</v>
      </c>
      <c r="Z103" s="19" t="n">
        <f aca="false">T103+W103</f>
        <v>61845.0384615385</v>
      </c>
      <c r="AA103" s="19"/>
      <c r="AB103" s="21" t="n">
        <f aca="false">VLOOKUP($F103,Calculations!$B$6:$AE$314,29,FALSE())</f>
        <v>36661</v>
      </c>
      <c r="AC103" s="15"/>
      <c r="AD103" s="19" t="n">
        <f aca="false">VLOOKUP($F103,Calculations!$B$6:$AE$314,7,FALSE())</f>
        <v>0</v>
      </c>
      <c r="AE103" s="19" t="n">
        <f aca="false">VLOOKUP($F103,Calculations!$B$6:$AE$314,10,FALSE())</f>
        <v>0</v>
      </c>
      <c r="AH103" s="6"/>
    </row>
    <row r="104" customFormat="false" ht="12.75" hidden="false" customHeight="false" outlineLevel="0" collapsed="false">
      <c r="A104" s="17" t="s">
        <v>116</v>
      </c>
      <c r="B104" s="17" t="s">
        <v>47</v>
      </c>
      <c r="C104" s="14"/>
      <c r="D104" s="14"/>
      <c r="E104" s="14" t="s">
        <v>38</v>
      </c>
      <c r="F104" s="15" t="s">
        <v>217</v>
      </c>
      <c r="G104" s="15" t="s">
        <v>216</v>
      </c>
      <c r="H104" s="15"/>
      <c r="I104" s="15"/>
      <c r="J104" s="19" t="n">
        <f aca="false">VLOOKUP($F104,Calculations!$B$6:$AE$314,5,FALSE())</f>
        <v>44054</v>
      </c>
      <c r="K104" s="20" t="s">
        <v>40</v>
      </c>
      <c r="L104" s="20" t="n">
        <f aca="false">J104</f>
        <v>44054</v>
      </c>
      <c r="M104" s="19" t="n">
        <f aca="false">VLOOKUP($F104,Calculations!$B$6:$AE$314,24,FALSE())</f>
        <v>0</v>
      </c>
      <c r="N104" s="23"/>
      <c r="O104" s="16" t="n">
        <f aca="false">+N104+M104+J104</f>
        <v>44054</v>
      </c>
      <c r="P104" s="16"/>
      <c r="Q104" s="19" t="n">
        <f aca="false">+J104</f>
        <v>44054</v>
      </c>
      <c r="R104" s="19"/>
      <c r="S104" s="19"/>
      <c r="T104" s="19" t="n">
        <f aca="false">+S104+R104+Q104</f>
        <v>44054</v>
      </c>
      <c r="U104" s="15"/>
      <c r="V104" s="19" t="n">
        <f aca="false">VLOOKUP($F104,Calculations!$B$6:$AE$314,8,FALSE())</f>
        <v>13978.6730769231</v>
      </c>
      <c r="W104" s="19" t="n">
        <f aca="false">VLOOKUP($F104,Calculations!$B$6:$AE$314,11,FALSE())</f>
        <v>40665.2307692308</v>
      </c>
      <c r="X104" s="19"/>
      <c r="Y104" s="19" t="n">
        <f aca="false">T104+V104</f>
        <v>58032.6730769231</v>
      </c>
      <c r="Z104" s="19" t="n">
        <f aca="false">T104+W104</f>
        <v>84719.2307692308</v>
      </c>
      <c r="AA104" s="19"/>
      <c r="AB104" s="21" t="n">
        <f aca="false">VLOOKUP($F104,Calculations!$B$6:$AE$314,29,FALSE())</f>
        <v>33028</v>
      </c>
      <c r="AC104" s="15"/>
      <c r="AD104" s="19" t="n">
        <f aca="false">VLOOKUP($F104,Calculations!$B$6:$AE$314,7,FALSE())</f>
        <v>0</v>
      </c>
      <c r="AE104" s="19" t="n">
        <f aca="false">VLOOKUP($F104,Calculations!$B$6:$AE$314,10,FALSE())</f>
        <v>0</v>
      </c>
      <c r="AH104" s="6"/>
    </row>
    <row r="105" customFormat="false" ht="12.75" hidden="false" customHeight="false" outlineLevel="0" collapsed="false">
      <c r="A105" s="17" t="s">
        <v>116</v>
      </c>
      <c r="B105" s="17" t="s">
        <v>47</v>
      </c>
      <c r="C105" s="14"/>
      <c r="D105" s="14"/>
      <c r="E105" s="14" t="s">
        <v>38</v>
      </c>
      <c r="F105" s="15" t="s">
        <v>218</v>
      </c>
      <c r="G105" s="15" t="s">
        <v>216</v>
      </c>
      <c r="H105" s="15"/>
      <c r="I105" s="15"/>
      <c r="J105" s="19" t="n">
        <f aca="false">VLOOKUP($F105,Calculations!$B$6:$AE$314,5,FALSE())</f>
        <v>44054</v>
      </c>
      <c r="K105" s="20" t="s">
        <v>40</v>
      </c>
      <c r="L105" s="20" t="n">
        <f aca="false">J105</f>
        <v>44054</v>
      </c>
      <c r="M105" s="19" t="n">
        <f aca="false">VLOOKUP($F105,Calculations!$B$6:$AE$314,24,FALSE())</f>
        <v>0</v>
      </c>
      <c r="N105" s="23"/>
      <c r="O105" s="16" t="n">
        <f aca="false">+N105+M105+J105</f>
        <v>44054</v>
      </c>
      <c r="P105" s="16"/>
      <c r="Q105" s="19" t="n">
        <f aca="false">+J105</f>
        <v>44054</v>
      </c>
      <c r="R105" s="19"/>
      <c r="S105" s="19"/>
      <c r="T105" s="19" t="n">
        <f aca="false">+S105+R105+Q105</f>
        <v>44054</v>
      </c>
      <c r="U105" s="15"/>
      <c r="V105" s="19" t="n">
        <f aca="false">VLOOKUP($F105,Calculations!$B$6:$AE$314,8,FALSE())</f>
        <v>6353.94230769231</v>
      </c>
      <c r="W105" s="19" t="n">
        <f aca="false">VLOOKUP($F105,Calculations!$B$6:$AE$314,11,FALSE())</f>
        <v>25415.7692307692</v>
      </c>
      <c r="X105" s="19"/>
      <c r="Y105" s="19" t="n">
        <f aca="false">T105+V105</f>
        <v>50407.9423076923</v>
      </c>
      <c r="Z105" s="19" t="n">
        <f aca="false">T105+W105</f>
        <v>69469.7692307692</v>
      </c>
      <c r="AA105" s="19"/>
      <c r="AB105" s="21" t="n">
        <f aca="false">VLOOKUP($F105,Calculations!$B$6:$AE$314,29,FALSE())</f>
        <v>35303</v>
      </c>
      <c r="AC105" s="15"/>
      <c r="AD105" s="19" t="n">
        <f aca="false">VLOOKUP($F105,Calculations!$B$6:$AE$314,7,FALSE())</f>
        <v>0</v>
      </c>
      <c r="AE105" s="19" t="n">
        <f aca="false">VLOOKUP($F105,Calculations!$B$6:$AE$314,10,FALSE())</f>
        <v>0</v>
      </c>
      <c r="AH105" s="6"/>
    </row>
    <row r="106" customFormat="false" ht="12.75" hidden="false" customHeight="false" outlineLevel="0" collapsed="false">
      <c r="A106" s="17" t="s">
        <v>116</v>
      </c>
      <c r="B106" s="17" t="s">
        <v>47</v>
      </c>
      <c r="C106" s="14"/>
      <c r="D106" s="14"/>
      <c r="E106" s="14" t="s">
        <v>38</v>
      </c>
      <c r="F106" s="15" t="s">
        <v>219</v>
      </c>
      <c r="G106" s="15" t="s">
        <v>216</v>
      </c>
      <c r="H106" s="15"/>
      <c r="I106" s="15"/>
      <c r="J106" s="19" t="n">
        <f aca="false">VLOOKUP($F106,Calculations!$B$6:$AE$314,5,FALSE())</f>
        <v>44054</v>
      </c>
      <c r="K106" s="20" t="s">
        <v>40</v>
      </c>
      <c r="L106" s="20" t="n">
        <f aca="false">J106</f>
        <v>44054</v>
      </c>
      <c r="M106" s="19" t="n">
        <f aca="false">VLOOKUP($F106,Calculations!$B$6:$AE$314,24,FALSE())</f>
        <v>0</v>
      </c>
      <c r="N106" s="23"/>
      <c r="O106" s="16" t="n">
        <f aca="false">+N106+M106+J106</f>
        <v>44054</v>
      </c>
      <c r="P106" s="16"/>
      <c r="Q106" s="19" t="n">
        <f aca="false">+J106</f>
        <v>44054</v>
      </c>
      <c r="R106" s="19"/>
      <c r="S106" s="19"/>
      <c r="T106" s="19" t="n">
        <f aca="false">+S106+R106+Q106</f>
        <v>44054</v>
      </c>
      <c r="U106" s="15"/>
      <c r="V106" s="19" t="n">
        <f aca="false">VLOOKUP($F106,Calculations!$B$6:$AE$314,8,FALSE())</f>
        <v>5083.15384615385</v>
      </c>
      <c r="W106" s="19" t="n">
        <f aca="false">VLOOKUP($F106,Calculations!$B$6:$AE$314,11,FALSE())</f>
        <v>22874.1923076923</v>
      </c>
      <c r="X106" s="19"/>
      <c r="Y106" s="19" t="n">
        <f aca="false">T106+V106</f>
        <v>49137.1538461538</v>
      </c>
      <c r="Z106" s="19" t="n">
        <f aca="false">T106+W106</f>
        <v>66928.1923076923</v>
      </c>
      <c r="AA106" s="19"/>
      <c r="AB106" s="21" t="n">
        <f aca="false">VLOOKUP($F106,Calculations!$B$6:$AE$314,29,FALSE())</f>
        <v>35702</v>
      </c>
      <c r="AC106" s="15"/>
      <c r="AD106" s="19" t="n">
        <f aca="false">VLOOKUP($F106,Calculations!$B$6:$AE$314,7,FALSE())</f>
        <v>0</v>
      </c>
      <c r="AE106" s="19" t="n">
        <f aca="false">VLOOKUP($F106,Calculations!$B$6:$AE$314,10,FALSE())</f>
        <v>0</v>
      </c>
      <c r="AH106" s="6"/>
    </row>
    <row r="107" customFormat="false" ht="12.75" hidden="false" customHeight="false" outlineLevel="0" collapsed="false">
      <c r="A107" s="17" t="s">
        <v>116</v>
      </c>
      <c r="B107" s="17" t="s">
        <v>47</v>
      </c>
      <c r="C107" s="14"/>
      <c r="D107" s="14"/>
      <c r="E107" s="14" t="s">
        <v>38</v>
      </c>
      <c r="F107" s="15" t="s">
        <v>220</v>
      </c>
      <c r="G107" s="15" t="s">
        <v>216</v>
      </c>
      <c r="H107" s="15"/>
      <c r="I107" s="15"/>
      <c r="J107" s="19" t="n">
        <f aca="false">VLOOKUP($F107,Calculations!$B$6:$AE$314,5,FALSE())</f>
        <v>44054</v>
      </c>
      <c r="K107" s="20" t="s">
        <v>40</v>
      </c>
      <c r="L107" s="20" t="n">
        <f aca="false">J107</f>
        <v>44054</v>
      </c>
      <c r="M107" s="19" t="n">
        <f aca="false">VLOOKUP($F107,Calculations!$B$6:$AE$314,24,FALSE())</f>
        <v>0</v>
      </c>
      <c r="N107" s="23"/>
      <c r="O107" s="16" t="n">
        <f aca="false">+N107+M107+J107</f>
        <v>44054</v>
      </c>
      <c r="P107" s="16"/>
      <c r="Q107" s="19" t="n">
        <f aca="false">+J107</f>
        <v>44054</v>
      </c>
      <c r="R107" s="19"/>
      <c r="S107" s="19"/>
      <c r="T107" s="19" t="n">
        <f aca="false">+S107+R107+Q107</f>
        <v>44054</v>
      </c>
      <c r="U107" s="15"/>
      <c r="V107" s="19" t="n">
        <f aca="false">VLOOKUP($F107,Calculations!$B$6:$AE$314,8,FALSE())</f>
        <v>2541.57692307692</v>
      </c>
      <c r="W107" s="19" t="n">
        <f aca="false">VLOOKUP($F107,Calculations!$B$6:$AE$314,11,FALSE())</f>
        <v>17791.0384615385</v>
      </c>
      <c r="X107" s="19"/>
      <c r="Y107" s="19" t="n">
        <f aca="false">T107+V107</f>
        <v>46595.5769230769</v>
      </c>
      <c r="Z107" s="19" t="n">
        <f aca="false">T107+W107</f>
        <v>61845.0384615385</v>
      </c>
      <c r="AA107" s="19"/>
      <c r="AB107" s="21" t="n">
        <f aca="false">VLOOKUP($F107,Calculations!$B$6:$AE$314,29,FALSE())</f>
        <v>36549</v>
      </c>
      <c r="AC107" s="15"/>
      <c r="AD107" s="19" t="n">
        <f aca="false">VLOOKUP($F107,Calculations!$B$6:$AE$314,7,FALSE())</f>
        <v>0</v>
      </c>
      <c r="AE107" s="19" t="n">
        <f aca="false">VLOOKUP($F107,Calculations!$B$6:$AE$314,10,FALSE())</f>
        <v>0</v>
      </c>
      <c r="AH107" s="6"/>
    </row>
    <row r="108" customFormat="false" ht="12.75" hidden="false" customHeight="false" outlineLevel="0" collapsed="false">
      <c r="A108" s="17" t="s">
        <v>50</v>
      </c>
      <c r="B108" s="17" t="s">
        <v>7</v>
      </c>
      <c r="C108" s="14"/>
      <c r="D108" s="14"/>
      <c r="E108" s="14" t="s">
        <v>38</v>
      </c>
      <c r="F108" s="15" t="s">
        <v>221</v>
      </c>
      <c r="G108" s="15" t="s">
        <v>222</v>
      </c>
      <c r="H108" s="15" t="s">
        <v>223</v>
      </c>
      <c r="I108" s="15"/>
      <c r="J108" s="19" t="n">
        <f aca="false">VLOOKUP($F108,Calculations!$B$6:$AE$314,5,FALSE())</f>
        <v>43500</v>
      </c>
      <c r="K108" s="20" t="s">
        <v>40</v>
      </c>
      <c r="L108" s="20" t="n">
        <f aca="false">J108</f>
        <v>43500</v>
      </c>
      <c r="M108" s="19" t="n">
        <f aca="false">VLOOKUP($F108,Calculations!$B$6:$AE$314,24,FALSE())</f>
        <v>0</v>
      </c>
      <c r="N108" s="23"/>
      <c r="O108" s="16" t="n">
        <f aca="false">+N108+M108+J108</f>
        <v>43500</v>
      </c>
      <c r="P108" s="16"/>
      <c r="Q108" s="19" t="n">
        <f aca="false">+J108</f>
        <v>43500</v>
      </c>
      <c r="R108" s="19"/>
      <c r="S108" s="19"/>
      <c r="T108" s="19" t="n">
        <f aca="false">+S108+R108+Q108</f>
        <v>43500</v>
      </c>
      <c r="U108" s="15"/>
      <c r="V108" s="19" t="n">
        <f aca="false">VLOOKUP($F108,Calculations!$B$6:$AE$314,8,FALSE())</f>
        <v>22586.5384615385</v>
      </c>
      <c r="W108" s="19" t="n">
        <f aca="false">VLOOKUP($F108,Calculations!$B$6:$AE$314,11,FALSE())</f>
        <v>57721.1538461539</v>
      </c>
      <c r="X108" s="19"/>
      <c r="Y108" s="19" t="n">
        <f aca="false">T108+V108</f>
        <v>66086.5384615385</v>
      </c>
      <c r="Z108" s="19" t="n">
        <f aca="false">T108+W108</f>
        <v>101221.153846154</v>
      </c>
      <c r="AA108" s="19"/>
      <c r="AB108" s="21" t="n">
        <f aca="false">VLOOKUP($F108,Calculations!$B$6:$AE$314,29,FALSE())</f>
        <v>30627</v>
      </c>
      <c r="AC108" s="15"/>
      <c r="AD108" s="19" t="n">
        <f aca="false">VLOOKUP($F108,Calculations!$B$6:$AE$314,7,FALSE())</f>
        <v>0</v>
      </c>
      <c r="AE108" s="19" t="n">
        <f aca="false">VLOOKUP($F108,Calculations!$B$6:$AE$314,10,FALSE())</f>
        <v>0</v>
      </c>
      <c r="AH108" s="6"/>
    </row>
    <row r="109" customFormat="false" ht="12.75" hidden="false" customHeight="false" outlineLevel="0" collapsed="false">
      <c r="A109" s="17" t="s">
        <v>140</v>
      </c>
      <c r="B109" s="17" t="s">
        <v>7</v>
      </c>
      <c r="C109" s="14"/>
      <c r="D109" s="14"/>
      <c r="E109" s="14" t="s">
        <v>38</v>
      </c>
      <c r="F109" s="15" t="s">
        <v>224</v>
      </c>
      <c r="G109" s="15"/>
      <c r="H109" s="15"/>
      <c r="I109" s="15"/>
      <c r="J109" s="19" t="n">
        <f aca="false">VLOOKUP($F109,Calculations!$B$6:$AE$314,5,FALSE())</f>
        <v>42987</v>
      </c>
      <c r="K109" s="20" t="s">
        <v>40</v>
      </c>
      <c r="L109" s="20" t="n">
        <f aca="false">J109</f>
        <v>42987</v>
      </c>
      <c r="M109" s="19" t="n">
        <f aca="false">VLOOKUP($F109,Calculations!$B$6:$AE$314,24,FALSE())</f>
        <v>0</v>
      </c>
      <c r="N109" s="23"/>
      <c r="O109" s="16" t="n">
        <f aca="false">+N109+M109+J109</f>
        <v>42987</v>
      </c>
      <c r="P109" s="16"/>
      <c r="Q109" s="19" t="n">
        <f aca="false">+J109</f>
        <v>42987</v>
      </c>
      <c r="R109" s="19"/>
      <c r="S109" s="19"/>
      <c r="T109" s="19" t="n">
        <f aca="false">+S109+R109+Q109</f>
        <v>42987</v>
      </c>
      <c r="U109" s="15"/>
      <c r="V109" s="19" t="n">
        <f aca="false">VLOOKUP($F109,Calculations!$B$6:$AE$314,8,FALSE())</f>
        <v>7440.05769230769</v>
      </c>
      <c r="W109" s="19" t="n">
        <f aca="false">VLOOKUP($F109,Calculations!$B$6:$AE$314,11,FALSE())</f>
        <v>27280.2115384615</v>
      </c>
      <c r="X109" s="19"/>
      <c r="Y109" s="19" t="n">
        <f aca="false">T109+V109</f>
        <v>50427.0576923077</v>
      </c>
      <c r="Z109" s="19" t="n">
        <f aca="false">T109+W109</f>
        <v>70267.2115384615</v>
      </c>
      <c r="AA109" s="19"/>
      <c r="AB109" s="21" t="n">
        <f aca="false">VLOOKUP($F109,Calculations!$B$6:$AE$314,29,FALSE())</f>
        <v>35065</v>
      </c>
      <c r="AC109" s="15"/>
      <c r="AD109" s="19" t="n">
        <f aca="false">VLOOKUP($F109,Calculations!$B$6:$AE$314,7,FALSE())</f>
        <v>0</v>
      </c>
      <c r="AE109" s="19" t="n">
        <f aca="false">VLOOKUP($F109,Calculations!$B$6:$AE$314,10,FALSE())</f>
        <v>0</v>
      </c>
      <c r="AH109" s="6"/>
    </row>
    <row r="110" customFormat="false" ht="12.75" hidden="false" customHeight="false" outlineLevel="0" collapsed="false">
      <c r="A110" s="17" t="s">
        <v>46</v>
      </c>
      <c r="B110" s="17" t="s">
        <v>7</v>
      </c>
      <c r="C110" s="14"/>
      <c r="D110" s="14"/>
      <c r="E110" s="14" t="s">
        <v>38</v>
      </c>
      <c r="F110" s="15" t="s">
        <v>225</v>
      </c>
      <c r="G110" s="15" t="s">
        <v>226</v>
      </c>
      <c r="H110" s="15" t="s">
        <v>227</v>
      </c>
      <c r="I110" s="15"/>
      <c r="J110" s="19" t="n">
        <f aca="false">VLOOKUP($F110,Calculations!$B$6:$AE$314,5,FALSE())</f>
        <v>42000</v>
      </c>
      <c r="K110" s="20" t="s">
        <v>40</v>
      </c>
      <c r="L110" s="20" t="n">
        <f aca="false">J110</f>
        <v>42000</v>
      </c>
      <c r="M110" s="19" t="n">
        <f aca="false">VLOOKUP($F110,Calculations!$B$6:$AE$314,24,FALSE())</f>
        <v>4000</v>
      </c>
      <c r="N110" s="23"/>
      <c r="O110" s="16" t="n">
        <f aca="false">+N110+M110+J110</f>
        <v>46000</v>
      </c>
      <c r="P110" s="16"/>
      <c r="Q110" s="19" t="n">
        <f aca="false">+J110</f>
        <v>42000</v>
      </c>
      <c r="R110" s="19"/>
      <c r="S110" s="19"/>
      <c r="T110" s="19" t="n">
        <f aca="false">+S110+R110+Q110</f>
        <v>42000</v>
      </c>
      <c r="U110" s="15"/>
      <c r="V110" s="19" t="n">
        <f aca="false">VLOOKUP($F110,Calculations!$B$6:$AE$314,8,FALSE())</f>
        <v>3634.61538461538</v>
      </c>
      <c r="W110" s="19" t="n">
        <f aca="false">VLOOKUP($F110,Calculations!$B$6:$AE$314,11,FALSE())</f>
        <v>19384.6153846154</v>
      </c>
      <c r="X110" s="19"/>
      <c r="Y110" s="19" t="n">
        <f aca="false">T110+V110</f>
        <v>45634.6153846154</v>
      </c>
      <c r="Z110" s="19" t="n">
        <f aca="false">T110+W110</f>
        <v>61384.6153846154</v>
      </c>
      <c r="AA110" s="19"/>
      <c r="AB110" s="21" t="n">
        <f aca="false">VLOOKUP($F110,Calculations!$B$6:$AE$314,29,FALSE())</f>
        <v>36008</v>
      </c>
      <c r="AC110" s="15"/>
      <c r="AD110" s="19" t="n">
        <f aca="false">VLOOKUP($F110,Calculations!$B$6:$AE$314,7,FALSE())</f>
        <v>0</v>
      </c>
      <c r="AE110" s="19" t="n">
        <f aca="false">VLOOKUP($F110,Calculations!$B$6:$AE$314,10,FALSE())</f>
        <v>0</v>
      </c>
      <c r="AH110" s="6"/>
    </row>
    <row r="111" customFormat="false" ht="12.75" hidden="false" customHeight="false" outlineLevel="0" collapsed="false">
      <c r="A111" s="17" t="s">
        <v>37</v>
      </c>
      <c r="B111" s="17" t="s">
        <v>7</v>
      </c>
      <c r="C111" s="14"/>
      <c r="D111" s="14"/>
      <c r="E111" s="14" t="s">
        <v>38</v>
      </c>
      <c r="F111" s="15" t="s">
        <v>228</v>
      </c>
      <c r="G111" s="15"/>
      <c r="H111" s="15"/>
      <c r="I111" s="15"/>
      <c r="J111" s="19" t="n">
        <f aca="false">VLOOKUP($F111,Calculations!$B$6:$AE$314,5,FALSE())</f>
        <v>41786</v>
      </c>
      <c r="K111" s="20" t="s">
        <v>40</v>
      </c>
      <c r="L111" s="20" t="n">
        <f aca="false">J111</f>
        <v>41786</v>
      </c>
      <c r="M111" s="19" t="n">
        <f aca="false">VLOOKUP($F111,Calculations!$B$6:$AE$314,24,FALSE())</f>
        <v>18000</v>
      </c>
      <c r="N111" s="23"/>
      <c r="O111" s="16" t="n">
        <f aca="false">+N111+M111+J111</f>
        <v>59786</v>
      </c>
      <c r="P111" s="16"/>
      <c r="Q111" s="19" t="n">
        <f aca="false">+J111</f>
        <v>41786</v>
      </c>
      <c r="R111" s="19"/>
      <c r="S111" s="19"/>
      <c r="T111" s="19" t="n">
        <f aca="false">+S111+R111+Q111</f>
        <v>41786</v>
      </c>
      <c r="U111" s="15"/>
      <c r="V111" s="19" t="n">
        <f aca="false">VLOOKUP($F111,Calculations!$B$6:$AE$314,8,FALSE())</f>
        <v>4821.46153846154</v>
      </c>
      <c r="W111" s="19" t="n">
        <f aca="false">VLOOKUP($F111,Calculations!$B$6:$AE$314,11,FALSE())</f>
        <v>21696.5769230769</v>
      </c>
      <c r="X111" s="19"/>
      <c r="Y111" s="19" t="n">
        <f aca="false">T111+V111</f>
        <v>46607.4615384615</v>
      </c>
      <c r="Z111" s="19" t="n">
        <f aca="false">T111+W111</f>
        <v>63482.5769230769</v>
      </c>
      <c r="AA111" s="19"/>
      <c r="AB111" s="21" t="n">
        <f aca="false">VLOOKUP($F111,Calculations!$B$6:$AE$314,29,FALSE())</f>
        <v>35657</v>
      </c>
      <c r="AC111" s="15"/>
      <c r="AD111" s="19" t="n">
        <f aca="false">VLOOKUP($F111,Calculations!$B$6:$AE$314,7,FALSE())</f>
        <v>0</v>
      </c>
      <c r="AE111" s="19" t="n">
        <f aca="false">VLOOKUP($F111,Calculations!$B$6:$AE$314,10,FALSE())</f>
        <v>0</v>
      </c>
      <c r="AH111" s="6"/>
    </row>
    <row r="112" customFormat="false" ht="12.75" hidden="false" customHeight="false" outlineLevel="0" collapsed="false">
      <c r="A112" s="17" t="s">
        <v>140</v>
      </c>
      <c r="B112" s="17" t="s">
        <v>7</v>
      </c>
      <c r="C112" s="14"/>
      <c r="D112" s="14"/>
      <c r="E112" s="14" t="s">
        <v>38</v>
      </c>
      <c r="F112" s="15" t="s">
        <v>229</v>
      </c>
      <c r="G112" s="15"/>
      <c r="H112" s="15"/>
      <c r="I112" s="15"/>
      <c r="J112" s="19" t="n">
        <f aca="false">VLOOKUP($F112,Calculations!$B$6:$AE$314,5,FALSE())</f>
        <v>40987</v>
      </c>
      <c r="K112" s="20" t="s">
        <v>40</v>
      </c>
      <c r="L112" s="20" t="n">
        <f aca="false">J112</f>
        <v>40987</v>
      </c>
      <c r="M112" s="19" t="n">
        <f aca="false">VLOOKUP($F112,Calculations!$B$6:$AE$314,24,FALSE())</f>
        <v>0</v>
      </c>
      <c r="N112" s="23"/>
      <c r="O112" s="16" t="n">
        <f aca="false">+N112+M112+J112</f>
        <v>40987</v>
      </c>
      <c r="P112" s="16"/>
      <c r="Q112" s="19" t="n">
        <f aca="false">+J112</f>
        <v>40987</v>
      </c>
      <c r="R112" s="19"/>
      <c r="S112" s="19"/>
      <c r="T112" s="19" t="n">
        <f aca="false">+S112+R112+Q112</f>
        <v>40987</v>
      </c>
      <c r="U112" s="15"/>
      <c r="V112" s="19" t="n">
        <f aca="false">VLOOKUP($F112,Calculations!$B$6:$AE$314,8,FALSE())</f>
        <v>7093.90384615385</v>
      </c>
      <c r="W112" s="19" t="n">
        <f aca="false">VLOOKUP($F112,Calculations!$B$6:$AE$314,11,FALSE())</f>
        <v>26010.9807692308</v>
      </c>
      <c r="X112" s="19"/>
      <c r="Y112" s="19" t="n">
        <f aca="false">T112+V112</f>
        <v>48080.9038461538</v>
      </c>
      <c r="Z112" s="19" t="n">
        <f aca="false">T112+W112</f>
        <v>66997.9807692308</v>
      </c>
      <c r="AA112" s="19"/>
      <c r="AB112" s="21" t="n">
        <f aca="false">VLOOKUP($F112,Calculations!$B$6:$AE$314,29,FALSE())</f>
        <v>35065</v>
      </c>
      <c r="AC112" s="15"/>
      <c r="AD112" s="19" t="n">
        <f aca="false">VLOOKUP($F112,Calculations!$B$6:$AE$314,7,FALSE())</f>
        <v>0</v>
      </c>
      <c r="AE112" s="19" t="n">
        <f aca="false">VLOOKUP($F112,Calculations!$B$6:$AE$314,10,FALSE())</f>
        <v>0</v>
      </c>
      <c r="AH112" s="6"/>
    </row>
    <row r="113" customFormat="false" ht="12.75" hidden="false" customHeight="false" outlineLevel="0" collapsed="false">
      <c r="A113" s="17" t="s">
        <v>180</v>
      </c>
      <c r="B113" s="17" t="s">
        <v>47</v>
      </c>
      <c r="C113" s="14"/>
      <c r="D113" s="14"/>
      <c r="E113" s="14" t="s">
        <v>38</v>
      </c>
      <c r="F113" s="15" t="s">
        <v>230</v>
      </c>
      <c r="G113" s="15" t="s">
        <v>231</v>
      </c>
      <c r="H113" s="15" t="s">
        <v>207</v>
      </c>
      <c r="I113" s="15"/>
      <c r="J113" s="19" t="n">
        <f aca="false">VLOOKUP($F113,Calculations!$B$6:$AE$314,5,FALSE())</f>
        <v>40000</v>
      </c>
      <c r="K113" s="20" t="s">
        <v>40</v>
      </c>
      <c r="L113" s="20" t="n">
        <f aca="false">J113</f>
        <v>40000</v>
      </c>
      <c r="M113" s="19" t="n">
        <f aca="false">VLOOKUP($F113,Calculations!$B$6:$AE$314,24,FALSE())</f>
        <v>40000</v>
      </c>
      <c r="N113" s="23"/>
      <c r="O113" s="16" t="n">
        <f aca="false">+N113+M113+J113</f>
        <v>80000</v>
      </c>
      <c r="P113" s="16"/>
      <c r="Q113" s="19" t="n">
        <f aca="false">+J113</f>
        <v>40000</v>
      </c>
      <c r="R113" s="19"/>
      <c r="S113" s="19"/>
      <c r="T113" s="19" t="n">
        <f aca="false">+S113+R113+Q113</f>
        <v>40000</v>
      </c>
      <c r="U113" s="15"/>
      <c r="V113" s="19" t="n">
        <f aca="false">VLOOKUP($F113,Calculations!$B$6:$AE$314,8,FALSE())</f>
        <v>5769.23076923077</v>
      </c>
      <c r="W113" s="19" t="n">
        <f aca="false">VLOOKUP($F113,Calculations!$B$6:$AE$314,11,FALSE())</f>
        <v>20769.2307692308</v>
      </c>
      <c r="X113" s="19"/>
      <c r="Y113" s="19" t="n">
        <f aca="false">T113+V113</f>
        <v>45769.2307692308</v>
      </c>
      <c r="Z113" s="19" t="n">
        <f aca="false">T113+W113</f>
        <v>60769.2307692308</v>
      </c>
      <c r="AA113" s="19"/>
      <c r="AB113" s="21" t="n">
        <f aca="false">VLOOKUP($F113,Calculations!$B$6:$AE$314,29,FALSE())</f>
        <v>35261</v>
      </c>
      <c r="AC113" s="15"/>
      <c r="AD113" s="19" t="n">
        <f aca="false">VLOOKUP($F113,Calculations!$B$6:$AE$314,7,FALSE())</f>
        <v>0</v>
      </c>
      <c r="AE113" s="19" t="n">
        <f aca="false">VLOOKUP($F113,Calculations!$B$6:$AE$314,10,FALSE())</f>
        <v>0</v>
      </c>
      <c r="AH113" s="6"/>
    </row>
    <row r="114" customFormat="false" ht="12.75" hidden="false" customHeight="false" outlineLevel="0" collapsed="false">
      <c r="A114" s="17" t="s">
        <v>140</v>
      </c>
      <c r="B114" s="17" t="s">
        <v>7</v>
      </c>
      <c r="C114" s="14"/>
      <c r="D114" s="14"/>
      <c r="E114" s="14" t="s">
        <v>38</v>
      </c>
      <c r="F114" s="15" t="s">
        <v>232</v>
      </c>
      <c r="G114" s="15"/>
      <c r="H114" s="15"/>
      <c r="I114" s="15"/>
      <c r="J114" s="19" t="n">
        <f aca="false">VLOOKUP($F114,Calculations!$B$6:$AE$314,5,FALSE())</f>
        <v>39737</v>
      </c>
      <c r="K114" s="20" t="s">
        <v>40</v>
      </c>
      <c r="L114" s="20" t="n">
        <f aca="false">J114</f>
        <v>39737</v>
      </c>
      <c r="M114" s="19" t="n">
        <f aca="false">VLOOKUP($F114,Calculations!$B$6:$AE$314,24,FALSE())</f>
        <v>0</v>
      </c>
      <c r="N114" s="23"/>
      <c r="O114" s="16" t="n">
        <f aca="false">+N114+M114+J114</f>
        <v>39737</v>
      </c>
      <c r="P114" s="16"/>
      <c r="Q114" s="19" t="n">
        <f aca="false">+J114</f>
        <v>39737</v>
      </c>
      <c r="R114" s="19"/>
      <c r="S114" s="19"/>
      <c r="T114" s="19" t="n">
        <f aca="false">+S114+R114+Q114</f>
        <v>39737</v>
      </c>
      <c r="U114" s="15"/>
      <c r="V114" s="19" t="n">
        <f aca="false">VLOOKUP($F114,Calculations!$B$6:$AE$314,8,FALSE())</f>
        <v>6877.55769230769</v>
      </c>
      <c r="W114" s="19" t="n">
        <f aca="false">VLOOKUP($F114,Calculations!$B$6:$AE$314,11,FALSE())</f>
        <v>22925.1923076923</v>
      </c>
      <c r="X114" s="19"/>
      <c r="Y114" s="19" t="n">
        <f aca="false">T114+V114</f>
        <v>46614.5576923077</v>
      </c>
      <c r="Z114" s="19" t="n">
        <f aca="false">T114+W114</f>
        <v>62662.1923076923</v>
      </c>
      <c r="AA114" s="19"/>
      <c r="AB114" s="21" t="n">
        <f aca="false">VLOOKUP($F114,Calculations!$B$6:$AE$314,29,FALSE())</f>
        <v>35086</v>
      </c>
      <c r="AC114" s="15"/>
      <c r="AD114" s="19" t="n">
        <f aca="false">VLOOKUP($F114,Calculations!$B$6:$AE$314,7,FALSE())</f>
        <v>0</v>
      </c>
      <c r="AE114" s="19" t="n">
        <f aca="false">VLOOKUP($F114,Calculations!$B$6:$AE$314,10,FALSE())</f>
        <v>0</v>
      </c>
      <c r="AH114" s="6"/>
    </row>
    <row r="115" customFormat="false" ht="12.75" hidden="false" customHeight="false" outlineLevel="0" collapsed="false">
      <c r="A115" s="17" t="s">
        <v>151</v>
      </c>
      <c r="B115" s="17" t="s">
        <v>47</v>
      </c>
      <c r="C115" s="14"/>
      <c r="D115" s="14"/>
      <c r="E115" s="14" t="s">
        <v>38</v>
      </c>
      <c r="F115" s="15" t="s">
        <v>233</v>
      </c>
      <c r="G115" s="15" t="s">
        <v>210</v>
      </c>
      <c r="H115" s="15"/>
      <c r="I115" s="15"/>
      <c r="J115" s="19" t="n">
        <f aca="false">VLOOKUP($F115,Calculations!$B$6:$AE$314,5,FALSE())</f>
        <v>35360</v>
      </c>
      <c r="K115" s="20" t="s">
        <v>40</v>
      </c>
      <c r="L115" s="20" t="n">
        <f aca="false">J115</f>
        <v>35360</v>
      </c>
      <c r="M115" s="19" t="n">
        <f aca="false">VLOOKUP($F115,Calculations!$B$6:$AE$314,24,FALSE())</f>
        <v>0</v>
      </c>
      <c r="N115" s="23"/>
      <c r="O115" s="16" t="n">
        <f aca="false">+N115+M115+J115</f>
        <v>35360</v>
      </c>
      <c r="P115" s="16"/>
      <c r="Q115" s="19" t="n">
        <f aca="false">+J115</f>
        <v>35360</v>
      </c>
      <c r="R115" s="19"/>
      <c r="S115" s="19"/>
      <c r="T115" s="19" t="n">
        <f aca="false">+S115+R115+Q115</f>
        <v>35360</v>
      </c>
      <c r="U115" s="15"/>
      <c r="V115" s="19" t="n">
        <f aca="false">VLOOKUP($F115,Calculations!$B$6:$AE$314,8,FALSE())</f>
        <v>2040</v>
      </c>
      <c r="W115" s="19" t="n">
        <f aca="false">VLOOKUP($F115,Calculations!$B$6:$AE$314,11,FALSE())</f>
        <v>12240</v>
      </c>
      <c r="X115" s="19"/>
      <c r="Y115" s="19" t="n">
        <f aca="false">T115+V115</f>
        <v>37400</v>
      </c>
      <c r="Z115" s="19" t="n">
        <f aca="false">T115+W115</f>
        <v>47600</v>
      </c>
      <c r="AA115" s="19"/>
      <c r="AB115" s="21" t="n">
        <f aca="false">VLOOKUP($F115,Calculations!$B$6:$AE$314,29,FALSE())</f>
        <v>36615</v>
      </c>
      <c r="AC115" s="15"/>
      <c r="AD115" s="19" t="n">
        <f aca="false">VLOOKUP($F115,Calculations!$B$6:$AE$314,7,FALSE())</f>
        <v>0</v>
      </c>
      <c r="AE115" s="19" t="n">
        <f aca="false">VLOOKUP($F115,Calculations!$B$6:$AE$314,10,FALSE())</f>
        <v>0</v>
      </c>
      <c r="AH115" s="6"/>
    </row>
    <row r="116" customFormat="false" ht="12.75" hidden="false" customHeight="false" outlineLevel="0" collapsed="false">
      <c r="A116" s="17" t="s">
        <v>151</v>
      </c>
      <c r="B116" s="17" t="s">
        <v>47</v>
      </c>
      <c r="C116" s="14"/>
      <c r="D116" s="14"/>
      <c r="E116" s="14" t="s">
        <v>38</v>
      </c>
      <c r="F116" s="15" t="s">
        <v>234</v>
      </c>
      <c r="G116" s="15" t="s">
        <v>210</v>
      </c>
      <c r="H116" s="15"/>
      <c r="I116" s="15"/>
      <c r="J116" s="19" t="n">
        <f aca="false">VLOOKUP($F116,Calculations!$B$6:$AE$314,5,FALSE())</f>
        <v>35360</v>
      </c>
      <c r="K116" s="20" t="s">
        <v>40</v>
      </c>
      <c r="L116" s="20" t="n">
        <f aca="false">J116</f>
        <v>35360</v>
      </c>
      <c r="M116" s="19" t="n">
        <f aca="false">VLOOKUP($F116,Calculations!$B$6:$AE$314,24,FALSE())</f>
        <v>0</v>
      </c>
      <c r="N116" s="23"/>
      <c r="O116" s="16" t="n">
        <f aca="false">+N116+M116+J116</f>
        <v>35360</v>
      </c>
      <c r="P116" s="16"/>
      <c r="Q116" s="19" t="n">
        <f aca="false">+J116</f>
        <v>35360</v>
      </c>
      <c r="R116" s="19"/>
      <c r="S116" s="19"/>
      <c r="T116" s="19" t="n">
        <f aca="false">+S116+R116+Q116</f>
        <v>35360</v>
      </c>
      <c r="U116" s="15"/>
      <c r="V116" s="19" t="n">
        <f aca="false">VLOOKUP($F116,Calculations!$B$6:$AE$314,8,FALSE())</f>
        <v>2040</v>
      </c>
      <c r="W116" s="19" t="n">
        <f aca="false">VLOOKUP($F116,Calculations!$B$6:$AE$314,11,FALSE())</f>
        <v>12240</v>
      </c>
      <c r="X116" s="19"/>
      <c r="Y116" s="19" t="n">
        <f aca="false">T116+V116</f>
        <v>37400</v>
      </c>
      <c r="Z116" s="19" t="n">
        <f aca="false">T116+W116</f>
        <v>47600</v>
      </c>
      <c r="AA116" s="19"/>
      <c r="AB116" s="21" t="n">
        <f aca="false">VLOOKUP($F116,Calculations!$B$6:$AE$314,29,FALSE())</f>
        <v>36556</v>
      </c>
      <c r="AC116" s="15"/>
      <c r="AD116" s="19" t="n">
        <f aca="false">VLOOKUP($F116,Calculations!$B$6:$AE$314,7,FALSE())</f>
        <v>0</v>
      </c>
      <c r="AE116" s="19" t="n">
        <f aca="false">VLOOKUP($F116,Calculations!$B$6:$AE$314,10,FALSE())</f>
        <v>0</v>
      </c>
      <c r="AH116" s="6"/>
    </row>
    <row r="117" customFormat="false" ht="12.75" hidden="false" customHeight="false" outlineLevel="0" collapsed="false">
      <c r="A117" s="17" t="s">
        <v>53</v>
      </c>
      <c r="B117" s="17" t="s">
        <v>7</v>
      </c>
      <c r="C117" s="14"/>
      <c r="D117" s="14"/>
      <c r="E117" s="14" t="s">
        <v>38</v>
      </c>
      <c r="F117" s="15" t="s">
        <v>235</v>
      </c>
      <c r="G117" s="15" t="s">
        <v>236</v>
      </c>
      <c r="H117" s="15" t="s">
        <v>237</v>
      </c>
      <c r="I117" s="15"/>
      <c r="J117" s="19" t="n">
        <f aca="false">VLOOKUP($F117,Calculations!$B$6:$AE$314,5,FALSE())</f>
        <v>35000</v>
      </c>
      <c r="K117" s="20" t="s">
        <v>40</v>
      </c>
      <c r="L117" s="20" t="n">
        <f aca="false">J117</f>
        <v>35000</v>
      </c>
      <c r="M117" s="19" t="n">
        <f aca="false">VLOOKUP($F117,Calculations!$B$6:$AE$314,24,FALSE())</f>
        <v>0</v>
      </c>
      <c r="N117" s="23"/>
      <c r="O117" s="16" t="n">
        <f aca="false">+N117+M117+J117</f>
        <v>35000</v>
      </c>
      <c r="P117" s="16"/>
      <c r="Q117" s="19" t="n">
        <f aca="false">+J117</f>
        <v>35000</v>
      </c>
      <c r="R117" s="19"/>
      <c r="S117" s="19"/>
      <c r="T117" s="19" t="n">
        <f aca="false">+S117+R117+Q117</f>
        <v>35000</v>
      </c>
      <c r="U117" s="15"/>
      <c r="V117" s="19" t="n">
        <f aca="false">VLOOKUP($F117,Calculations!$B$6:$AE$314,8,FALSE())</f>
        <v>3028.84615384615</v>
      </c>
      <c r="W117" s="19" t="n">
        <f aca="false">VLOOKUP($F117,Calculations!$B$6:$AE$314,11,FALSE())</f>
        <v>14134.6153846154</v>
      </c>
      <c r="X117" s="19"/>
      <c r="Y117" s="19" t="n">
        <f aca="false">T117+V117</f>
        <v>38028.8461538462</v>
      </c>
      <c r="Z117" s="19" t="n">
        <f aca="false">T117+W117</f>
        <v>49134.6153846154</v>
      </c>
      <c r="AA117" s="19"/>
      <c r="AB117" s="21" t="n">
        <f aca="false">VLOOKUP($F117,Calculations!$B$6:$AE$314,29,FALSE())</f>
        <v>36293</v>
      </c>
      <c r="AC117" s="15"/>
      <c r="AD117" s="19" t="n">
        <f aca="false">VLOOKUP($F117,Calculations!$B$6:$AE$314,7,FALSE())</f>
        <v>0</v>
      </c>
      <c r="AE117" s="19" t="n">
        <f aca="false">VLOOKUP($F117,Calculations!$B$6:$AE$314,10,FALSE())</f>
        <v>0</v>
      </c>
      <c r="AH117" s="6"/>
    </row>
    <row r="118" customFormat="false" ht="12.75" hidden="false" customHeight="false" outlineLevel="0" collapsed="false">
      <c r="A118" s="17" t="s">
        <v>151</v>
      </c>
      <c r="B118" s="17" t="s">
        <v>47</v>
      </c>
      <c r="C118" s="14"/>
      <c r="D118" s="14"/>
      <c r="E118" s="14" t="s">
        <v>38</v>
      </c>
      <c r="F118" s="15" t="s">
        <v>238</v>
      </c>
      <c r="G118" s="15" t="s">
        <v>216</v>
      </c>
      <c r="H118" s="15"/>
      <c r="I118" s="15"/>
      <c r="J118" s="19" t="n">
        <f aca="false">VLOOKUP($F118,Calculations!$B$6:$AE$314,5,FALSE())</f>
        <v>31200</v>
      </c>
      <c r="K118" s="20" t="s">
        <v>40</v>
      </c>
      <c r="L118" s="20" t="n">
        <f aca="false">J118</f>
        <v>31200</v>
      </c>
      <c r="M118" s="19" t="n">
        <f aca="false">VLOOKUP($F118,Calculations!$B$6:$AE$314,24,FALSE())</f>
        <v>0</v>
      </c>
      <c r="N118" s="23"/>
      <c r="O118" s="16" t="n">
        <f aca="false">+N118+M118+J118</f>
        <v>31200</v>
      </c>
      <c r="P118" s="16"/>
      <c r="Q118" s="19" t="n">
        <f aca="false">+J118</f>
        <v>31200</v>
      </c>
      <c r="R118" s="19"/>
      <c r="S118" s="19"/>
      <c r="T118" s="19" t="n">
        <f aca="false">+S118+R118+Q118</f>
        <v>31200</v>
      </c>
      <c r="U118" s="15"/>
      <c r="V118" s="19" t="n">
        <f aca="false">VLOOKUP($F118,Calculations!$B$6:$AE$314,8,FALSE())</f>
        <v>1800</v>
      </c>
      <c r="W118" s="19" t="n">
        <f aca="false">VLOOKUP($F118,Calculations!$B$6:$AE$314,11,FALSE())</f>
        <v>10800</v>
      </c>
      <c r="X118" s="19"/>
      <c r="Y118" s="19" t="n">
        <f aca="false">T118+V118</f>
        <v>33000</v>
      </c>
      <c r="Z118" s="19" t="n">
        <f aca="false">T118+W118</f>
        <v>42000</v>
      </c>
      <c r="AA118" s="19"/>
      <c r="AB118" s="21" t="n">
        <f aca="false">VLOOKUP($F118,Calculations!$B$6:$AE$314,29,FALSE())</f>
        <v>36612</v>
      </c>
      <c r="AC118" s="15"/>
      <c r="AD118" s="19" t="n">
        <f aca="false">VLOOKUP($F118,Calculations!$B$6:$AE$314,7,FALSE())</f>
        <v>0</v>
      </c>
      <c r="AE118" s="19" t="n">
        <f aca="false">VLOOKUP($F118,Calculations!$B$6:$AE$314,10,FALSE())</f>
        <v>0</v>
      </c>
      <c r="AH118" s="6"/>
    </row>
    <row r="119" customFormat="false" ht="12.75" hidden="false" customHeight="false" outlineLevel="0" collapsed="false">
      <c r="A119" s="17" t="s">
        <v>151</v>
      </c>
      <c r="B119" s="17" t="s">
        <v>47</v>
      </c>
      <c r="C119" s="14"/>
      <c r="D119" s="14"/>
      <c r="E119" s="14" t="s">
        <v>38</v>
      </c>
      <c r="F119" s="15" t="s">
        <v>239</v>
      </c>
      <c r="G119" s="15" t="s">
        <v>216</v>
      </c>
      <c r="H119" s="15"/>
      <c r="I119" s="15"/>
      <c r="J119" s="19" t="n">
        <f aca="false">VLOOKUP($F119,Calculations!$B$6:$AE$314,5,FALSE())</f>
        <v>31200</v>
      </c>
      <c r="K119" s="20" t="s">
        <v>40</v>
      </c>
      <c r="L119" s="20" t="n">
        <f aca="false">J119</f>
        <v>31200</v>
      </c>
      <c r="M119" s="19" t="n">
        <f aca="false">VLOOKUP($F119,Calculations!$B$6:$AE$314,24,FALSE())</f>
        <v>0</v>
      </c>
      <c r="N119" s="23"/>
      <c r="O119" s="16" t="n">
        <f aca="false">+N119+M119+J119</f>
        <v>31200</v>
      </c>
      <c r="P119" s="16"/>
      <c r="Q119" s="19" t="n">
        <f aca="false">+J119</f>
        <v>31200</v>
      </c>
      <c r="R119" s="19"/>
      <c r="S119" s="19"/>
      <c r="T119" s="19" t="n">
        <f aca="false">+S119+R119+Q119</f>
        <v>31200</v>
      </c>
      <c r="U119" s="15"/>
      <c r="V119" s="19" t="n">
        <f aca="false">VLOOKUP($F119,Calculations!$B$6:$AE$314,8,FALSE())</f>
        <v>1800</v>
      </c>
      <c r="W119" s="19" t="n">
        <f aca="false">VLOOKUP($F119,Calculations!$B$6:$AE$314,11,FALSE())</f>
        <v>10800</v>
      </c>
      <c r="X119" s="19"/>
      <c r="Y119" s="19" t="n">
        <f aca="false">T119+V119</f>
        <v>33000</v>
      </c>
      <c r="Z119" s="19" t="n">
        <f aca="false">T119+W119</f>
        <v>42000</v>
      </c>
      <c r="AA119" s="19"/>
      <c r="AB119" s="21" t="n">
        <f aca="false">VLOOKUP($F119,Calculations!$B$6:$AE$314,29,FALSE())</f>
        <v>36612</v>
      </c>
      <c r="AC119" s="15"/>
      <c r="AD119" s="19" t="n">
        <f aca="false">VLOOKUP($F119,Calculations!$B$6:$AE$314,7,FALSE())</f>
        <v>0</v>
      </c>
      <c r="AE119" s="19" t="n">
        <f aca="false">VLOOKUP($F119,Calculations!$B$6:$AE$314,10,FALSE())</f>
        <v>0</v>
      </c>
      <c r="AH119" s="6"/>
    </row>
    <row r="120" customFormat="false" ht="12.75" hidden="false" customHeight="false" outlineLevel="0" collapsed="false">
      <c r="A120" s="17" t="s">
        <v>151</v>
      </c>
      <c r="B120" s="17" t="s">
        <v>47</v>
      </c>
      <c r="C120" s="14"/>
      <c r="D120" s="14"/>
      <c r="E120" s="14" t="s">
        <v>38</v>
      </c>
      <c r="F120" s="15" t="s">
        <v>240</v>
      </c>
      <c r="G120" s="15" t="s">
        <v>216</v>
      </c>
      <c r="H120" s="15"/>
      <c r="I120" s="15"/>
      <c r="J120" s="19" t="n">
        <f aca="false">VLOOKUP($F120,Calculations!$B$6:$AE$314,5,FALSE())</f>
        <v>31200</v>
      </c>
      <c r="K120" s="20" t="s">
        <v>40</v>
      </c>
      <c r="L120" s="20" t="n">
        <f aca="false">J120</f>
        <v>31200</v>
      </c>
      <c r="M120" s="19" t="n">
        <f aca="false">VLOOKUP($F120,Calculations!$B$6:$AE$314,24,FALSE())</f>
        <v>0</v>
      </c>
      <c r="N120" s="23"/>
      <c r="O120" s="16" t="n">
        <f aca="false">+N120+M120+J120</f>
        <v>31200</v>
      </c>
      <c r="P120" s="16"/>
      <c r="Q120" s="19" t="n">
        <f aca="false">+J120</f>
        <v>31200</v>
      </c>
      <c r="R120" s="19"/>
      <c r="S120" s="19"/>
      <c r="T120" s="19" t="n">
        <f aca="false">+S120+R120+Q120</f>
        <v>31200</v>
      </c>
      <c r="U120" s="15"/>
      <c r="V120" s="19" t="n">
        <f aca="false">VLOOKUP($F120,Calculations!$B$6:$AE$314,8,FALSE())</f>
        <v>1800</v>
      </c>
      <c r="W120" s="19" t="n">
        <f aca="false">VLOOKUP($F120,Calculations!$B$6:$AE$314,11,FALSE())</f>
        <v>10800</v>
      </c>
      <c r="X120" s="19"/>
      <c r="Y120" s="19" t="n">
        <f aca="false">T120+V120</f>
        <v>33000</v>
      </c>
      <c r="Z120" s="19" t="n">
        <f aca="false">T120+W120</f>
        <v>42000</v>
      </c>
      <c r="AA120" s="19"/>
      <c r="AB120" s="21" t="n">
        <f aca="false">VLOOKUP($F120,Calculations!$B$6:$AE$314,29,FALSE())</f>
        <v>36612</v>
      </c>
      <c r="AC120" s="15"/>
      <c r="AD120" s="19" t="n">
        <f aca="false">VLOOKUP($F120,Calculations!$B$6:$AE$314,7,FALSE())</f>
        <v>0</v>
      </c>
      <c r="AE120" s="19" t="n">
        <f aca="false">VLOOKUP($F120,Calculations!$B$6:$AE$314,10,FALSE())</f>
        <v>0</v>
      </c>
      <c r="AH120" s="6"/>
    </row>
    <row r="121" customFormat="false" ht="12.75" hidden="false" customHeight="false" outlineLevel="0" collapsed="false">
      <c r="A121" s="17" t="s">
        <v>151</v>
      </c>
      <c r="B121" s="17" t="s">
        <v>47</v>
      </c>
      <c r="C121" s="14"/>
      <c r="D121" s="14"/>
      <c r="E121" s="14" t="s">
        <v>38</v>
      </c>
      <c r="F121" s="15" t="s">
        <v>241</v>
      </c>
      <c r="G121" s="15" t="s">
        <v>216</v>
      </c>
      <c r="H121" s="15"/>
      <c r="I121" s="15"/>
      <c r="J121" s="19" t="n">
        <f aca="false">VLOOKUP($F121,Calculations!$B$6:$AE$314,5,FALSE())</f>
        <v>31200</v>
      </c>
      <c r="K121" s="20" t="s">
        <v>40</v>
      </c>
      <c r="L121" s="20" t="n">
        <f aca="false">J121</f>
        <v>31200</v>
      </c>
      <c r="M121" s="19" t="n">
        <f aca="false">VLOOKUP($F121,Calculations!$B$6:$AE$314,24,FALSE())</f>
        <v>0</v>
      </c>
      <c r="N121" s="23"/>
      <c r="O121" s="16" t="n">
        <f aca="false">+N121+M121+J121</f>
        <v>31200</v>
      </c>
      <c r="P121" s="16"/>
      <c r="Q121" s="19" t="n">
        <f aca="false">+J121</f>
        <v>31200</v>
      </c>
      <c r="R121" s="19"/>
      <c r="S121" s="19"/>
      <c r="T121" s="19" t="n">
        <f aca="false">+S121+R121+Q121</f>
        <v>31200</v>
      </c>
      <c r="U121" s="15"/>
      <c r="V121" s="19" t="n">
        <f aca="false">VLOOKUP($F121,Calculations!$B$6:$AE$314,8,FALSE())</f>
        <v>1800</v>
      </c>
      <c r="W121" s="19" t="n">
        <f aca="false">VLOOKUP($F121,Calculations!$B$6:$AE$314,11,FALSE())</f>
        <v>10800</v>
      </c>
      <c r="X121" s="19"/>
      <c r="Y121" s="19" t="n">
        <f aca="false">T121+V121</f>
        <v>33000</v>
      </c>
      <c r="Z121" s="19" t="n">
        <f aca="false">T121+W121</f>
        <v>42000</v>
      </c>
      <c r="AA121" s="19"/>
      <c r="AB121" s="21" t="n">
        <f aca="false">VLOOKUP($F121,Calculations!$B$6:$AE$314,29,FALSE())</f>
        <v>36612</v>
      </c>
      <c r="AC121" s="15"/>
      <c r="AD121" s="19" t="n">
        <f aca="false">VLOOKUP($F121,Calculations!$B$6:$AE$314,7,FALSE())</f>
        <v>0</v>
      </c>
      <c r="AE121" s="19" t="n">
        <f aca="false">VLOOKUP($F121,Calculations!$B$6:$AE$314,10,FALSE())</f>
        <v>0</v>
      </c>
      <c r="AH121" s="6"/>
    </row>
    <row r="122" customFormat="false" ht="12.75" hidden="false" customHeight="false" outlineLevel="0" collapsed="false">
      <c r="A122" s="17" t="s">
        <v>151</v>
      </c>
      <c r="B122" s="17" t="s">
        <v>47</v>
      </c>
      <c r="C122" s="14"/>
      <c r="D122" s="14"/>
      <c r="E122" s="14" t="s">
        <v>38</v>
      </c>
      <c r="F122" s="15" t="s">
        <v>242</v>
      </c>
      <c r="G122" s="15" t="s">
        <v>216</v>
      </c>
      <c r="H122" s="15"/>
      <c r="I122" s="15"/>
      <c r="J122" s="19" t="n">
        <f aca="false">VLOOKUP($F122,Calculations!$B$6:$AE$314,5,FALSE())</f>
        <v>31200</v>
      </c>
      <c r="K122" s="20" t="s">
        <v>40</v>
      </c>
      <c r="L122" s="20" t="n">
        <f aca="false">J122</f>
        <v>31200</v>
      </c>
      <c r="M122" s="19" t="n">
        <f aca="false">VLOOKUP($F122,Calculations!$B$6:$AE$314,24,FALSE())</f>
        <v>0</v>
      </c>
      <c r="N122" s="23"/>
      <c r="O122" s="16" t="n">
        <f aca="false">+N122+M122+J122</f>
        <v>31200</v>
      </c>
      <c r="P122" s="16"/>
      <c r="Q122" s="19" t="n">
        <f aca="false">+J122</f>
        <v>31200</v>
      </c>
      <c r="R122" s="19"/>
      <c r="S122" s="19"/>
      <c r="T122" s="19" t="n">
        <f aca="false">+S122+R122+Q122</f>
        <v>31200</v>
      </c>
      <c r="U122" s="15"/>
      <c r="V122" s="19" t="n">
        <f aca="false">VLOOKUP($F122,Calculations!$B$6:$AE$314,8,FALSE())</f>
        <v>1800</v>
      </c>
      <c r="W122" s="19" t="n">
        <f aca="false">VLOOKUP($F122,Calculations!$B$6:$AE$314,11,FALSE())</f>
        <v>10800</v>
      </c>
      <c r="X122" s="19"/>
      <c r="Y122" s="19" t="n">
        <f aca="false">T122+V122</f>
        <v>33000</v>
      </c>
      <c r="Z122" s="19" t="n">
        <f aca="false">T122+W122</f>
        <v>42000</v>
      </c>
      <c r="AA122" s="19"/>
      <c r="AB122" s="21" t="n">
        <f aca="false">VLOOKUP($F122,Calculations!$B$6:$AE$314,29,FALSE())</f>
        <v>36612</v>
      </c>
      <c r="AC122" s="15"/>
      <c r="AD122" s="19" t="n">
        <f aca="false">VLOOKUP($F122,Calculations!$B$6:$AE$314,7,FALSE())</f>
        <v>0</v>
      </c>
      <c r="AE122" s="19" t="n">
        <f aca="false">VLOOKUP($F122,Calculations!$B$6:$AE$314,10,FALSE())</f>
        <v>0</v>
      </c>
      <c r="AH122" s="6"/>
    </row>
    <row r="123" customFormat="false" ht="12.75" hidden="false" customHeight="false" outlineLevel="0" collapsed="false">
      <c r="A123" s="17" t="s">
        <v>151</v>
      </c>
      <c r="B123" s="17" t="s">
        <v>47</v>
      </c>
      <c r="C123" s="14"/>
      <c r="D123" s="14"/>
      <c r="E123" s="14" t="s">
        <v>38</v>
      </c>
      <c r="F123" s="15" t="s">
        <v>243</v>
      </c>
      <c r="G123" s="15" t="s">
        <v>216</v>
      </c>
      <c r="H123" s="15"/>
      <c r="I123" s="15"/>
      <c r="J123" s="19" t="n">
        <f aca="false">VLOOKUP($F123,Calculations!$B$6:$AE$314,5,FALSE())</f>
        <v>31200</v>
      </c>
      <c r="K123" s="20" t="s">
        <v>40</v>
      </c>
      <c r="L123" s="20" t="n">
        <f aca="false">J123</f>
        <v>31200</v>
      </c>
      <c r="M123" s="19" t="n">
        <f aca="false">VLOOKUP($F123,Calculations!$B$6:$AE$314,24,FALSE())</f>
        <v>0</v>
      </c>
      <c r="N123" s="23"/>
      <c r="O123" s="16" t="n">
        <f aca="false">+N123+M123+J123</f>
        <v>31200</v>
      </c>
      <c r="P123" s="16"/>
      <c r="Q123" s="19" t="n">
        <f aca="false">+J123</f>
        <v>31200</v>
      </c>
      <c r="R123" s="19"/>
      <c r="S123" s="19"/>
      <c r="T123" s="19" t="n">
        <f aca="false">+S123+R123+Q123</f>
        <v>31200</v>
      </c>
      <c r="U123" s="15"/>
      <c r="V123" s="19" t="n">
        <f aca="false">VLOOKUP($F123,Calculations!$B$6:$AE$314,8,FALSE())</f>
        <v>1800</v>
      </c>
      <c r="W123" s="19" t="n">
        <f aca="false">VLOOKUP($F123,Calculations!$B$6:$AE$314,11,FALSE())</f>
        <v>10800</v>
      </c>
      <c r="X123" s="19"/>
      <c r="Y123" s="19" t="n">
        <f aca="false">T123+V123</f>
        <v>33000</v>
      </c>
      <c r="Z123" s="19" t="n">
        <f aca="false">T123+W123</f>
        <v>42000</v>
      </c>
      <c r="AA123" s="19"/>
      <c r="AB123" s="21" t="n">
        <f aca="false">VLOOKUP($F123,Calculations!$B$6:$AE$314,29,FALSE())</f>
        <v>36612</v>
      </c>
      <c r="AC123" s="15"/>
      <c r="AD123" s="19" t="n">
        <f aca="false">VLOOKUP($F123,Calculations!$B$6:$AE$314,7,FALSE())</f>
        <v>0</v>
      </c>
      <c r="AE123" s="19" t="n">
        <f aca="false">VLOOKUP($F123,Calculations!$B$6:$AE$314,10,FALSE())</f>
        <v>0</v>
      </c>
      <c r="AH123" s="6"/>
    </row>
    <row r="124" customFormat="false" ht="12.75" hidden="false" customHeight="false" outlineLevel="0" collapsed="false">
      <c r="A124" s="17" t="s">
        <v>140</v>
      </c>
      <c r="B124" s="17" t="s">
        <v>7</v>
      </c>
      <c r="C124" s="14"/>
      <c r="D124" s="14"/>
      <c r="E124" s="14" t="s">
        <v>38</v>
      </c>
      <c r="F124" s="15" t="s">
        <v>244</v>
      </c>
      <c r="G124" s="15"/>
      <c r="H124" s="15"/>
      <c r="I124" s="15"/>
      <c r="J124" s="19" t="n">
        <f aca="false">VLOOKUP($F124,Calculations!$B$6:$AE$314,5,FALSE())</f>
        <v>30026</v>
      </c>
      <c r="K124" s="20" t="s">
        <v>40</v>
      </c>
      <c r="L124" s="20" t="n">
        <f aca="false">J124</f>
        <v>30026</v>
      </c>
      <c r="M124" s="19" t="n">
        <f aca="false">VLOOKUP($F124,Calculations!$B$6:$AE$314,24,FALSE())</f>
        <v>0</v>
      </c>
      <c r="N124" s="23"/>
      <c r="O124" s="16" t="n">
        <f aca="false">+N124+M124+J124</f>
        <v>30026</v>
      </c>
      <c r="P124" s="16"/>
      <c r="Q124" s="19" t="n">
        <f aca="false">+J124</f>
        <v>30026</v>
      </c>
      <c r="R124" s="19"/>
      <c r="S124" s="19"/>
      <c r="T124" s="19" t="n">
        <f aca="false">+S124+R124+Q124</f>
        <v>30026</v>
      </c>
      <c r="U124" s="15"/>
      <c r="V124" s="19" t="n">
        <f aca="false">VLOOKUP($F124,Calculations!$B$6:$AE$314,8,FALSE())</f>
        <v>866.134615384615</v>
      </c>
      <c r="W124" s="19" t="n">
        <f aca="false">VLOOKUP($F124,Calculations!$B$6:$AE$314,11,FALSE())</f>
        <v>8661.34615384615</v>
      </c>
      <c r="X124" s="19"/>
      <c r="Y124" s="19" t="n">
        <f aca="false">T124+V124</f>
        <v>30892.1346153846</v>
      </c>
      <c r="Z124" s="19" t="n">
        <f aca="false">T124+W124</f>
        <v>38687.3461538462</v>
      </c>
      <c r="AA124" s="19"/>
      <c r="AB124" s="21" t="n">
        <f aca="false">VLOOKUP($F124,Calculations!$B$6:$AE$314,29,FALSE())</f>
        <v>36740</v>
      </c>
      <c r="AC124" s="15"/>
      <c r="AD124" s="19" t="n">
        <f aca="false">VLOOKUP($F124,Calculations!$B$6:$AE$314,7,FALSE())</f>
        <v>0</v>
      </c>
      <c r="AE124" s="19" t="n">
        <f aca="false">VLOOKUP($F124,Calculations!$B$6:$AE$314,10,FALSE())</f>
        <v>0</v>
      </c>
      <c r="AH124" s="6"/>
    </row>
    <row r="125" customFormat="false" ht="12.75" hidden="false" customHeight="false" outlineLevel="0" collapsed="false">
      <c r="A125" s="17" t="s">
        <v>114</v>
      </c>
      <c r="B125" s="17" t="s">
        <v>7</v>
      </c>
      <c r="C125" s="14"/>
      <c r="D125" s="14"/>
      <c r="E125" s="14" t="s">
        <v>38</v>
      </c>
      <c r="F125" s="15" t="s">
        <v>245</v>
      </c>
      <c r="G125" s="26"/>
      <c r="H125" s="15"/>
      <c r="I125" s="15"/>
      <c r="J125" s="19" t="n">
        <f aca="false">VLOOKUP($F125,Calculations!$B$6:$AE$314,5,FALSE())</f>
        <v>30000</v>
      </c>
      <c r="K125" s="20" t="s">
        <v>178</v>
      </c>
      <c r="L125" s="20"/>
      <c r="M125" s="19" t="n">
        <f aca="false">VLOOKUP($F125,Calculations!$B$6:$AE$314,24,FALSE())</f>
        <v>0</v>
      </c>
      <c r="N125" s="23"/>
      <c r="O125" s="16" t="n">
        <f aca="false">+N125+M125+J125</f>
        <v>30000</v>
      </c>
      <c r="P125" s="16"/>
      <c r="Q125" s="19" t="n">
        <f aca="false">+J125</f>
        <v>30000</v>
      </c>
      <c r="R125" s="19"/>
      <c r="S125" s="19"/>
      <c r="T125" s="19" t="n">
        <f aca="false">+S125+R125+Q125</f>
        <v>30000</v>
      </c>
      <c r="U125" s="15"/>
      <c r="V125" s="19" t="n">
        <f aca="false">VLOOKUP($F125,Calculations!$B$6:$AE$314,8,FALSE())</f>
        <v>5192.30769230769</v>
      </c>
      <c r="W125" s="19" t="n">
        <f aca="false">VLOOKUP($F125,Calculations!$B$6:$AE$314,11,FALSE())</f>
        <v>15576.9230769231</v>
      </c>
      <c r="X125" s="19"/>
      <c r="Y125" s="19" t="n">
        <f aca="false">T125+V125</f>
        <v>35192.3076923077</v>
      </c>
      <c r="Z125" s="19" t="n">
        <f aca="false">T125+W125</f>
        <v>45576.9230769231</v>
      </c>
      <c r="AA125" s="19"/>
      <c r="AB125" s="21" t="n">
        <f aca="false">VLOOKUP($F125,Calculations!$B$6:$AE$314,29,FALSE())</f>
        <v>35065</v>
      </c>
      <c r="AC125" s="15"/>
      <c r="AD125" s="19" t="n">
        <f aca="false">VLOOKUP($F125,Calculations!$B$6:$AE$314,7,FALSE())</f>
        <v>0</v>
      </c>
      <c r="AE125" s="19" t="n">
        <f aca="false">VLOOKUP($F125,Calculations!$B$6:$AE$314,10,FALSE())</f>
        <v>0</v>
      </c>
      <c r="AH125" s="6"/>
    </row>
    <row r="126" customFormat="false" ht="12.75" hidden="false" customHeight="false" outlineLevel="0" collapsed="false">
      <c r="A126" s="17" t="s">
        <v>50</v>
      </c>
      <c r="B126" s="17" t="s">
        <v>7</v>
      </c>
      <c r="C126" s="14"/>
      <c r="D126" s="14"/>
      <c r="E126" s="14" t="s">
        <v>38</v>
      </c>
      <c r="F126" s="15" t="s">
        <v>246</v>
      </c>
      <c r="G126" s="15" t="s">
        <v>247</v>
      </c>
      <c r="H126" s="15" t="s">
        <v>223</v>
      </c>
      <c r="I126" s="15"/>
      <c r="J126" s="19" t="n">
        <f aca="false">VLOOKUP($F126,Calculations!$B$6:$AE$314,5,FALSE())</f>
        <v>27500</v>
      </c>
      <c r="K126" s="20" t="s">
        <v>40</v>
      </c>
      <c r="L126" s="20" t="n">
        <f aca="false">J126</f>
        <v>27500</v>
      </c>
      <c r="M126" s="19" t="n">
        <f aca="false">VLOOKUP($F126,Calculations!$B$6:$AE$314,24,FALSE())</f>
        <v>0</v>
      </c>
      <c r="N126" s="23"/>
      <c r="O126" s="16" t="n">
        <f aca="false">+N126+M126+J126</f>
        <v>27500</v>
      </c>
      <c r="P126" s="16"/>
      <c r="Q126" s="19" t="n">
        <f aca="false">+J126</f>
        <v>27500</v>
      </c>
      <c r="R126" s="19"/>
      <c r="S126" s="19"/>
      <c r="T126" s="19" t="n">
        <f aca="false">+S126+R126+Q126</f>
        <v>27500</v>
      </c>
      <c r="U126" s="15"/>
      <c r="V126" s="19" t="n">
        <f aca="false">VLOOKUP($F126,Calculations!$B$6:$AE$314,8,FALSE())</f>
        <v>3173.07692307692</v>
      </c>
      <c r="W126" s="19" t="n">
        <f aca="false">VLOOKUP($F126,Calculations!$B$6:$AE$314,11,FALSE())</f>
        <v>11105.7692307692</v>
      </c>
      <c r="X126" s="19"/>
      <c r="Y126" s="19" t="n">
        <f aca="false">T126+V126</f>
        <v>30673.0769230769</v>
      </c>
      <c r="Z126" s="19" t="n">
        <f aca="false">T126+W126</f>
        <v>38605.7692307692</v>
      </c>
      <c r="AA126" s="19"/>
      <c r="AB126" s="21" t="n">
        <f aca="false">VLOOKUP($F126,Calculations!$B$6:$AE$314,29,FALSE())</f>
        <v>35933</v>
      </c>
      <c r="AC126" s="15"/>
      <c r="AD126" s="19" t="n">
        <f aca="false">VLOOKUP($F126,Calculations!$B$6:$AE$314,7,FALSE())</f>
        <v>0</v>
      </c>
      <c r="AE126" s="19" t="n">
        <f aca="false">VLOOKUP($F126,Calculations!$B$6:$AE$314,10,FALSE())</f>
        <v>0</v>
      </c>
      <c r="AH126" s="6"/>
    </row>
    <row r="127" customFormat="false" ht="12.75" hidden="false" customHeight="false" outlineLevel="0" collapsed="false">
      <c r="A127" s="17" t="s">
        <v>138</v>
      </c>
      <c r="B127" s="17" t="s">
        <v>7</v>
      </c>
      <c r="C127" s="14"/>
      <c r="D127" s="14"/>
      <c r="E127" s="14" t="s">
        <v>38</v>
      </c>
      <c r="F127" s="15" t="s">
        <v>248</v>
      </c>
      <c r="G127" s="15"/>
      <c r="H127" s="15"/>
      <c r="I127" s="15"/>
      <c r="J127" s="19" t="n">
        <f aca="false">VLOOKUP($F127,Calculations!$B$6:$AE$314,5,FALSE())</f>
        <v>27098</v>
      </c>
      <c r="K127" s="20" t="s">
        <v>40</v>
      </c>
      <c r="L127" s="20" t="n">
        <f aca="false">J127</f>
        <v>27098</v>
      </c>
      <c r="M127" s="19" t="n">
        <f aca="false">VLOOKUP($F127,Calculations!$B$6:$AE$314,24,FALSE())</f>
        <v>0</v>
      </c>
      <c r="N127" s="23"/>
      <c r="O127" s="16" t="n">
        <f aca="false">+N127+M127+J127</f>
        <v>27098</v>
      </c>
      <c r="P127" s="16"/>
      <c r="Q127" s="19" t="n">
        <f aca="false">+J127</f>
        <v>27098</v>
      </c>
      <c r="R127" s="19"/>
      <c r="S127" s="19"/>
      <c r="T127" s="19" t="n">
        <f aca="false">+S127+R127+Q127</f>
        <v>27098</v>
      </c>
      <c r="U127" s="15"/>
      <c r="V127" s="19" t="n">
        <f aca="false">VLOOKUP($F127,Calculations!$B$6:$AE$314,8,FALSE())</f>
        <v>5471.71153846154</v>
      </c>
      <c r="W127" s="19" t="n">
        <f aca="false">VLOOKUP($F127,Calculations!$B$6:$AE$314,11,FALSE())</f>
        <v>15633.4615384615</v>
      </c>
      <c r="X127" s="19"/>
      <c r="Y127" s="19" t="n">
        <f aca="false">T127+V127</f>
        <v>32569.7115384615</v>
      </c>
      <c r="Z127" s="19" t="n">
        <f aca="false">T127+W127</f>
        <v>42731.4615384615</v>
      </c>
      <c r="AA127" s="19"/>
      <c r="AB127" s="21" t="n">
        <f aca="false">VLOOKUP($F127,Calculations!$B$6:$AE$314,29,FALSE())</f>
        <v>34820</v>
      </c>
      <c r="AC127" s="15"/>
      <c r="AD127" s="19" t="n">
        <f aca="false">VLOOKUP($F127,Calculations!$B$6:$AE$314,7,FALSE())</f>
        <v>0</v>
      </c>
      <c r="AE127" s="19" t="n">
        <f aca="false">VLOOKUP($F127,Calculations!$B$6:$AE$314,10,FALSE())</f>
        <v>0</v>
      </c>
      <c r="AH127" s="6"/>
    </row>
    <row r="128" customFormat="false" ht="12.75" hidden="false" customHeight="false" outlineLevel="0" collapsed="false">
      <c r="A128" s="17" t="s">
        <v>50</v>
      </c>
      <c r="B128" s="17" t="s">
        <v>7</v>
      </c>
      <c r="C128" s="14"/>
      <c r="D128" s="14"/>
      <c r="E128" s="14" t="s">
        <v>38</v>
      </c>
      <c r="F128" s="15" t="s">
        <v>249</v>
      </c>
      <c r="G128" s="15" t="s">
        <v>236</v>
      </c>
      <c r="H128" s="15" t="s">
        <v>223</v>
      </c>
      <c r="I128" s="15"/>
      <c r="J128" s="19" t="n">
        <f aca="false">VLOOKUP($F128,Calculations!$B$6:$AE$314,5,FALSE())</f>
        <v>27000</v>
      </c>
      <c r="K128" s="20" t="s">
        <v>40</v>
      </c>
      <c r="L128" s="20" t="n">
        <f aca="false">J128</f>
        <v>27000</v>
      </c>
      <c r="M128" s="19" t="n">
        <f aca="false">VLOOKUP($F128,Calculations!$B$6:$AE$314,24,FALSE())</f>
        <v>0</v>
      </c>
      <c r="N128" s="23"/>
      <c r="O128" s="16" t="n">
        <f aca="false">+N128+M128+J128</f>
        <v>27000</v>
      </c>
      <c r="P128" s="16"/>
      <c r="Q128" s="19" t="n">
        <f aca="false">+J128</f>
        <v>27000</v>
      </c>
      <c r="R128" s="19"/>
      <c r="S128" s="19"/>
      <c r="T128" s="19" t="n">
        <f aca="false">+S128+R128+Q128</f>
        <v>27000</v>
      </c>
      <c r="U128" s="15"/>
      <c r="V128" s="19" t="n">
        <f aca="false">VLOOKUP($F128,Calculations!$B$6:$AE$314,8,FALSE())</f>
        <v>778.846153846154</v>
      </c>
      <c r="W128" s="19" t="n">
        <f aca="false">VLOOKUP($F128,Calculations!$B$6:$AE$314,11,FALSE())</f>
        <v>6230.76923076923</v>
      </c>
      <c r="X128" s="19"/>
      <c r="Y128" s="19" t="n">
        <f aca="false">T128+V128</f>
        <v>27778.8461538462</v>
      </c>
      <c r="Z128" s="19" t="n">
        <f aca="false">T128+W128</f>
        <v>33230.7692307692</v>
      </c>
      <c r="AA128" s="19"/>
      <c r="AB128" s="21" t="n">
        <f aca="false">VLOOKUP($F128,Calculations!$B$6:$AE$314,29,FALSE())</f>
        <v>36752</v>
      </c>
      <c r="AC128" s="15"/>
      <c r="AD128" s="19" t="n">
        <f aca="false">VLOOKUP($F128,Calculations!$B$6:$AE$314,7,FALSE())</f>
        <v>0</v>
      </c>
      <c r="AE128" s="19" t="n">
        <f aca="false">VLOOKUP($F128,Calculations!$B$6:$AE$314,10,FALSE())</f>
        <v>0</v>
      </c>
      <c r="AH128" s="6"/>
    </row>
    <row r="129" customFormat="false" ht="12.75" hidden="false" customHeight="false" outlineLevel="0" collapsed="false">
      <c r="A129" s="17" t="s">
        <v>167</v>
      </c>
      <c r="B129" s="17" t="s">
        <v>7</v>
      </c>
      <c r="C129" s="14"/>
      <c r="D129" s="14"/>
      <c r="E129" s="14" t="s">
        <v>38</v>
      </c>
      <c r="F129" s="15" t="s">
        <v>250</v>
      </c>
      <c r="G129" s="15"/>
      <c r="H129" s="15"/>
      <c r="I129" s="15"/>
      <c r="J129" s="19" t="n">
        <f aca="false">VLOOKUP($F129,Calculations!$B$6:$AE$314,5,FALSE())</f>
        <v>24000</v>
      </c>
      <c r="K129" s="20" t="s">
        <v>40</v>
      </c>
      <c r="L129" s="20" t="n">
        <f aca="false">J129</f>
        <v>24000</v>
      </c>
      <c r="M129" s="19" t="n">
        <f aca="false">VLOOKUP($F129,Calculations!$B$6:$AE$314,24,FALSE())</f>
        <v>0</v>
      </c>
      <c r="N129" s="23"/>
      <c r="O129" s="16" t="n">
        <f aca="false">+N129+M129+J129</f>
        <v>24000</v>
      </c>
      <c r="P129" s="16"/>
      <c r="Q129" s="19" t="n">
        <f aca="false">+J129</f>
        <v>24000</v>
      </c>
      <c r="R129" s="19"/>
      <c r="S129" s="19"/>
      <c r="T129" s="19" t="n">
        <f aca="false">+S129+R129+Q129</f>
        <v>24000</v>
      </c>
      <c r="U129" s="15"/>
      <c r="V129" s="19" t="n">
        <f aca="false">VLOOKUP($F129,Calculations!$B$6:$AE$314,8,FALSE())</f>
        <v>9692.30769230769</v>
      </c>
      <c r="W129" s="19" t="n">
        <f aca="false">VLOOKUP($F129,Calculations!$B$6:$AE$314,11,FALSE())</f>
        <v>23538.4615384615</v>
      </c>
      <c r="X129" s="19"/>
      <c r="Y129" s="19" t="n">
        <f aca="false">T129+V129</f>
        <v>33692.3076923077</v>
      </c>
      <c r="Z129" s="19" t="n">
        <f aca="false">T129+W129</f>
        <v>47538.4615384615</v>
      </c>
      <c r="AA129" s="19"/>
      <c r="AB129" s="21" t="n">
        <f aca="false">VLOOKUP($F129,Calculations!$B$6:$AE$314,29,FALSE())</f>
        <v>31929</v>
      </c>
      <c r="AC129" s="15"/>
      <c r="AD129" s="19" t="n">
        <f aca="false">VLOOKUP($F129,Calculations!$B$6:$AE$314,7,FALSE())</f>
        <v>0</v>
      </c>
      <c r="AE129" s="19" t="n">
        <f aca="false">VLOOKUP($F129,Calculations!$B$6:$AE$314,10,FALSE())</f>
        <v>0</v>
      </c>
      <c r="AH129" s="6"/>
    </row>
    <row r="130" customFormat="false" ht="12.75" hidden="false" customHeight="false" outlineLevel="0" collapsed="false">
      <c r="A130" s="17" t="s">
        <v>50</v>
      </c>
      <c r="B130" s="17" t="s">
        <v>7</v>
      </c>
      <c r="C130" s="14"/>
      <c r="D130" s="14"/>
      <c r="E130" s="14" t="s">
        <v>38</v>
      </c>
      <c r="F130" s="15" t="s">
        <v>251</v>
      </c>
      <c r="G130" s="15" t="s">
        <v>252</v>
      </c>
      <c r="H130" s="15" t="s">
        <v>223</v>
      </c>
      <c r="I130" s="15"/>
      <c r="J130" s="19" t="n">
        <f aca="false">VLOOKUP($F130,Calculations!$B$6:$AE$314,5,FALSE())</f>
        <v>24000</v>
      </c>
      <c r="K130" s="20" t="s">
        <v>40</v>
      </c>
      <c r="L130" s="20" t="n">
        <f aca="false">J130</f>
        <v>24000</v>
      </c>
      <c r="M130" s="19" t="n">
        <f aca="false">VLOOKUP($F130,Calculations!$B$6:$AE$314,24,FALSE())</f>
        <v>0</v>
      </c>
      <c r="N130" s="23"/>
      <c r="O130" s="16" t="n">
        <f aca="false">+N130+M130+J130</f>
        <v>24000</v>
      </c>
      <c r="P130" s="16"/>
      <c r="Q130" s="19" t="n">
        <f aca="false">+J130</f>
        <v>24000</v>
      </c>
      <c r="R130" s="19"/>
      <c r="S130" s="19"/>
      <c r="T130" s="19" t="n">
        <f aca="false">+S130+R130+Q130</f>
        <v>24000</v>
      </c>
      <c r="U130" s="15"/>
      <c r="V130" s="19" t="n">
        <f aca="false">VLOOKUP($F130,Calculations!$B$6:$AE$314,8,FALSE())</f>
        <v>7615.38461538462</v>
      </c>
      <c r="W130" s="19" t="n">
        <f aca="false">VLOOKUP($F130,Calculations!$B$6:$AE$314,11,FALSE())</f>
        <v>19384.6153846154</v>
      </c>
      <c r="X130" s="19"/>
      <c r="Y130" s="19" t="n">
        <f aca="false">T130+V130</f>
        <v>31615.3846153846</v>
      </c>
      <c r="Z130" s="19" t="n">
        <f aca="false">T130+W130</f>
        <v>43384.6153846154</v>
      </c>
      <c r="AA130" s="19"/>
      <c r="AB130" s="21" t="n">
        <f aca="false">VLOOKUP($F130,Calculations!$B$6:$AE$314,29,FALSE())</f>
        <v>33240</v>
      </c>
      <c r="AC130" s="15"/>
      <c r="AD130" s="19" t="n">
        <f aca="false">VLOOKUP($F130,Calculations!$B$6:$AE$314,7,FALSE())</f>
        <v>0</v>
      </c>
      <c r="AE130" s="19" t="n">
        <f aca="false">VLOOKUP($F130,Calculations!$B$6:$AE$314,10,FALSE())</f>
        <v>0</v>
      </c>
      <c r="AH130" s="6"/>
    </row>
    <row r="131" customFormat="false" ht="12.75" hidden="false" customHeight="false" outlineLevel="0" collapsed="false">
      <c r="A131" s="17" t="s">
        <v>167</v>
      </c>
      <c r="B131" s="17" t="s">
        <v>7</v>
      </c>
      <c r="C131" s="14"/>
      <c r="D131" s="14"/>
      <c r="E131" s="14" t="s">
        <v>38</v>
      </c>
      <c r="F131" s="15" t="s">
        <v>253</v>
      </c>
      <c r="G131" s="15"/>
      <c r="H131" s="15"/>
      <c r="I131" s="15"/>
      <c r="J131" s="19" t="n">
        <f aca="false">VLOOKUP($F131,Calculations!$B$6:$AE$314,5,FALSE())</f>
        <v>21000</v>
      </c>
      <c r="K131" s="20" t="s">
        <v>40</v>
      </c>
      <c r="L131" s="20" t="n">
        <f aca="false">J131</f>
        <v>21000</v>
      </c>
      <c r="M131" s="19" t="n">
        <f aca="false">VLOOKUP($F131,Calculations!$B$6:$AE$314,24,FALSE())</f>
        <v>0</v>
      </c>
      <c r="N131" s="23"/>
      <c r="O131" s="16" t="n">
        <f aca="false">+N131+M131+J131</f>
        <v>21000</v>
      </c>
      <c r="P131" s="16"/>
      <c r="Q131" s="19" t="n">
        <f aca="false">+J131</f>
        <v>21000</v>
      </c>
      <c r="R131" s="19"/>
      <c r="S131" s="19"/>
      <c r="T131" s="19" t="n">
        <f aca="false">+S131+R131+Q131</f>
        <v>21000</v>
      </c>
      <c r="U131" s="15"/>
      <c r="V131" s="19" t="n">
        <f aca="false">VLOOKUP($F131,Calculations!$B$6:$AE$314,8,FALSE())</f>
        <v>6057.69230769231</v>
      </c>
      <c r="W131" s="19" t="n">
        <f aca="false">VLOOKUP($F131,Calculations!$B$6:$AE$314,11,FALSE())</f>
        <v>15750</v>
      </c>
      <c r="X131" s="19"/>
      <c r="Y131" s="19" t="n">
        <f aca="false">T131+V131</f>
        <v>27057.6923076923</v>
      </c>
      <c r="Z131" s="19" t="n">
        <f aca="false">T131+W131</f>
        <v>36750</v>
      </c>
      <c r="AA131" s="19"/>
      <c r="AB131" s="21" t="n">
        <f aca="false">VLOOKUP($F131,Calculations!$B$6:$AE$314,29,FALSE())</f>
        <v>33525</v>
      </c>
      <c r="AC131" s="15"/>
      <c r="AD131" s="19" t="n">
        <f aca="false">VLOOKUP($F131,Calculations!$B$6:$AE$314,7,FALSE())</f>
        <v>0</v>
      </c>
      <c r="AE131" s="19" t="n">
        <f aca="false">VLOOKUP($F131,Calculations!$B$6:$AE$314,10,FALSE())</f>
        <v>0</v>
      </c>
      <c r="AH131" s="6"/>
    </row>
    <row r="132" customFormat="false" ht="12.75" hidden="false" customHeight="false" outlineLevel="0" collapsed="false">
      <c r="A132" s="17" t="s">
        <v>254</v>
      </c>
      <c r="B132" s="17" t="s">
        <v>7</v>
      </c>
      <c r="C132" s="14"/>
      <c r="D132" s="14"/>
      <c r="E132" s="14" t="s">
        <v>38</v>
      </c>
      <c r="F132" s="15" t="s">
        <v>255</v>
      </c>
      <c r="G132" s="15"/>
      <c r="H132" s="15"/>
      <c r="I132" s="15"/>
      <c r="J132" s="19" t="n">
        <f aca="false">VLOOKUP($F132,Calculations!$B$6:$AE$314,5,FALSE())</f>
        <v>54628.02</v>
      </c>
      <c r="K132" s="27" t="s">
        <v>256</v>
      </c>
      <c r="L132" s="20" t="e">
        <f aca="false">(J132*#REF!)</f>
        <v>#REF!</v>
      </c>
      <c r="M132" s="19" t="n">
        <f aca="false">VLOOKUP($F132,Calculations!$B$6:$AE$314,24,FALSE())</f>
        <v>17500</v>
      </c>
      <c r="N132" s="23"/>
      <c r="O132" s="16" t="n">
        <f aca="false">+N132+M132+J132</f>
        <v>72128.02</v>
      </c>
      <c r="P132" s="16"/>
      <c r="Q132" s="19" t="n">
        <f aca="false">+J132</f>
        <v>54628.02</v>
      </c>
      <c r="R132" s="19"/>
      <c r="S132" s="19"/>
      <c r="T132" s="19" t="n">
        <f aca="false">+S132+R132+Q132</f>
        <v>54628.02</v>
      </c>
      <c r="U132" s="15"/>
      <c r="V132" s="19" t="n">
        <f aca="false">VLOOKUP($F132,Calculations!$B$6:$AE$314,8,FALSE())</f>
        <v>22061.3157692308</v>
      </c>
      <c r="W132" s="19" t="n">
        <f aca="false">VLOOKUP($F132,Calculations!$B$6:$AE$314,11,FALSE())</f>
        <v>40971.015</v>
      </c>
      <c r="X132" s="19"/>
      <c r="Y132" s="19" t="n">
        <f aca="false">T132+V132</f>
        <v>76689.3357692308</v>
      </c>
      <c r="Z132" s="19" t="n">
        <f aca="false">T132+W132</f>
        <v>95599.035</v>
      </c>
      <c r="AA132" s="19"/>
      <c r="AB132" s="21" t="n">
        <f aca="false">VLOOKUP($F132,Calculations!$B$6:$AE$314,29,FALSE())</f>
        <v>34608</v>
      </c>
      <c r="AC132" s="15"/>
      <c r="AD132" s="19" t="n">
        <f aca="false">VLOOKUP($F132,Calculations!$B$6:$AE$314,7,FALSE())</f>
        <v>0</v>
      </c>
      <c r="AE132" s="19" t="n">
        <f aca="false">VLOOKUP($F132,Calculations!$B$6:$AE$314,10,FALSE())</f>
        <v>0</v>
      </c>
      <c r="AH132" s="6"/>
    </row>
    <row r="133" customFormat="false" ht="12.75" hidden="false" customHeight="false" outlineLevel="0" collapsed="false">
      <c r="A133" s="17" t="s">
        <v>156</v>
      </c>
      <c r="B133" s="17" t="s">
        <v>7</v>
      </c>
      <c r="C133" s="14"/>
      <c r="D133" s="14"/>
      <c r="E133" s="14" t="s">
        <v>38</v>
      </c>
      <c r="F133" s="15" t="s">
        <v>257</v>
      </c>
      <c r="G133" s="15"/>
      <c r="H133" s="15"/>
      <c r="I133" s="15"/>
      <c r="J133" s="19" t="n">
        <f aca="false">VLOOKUP($F133,Calculations!$B$6:$AE$314,5,FALSE())</f>
        <v>16422</v>
      </c>
      <c r="K133" s="20" t="s">
        <v>40</v>
      </c>
      <c r="L133" s="20" t="n">
        <f aca="false">J133</f>
        <v>16422</v>
      </c>
      <c r="M133" s="19" t="n">
        <f aca="false">VLOOKUP($F133,Calculations!$B$6:$AE$314,24,FALSE())</f>
        <v>0</v>
      </c>
      <c r="N133" s="23"/>
      <c r="O133" s="16" t="n">
        <f aca="false">+N133+M133+J133</f>
        <v>16422</v>
      </c>
      <c r="P133" s="16"/>
      <c r="Q133" s="19" t="n">
        <f aca="false">+J133</f>
        <v>16422</v>
      </c>
      <c r="R133" s="19"/>
      <c r="S133" s="19"/>
      <c r="T133" s="19" t="n">
        <f aca="false">+S133+R133+Q133</f>
        <v>16422</v>
      </c>
      <c r="U133" s="15"/>
      <c r="V133" s="19" t="n">
        <f aca="false">VLOOKUP($F133,Calculations!$B$6:$AE$314,8,FALSE())</f>
        <v>1421.13461538462</v>
      </c>
      <c r="W133" s="19" t="n">
        <f aca="false">VLOOKUP($F133,Calculations!$B$6:$AE$314,11,FALSE())</f>
        <v>4737.11538461539</v>
      </c>
      <c r="X133" s="19"/>
      <c r="Y133" s="19" t="n">
        <f aca="false">T133+V133</f>
        <v>17843.1346153846</v>
      </c>
      <c r="Z133" s="19" t="n">
        <f aca="false">T133+W133</f>
        <v>21159.1153846154</v>
      </c>
      <c r="AA133" s="19"/>
      <c r="AB133" s="21" t="n">
        <f aca="false">VLOOKUP($F133,Calculations!$B$6:$AE$314,29,FALSE())</f>
        <v>36227</v>
      </c>
      <c r="AC133" s="15"/>
      <c r="AD133" s="19" t="n">
        <f aca="false">VLOOKUP($F133,Calculations!$B$6:$AE$314,7,FALSE())</f>
        <v>0</v>
      </c>
      <c r="AE133" s="19" t="n">
        <f aca="false">VLOOKUP($F133,Calculations!$B$6:$AE$314,10,FALSE())</f>
        <v>0</v>
      </c>
      <c r="AH133" s="6"/>
    </row>
    <row r="134" customFormat="false" ht="12.75" hidden="false" customHeight="false" outlineLevel="0" collapsed="false">
      <c r="A134" s="17" t="s">
        <v>156</v>
      </c>
      <c r="B134" s="17" t="s">
        <v>7</v>
      </c>
      <c r="C134" s="14"/>
      <c r="D134" s="14"/>
      <c r="E134" s="14" t="s">
        <v>38</v>
      </c>
      <c r="F134" s="15" t="s">
        <v>258</v>
      </c>
      <c r="G134" s="15"/>
      <c r="H134" s="15"/>
      <c r="I134" s="15"/>
      <c r="J134" s="19" t="n">
        <f aca="false">VLOOKUP($F134,Calculations!$B$6:$AE$314,5,FALSE())</f>
        <v>15476</v>
      </c>
      <c r="K134" s="20" t="s">
        <v>40</v>
      </c>
      <c r="L134" s="20" t="n">
        <f aca="false">J134</f>
        <v>15476</v>
      </c>
      <c r="M134" s="19" t="n">
        <f aca="false">VLOOKUP($F134,Calculations!$B$6:$AE$314,24,FALSE())</f>
        <v>0</v>
      </c>
      <c r="N134" s="23"/>
      <c r="O134" s="16" t="n">
        <f aca="false">+N134+M134+J134</f>
        <v>15476</v>
      </c>
      <c r="P134" s="16"/>
      <c r="Q134" s="19" t="n">
        <f aca="false">+J134</f>
        <v>15476</v>
      </c>
      <c r="R134" s="19"/>
      <c r="S134" s="19"/>
      <c r="T134" s="19" t="n">
        <f aca="false">+S134+R134+Q134</f>
        <v>15476</v>
      </c>
      <c r="U134" s="15"/>
      <c r="V134" s="19" t="n">
        <f aca="false">VLOOKUP($F134,Calculations!$B$6:$AE$314,8,FALSE())</f>
        <v>1339.26923076923</v>
      </c>
      <c r="W134" s="19" t="n">
        <f aca="false">VLOOKUP($F134,Calculations!$B$6:$AE$314,11,FALSE())</f>
        <v>4464.23076923077</v>
      </c>
      <c r="X134" s="19"/>
      <c r="Y134" s="19" t="n">
        <f aca="false">T134+V134</f>
        <v>16815.2692307692</v>
      </c>
      <c r="Z134" s="19" t="n">
        <f aca="false">T134+W134</f>
        <v>19940.2307692308</v>
      </c>
      <c r="AA134" s="19"/>
      <c r="AB134" s="21" t="n">
        <f aca="false">VLOOKUP($F134,Calculations!$B$6:$AE$314,29,FALSE())</f>
        <v>36269</v>
      </c>
      <c r="AC134" s="15"/>
      <c r="AD134" s="19" t="n">
        <f aca="false">VLOOKUP($F134,Calculations!$B$6:$AE$314,7,FALSE())</f>
        <v>0</v>
      </c>
      <c r="AE134" s="19" t="n">
        <f aca="false">VLOOKUP($F134,Calculations!$B$6:$AE$314,10,FALSE())</f>
        <v>0</v>
      </c>
      <c r="AH134" s="6"/>
    </row>
    <row r="135" customFormat="false" ht="12.75" hidden="false" customHeight="false" outlineLevel="0" collapsed="false">
      <c r="A135" s="17" t="s">
        <v>259</v>
      </c>
      <c r="B135" s="17" t="s">
        <v>7</v>
      </c>
      <c r="C135" s="14"/>
      <c r="D135" s="14"/>
      <c r="E135" s="14" t="s">
        <v>38</v>
      </c>
      <c r="F135" s="15" t="s">
        <v>260</v>
      </c>
      <c r="G135" s="15"/>
      <c r="H135" s="15"/>
      <c r="I135" s="15"/>
      <c r="J135" s="19" t="n">
        <f aca="false">VLOOKUP($F135,Calculations!$B$6:$AE$314,5,FALSE())</f>
        <v>15230</v>
      </c>
      <c r="K135" s="20" t="s">
        <v>40</v>
      </c>
      <c r="L135" s="20" t="n">
        <f aca="false">J135</f>
        <v>15230</v>
      </c>
      <c r="M135" s="19" t="n">
        <f aca="false">VLOOKUP($F135,Calculations!$B$6:$AE$314,24,FALSE())</f>
        <v>0</v>
      </c>
      <c r="N135" s="23"/>
      <c r="O135" s="16" t="n">
        <f aca="false">+N135+M135+J135</f>
        <v>15230</v>
      </c>
      <c r="P135" s="16"/>
      <c r="Q135" s="19" t="n">
        <f aca="false">+J135</f>
        <v>15230</v>
      </c>
      <c r="R135" s="19"/>
      <c r="S135" s="19"/>
      <c r="T135" s="19" t="n">
        <f aca="false">+S135+R135+Q135</f>
        <v>15230</v>
      </c>
      <c r="U135" s="15"/>
      <c r="V135" s="19" t="n">
        <f aca="false">VLOOKUP($F135,Calculations!$B$6:$AE$314,8,FALSE())</f>
        <v>2196.63461538462</v>
      </c>
      <c r="W135" s="19" t="n">
        <f aca="false">VLOOKUP($F135,Calculations!$B$6:$AE$314,11,FALSE())</f>
        <v>6150.57692307692</v>
      </c>
      <c r="X135" s="19"/>
      <c r="Y135" s="19" t="n">
        <f aca="false">T135+V135</f>
        <v>17426.6346153846</v>
      </c>
      <c r="Z135" s="19" t="n">
        <f aca="false">T135+W135</f>
        <v>21380.5769230769</v>
      </c>
      <c r="AA135" s="19"/>
      <c r="AB135" s="21" t="n">
        <f aca="false">VLOOKUP($F135,Calculations!$B$6:$AE$314,29,FALSE())</f>
        <v>35521</v>
      </c>
      <c r="AC135" s="15"/>
      <c r="AD135" s="19" t="n">
        <f aca="false">VLOOKUP($F135,Calculations!$B$6:$AE$314,7,FALSE())</f>
        <v>0</v>
      </c>
      <c r="AE135" s="19" t="n">
        <f aca="false">VLOOKUP($F135,Calculations!$B$6:$AE$314,10,FALSE())</f>
        <v>0</v>
      </c>
      <c r="AH135" s="6"/>
    </row>
    <row r="136" customFormat="false" ht="12.75" hidden="false" customHeight="false" outlineLevel="0" collapsed="false">
      <c r="A136" s="17" t="s">
        <v>138</v>
      </c>
      <c r="B136" s="17" t="s">
        <v>7</v>
      </c>
      <c r="C136" s="14"/>
      <c r="D136" s="14"/>
      <c r="E136" s="14" t="s">
        <v>38</v>
      </c>
      <c r="F136" s="15" t="s">
        <v>261</v>
      </c>
      <c r="G136" s="15"/>
      <c r="H136" s="15"/>
      <c r="I136" s="15"/>
      <c r="J136" s="19" t="n">
        <f aca="false">VLOOKUP($F136,Calculations!$B$6:$AE$314,5,FALSE())</f>
        <v>14819</v>
      </c>
      <c r="K136" s="20" t="s">
        <v>40</v>
      </c>
      <c r="L136" s="20" t="n">
        <f aca="false">J136</f>
        <v>14819</v>
      </c>
      <c r="M136" s="19" t="n">
        <f aca="false">VLOOKUP($F136,Calculations!$B$6:$AE$314,24,FALSE())</f>
        <v>0</v>
      </c>
      <c r="N136" s="23"/>
      <c r="O136" s="16" t="n">
        <f aca="false">+N136+M136+J136</f>
        <v>14819</v>
      </c>
      <c r="P136" s="16"/>
      <c r="Q136" s="19" t="n">
        <f aca="false">+J136</f>
        <v>14819</v>
      </c>
      <c r="R136" s="19"/>
      <c r="S136" s="19"/>
      <c r="T136" s="19" t="n">
        <f aca="false">+S136+R136+Q136</f>
        <v>14819</v>
      </c>
      <c r="U136" s="15"/>
      <c r="V136" s="19" t="n">
        <f aca="false">VLOOKUP($F136,Calculations!$B$6:$AE$314,8,FALSE())</f>
        <v>2137.35576923077</v>
      </c>
      <c r="W136" s="19" t="n">
        <f aca="false">VLOOKUP($F136,Calculations!$B$6:$AE$314,11,FALSE())</f>
        <v>5984.59615384615</v>
      </c>
      <c r="X136" s="19"/>
      <c r="Y136" s="19" t="n">
        <f aca="false">T136+V136</f>
        <v>16956.3557692308</v>
      </c>
      <c r="Z136" s="19" t="n">
        <f aca="false">T136+W136</f>
        <v>20803.5961538462</v>
      </c>
      <c r="AA136" s="19"/>
      <c r="AB136" s="21" t="n">
        <f aca="false">VLOOKUP($F136,Calculations!$B$6:$AE$314,29,FALSE())</f>
        <v>35278</v>
      </c>
      <c r="AC136" s="15"/>
      <c r="AD136" s="19" t="n">
        <f aca="false">VLOOKUP($F136,Calculations!$B$6:$AE$314,7,FALSE())</f>
        <v>0</v>
      </c>
      <c r="AE136" s="19" t="n">
        <f aca="false">VLOOKUP($F136,Calculations!$B$6:$AE$314,10,FALSE())</f>
        <v>0</v>
      </c>
      <c r="AH136" s="6"/>
    </row>
    <row r="137" customFormat="false" ht="12.75" hidden="false" customHeight="false" outlineLevel="0" collapsed="false">
      <c r="A137" s="17" t="s">
        <v>114</v>
      </c>
      <c r="B137" s="17" t="s">
        <v>7</v>
      </c>
      <c r="C137" s="14"/>
      <c r="D137" s="14"/>
      <c r="E137" s="14" t="s">
        <v>38</v>
      </c>
      <c r="F137" s="15" t="s">
        <v>262</v>
      </c>
      <c r="G137" s="15"/>
      <c r="H137" s="15"/>
      <c r="I137" s="15"/>
      <c r="J137" s="19" t="n">
        <f aca="false">VLOOKUP($F137,Calculations!$B$6:$AE$314,5,FALSE())</f>
        <v>13255</v>
      </c>
      <c r="K137" s="20" t="s">
        <v>40</v>
      </c>
      <c r="L137" s="20" t="n">
        <f aca="false">J137</f>
        <v>13255</v>
      </c>
      <c r="M137" s="19" t="n">
        <f aca="false">VLOOKUP($F137,Calculations!$B$6:$AE$314,24,FALSE())</f>
        <v>0</v>
      </c>
      <c r="N137" s="23"/>
      <c r="O137" s="16" t="n">
        <f aca="false">+N137+M137+J137</f>
        <v>13255</v>
      </c>
      <c r="P137" s="16"/>
      <c r="Q137" s="19" t="n">
        <f aca="false">+J137</f>
        <v>13255</v>
      </c>
      <c r="R137" s="19"/>
      <c r="S137" s="19"/>
      <c r="T137" s="19" t="n">
        <f aca="false">+S137+R137+Q137</f>
        <v>13255</v>
      </c>
      <c r="U137" s="15"/>
      <c r="V137" s="19" t="n">
        <f aca="false">VLOOKUP($F137,Calculations!$B$6:$AE$314,8,FALSE())</f>
        <v>3823.55769230769</v>
      </c>
      <c r="W137" s="19" t="n">
        <f aca="false">VLOOKUP($F137,Calculations!$B$6:$AE$314,11,FALSE())</f>
        <v>9176.53846153846</v>
      </c>
      <c r="X137" s="19"/>
      <c r="Y137" s="19" t="n">
        <f aca="false">T137+V137</f>
        <v>17078.5576923077</v>
      </c>
      <c r="Z137" s="19" t="n">
        <f aca="false">T137+W137</f>
        <v>22431.5384615385</v>
      </c>
      <c r="AA137" s="19"/>
      <c r="AB137" s="21" t="n">
        <f aca="false">VLOOKUP($F137,Calculations!$B$6:$AE$314,29,FALSE())</f>
        <v>33451</v>
      </c>
      <c r="AC137" s="15"/>
      <c r="AD137" s="19" t="n">
        <f aca="false">VLOOKUP($F137,Calculations!$B$6:$AE$314,7,FALSE())</f>
        <v>0</v>
      </c>
      <c r="AE137" s="19" t="n">
        <f aca="false">VLOOKUP($F137,Calculations!$B$6:$AE$314,10,FALSE())</f>
        <v>0</v>
      </c>
      <c r="AH137" s="6"/>
    </row>
    <row r="138" customFormat="false" ht="12.75" hidden="false" customHeight="false" outlineLevel="0" collapsed="false">
      <c r="A138" s="17" t="s">
        <v>169</v>
      </c>
      <c r="B138" s="17" t="s">
        <v>7</v>
      </c>
      <c r="C138" s="14"/>
      <c r="D138" s="14"/>
      <c r="E138" s="14" t="s">
        <v>38</v>
      </c>
      <c r="F138" s="22" t="s">
        <v>263</v>
      </c>
      <c r="G138" s="15"/>
      <c r="H138" s="15"/>
      <c r="I138" s="15"/>
      <c r="J138" s="19" t="n">
        <f aca="false">VLOOKUP($F138,Calculations!$B$6:$AE$314,5,FALSE())</f>
        <v>12780</v>
      </c>
      <c r="K138" s="20" t="s">
        <v>40</v>
      </c>
      <c r="L138" s="20" t="n">
        <f aca="false">J138</f>
        <v>12780</v>
      </c>
      <c r="M138" s="19" t="n">
        <f aca="false">VLOOKUP($F138,Calculations!$B$6:$AE$314,24,FALSE())</f>
        <v>0</v>
      </c>
      <c r="N138" s="23"/>
      <c r="O138" s="16" t="n">
        <f aca="false">+N138+M138+J138</f>
        <v>12780</v>
      </c>
      <c r="P138" s="16"/>
      <c r="Q138" s="19" t="n">
        <f aca="false">+J138</f>
        <v>12780</v>
      </c>
      <c r="R138" s="19"/>
      <c r="S138" s="19"/>
      <c r="T138" s="19" t="n">
        <f aca="false">+S138+R138+Q138</f>
        <v>12780</v>
      </c>
      <c r="U138" s="15"/>
      <c r="V138" s="19" t="n">
        <f aca="false">VLOOKUP($F138,Calculations!$B$6:$AE$314,8,FALSE())</f>
        <v>3317.88461538462</v>
      </c>
      <c r="W138" s="19" t="n">
        <f aca="false">VLOOKUP($F138,Calculations!$B$6:$AE$314,11,FALSE())</f>
        <v>8110.38461538462</v>
      </c>
      <c r="X138" s="19"/>
      <c r="Y138" s="19" t="n">
        <f aca="false">T138+V138</f>
        <v>16097.8846153846</v>
      </c>
      <c r="Z138" s="19" t="n">
        <f aca="false">T138+W138</f>
        <v>20890.3846153846</v>
      </c>
      <c r="AA138" s="19"/>
      <c r="AB138" s="21" t="n">
        <f aca="false">VLOOKUP($F138,Calculations!$B$6:$AE$314,29,FALSE())</f>
        <v>33785</v>
      </c>
      <c r="AC138" s="15"/>
      <c r="AD138" s="19" t="n">
        <f aca="false">VLOOKUP($F138,Calculations!$B$6:$AE$314,7,FALSE())</f>
        <v>0</v>
      </c>
      <c r="AE138" s="19" t="n">
        <f aca="false">VLOOKUP($F138,Calculations!$B$6:$AE$314,10,FALSE())</f>
        <v>0</v>
      </c>
      <c r="AH138" s="6"/>
    </row>
    <row r="139" customFormat="false" ht="12.75" hidden="false" customHeight="false" outlineLevel="0" collapsed="false">
      <c r="A139" s="17" t="s">
        <v>169</v>
      </c>
      <c r="B139" s="17" t="s">
        <v>7</v>
      </c>
      <c r="C139" s="14"/>
      <c r="D139" s="14"/>
      <c r="E139" s="14" t="s">
        <v>38</v>
      </c>
      <c r="F139" s="15" t="s">
        <v>264</v>
      </c>
      <c r="G139" s="15"/>
      <c r="H139" s="15"/>
      <c r="I139" s="15"/>
      <c r="J139" s="19" t="n">
        <f aca="false">VLOOKUP($F139,Calculations!$B$6:$AE$314,5,FALSE())</f>
        <v>12500</v>
      </c>
      <c r="K139" s="20" t="s">
        <v>40</v>
      </c>
      <c r="L139" s="20" t="n">
        <f aca="false">J139</f>
        <v>12500</v>
      </c>
      <c r="M139" s="19" t="n">
        <f aca="false">VLOOKUP($F139,Calculations!$B$6:$AE$314,24,FALSE())</f>
        <v>0</v>
      </c>
      <c r="N139" s="23"/>
      <c r="O139" s="16" t="n">
        <f aca="false">+N139+M139+J139</f>
        <v>12500</v>
      </c>
      <c r="P139" s="16"/>
      <c r="Q139" s="19" t="n">
        <f aca="false">+J139</f>
        <v>12500</v>
      </c>
      <c r="R139" s="19"/>
      <c r="S139" s="19"/>
      <c r="T139" s="19" t="n">
        <f aca="false">+S139+R139+Q139</f>
        <v>12500</v>
      </c>
      <c r="U139" s="15"/>
      <c r="V139" s="19" t="n">
        <f aca="false">VLOOKUP($F139,Calculations!$B$6:$AE$314,8,FALSE())</f>
        <v>11538.4615384615</v>
      </c>
      <c r="W139" s="19" t="n">
        <f aca="false">VLOOKUP($F139,Calculations!$B$6:$AE$314,11,FALSE())</f>
        <v>18750</v>
      </c>
      <c r="X139" s="19"/>
      <c r="Y139" s="19" t="n">
        <f aca="false">T139+V139</f>
        <v>24038.4615384615</v>
      </c>
      <c r="Z139" s="19" t="n">
        <f aca="false">T139+W139</f>
        <v>31250</v>
      </c>
      <c r="AA139" s="19"/>
      <c r="AB139" s="21" t="n">
        <f aca="false">VLOOKUP($F139,Calculations!$B$6:$AE$314,29,FALSE())</f>
        <v>25569</v>
      </c>
      <c r="AC139" s="15"/>
      <c r="AD139" s="19" t="n">
        <f aca="false">VLOOKUP($F139,Calculations!$B$6:$AE$314,7,FALSE())</f>
        <v>0</v>
      </c>
      <c r="AE139" s="19" t="n">
        <f aca="false">VLOOKUP($F139,Calculations!$B$6:$AE$314,10,FALSE())</f>
        <v>0</v>
      </c>
      <c r="AH139" s="6"/>
    </row>
    <row r="140" customFormat="false" ht="12.75" hidden="false" customHeight="false" outlineLevel="0" collapsed="false">
      <c r="A140" s="17" t="s">
        <v>169</v>
      </c>
      <c r="B140" s="17" t="s">
        <v>7</v>
      </c>
      <c r="C140" s="14"/>
      <c r="D140" s="14"/>
      <c r="E140" s="14" t="s">
        <v>38</v>
      </c>
      <c r="F140" s="22" t="s">
        <v>265</v>
      </c>
      <c r="G140" s="15"/>
      <c r="H140" s="15"/>
      <c r="I140" s="15"/>
      <c r="J140" s="19" t="n">
        <f aca="false">VLOOKUP($F140,Calculations!$B$6:$AE$314,5,FALSE())</f>
        <v>12000</v>
      </c>
      <c r="K140" s="20" t="s">
        <v>40</v>
      </c>
      <c r="L140" s="20" t="n">
        <f aca="false">J140</f>
        <v>12000</v>
      </c>
      <c r="M140" s="19" t="n">
        <f aca="false">VLOOKUP($F140,Calculations!$B$6:$AE$314,24,FALSE())</f>
        <v>0</v>
      </c>
      <c r="N140" s="23"/>
      <c r="O140" s="16" t="n">
        <f aca="false">+N140+M140+J140</f>
        <v>12000</v>
      </c>
      <c r="P140" s="16"/>
      <c r="Q140" s="19" t="n">
        <f aca="false">+J140</f>
        <v>12000</v>
      </c>
      <c r="R140" s="19"/>
      <c r="S140" s="19"/>
      <c r="T140" s="19" t="n">
        <f aca="false">+S140+R140+Q140</f>
        <v>12000</v>
      </c>
      <c r="U140" s="15"/>
      <c r="V140" s="19" t="n">
        <f aca="false">VLOOKUP($F140,Calculations!$B$6:$AE$314,8,FALSE())</f>
        <v>1384.61538461538</v>
      </c>
      <c r="W140" s="19" t="n">
        <f aca="false">VLOOKUP($F140,Calculations!$B$6:$AE$314,11,FALSE())</f>
        <v>4153.84615384615</v>
      </c>
      <c r="X140" s="19"/>
      <c r="Y140" s="19" t="n">
        <f aca="false">T140+V140</f>
        <v>13384.6153846154</v>
      </c>
      <c r="Z140" s="19" t="n">
        <f aca="false">T140+W140</f>
        <v>16153.8461538462</v>
      </c>
      <c r="AA140" s="19"/>
      <c r="AB140" s="21" t="n">
        <f aca="false">VLOOKUP($F140,Calculations!$B$6:$AE$314,29,FALSE())</f>
        <v>35780</v>
      </c>
      <c r="AC140" s="15"/>
      <c r="AD140" s="19" t="n">
        <f aca="false">VLOOKUP($F140,Calculations!$B$6:$AE$314,7,FALSE())</f>
        <v>0</v>
      </c>
      <c r="AE140" s="19" t="n">
        <f aca="false">VLOOKUP($F140,Calculations!$B$6:$AE$314,10,FALSE())</f>
        <v>0</v>
      </c>
      <c r="AH140" s="6"/>
    </row>
    <row r="141" customFormat="false" ht="12.75" hidden="false" customHeight="false" outlineLevel="0" collapsed="false">
      <c r="A141" s="17" t="s">
        <v>114</v>
      </c>
      <c r="B141" s="17" t="s">
        <v>7</v>
      </c>
      <c r="C141" s="14"/>
      <c r="D141" s="14"/>
      <c r="E141" s="14" t="s">
        <v>38</v>
      </c>
      <c r="F141" s="15" t="s">
        <v>266</v>
      </c>
      <c r="G141" s="15"/>
      <c r="H141" s="15"/>
      <c r="I141" s="15"/>
      <c r="J141" s="19" t="n">
        <f aca="false">VLOOKUP($F141,Calculations!$B$6:$AE$314,5,FALSE())</f>
        <v>9237</v>
      </c>
      <c r="K141" s="20" t="s">
        <v>40</v>
      </c>
      <c r="L141" s="20" t="n">
        <f aca="false">J141</f>
        <v>9237</v>
      </c>
      <c r="M141" s="19" t="n">
        <f aca="false">VLOOKUP($F141,Calculations!$B$6:$AE$314,24,FALSE())</f>
        <v>0</v>
      </c>
      <c r="N141" s="23"/>
      <c r="O141" s="16" t="n">
        <f aca="false">+N141+M141+J141</f>
        <v>9237</v>
      </c>
      <c r="P141" s="16"/>
      <c r="Q141" s="19" t="n">
        <f aca="false">+J141</f>
        <v>9237</v>
      </c>
      <c r="R141" s="19"/>
      <c r="S141" s="19"/>
      <c r="T141" s="19" t="n">
        <f aca="false">+S141+R141+Q141</f>
        <v>9237</v>
      </c>
      <c r="U141" s="15"/>
      <c r="V141" s="19" t="n">
        <f aca="false">VLOOKUP($F141,Calculations!$B$6:$AE$314,8,FALSE())</f>
        <v>1598.71153846154</v>
      </c>
      <c r="W141" s="19" t="n">
        <f aca="false">VLOOKUP($F141,Calculations!$B$6:$AE$314,11,FALSE())</f>
        <v>3730.32692307692</v>
      </c>
      <c r="X141" s="19"/>
      <c r="Y141" s="19" t="n">
        <f aca="false">T141+V141</f>
        <v>10835.7115384615</v>
      </c>
      <c r="Z141" s="19" t="n">
        <f aca="false">T141+W141</f>
        <v>12967.3269230769</v>
      </c>
      <c r="AA141" s="19"/>
      <c r="AB141" s="21" t="n">
        <f aca="false">VLOOKUP($F141,Calculations!$B$6:$AE$314,29,FALSE())</f>
        <v>34856</v>
      </c>
      <c r="AC141" s="15"/>
      <c r="AD141" s="19" t="n">
        <f aca="false">VLOOKUP($F141,Calculations!$B$6:$AE$314,7,FALSE())</f>
        <v>0</v>
      </c>
      <c r="AE141" s="19" t="n">
        <f aca="false">VLOOKUP($F141,Calculations!$B$6:$AE$314,10,FALSE())</f>
        <v>0</v>
      </c>
      <c r="AH141" s="6"/>
    </row>
    <row r="142" customFormat="false" ht="12.75" hidden="false" customHeight="false" outlineLevel="0" collapsed="false">
      <c r="A142" s="17" t="s">
        <v>254</v>
      </c>
      <c r="B142" s="17" t="s">
        <v>7</v>
      </c>
      <c r="C142" s="14"/>
      <c r="D142" s="14"/>
      <c r="E142" s="14" t="s">
        <v>38</v>
      </c>
      <c r="F142" s="15" t="s">
        <v>267</v>
      </c>
      <c r="G142" s="15"/>
      <c r="H142" s="15"/>
      <c r="I142" s="15"/>
      <c r="J142" s="19" t="n">
        <f aca="false">VLOOKUP($F142,Calculations!$B$6:$AE$314,5,FALSE())</f>
        <v>9000</v>
      </c>
      <c r="K142" s="20" t="s">
        <v>40</v>
      </c>
      <c r="L142" s="20" t="n">
        <f aca="false">J142</f>
        <v>9000</v>
      </c>
      <c r="M142" s="19" t="n">
        <f aca="false">VLOOKUP($F142,Calculations!$B$6:$AE$314,24,FALSE())</f>
        <v>0</v>
      </c>
      <c r="N142" s="23"/>
      <c r="O142" s="16" t="n">
        <f aca="false">+N142+M142+J142</f>
        <v>9000</v>
      </c>
      <c r="P142" s="16"/>
      <c r="Q142" s="19" t="n">
        <f aca="false">+J142</f>
        <v>9000</v>
      </c>
      <c r="R142" s="19"/>
      <c r="S142" s="19"/>
      <c r="T142" s="19" t="n">
        <f aca="false">+S142+R142+Q142</f>
        <v>9000</v>
      </c>
      <c r="U142" s="15"/>
      <c r="V142" s="19" t="n">
        <f aca="false">VLOOKUP($F142,Calculations!$B$6:$AE$314,8,FALSE())</f>
        <v>2336.53846153846</v>
      </c>
      <c r="W142" s="19" t="n">
        <f aca="false">VLOOKUP($F142,Calculations!$B$6:$AE$314,11,FALSE())</f>
        <v>5192.30769230769</v>
      </c>
      <c r="X142" s="19"/>
      <c r="Y142" s="19" t="n">
        <f aca="false">T142+V142</f>
        <v>11336.5384615385</v>
      </c>
      <c r="Z142" s="19" t="n">
        <f aca="false">T142+W142</f>
        <v>14192.3076923077</v>
      </c>
      <c r="AA142" s="19"/>
      <c r="AB142" s="21" t="n">
        <f aca="false">VLOOKUP($F142,Calculations!$B$6:$AE$314,29,FALSE())</f>
        <v>33989</v>
      </c>
      <c r="AC142" s="15"/>
      <c r="AD142" s="19" t="n">
        <f aca="false">VLOOKUP($F142,Calculations!$B$6:$AE$314,7,FALSE())</f>
        <v>0</v>
      </c>
      <c r="AE142" s="19" t="n">
        <f aca="false">VLOOKUP($F142,Calculations!$B$6:$AE$314,10,FALSE())</f>
        <v>0</v>
      </c>
      <c r="AH142" s="6"/>
    </row>
    <row r="143" customFormat="false" ht="12.75" hidden="false" customHeight="false" outlineLevel="0" collapsed="false">
      <c r="A143" s="17" t="s">
        <v>167</v>
      </c>
      <c r="B143" s="17" t="s">
        <v>7</v>
      </c>
      <c r="C143" s="14"/>
      <c r="D143" s="14"/>
      <c r="E143" s="14" t="s">
        <v>38</v>
      </c>
      <c r="F143" s="15" t="s">
        <v>268</v>
      </c>
      <c r="G143" s="15"/>
      <c r="H143" s="15"/>
      <c r="I143" s="15"/>
      <c r="J143" s="19" t="n">
        <f aca="false">VLOOKUP($F143,Calculations!$B$6:$AE$314,5,FALSE())</f>
        <v>9000</v>
      </c>
      <c r="K143" s="20" t="s">
        <v>40</v>
      </c>
      <c r="L143" s="20" t="n">
        <f aca="false">J143</f>
        <v>9000</v>
      </c>
      <c r="M143" s="19" t="n">
        <f aca="false">VLOOKUP($F143,Calculations!$B$6:$AE$314,24,FALSE())</f>
        <v>0</v>
      </c>
      <c r="N143" s="23"/>
      <c r="O143" s="16" t="n">
        <f aca="false">+N143+M143+J143</f>
        <v>9000</v>
      </c>
      <c r="P143" s="16"/>
      <c r="Q143" s="19" t="n">
        <f aca="false">+J143</f>
        <v>9000</v>
      </c>
      <c r="R143" s="19"/>
      <c r="S143" s="19"/>
      <c r="T143" s="19" t="n">
        <f aca="false">+S143+R143+Q143</f>
        <v>9000</v>
      </c>
      <c r="U143" s="15"/>
      <c r="V143" s="19" t="n">
        <f aca="false">VLOOKUP($F143,Calculations!$B$6:$AE$314,8,FALSE())</f>
        <v>3634.61538461538</v>
      </c>
      <c r="W143" s="19" t="n">
        <f aca="false">VLOOKUP($F143,Calculations!$B$6:$AE$314,11,FALSE())</f>
        <v>7788.46153846154</v>
      </c>
      <c r="X143" s="19"/>
      <c r="Y143" s="19" t="n">
        <f aca="false">T143+V143</f>
        <v>12634.6153846154</v>
      </c>
      <c r="Z143" s="19" t="n">
        <f aca="false">T143+W143</f>
        <v>16788.4615384615</v>
      </c>
      <c r="AA143" s="19"/>
      <c r="AB143" s="21" t="n">
        <f aca="false">VLOOKUP($F143,Calculations!$B$6:$AE$314,29,FALSE())</f>
        <v>32143</v>
      </c>
      <c r="AC143" s="15"/>
      <c r="AD143" s="19" t="n">
        <f aca="false">VLOOKUP($F143,Calculations!$B$6:$AE$314,7,FALSE())</f>
        <v>0</v>
      </c>
      <c r="AE143" s="19" t="n">
        <f aca="false">VLOOKUP($F143,Calculations!$B$6:$AE$314,10,FALSE())</f>
        <v>0</v>
      </c>
      <c r="AH143" s="6"/>
    </row>
    <row r="144" customFormat="false" ht="12.75" hidden="false" customHeight="false" outlineLevel="0" collapsed="false">
      <c r="A144" s="17" t="s">
        <v>169</v>
      </c>
      <c r="B144" s="17" t="s">
        <v>7</v>
      </c>
      <c r="C144" s="14"/>
      <c r="D144" s="14"/>
      <c r="E144" s="14" t="s">
        <v>38</v>
      </c>
      <c r="F144" s="22" t="s">
        <v>269</v>
      </c>
      <c r="G144" s="15"/>
      <c r="H144" s="15"/>
      <c r="I144" s="15"/>
      <c r="J144" s="19" t="n">
        <f aca="false">VLOOKUP($F144,Calculations!$B$6:$AE$314,5,FALSE())</f>
        <v>8400</v>
      </c>
      <c r="K144" s="20" t="s">
        <v>40</v>
      </c>
      <c r="L144" s="20" t="n">
        <f aca="false">J144</f>
        <v>8400</v>
      </c>
      <c r="M144" s="19" t="n">
        <f aca="false">VLOOKUP($F144,Calculations!$B$6:$AE$314,24,FALSE())</f>
        <v>0</v>
      </c>
      <c r="N144" s="23"/>
      <c r="O144" s="16" t="n">
        <f aca="false">+N144+M144+J144</f>
        <v>8400</v>
      </c>
      <c r="P144" s="16"/>
      <c r="Q144" s="19" t="n">
        <f aca="false">+J144</f>
        <v>8400</v>
      </c>
      <c r="R144" s="19"/>
      <c r="S144" s="19"/>
      <c r="T144" s="19" t="n">
        <f aca="false">+S144+R144+Q144</f>
        <v>8400</v>
      </c>
      <c r="U144" s="15"/>
      <c r="V144" s="19" t="n">
        <f aca="false">VLOOKUP($F144,Calculations!$B$6:$AE$314,8,FALSE())</f>
        <v>1211.53846153846</v>
      </c>
      <c r="W144" s="19" t="n">
        <f aca="false">VLOOKUP($F144,Calculations!$B$6:$AE$314,11,FALSE())</f>
        <v>2907.69230769231</v>
      </c>
      <c r="X144" s="19"/>
      <c r="Y144" s="19" t="n">
        <f aca="false">T144+V144</f>
        <v>9611.53846153846</v>
      </c>
      <c r="Z144" s="19" t="n">
        <f aca="false">T144+W144</f>
        <v>11307.6923076923</v>
      </c>
      <c r="AA144" s="19"/>
      <c r="AB144" s="21" t="n">
        <f aca="false">VLOOKUP($F144,Calculations!$B$6:$AE$314,29,FALSE())</f>
        <v>35359</v>
      </c>
      <c r="AC144" s="15"/>
      <c r="AD144" s="19" t="n">
        <f aca="false">VLOOKUP($F144,Calculations!$B$6:$AE$314,7,FALSE())</f>
        <v>0</v>
      </c>
      <c r="AE144" s="19" t="n">
        <f aca="false">VLOOKUP($F144,Calculations!$B$6:$AE$314,10,FALSE())</f>
        <v>0</v>
      </c>
      <c r="AH144" s="6"/>
    </row>
    <row r="145" customFormat="false" ht="12.75" hidden="false" customHeight="false" outlineLevel="0" collapsed="false">
      <c r="A145" s="17" t="s">
        <v>254</v>
      </c>
      <c r="B145" s="17" t="s">
        <v>7</v>
      </c>
      <c r="C145" s="14"/>
      <c r="D145" s="14"/>
      <c r="E145" s="14" t="s">
        <v>38</v>
      </c>
      <c r="F145" s="15" t="s">
        <v>270</v>
      </c>
      <c r="G145" s="15"/>
      <c r="H145" s="15"/>
      <c r="I145" s="15"/>
      <c r="J145" s="19" t="n">
        <f aca="false">VLOOKUP($F145,Calculations!$B$6:$AE$314,5,FALSE())</f>
        <v>29051.208</v>
      </c>
      <c r="K145" s="20" t="s">
        <v>256</v>
      </c>
      <c r="L145" s="20" t="e">
        <f aca="false">(J145*#REF!)</f>
        <v>#REF!</v>
      </c>
      <c r="M145" s="19" t="n">
        <f aca="false">VLOOKUP($F145,Calculations!$B$6:$AE$314,24,FALSE())</f>
        <v>10000</v>
      </c>
      <c r="N145" s="23"/>
      <c r="O145" s="16" t="n">
        <f aca="false">+N145+M145+J145</f>
        <v>39051.208</v>
      </c>
      <c r="P145" s="16"/>
      <c r="Q145" s="19" t="n">
        <f aca="false">+J145</f>
        <v>29051.208</v>
      </c>
      <c r="R145" s="19"/>
      <c r="S145" s="19"/>
      <c r="T145" s="19" t="n">
        <f aca="false">+S145+R145+Q145</f>
        <v>29051.208</v>
      </c>
      <c r="U145" s="15"/>
      <c r="V145" s="19" t="n">
        <f aca="false">VLOOKUP($F145,Calculations!$B$6:$AE$314,8,FALSE())</f>
        <v>5028.09369230769</v>
      </c>
      <c r="W145" s="19" t="n">
        <f aca="false">VLOOKUP($F145,Calculations!$B$6:$AE$314,11,FALSE())</f>
        <v>15084.2810769231</v>
      </c>
      <c r="X145" s="19"/>
      <c r="Y145" s="19" t="n">
        <f aca="false">T145+V145</f>
        <v>34079.3016923077</v>
      </c>
      <c r="Z145" s="19" t="n">
        <f aca="false">T145+W145</f>
        <v>44135.4890769231</v>
      </c>
      <c r="AA145" s="19"/>
      <c r="AB145" s="21" t="n">
        <f aca="false">VLOOKUP($F145,Calculations!$B$6:$AE$314,29,FALSE())</f>
        <v>34876</v>
      </c>
      <c r="AC145" s="15"/>
      <c r="AD145" s="19" t="n">
        <f aca="false">VLOOKUP($F145,Calculations!$B$6:$AE$314,7,FALSE())</f>
        <v>0</v>
      </c>
      <c r="AE145" s="19" t="n">
        <f aca="false">VLOOKUP($F145,Calculations!$B$6:$AE$314,10,FALSE())</f>
        <v>0</v>
      </c>
      <c r="AH145" s="6"/>
    </row>
    <row r="146" customFormat="false" ht="12.75" hidden="false" customHeight="false" outlineLevel="0" collapsed="false">
      <c r="A146" s="17" t="s">
        <v>169</v>
      </c>
      <c r="B146" s="17" t="s">
        <v>7</v>
      </c>
      <c r="C146" s="14"/>
      <c r="D146" s="14"/>
      <c r="E146" s="14" t="s">
        <v>38</v>
      </c>
      <c r="F146" s="22" t="s">
        <v>271</v>
      </c>
      <c r="G146" s="15"/>
      <c r="H146" s="15"/>
      <c r="I146" s="15"/>
      <c r="J146" s="19" t="n">
        <f aca="false">VLOOKUP($F146,Calculations!$B$6:$AE$314,5,FALSE())</f>
        <v>6600</v>
      </c>
      <c r="K146" s="20" t="s">
        <v>40</v>
      </c>
      <c r="L146" s="20" t="n">
        <f aca="false">J146</f>
        <v>6600</v>
      </c>
      <c r="M146" s="19" t="n">
        <f aca="false">VLOOKUP($F146,Calculations!$B$6:$AE$314,24,FALSE())</f>
        <v>0</v>
      </c>
      <c r="N146" s="23"/>
      <c r="O146" s="16" t="n">
        <f aca="false">+N146+M146+J146</f>
        <v>6600</v>
      </c>
      <c r="P146" s="16"/>
      <c r="Q146" s="19" t="n">
        <f aca="false">+J146</f>
        <v>6600</v>
      </c>
      <c r="R146" s="19"/>
      <c r="S146" s="19"/>
      <c r="T146" s="19" t="n">
        <f aca="false">+S146+R146+Q146</f>
        <v>6600</v>
      </c>
      <c r="U146" s="15"/>
      <c r="V146" s="19" t="n">
        <f aca="false">VLOOKUP($F146,Calculations!$B$6:$AE$314,8,FALSE())</f>
        <v>1142.30769230769</v>
      </c>
      <c r="W146" s="19" t="n">
        <f aca="false">VLOOKUP($F146,Calculations!$B$6:$AE$314,11,FALSE())</f>
        <v>2665.38461538462</v>
      </c>
      <c r="X146" s="19"/>
      <c r="Y146" s="19" t="n">
        <f aca="false">T146+V146</f>
        <v>7742.30769230769</v>
      </c>
      <c r="Z146" s="19" t="n">
        <f aca="false">T146+W146</f>
        <v>9265.38461538462</v>
      </c>
      <c r="AA146" s="19"/>
      <c r="AB146" s="21" t="n">
        <f aca="false">VLOOKUP($F146,Calculations!$B$6:$AE$314,29,FALSE())</f>
        <v>35025</v>
      </c>
      <c r="AC146" s="15"/>
      <c r="AD146" s="19" t="n">
        <f aca="false">VLOOKUP($F146,Calculations!$B$6:$AE$314,7,FALSE())</f>
        <v>0</v>
      </c>
      <c r="AE146" s="19" t="n">
        <f aca="false">VLOOKUP($F146,Calculations!$B$6:$AE$314,10,FALSE())</f>
        <v>0</v>
      </c>
      <c r="AH146" s="6"/>
    </row>
    <row r="147" customFormat="false" ht="12.75" hidden="false" customHeight="false" outlineLevel="0" collapsed="false">
      <c r="A147" s="17" t="s">
        <v>169</v>
      </c>
      <c r="B147" s="17" t="s">
        <v>7</v>
      </c>
      <c r="C147" s="14"/>
      <c r="D147" s="14"/>
      <c r="E147" s="14" t="s">
        <v>38</v>
      </c>
      <c r="F147" s="22" t="s">
        <v>272</v>
      </c>
      <c r="G147" s="15"/>
      <c r="H147" s="15"/>
      <c r="I147" s="15"/>
      <c r="J147" s="19" t="n">
        <f aca="false">VLOOKUP($F147,Calculations!$B$6:$AE$314,5,FALSE())</f>
        <v>6000</v>
      </c>
      <c r="K147" s="20" t="s">
        <v>40</v>
      </c>
      <c r="L147" s="20" t="n">
        <f aca="false">J147</f>
        <v>6000</v>
      </c>
      <c r="M147" s="19" t="n">
        <f aca="false">VLOOKUP($F147,Calculations!$B$6:$AE$314,24,FALSE())</f>
        <v>0</v>
      </c>
      <c r="N147" s="23"/>
      <c r="O147" s="16" t="n">
        <f aca="false">+N147+M147+J147</f>
        <v>6000</v>
      </c>
      <c r="P147" s="16"/>
      <c r="Q147" s="19" t="n">
        <f aca="false">+J147</f>
        <v>6000</v>
      </c>
      <c r="R147" s="19"/>
      <c r="S147" s="19"/>
      <c r="T147" s="19" t="n">
        <f aca="false">+S147+R147+Q147</f>
        <v>6000</v>
      </c>
      <c r="U147" s="15"/>
      <c r="V147" s="19" t="n">
        <f aca="false">VLOOKUP($F147,Calculations!$B$6:$AE$314,8,FALSE())</f>
        <v>1557.69230769231</v>
      </c>
      <c r="W147" s="19" t="n">
        <f aca="false">VLOOKUP($F147,Calculations!$B$6:$AE$314,11,FALSE())</f>
        <v>3461.53846153846</v>
      </c>
      <c r="X147" s="19"/>
      <c r="Y147" s="19" t="n">
        <f aca="false">T147+V147</f>
        <v>7557.69230769231</v>
      </c>
      <c r="Z147" s="19" t="n">
        <f aca="false">T147+W147</f>
        <v>9461.53846153846</v>
      </c>
      <c r="AA147" s="19"/>
      <c r="AB147" s="21" t="n">
        <f aca="false">VLOOKUP($F147,Calculations!$B$6:$AE$314,29,FALSE())</f>
        <v>33771</v>
      </c>
      <c r="AC147" s="15"/>
      <c r="AD147" s="19" t="n">
        <f aca="false">VLOOKUP($F147,Calculations!$B$6:$AE$314,7,FALSE())</f>
        <v>0</v>
      </c>
      <c r="AE147" s="19" t="n">
        <f aca="false">VLOOKUP($F147,Calculations!$B$6:$AE$314,10,FALSE())</f>
        <v>0</v>
      </c>
      <c r="AH147" s="6"/>
    </row>
    <row r="148" customFormat="false" ht="12.75" hidden="false" customHeight="false" outlineLevel="0" collapsed="false">
      <c r="A148" s="17" t="s">
        <v>167</v>
      </c>
      <c r="B148" s="17" t="s">
        <v>7</v>
      </c>
      <c r="C148" s="14"/>
      <c r="D148" s="14"/>
      <c r="E148" s="14" t="s">
        <v>38</v>
      </c>
      <c r="F148" s="15" t="s">
        <v>273</v>
      </c>
      <c r="G148" s="15"/>
      <c r="H148" s="15"/>
      <c r="I148" s="15"/>
      <c r="J148" s="19" t="n">
        <f aca="false">VLOOKUP($F148,Calculations!$B$6:$AE$314,5,FALSE())</f>
        <v>5880</v>
      </c>
      <c r="K148" s="20" t="s">
        <v>40</v>
      </c>
      <c r="L148" s="20" t="n">
        <f aca="false">J148</f>
        <v>5880</v>
      </c>
      <c r="M148" s="19" t="n">
        <f aca="false">VLOOKUP($F148,Calculations!$B$6:$AE$314,24,FALSE())</f>
        <v>0</v>
      </c>
      <c r="N148" s="23"/>
      <c r="O148" s="16" t="n">
        <f aca="false">+N148+M148+J148</f>
        <v>5880</v>
      </c>
      <c r="P148" s="16"/>
      <c r="Q148" s="19" t="n">
        <f aca="false">+J148</f>
        <v>5880</v>
      </c>
      <c r="R148" s="19"/>
      <c r="S148" s="19"/>
      <c r="T148" s="19" t="n">
        <f aca="false">+S148+R148+Q148</f>
        <v>5880</v>
      </c>
      <c r="U148" s="15"/>
      <c r="V148" s="19" t="n">
        <f aca="false">VLOOKUP($F148,Calculations!$B$6:$AE$314,8,FALSE())</f>
        <v>1526.53846153846</v>
      </c>
      <c r="W148" s="19" t="n">
        <f aca="false">VLOOKUP($F148,Calculations!$B$6:$AE$314,11,FALSE())</f>
        <v>3392.30769230769</v>
      </c>
      <c r="X148" s="19"/>
      <c r="Y148" s="19" t="n">
        <f aca="false">T148+V148</f>
        <v>7406.53846153846</v>
      </c>
      <c r="Z148" s="19" t="n">
        <f aca="false">T148+W148</f>
        <v>9272.30769230769</v>
      </c>
      <c r="AA148" s="19"/>
      <c r="AB148" s="21" t="n">
        <f aca="false">VLOOKUP($F148,Calculations!$B$6:$AE$314,29,FALSE())</f>
        <v>33939</v>
      </c>
      <c r="AC148" s="15"/>
      <c r="AD148" s="19" t="n">
        <f aca="false">VLOOKUP($F148,Calculations!$B$6:$AE$314,7,FALSE())</f>
        <v>0</v>
      </c>
      <c r="AE148" s="19" t="n">
        <f aca="false">VLOOKUP($F148,Calculations!$B$6:$AE$314,10,FALSE())</f>
        <v>0</v>
      </c>
      <c r="AH148" s="6"/>
    </row>
    <row r="149" customFormat="false" ht="12.75" hidden="false" customHeight="true" outlineLevel="0" collapsed="false">
      <c r="A149" s="17" t="s">
        <v>254</v>
      </c>
      <c r="B149" s="17" t="s">
        <v>7</v>
      </c>
      <c r="C149" s="14"/>
      <c r="D149" s="14"/>
      <c r="E149" s="14" t="s">
        <v>38</v>
      </c>
      <c r="F149" s="15" t="s">
        <v>274</v>
      </c>
      <c r="G149" s="15"/>
      <c r="H149" s="15"/>
      <c r="I149" s="15"/>
      <c r="J149" s="19" t="n">
        <f aca="false">VLOOKUP($F149,Calculations!$B$6:$AE$314,5,FALSE())</f>
        <v>8595.384</v>
      </c>
      <c r="K149" s="20" t="s">
        <v>256</v>
      </c>
      <c r="L149" s="20" t="e">
        <f aca="false">(J149*#REF!)</f>
        <v>#REF!</v>
      </c>
      <c r="M149" s="19" t="n">
        <f aca="false">VLOOKUP($F149,Calculations!$B$6:$AE$314,24,FALSE())</f>
        <v>0</v>
      </c>
      <c r="N149" s="23"/>
      <c r="O149" s="16" t="n">
        <f aca="false">+N149+M149+J149</f>
        <v>8595.384</v>
      </c>
      <c r="P149" s="16"/>
      <c r="Q149" s="19" t="n">
        <f aca="false">+J149</f>
        <v>8595.384</v>
      </c>
      <c r="R149" s="19"/>
      <c r="S149" s="19"/>
      <c r="T149" s="19" t="n">
        <f aca="false">+S149+R149+Q149</f>
        <v>8595.384</v>
      </c>
      <c r="U149" s="15"/>
      <c r="V149" s="19" t="n">
        <f aca="false">VLOOKUP($F149,Calculations!$B$6:$AE$314,8,FALSE())</f>
        <v>1487.66261538462</v>
      </c>
      <c r="W149" s="19" t="n">
        <f aca="false">VLOOKUP($F149,Calculations!$B$6:$AE$314,11,FALSE())</f>
        <v>3471.21276923077</v>
      </c>
      <c r="X149" s="19"/>
      <c r="Y149" s="19" t="n">
        <f aca="false">T149+V149</f>
        <v>10083.0466153846</v>
      </c>
      <c r="Z149" s="19" t="n">
        <f aca="false">T149+W149</f>
        <v>12066.5967692308</v>
      </c>
      <c r="AA149" s="19"/>
      <c r="AB149" s="21" t="n">
        <f aca="false">VLOOKUP($F149,Calculations!$B$6:$AE$314,29,FALSE())</f>
        <v>35121</v>
      </c>
      <c r="AC149" s="15"/>
      <c r="AD149" s="19" t="n">
        <f aca="false">VLOOKUP($F149,Calculations!$B$6:$AE$314,7,FALSE())</f>
        <v>0</v>
      </c>
      <c r="AE149" s="19" t="n">
        <f aca="false">VLOOKUP($F149,Calculations!$B$6:$AE$314,10,FALSE())</f>
        <v>0</v>
      </c>
      <c r="AH149" s="6"/>
    </row>
    <row r="150" customFormat="false" ht="12.75" hidden="false" customHeight="false" outlineLevel="0" collapsed="false">
      <c r="A150" s="17" t="s">
        <v>140</v>
      </c>
      <c r="B150" s="17" t="s">
        <v>7</v>
      </c>
      <c r="C150" s="14"/>
      <c r="D150" s="14"/>
      <c r="E150" s="14" t="s">
        <v>38</v>
      </c>
      <c r="F150" s="15" t="s">
        <v>275</v>
      </c>
      <c r="G150" s="15"/>
      <c r="H150" s="15"/>
      <c r="I150" s="15"/>
      <c r="J150" s="19" t="n">
        <f aca="false">VLOOKUP($F150,Calculations!$B$6:$AE$314,5,FALSE())</f>
        <v>5074</v>
      </c>
      <c r="K150" s="20" t="s">
        <v>40</v>
      </c>
      <c r="L150" s="20" t="n">
        <f aca="false">J150</f>
        <v>5074</v>
      </c>
      <c r="M150" s="19" t="n">
        <f aca="false">VLOOKUP($F150,Calculations!$B$6:$AE$314,24,FALSE())</f>
        <v>0</v>
      </c>
      <c r="N150" s="23"/>
      <c r="O150" s="16" t="n">
        <f aca="false">+N150+M150+J150</f>
        <v>5074</v>
      </c>
      <c r="P150" s="16"/>
      <c r="Q150" s="19" t="n">
        <f aca="false">+J150</f>
        <v>5074</v>
      </c>
      <c r="R150" s="19"/>
      <c r="S150" s="19"/>
      <c r="T150" s="19" t="n">
        <f aca="false">+S150+R150+Q150</f>
        <v>5074</v>
      </c>
      <c r="U150" s="15"/>
      <c r="V150" s="19" t="n">
        <f aca="false">VLOOKUP($F150,Calculations!$B$6:$AE$314,8,FALSE())</f>
        <v>878.192307692308</v>
      </c>
      <c r="W150" s="19" t="n">
        <f aca="false">VLOOKUP($F150,Calculations!$B$6:$AE$314,11,FALSE())</f>
        <v>2049.11538461538</v>
      </c>
      <c r="X150" s="19"/>
      <c r="Y150" s="19" t="n">
        <f aca="false">T150+V150</f>
        <v>5952.19230769231</v>
      </c>
      <c r="Z150" s="19" t="n">
        <f aca="false">T150+W150</f>
        <v>7123.11538461539</v>
      </c>
      <c r="AA150" s="19"/>
      <c r="AB150" s="21" t="n">
        <f aca="false">VLOOKUP($F150,Calculations!$B$6:$AE$314,29,FALSE())</f>
        <v>35065</v>
      </c>
      <c r="AC150" s="15"/>
      <c r="AD150" s="19" t="n">
        <f aca="false">VLOOKUP($F150,Calculations!$B$6:$AE$314,7,FALSE())</f>
        <v>0</v>
      </c>
      <c r="AE150" s="19" t="n">
        <f aca="false">VLOOKUP($F150,Calculations!$B$6:$AE$314,10,FALSE())</f>
        <v>0</v>
      </c>
      <c r="AH150" s="6"/>
    </row>
    <row r="151" customFormat="false" ht="12.75" hidden="false" customHeight="false" outlineLevel="0" collapsed="false">
      <c r="A151" s="17" t="s">
        <v>140</v>
      </c>
      <c r="B151" s="17" t="s">
        <v>7</v>
      </c>
      <c r="C151" s="14"/>
      <c r="D151" s="14"/>
      <c r="E151" s="14" t="s">
        <v>38</v>
      </c>
      <c r="F151" s="15" t="s">
        <v>276</v>
      </c>
      <c r="G151" s="15"/>
      <c r="H151" s="15"/>
      <c r="I151" s="15"/>
      <c r="J151" s="19" t="n">
        <f aca="false">VLOOKUP($F151,Calculations!$B$6:$AE$314,5,FALSE())</f>
        <v>4857</v>
      </c>
      <c r="K151" s="20" t="s">
        <v>40</v>
      </c>
      <c r="L151" s="20" t="n">
        <f aca="false">J151</f>
        <v>4857</v>
      </c>
      <c r="M151" s="19" t="n">
        <f aca="false">VLOOKUP($F151,Calculations!$B$6:$AE$314,24,FALSE())</f>
        <v>0</v>
      </c>
      <c r="N151" s="23"/>
      <c r="O151" s="16" t="n">
        <f aca="false">+N151+M151+J151</f>
        <v>4857</v>
      </c>
      <c r="P151" s="16"/>
      <c r="Q151" s="19" t="n">
        <f aca="false">+J151</f>
        <v>4857</v>
      </c>
      <c r="R151" s="19"/>
      <c r="S151" s="19"/>
      <c r="T151" s="19" t="n">
        <f aca="false">+S151+R151+Q151</f>
        <v>4857</v>
      </c>
      <c r="U151" s="15"/>
      <c r="V151" s="19" t="n">
        <f aca="false">VLOOKUP($F151,Calculations!$B$6:$AE$314,8,FALSE())</f>
        <v>840.634615384615</v>
      </c>
      <c r="W151" s="19" t="n">
        <f aca="false">VLOOKUP($F151,Calculations!$B$6:$AE$314,11,FALSE())</f>
        <v>1961.48076923077</v>
      </c>
      <c r="X151" s="19"/>
      <c r="Y151" s="19" t="n">
        <f aca="false">T151+V151</f>
        <v>5697.63461538462</v>
      </c>
      <c r="Z151" s="19" t="n">
        <f aca="false">T151+W151</f>
        <v>6818.48076923077</v>
      </c>
      <c r="AA151" s="19"/>
      <c r="AB151" s="21" t="n">
        <f aca="false">VLOOKUP($F151,Calculations!$B$6:$AE$314,29,FALSE())</f>
        <v>35065</v>
      </c>
      <c r="AC151" s="15"/>
      <c r="AD151" s="19" t="n">
        <f aca="false">VLOOKUP($F151,Calculations!$B$6:$AE$314,7,FALSE())</f>
        <v>0</v>
      </c>
      <c r="AE151" s="19" t="n">
        <f aca="false">VLOOKUP($F151,Calculations!$B$6:$AE$314,10,FALSE())</f>
        <v>0</v>
      </c>
      <c r="AH151" s="6"/>
    </row>
    <row r="152" customFormat="false" ht="12.75" hidden="false" customHeight="false" outlineLevel="0" collapsed="false">
      <c r="A152" s="17" t="s">
        <v>159</v>
      </c>
      <c r="B152" s="17" t="s">
        <v>7</v>
      </c>
      <c r="C152" s="14"/>
      <c r="D152" s="14"/>
      <c r="E152" s="14" t="s">
        <v>38</v>
      </c>
      <c r="F152" s="15" t="s">
        <v>277</v>
      </c>
      <c r="G152" s="15"/>
      <c r="H152" s="15"/>
      <c r="I152" s="15"/>
      <c r="J152" s="19" t="n">
        <f aca="false">VLOOKUP($F152,Calculations!$B$6:$AE$314,5,FALSE())</f>
        <v>4800</v>
      </c>
      <c r="K152" s="20" t="s">
        <v>40</v>
      </c>
      <c r="L152" s="20" t="n">
        <f aca="false">J152</f>
        <v>4800</v>
      </c>
      <c r="M152" s="19" t="n">
        <f aca="false">VLOOKUP($F152,Calculations!$B$6:$AE$314,24,FALSE())</f>
        <v>0</v>
      </c>
      <c r="N152" s="23"/>
      <c r="O152" s="16" t="n">
        <f aca="false">+N152+M152+J152</f>
        <v>4800</v>
      </c>
      <c r="P152" s="16"/>
      <c r="Q152" s="19" t="n">
        <f aca="false">+J152</f>
        <v>4800</v>
      </c>
      <c r="R152" s="19"/>
      <c r="S152" s="19"/>
      <c r="T152" s="19" t="n">
        <f aca="false">+S152+R152+Q152</f>
        <v>4800</v>
      </c>
      <c r="U152" s="15"/>
      <c r="V152" s="19" t="n">
        <f aca="false">VLOOKUP($F152,Calculations!$B$6:$AE$314,8,FALSE())</f>
        <v>692.307692307692</v>
      </c>
      <c r="W152" s="19" t="n">
        <f aca="false">VLOOKUP($F152,Calculations!$B$6:$AE$314,11,FALSE())</f>
        <v>1661.53846153846</v>
      </c>
      <c r="X152" s="19"/>
      <c r="Y152" s="19" t="n">
        <f aca="false">T152+V152</f>
        <v>5492.30769230769</v>
      </c>
      <c r="Z152" s="19" t="n">
        <f aca="false">T152+W152</f>
        <v>6461.53846153846</v>
      </c>
      <c r="AA152" s="19"/>
      <c r="AB152" s="21" t="n">
        <f aca="false">VLOOKUP($F152,Calculations!$B$6:$AE$314,29,FALSE())</f>
        <v>35309</v>
      </c>
      <c r="AC152" s="15"/>
      <c r="AD152" s="19" t="n">
        <f aca="false">VLOOKUP($F152,Calculations!$B$6:$AE$314,7,FALSE())</f>
        <v>0</v>
      </c>
      <c r="AE152" s="19" t="n">
        <f aca="false">VLOOKUP($F152,Calculations!$B$6:$AE$314,10,FALSE())</f>
        <v>0</v>
      </c>
      <c r="AH152" s="6"/>
    </row>
    <row r="153" customFormat="false" ht="12.75" hidden="false" customHeight="false" outlineLevel="0" collapsed="false">
      <c r="A153" s="17" t="s">
        <v>159</v>
      </c>
      <c r="B153" s="17" t="s">
        <v>7</v>
      </c>
      <c r="C153" s="14"/>
      <c r="D153" s="14"/>
      <c r="E153" s="14" t="s">
        <v>38</v>
      </c>
      <c r="F153" s="15" t="s">
        <v>278</v>
      </c>
      <c r="G153" s="15"/>
      <c r="H153" s="15"/>
      <c r="I153" s="15"/>
      <c r="J153" s="19" t="n">
        <f aca="false">VLOOKUP($F153,Calculations!$B$6:$AE$314,5,FALSE())</f>
        <v>4800</v>
      </c>
      <c r="K153" s="20" t="s">
        <v>40</v>
      </c>
      <c r="L153" s="20" t="n">
        <f aca="false">J153</f>
        <v>4800</v>
      </c>
      <c r="M153" s="19" t="n">
        <f aca="false">VLOOKUP($F153,Calculations!$B$6:$AE$314,24,FALSE())</f>
        <v>0</v>
      </c>
      <c r="N153" s="23"/>
      <c r="O153" s="16" t="n">
        <f aca="false">+N153+M153+J153</f>
        <v>4800</v>
      </c>
      <c r="P153" s="16"/>
      <c r="Q153" s="19" t="n">
        <f aca="false">+J153</f>
        <v>4800</v>
      </c>
      <c r="R153" s="19"/>
      <c r="S153" s="19"/>
      <c r="T153" s="19" t="n">
        <f aca="false">+S153+R153+Q153</f>
        <v>4800</v>
      </c>
      <c r="U153" s="15"/>
      <c r="V153" s="19" t="n">
        <f aca="false">VLOOKUP($F153,Calculations!$B$6:$AE$314,8,FALSE())</f>
        <v>830.769230769231</v>
      </c>
      <c r="W153" s="19" t="n">
        <f aca="false">VLOOKUP($F153,Calculations!$B$6:$AE$314,11,FALSE())</f>
        <v>1938.46153846154</v>
      </c>
      <c r="X153" s="19"/>
      <c r="Y153" s="19" t="n">
        <f aca="false">T153+V153</f>
        <v>5630.76923076923</v>
      </c>
      <c r="Z153" s="19" t="n">
        <f aca="false">T153+W153</f>
        <v>6738.46153846154</v>
      </c>
      <c r="AA153" s="19"/>
      <c r="AB153" s="21" t="n">
        <f aca="false">VLOOKUP($F153,Calculations!$B$6:$AE$314,29,FALSE())</f>
        <v>34912</v>
      </c>
      <c r="AC153" s="15"/>
      <c r="AD153" s="19" t="n">
        <f aca="false">VLOOKUP($F153,Calculations!$B$6:$AE$314,7,FALSE())</f>
        <v>0</v>
      </c>
      <c r="AE153" s="19" t="n">
        <f aca="false">VLOOKUP($F153,Calculations!$B$6:$AE$314,10,FALSE())</f>
        <v>0</v>
      </c>
      <c r="AH153" s="6"/>
    </row>
    <row r="154" customFormat="false" ht="12.75" hidden="false" customHeight="false" outlineLevel="0" collapsed="false">
      <c r="A154" s="17" t="s">
        <v>254</v>
      </c>
      <c r="B154" s="17" t="s">
        <v>7</v>
      </c>
      <c r="C154" s="14"/>
      <c r="D154" s="14"/>
      <c r="E154" s="14" t="s">
        <v>38</v>
      </c>
      <c r="F154" s="15" t="s">
        <v>279</v>
      </c>
      <c r="G154" s="15"/>
      <c r="H154" s="15"/>
      <c r="I154" s="15"/>
      <c r="J154" s="19" t="n">
        <f aca="false">VLOOKUP($F154,Calculations!$B$6:$AE$314,5,FALSE())</f>
        <v>25367.472</v>
      </c>
      <c r="K154" s="20" t="s">
        <v>256</v>
      </c>
      <c r="L154" s="20" t="e">
        <f aca="false">(J154*#REF!)</f>
        <v>#REF!</v>
      </c>
      <c r="M154" s="19" t="n">
        <f aca="false">VLOOKUP($F154,Calculations!$B$6:$AE$314,24,FALSE())</f>
        <v>7500</v>
      </c>
      <c r="N154" s="23"/>
      <c r="O154" s="16" t="n">
        <f aca="false">+N154+M154+J154</f>
        <v>32867.472</v>
      </c>
      <c r="P154" s="16"/>
      <c r="Q154" s="19" t="n">
        <f aca="false">+J154</f>
        <v>25367.472</v>
      </c>
      <c r="R154" s="19"/>
      <c r="S154" s="19"/>
      <c r="T154" s="19" t="n">
        <f aca="false">+S154+R154+Q154</f>
        <v>25367.472</v>
      </c>
      <c r="U154" s="15"/>
      <c r="V154" s="19" t="n">
        <f aca="false">VLOOKUP($F154,Calculations!$B$6:$AE$314,8,FALSE())</f>
        <v>4390.524</v>
      </c>
      <c r="W154" s="19" t="n">
        <f aca="false">VLOOKUP($F154,Calculations!$B$6:$AE$314,11,FALSE())</f>
        <v>13171.572</v>
      </c>
      <c r="X154" s="19"/>
      <c r="Y154" s="19" t="n">
        <f aca="false">T154+V154</f>
        <v>29757.996</v>
      </c>
      <c r="Z154" s="19" t="n">
        <f aca="false">T154+W154</f>
        <v>38539.044</v>
      </c>
      <c r="AA154" s="19"/>
      <c r="AB154" s="21" t="n">
        <f aca="false">VLOOKUP($F154,Calculations!$B$6:$AE$314,29,FALSE())</f>
        <v>35067</v>
      </c>
      <c r="AC154" s="15"/>
      <c r="AD154" s="19" t="n">
        <f aca="false">VLOOKUP($F154,Calculations!$B$6:$AE$314,7,FALSE())</f>
        <v>0</v>
      </c>
      <c r="AE154" s="19" t="n">
        <f aca="false">VLOOKUP($F154,Calculations!$B$6:$AE$314,10,FALSE())</f>
        <v>0</v>
      </c>
      <c r="AH154" s="6"/>
    </row>
    <row r="155" customFormat="false" ht="12.75" hidden="false" customHeight="false" outlineLevel="0" collapsed="false">
      <c r="A155" s="17" t="s">
        <v>254</v>
      </c>
      <c r="B155" s="17" t="s">
        <v>7</v>
      </c>
      <c r="C155" s="14"/>
      <c r="D155" s="14"/>
      <c r="E155" s="14" t="s">
        <v>38</v>
      </c>
      <c r="F155" s="15" t="s">
        <v>280</v>
      </c>
      <c r="G155" s="15"/>
      <c r="H155" s="15"/>
      <c r="I155" s="15"/>
      <c r="J155" s="19" t="n">
        <f aca="false">VLOOKUP($F155,Calculations!$B$6:$AE$314,5,FALSE())</f>
        <v>9000</v>
      </c>
      <c r="K155" s="20" t="s">
        <v>281</v>
      </c>
      <c r="L155" s="20"/>
      <c r="M155" s="19" t="n">
        <f aca="false">VLOOKUP($F155,Calculations!$B$6:$AE$314,24,FALSE())</f>
        <v>0</v>
      </c>
      <c r="N155" s="23"/>
      <c r="O155" s="16" t="n">
        <f aca="false">+N155+M155+J155</f>
        <v>9000</v>
      </c>
      <c r="P155" s="16"/>
      <c r="Q155" s="19" t="n">
        <f aca="false">+J155</f>
        <v>9000</v>
      </c>
      <c r="R155" s="19"/>
      <c r="S155" s="19"/>
      <c r="T155" s="19" t="n">
        <f aca="false">+S155+R155+Q155</f>
        <v>9000</v>
      </c>
      <c r="U155" s="15"/>
      <c r="V155" s="19" t="n">
        <f aca="false">VLOOKUP($F155,Calculations!$B$6:$AE$314,8,FALSE())</f>
        <v>1038.46153846154</v>
      </c>
      <c r="W155" s="19" t="n">
        <f aca="false">VLOOKUP($F155,Calculations!$B$6:$AE$314,11,FALSE())</f>
        <v>2596.15384615385</v>
      </c>
      <c r="X155" s="19"/>
      <c r="Y155" s="19" t="n">
        <f aca="false">T155+V155</f>
        <v>10038.4615384615</v>
      </c>
      <c r="Z155" s="19" t="n">
        <f aca="false">T155+W155</f>
        <v>11596.1538461538</v>
      </c>
      <c r="AA155" s="19"/>
      <c r="AB155" s="21" t="n">
        <f aca="false">VLOOKUP($F155,Calculations!$B$6:$AE$314,29,FALSE())</f>
        <v>35612</v>
      </c>
      <c r="AC155" s="15"/>
      <c r="AD155" s="19" t="n">
        <f aca="false">VLOOKUP($F155,Calculations!$B$6:$AE$314,7,FALSE())</f>
        <v>0</v>
      </c>
      <c r="AE155" s="19" t="n">
        <f aca="false">VLOOKUP($F155,Calculations!$B$6:$AE$314,10,FALSE())</f>
        <v>0</v>
      </c>
      <c r="AH155" s="6"/>
    </row>
    <row r="156" customFormat="false" ht="12.75" hidden="false" customHeight="false" outlineLevel="0" collapsed="false">
      <c r="A156" s="17" t="s">
        <v>254</v>
      </c>
      <c r="B156" s="17" t="s">
        <v>7</v>
      </c>
      <c r="C156" s="14"/>
      <c r="D156" s="14"/>
      <c r="E156" s="14" t="s">
        <v>38</v>
      </c>
      <c r="F156" s="15" t="s">
        <v>282</v>
      </c>
      <c r="G156" s="15"/>
      <c r="H156" s="15"/>
      <c r="I156" s="15"/>
      <c r="J156" s="19" t="n">
        <f aca="false">VLOOKUP($F156,Calculations!$B$6:$AE$314,5,FALSE())</f>
        <v>4200</v>
      </c>
      <c r="K156" s="20" t="s">
        <v>178</v>
      </c>
      <c r="L156" s="20"/>
      <c r="M156" s="19" t="n">
        <f aca="false">VLOOKUP($F156,Calculations!$B$6:$AE$314,24,FALSE())</f>
        <v>0</v>
      </c>
      <c r="N156" s="23"/>
      <c r="O156" s="16" t="n">
        <f aca="false">+N156+M156+J156</f>
        <v>4200</v>
      </c>
      <c r="P156" s="16"/>
      <c r="Q156" s="19" t="n">
        <f aca="false">+J156</f>
        <v>4200</v>
      </c>
      <c r="R156" s="19"/>
      <c r="S156" s="19"/>
      <c r="T156" s="19" t="n">
        <f aca="false">+S156+R156+Q156</f>
        <v>4200</v>
      </c>
      <c r="U156" s="15"/>
      <c r="V156" s="19" t="n">
        <f aca="false">VLOOKUP($F156,Calculations!$B$6:$AE$314,8,FALSE())</f>
        <v>242.307692307692</v>
      </c>
      <c r="W156" s="19" t="n">
        <f aca="false">VLOOKUP($F156,Calculations!$B$6:$AE$314,11,FALSE())</f>
        <v>726.923076923077</v>
      </c>
      <c r="X156" s="19"/>
      <c r="Y156" s="19" t="n">
        <f aca="false">T156+V156</f>
        <v>4442.30769230769</v>
      </c>
      <c r="Z156" s="19" t="n">
        <f aca="false">T156+W156</f>
        <v>4926.92307692308</v>
      </c>
      <c r="AA156" s="19"/>
      <c r="AB156" s="21" t="n">
        <f aca="false">VLOOKUP($F156,Calculations!$B$6:$AE$314,29,FALSE())</f>
        <v>36700</v>
      </c>
      <c r="AC156" s="15"/>
      <c r="AD156" s="19" t="n">
        <f aca="false">VLOOKUP($F156,Calculations!$B$6:$AE$314,7,FALSE())</f>
        <v>0</v>
      </c>
      <c r="AE156" s="19" t="n">
        <f aca="false">VLOOKUP($F156,Calculations!$B$6:$AE$314,10,FALSE())</f>
        <v>0</v>
      </c>
      <c r="AH156" s="6"/>
    </row>
    <row r="157" customFormat="false" ht="12.75" hidden="false" customHeight="false" outlineLevel="0" collapsed="false">
      <c r="A157" s="17" t="s">
        <v>254</v>
      </c>
      <c r="B157" s="17" t="s">
        <v>7</v>
      </c>
      <c r="C157" s="14"/>
      <c r="D157" s="14"/>
      <c r="E157" s="14" t="s">
        <v>38</v>
      </c>
      <c r="F157" s="15" t="s">
        <v>283</v>
      </c>
      <c r="G157" s="15"/>
      <c r="H157" s="15"/>
      <c r="I157" s="15"/>
      <c r="J157" s="19" t="n">
        <f aca="false">VLOOKUP($F157,Calculations!$B$6:$AE$314,5,FALSE())</f>
        <v>4200</v>
      </c>
      <c r="K157" s="20"/>
      <c r="L157" s="20"/>
      <c r="M157" s="19" t="n">
        <f aca="false">VLOOKUP($F157,Calculations!$B$6:$AE$314,24,FALSE())</f>
        <v>0</v>
      </c>
      <c r="N157" s="23"/>
      <c r="O157" s="16" t="n">
        <f aca="false">+N157+M157+J157</f>
        <v>4200</v>
      </c>
      <c r="P157" s="16"/>
      <c r="Q157" s="19" t="n">
        <f aca="false">+J157</f>
        <v>4200</v>
      </c>
      <c r="R157" s="19"/>
      <c r="S157" s="19"/>
      <c r="T157" s="19" t="n">
        <f aca="false">+S157+R157+Q157</f>
        <v>4200</v>
      </c>
      <c r="U157" s="15"/>
      <c r="V157" s="19" t="n">
        <f aca="false">VLOOKUP($F157,Calculations!$B$6:$AE$314,8,FALSE())</f>
        <v>242.307692307692</v>
      </c>
      <c r="W157" s="19" t="n">
        <f aca="false">VLOOKUP($F157,Calculations!$B$6:$AE$314,11,FALSE())</f>
        <v>726.923076923077</v>
      </c>
      <c r="X157" s="19"/>
      <c r="Y157" s="19" t="n">
        <f aca="false">T157+V157</f>
        <v>4442.30769230769</v>
      </c>
      <c r="Z157" s="19" t="n">
        <f aca="false">T157+W157</f>
        <v>4926.92307692308</v>
      </c>
      <c r="AA157" s="19"/>
      <c r="AB157" s="21" t="n">
        <f aca="false">VLOOKUP($F157,Calculations!$B$6:$AE$314,29,FALSE())</f>
        <v>36356</v>
      </c>
      <c r="AC157" s="15"/>
      <c r="AD157" s="19" t="n">
        <f aca="false">VLOOKUP($F157,Calculations!$B$6:$AE$314,7,FALSE())</f>
        <v>0</v>
      </c>
      <c r="AE157" s="19" t="n">
        <f aca="false">VLOOKUP($F157,Calculations!$B$6:$AE$314,10,FALSE())</f>
        <v>0</v>
      </c>
      <c r="AH157" s="6"/>
    </row>
    <row r="158" customFormat="false" ht="12.75" hidden="false" customHeight="false" outlineLevel="0" collapsed="false">
      <c r="A158" s="17" t="s">
        <v>159</v>
      </c>
      <c r="B158" s="17" t="s">
        <v>7</v>
      </c>
      <c r="C158" s="14"/>
      <c r="D158" s="14"/>
      <c r="E158" s="14" t="s">
        <v>38</v>
      </c>
      <c r="F158" s="15" t="s">
        <v>284</v>
      </c>
      <c r="G158" s="15"/>
      <c r="H158" s="15"/>
      <c r="I158" s="15"/>
      <c r="J158" s="19" t="n">
        <f aca="false">VLOOKUP($F158,Calculations!$B$6:$AE$314,5,FALSE())</f>
        <v>3600</v>
      </c>
      <c r="K158" s="20" t="s">
        <v>40</v>
      </c>
      <c r="L158" s="20" t="n">
        <f aca="false">J158</f>
        <v>3600</v>
      </c>
      <c r="M158" s="19" t="n">
        <f aca="false">VLOOKUP($F158,Calculations!$B$6:$AE$314,24,FALSE())</f>
        <v>15000</v>
      </c>
      <c r="N158" s="23"/>
      <c r="O158" s="16" t="n">
        <f aca="false">+N158+M158+J158</f>
        <v>18600</v>
      </c>
      <c r="P158" s="16"/>
      <c r="Q158" s="19" t="n">
        <f aca="false">+J158</f>
        <v>3600</v>
      </c>
      <c r="R158" s="19"/>
      <c r="S158" s="19"/>
      <c r="T158" s="19" t="n">
        <f aca="false">+S158+R158+Q158</f>
        <v>3600</v>
      </c>
      <c r="U158" s="15"/>
      <c r="V158" s="19" t="n">
        <f aca="false">VLOOKUP($F158,Calculations!$B$6:$AE$314,8,FALSE())</f>
        <v>519.230769230769</v>
      </c>
      <c r="W158" s="19" t="n">
        <f aca="false">VLOOKUP($F158,Calculations!$B$6:$AE$314,11,FALSE())</f>
        <v>1246.15384615385</v>
      </c>
      <c r="X158" s="19"/>
      <c r="Y158" s="19" t="n">
        <f aca="false">T158+V158</f>
        <v>4119.23076923077</v>
      </c>
      <c r="Z158" s="19" t="n">
        <f aca="false">T158+W158</f>
        <v>4846.15384615385</v>
      </c>
      <c r="AA158" s="19"/>
      <c r="AB158" s="21" t="n">
        <f aca="false">VLOOKUP($F158,Calculations!$B$6:$AE$314,29,FALSE())</f>
        <v>35247</v>
      </c>
      <c r="AC158" s="15"/>
      <c r="AD158" s="19" t="n">
        <f aca="false">VLOOKUP($F158,Calculations!$B$6:$AE$314,7,FALSE())</f>
        <v>0</v>
      </c>
      <c r="AE158" s="19" t="n">
        <f aca="false">VLOOKUP($F158,Calculations!$B$6:$AE$314,10,FALSE())</f>
        <v>0</v>
      </c>
      <c r="AH158" s="6"/>
    </row>
    <row r="159" customFormat="false" ht="12.75" hidden="false" customHeight="false" outlineLevel="0" collapsed="false">
      <c r="A159" s="17" t="s">
        <v>254</v>
      </c>
      <c r="B159" s="17" t="s">
        <v>7</v>
      </c>
      <c r="C159" s="14"/>
      <c r="D159" s="14"/>
      <c r="E159" s="14" t="s">
        <v>38</v>
      </c>
      <c r="F159" s="15" t="s">
        <v>285</v>
      </c>
      <c r="G159" s="15"/>
      <c r="H159" s="15"/>
      <c r="I159" s="15"/>
      <c r="J159" s="19" t="n">
        <f aca="false">VLOOKUP($F159,Calculations!$B$6:$AE$314,5,FALSE())</f>
        <v>16529.604</v>
      </c>
      <c r="K159" s="20" t="s">
        <v>256</v>
      </c>
      <c r="L159" s="20" t="e">
        <f aca="false">(J159*#REF!)</f>
        <v>#REF!</v>
      </c>
      <c r="M159" s="19" t="n">
        <f aca="false">VLOOKUP($F159,Calculations!$B$6:$AE$314,24,FALSE())</f>
        <v>0</v>
      </c>
      <c r="N159" s="23"/>
      <c r="O159" s="16" t="n">
        <f aca="false">+N159+M159+J159</f>
        <v>16529.604</v>
      </c>
      <c r="P159" s="16"/>
      <c r="Q159" s="19" t="n">
        <f aca="false">+J159</f>
        <v>16529.604</v>
      </c>
      <c r="R159" s="19"/>
      <c r="S159" s="19"/>
      <c r="T159" s="19" t="n">
        <f aca="false">+S159+R159+Q159</f>
        <v>16529.604</v>
      </c>
      <c r="U159" s="15"/>
      <c r="V159" s="19" t="n">
        <f aca="false">VLOOKUP($F159,Calculations!$B$6:$AE$314,8,FALSE())</f>
        <v>2860.893</v>
      </c>
      <c r="W159" s="19" t="n">
        <f aca="false">VLOOKUP($F159,Calculations!$B$6:$AE$314,11,FALSE())</f>
        <v>7629.048</v>
      </c>
      <c r="X159" s="19"/>
      <c r="Y159" s="19" t="n">
        <f aca="false">T159+V159</f>
        <v>19390.497</v>
      </c>
      <c r="Z159" s="19" t="n">
        <f aca="false">T159+W159</f>
        <v>24158.652</v>
      </c>
      <c r="AA159" s="19"/>
      <c r="AB159" s="21" t="n">
        <f aca="false">VLOOKUP($F159,Calculations!$B$6:$AE$314,29,FALSE())</f>
        <v>35058</v>
      </c>
      <c r="AC159" s="15"/>
      <c r="AD159" s="19" t="n">
        <f aca="false">VLOOKUP($F159,Calculations!$B$6:$AE$314,7,FALSE())</f>
        <v>0</v>
      </c>
      <c r="AE159" s="19" t="n">
        <f aca="false">VLOOKUP($F159,Calculations!$B$6:$AE$314,10,FALSE())</f>
        <v>0</v>
      </c>
      <c r="AH159" s="6"/>
    </row>
    <row r="160" customFormat="false" ht="12.75" hidden="false" customHeight="false" outlineLevel="0" collapsed="false">
      <c r="A160" s="17" t="s">
        <v>254</v>
      </c>
      <c r="B160" s="17" t="s">
        <v>7</v>
      </c>
      <c r="C160" s="14"/>
      <c r="D160" s="14"/>
      <c r="E160" s="14" t="s">
        <v>38</v>
      </c>
      <c r="F160" s="15" t="s">
        <v>286</v>
      </c>
      <c r="G160" s="15"/>
      <c r="H160" s="15"/>
      <c r="I160" s="15"/>
      <c r="J160" s="19" t="n">
        <f aca="false">VLOOKUP($F160,Calculations!$B$6:$AE$314,5,FALSE())</f>
        <v>3600</v>
      </c>
      <c r="K160" s="20" t="s">
        <v>178</v>
      </c>
      <c r="L160" s="20"/>
      <c r="M160" s="19" t="n">
        <f aca="false">VLOOKUP($F160,Calculations!$B$6:$AE$314,24,FALSE())</f>
        <v>0</v>
      </c>
      <c r="N160" s="23"/>
      <c r="O160" s="16" t="n">
        <f aca="false">+N160+M160+J160</f>
        <v>3600</v>
      </c>
      <c r="P160" s="16"/>
      <c r="Q160" s="19" t="n">
        <f aca="false">+J160</f>
        <v>3600</v>
      </c>
      <c r="R160" s="19"/>
      <c r="S160" s="19"/>
      <c r="T160" s="19" t="n">
        <f aca="false">+S160+R160+Q160</f>
        <v>3600</v>
      </c>
      <c r="U160" s="15"/>
      <c r="V160" s="19" t="n">
        <f aca="false">VLOOKUP($F160,Calculations!$B$6:$AE$314,8,FALSE())</f>
        <v>103.846153846154</v>
      </c>
      <c r="W160" s="19" t="n">
        <f aca="false">VLOOKUP($F160,Calculations!$B$6:$AE$314,11,FALSE())</f>
        <v>415.384615384615</v>
      </c>
      <c r="X160" s="19"/>
      <c r="Y160" s="19" t="n">
        <f aca="false">T160+V160</f>
        <v>3703.84615384615</v>
      </c>
      <c r="Z160" s="19" t="n">
        <f aca="false">T160+W160</f>
        <v>4015.38461538462</v>
      </c>
      <c r="AA160" s="19"/>
      <c r="AB160" s="21" t="n">
        <f aca="false">VLOOKUP($F160,Calculations!$B$6:$AE$314,29,FALSE())</f>
        <v>36867</v>
      </c>
      <c r="AC160" s="15"/>
      <c r="AD160" s="19" t="n">
        <f aca="false">VLOOKUP($F160,Calculations!$B$6:$AE$314,7,FALSE())</f>
        <v>0</v>
      </c>
      <c r="AE160" s="19" t="n">
        <f aca="false">VLOOKUP($F160,Calculations!$B$6:$AE$314,10,FALSE())</f>
        <v>0</v>
      </c>
      <c r="AH160" s="6"/>
    </row>
    <row r="161" customFormat="false" ht="12.75" hidden="false" customHeight="false" outlineLevel="0" collapsed="false">
      <c r="A161" s="17" t="s">
        <v>254</v>
      </c>
      <c r="B161" s="17" t="s">
        <v>7</v>
      </c>
      <c r="C161" s="14"/>
      <c r="D161" s="14"/>
      <c r="E161" s="14" t="s">
        <v>38</v>
      </c>
      <c r="F161" s="15" t="s">
        <v>287</v>
      </c>
      <c r="G161" s="15"/>
      <c r="H161" s="15"/>
      <c r="I161" s="15"/>
      <c r="J161" s="19" t="n">
        <f aca="false">VLOOKUP($F161,Calculations!$B$6:$AE$314,5,FALSE())</f>
        <v>3600</v>
      </c>
      <c r="K161" s="20"/>
      <c r="L161" s="20"/>
      <c r="M161" s="19" t="n">
        <f aca="false">VLOOKUP($F161,Calculations!$B$6:$AE$314,24,FALSE())</f>
        <v>0</v>
      </c>
      <c r="N161" s="23"/>
      <c r="O161" s="16" t="n">
        <f aca="false">+N161+M161+J161</f>
        <v>3600</v>
      </c>
      <c r="P161" s="16"/>
      <c r="Q161" s="19" t="n">
        <f aca="false">+J161</f>
        <v>3600</v>
      </c>
      <c r="R161" s="19"/>
      <c r="S161" s="19"/>
      <c r="T161" s="19" t="n">
        <f aca="false">+S161+R161+Q161</f>
        <v>3600</v>
      </c>
      <c r="U161" s="15"/>
      <c r="V161" s="19" t="n">
        <f aca="false">VLOOKUP($F161,Calculations!$B$6:$AE$314,8,FALSE())</f>
        <v>207.692307692308</v>
      </c>
      <c r="W161" s="19" t="n">
        <f aca="false">VLOOKUP($F161,Calculations!$B$6:$AE$314,11,FALSE())</f>
        <v>623.076923076923</v>
      </c>
      <c r="X161" s="19"/>
      <c r="Y161" s="19" t="n">
        <f aca="false">T161+V161</f>
        <v>3807.69230769231</v>
      </c>
      <c r="Z161" s="19" t="n">
        <f aca="false">T161+W161</f>
        <v>4223.07692307692</v>
      </c>
      <c r="AA161" s="19"/>
      <c r="AB161" s="21" t="n">
        <f aca="false">VLOOKUP($F161,Calculations!$B$6:$AE$314,29,FALSE())</f>
        <v>36586</v>
      </c>
      <c r="AC161" s="15"/>
      <c r="AD161" s="19" t="n">
        <f aca="false">VLOOKUP($F161,Calculations!$B$6:$AE$314,7,FALSE())</f>
        <v>0</v>
      </c>
      <c r="AE161" s="19" t="n">
        <f aca="false">VLOOKUP($F161,Calculations!$B$6:$AE$314,10,FALSE())</f>
        <v>0</v>
      </c>
      <c r="AH161" s="6"/>
    </row>
    <row r="162" customFormat="false" ht="12.75" hidden="false" customHeight="false" outlineLevel="0" collapsed="false">
      <c r="A162" s="17" t="s">
        <v>254</v>
      </c>
      <c r="B162" s="17" t="s">
        <v>7</v>
      </c>
      <c r="C162" s="14"/>
      <c r="D162" s="14"/>
      <c r="E162" s="14" t="s">
        <v>38</v>
      </c>
      <c r="F162" s="15" t="s">
        <v>288</v>
      </c>
      <c r="G162" s="15"/>
      <c r="H162" s="15"/>
      <c r="I162" s="15"/>
      <c r="J162" s="19" t="n">
        <f aca="false">VLOOKUP($F162,Calculations!$B$6:$AE$314,5,FALSE())</f>
        <v>5483.736</v>
      </c>
      <c r="K162" s="20" t="s">
        <v>256</v>
      </c>
      <c r="L162" s="20" t="e">
        <f aca="false">(J162*#REF!)</f>
        <v>#REF!</v>
      </c>
      <c r="M162" s="19" t="n">
        <f aca="false">VLOOKUP($F162,Calculations!$B$6:$AE$314,24,FALSE())</f>
        <v>0</v>
      </c>
      <c r="N162" s="23"/>
      <c r="O162" s="16" t="n">
        <f aca="false">+N162+M162+J162</f>
        <v>5483.736</v>
      </c>
      <c r="P162" s="16"/>
      <c r="Q162" s="19" t="n">
        <f aca="false">+J162</f>
        <v>5483.736</v>
      </c>
      <c r="R162" s="19"/>
      <c r="S162" s="19"/>
      <c r="T162" s="19" t="n">
        <f aca="false">+S162+R162+Q162</f>
        <v>5483.736</v>
      </c>
      <c r="U162" s="15"/>
      <c r="V162" s="19" t="n">
        <f aca="false">VLOOKUP($F162,Calculations!$B$6:$AE$314,8,FALSE())</f>
        <v>316.369384615385</v>
      </c>
      <c r="W162" s="19" t="n">
        <f aca="false">VLOOKUP($F162,Calculations!$B$6:$AE$314,11,FALSE())</f>
        <v>949.108153846154</v>
      </c>
      <c r="X162" s="19"/>
      <c r="Y162" s="19" t="n">
        <f aca="false">T162+V162</f>
        <v>5800.10538461538</v>
      </c>
      <c r="Z162" s="19" t="n">
        <f aca="false">T162+W162</f>
        <v>6432.84415384615</v>
      </c>
      <c r="AA162" s="19"/>
      <c r="AB162" s="21" t="n">
        <f aca="false">VLOOKUP($F162,Calculations!$B$6:$AE$314,29,FALSE())</f>
        <v>36526</v>
      </c>
      <c r="AC162" s="15"/>
      <c r="AD162" s="19" t="n">
        <f aca="false">VLOOKUP($F162,Calculations!$B$6:$AE$314,7,FALSE())</f>
        <v>0</v>
      </c>
      <c r="AE162" s="19" t="n">
        <f aca="false">VLOOKUP($F162,Calculations!$B$6:$AE$314,10,FALSE())</f>
        <v>0</v>
      </c>
      <c r="AH162" s="6"/>
    </row>
    <row r="163" customFormat="false" ht="12.75" hidden="false" customHeight="false" outlineLevel="0" collapsed="false">
      <c r="A163" s="17" t="s">
        <v>254</v>
      </c>
      <c r="B163" s="17" t="s">
        <v>7</v>
      </c>
      <c r="C163" s="14"/>
      <c r="D163" s="14"/>
      <c r="E163" s="14" t="s">
        <v>38</v>
      </c>
      <c r="F163" s="15" t="s">
        <v>289</v>
      </c>
      <c r="G163" s="15"/>
      <c r="H163" s="15"/>
      <c r="I163" s="15"/>
      <c r="J163" s="19" t="n">
        <f aca="false">VLOOKUP($F163,Calculations!$B$6:$AE$314,5,FALSE())</f>
        <v>7883.736</v>
      </c>
      <c r="K163" s="20" t="s">
        <v>256</v>
      </c>
      <c r="L163" s="20" t="e">
        <f aca="false">(J163*#REF!)</f>
        <v>#REF!</v>
      </c>
      <c r="M163" s="19" t="n">
        <f aca="false">VLOOKUP($F163,Calculations!$B$6:$AE$314,24,FALSE())</f>
        <v>0</v>
      </c>
      <c r="N163" s="23"/>
      <c r="O163" s="16" t="n">
        <f aca="false">+N163+M163+J163</f>
        <v>7883.736</v>
      </c>
      <c r="P163" s="16"/>
      <c r="Q163" s="19" t="n">
        <f aca="false">+J163</f>
        <v>7883.736</v>
      </c>
      <c r="R163" s="19"/>
      <c r="S163" s="19"/>
      <c r="T163" s="19" t="n">
        <f aca="false">+S163+R163+Q163</f>
        <v>7883.736</v>
      </c>
      <c r="U163" s="15"/>
      <c r="V163" s="19" t="n">
        <f aca="false">VLOOKUP($F163,Calculations!$B$6:$AE$314,8,FALSE())</f>
        <v>1364.49276923077</v>
      </c>
      <c r="W163" s="19" t="n">
        <f aca="false">VLOOKUP($F163,Calculations!$B$6:$AE$314,11,FALSE())</f>
        <v>3183.81646153846</v>
      </c>
      <c r="X163" s="19"/>
      <c r="Y163" s="19" t="n">
        <f aca="false">T163+V163</f>
        <v>9248.22876923077</v>
      </c>
      <c r="Z163" s="19" t="n">
        <f aca="false">T163+W163</f>
        <v>11067.5524615385</v>
      </c>
      <c r="AA163" s="19"/>
      <c r="AB163" s="21" t="n">
        <f aca="false">VLOOKUP($F163,Calculations!$B$6:$AE$314,29,FALSE())</f>
        <v>34851</v>
      </c>
      <c r="AC163" s="15"/>
      <c r="AD163" s="19" t="n">
        <f aca="false">VLOOKUP($F163,Calculations!$B$6:$AE$314,7,FALSE())</f>
        <v>0</v>
      </c>
      <c r="AE163" s="19" t="n">
        <f aca="false">VLOOKUP($F163,Calculations!$B$6:$AE$314,10,FALSE())</f>
        <v>0</v>
      </c>
      <c r="AH163" s="6"/>
    </row>
    <row r="164" customFormat="false" ht="12.75" hidden="false" customHeight="false" outlineLevel="0" collapsed="false">
      <c r="A164" s="17" t="s">
        <v>254</v>
      </c>
      <c r="B164" s="17" t="s">
        <v>7</v>
      </c>
      <c r="C164" s="14"/>
      <c r="D164" s="14"/>
      <c r="E164" s="14" t="s">
        <v>38</v>
      </c>
      <c r="F164" s="15" t="s">
        <v>290</v>
      </c>
      <c r="G164" s="15"/>
      <c r="H164" s="15"/>
      <c r="I164" s="15"/>
      <c r="J164" s="19" t="n">
        <f aca="false">VLOOKUP($F164,Calculations!$B$6:$AE$314,5,FALSE())</f>
        <v>13283.736</v>
      </c>
      <c r="K164" s="20" t="s">
        <v>256</v>
      </c>
      <c r="L164" s="20" t="e">
        <f aca="false">(J164*#REF!)</f>
        <v>#REF!</v>
      </c>
      <c r="M164" s="19" t="n">
        <f aca="false">VLOOKUP($F164,Calculations!$B$6:$AE$314,24,FALSE())</f>
        <v>10000</v>
      </c>
      <c r="N164" s="23"/>
      <c r="O164" s="16" t="n">
        <f aca="false">+N164+M164+J164</f>
        <v>23283.736</v>
      </c>
      <c r="P164" s="16"/>
      <c r="Q164" s="19" t="n">
        <f aca="false">+J164</f>
        <v>13283.736</v>
      </c>
      <c r="R164" s="19"/>
      <c r="S164" s="19"/>
      <c r="T164" s="19" t="n">
        <f aca="false">+S164+R164+Q164</f>
        <v>13283.736</v>
      </c>
      <c r="U164" s="15"/>
      <c r="V164" s="19" t="n">
        <f aca="false">VLOOKUP($F164,Calculations!$B$6:$AE$314,8,FALSE())</f>
        <v>2682.29284615385</v>
      </c>
      <c r="W164" s="19" t="n">
        <f aca="false">VLOOKUP($F164,Calculations!$B$6:$AE$314,11,FALSE())</f>
        <v>6897.32446153846</v>
      </c>
      <c r="X164" s="19"/>
      <c r="Y164" s="19" t="n">
        <f aca="false">T164+V164</f>
        <v>15966.0288461538</v>
      </c>
      <c r="Z164" s="19" t="n">
        <f aca="false">T164+W164</f>
        <v>20181.0604615385</v>
      </c>
      <c r="AA164" s="19"/>
      <c r="AB164" s="21" t="n">
        <f aca="false">VLOOKUP($F164,Calculations!$B$6:$AE$314,29,FALSE())</f>
        <v>34731</v>
      </c>
      <c r="AC164" s="15"/>
      <c r="AD164" s="19" t="n">
        <f aca="false">VLOOKUP($F164,Calculations!$B$6:$AE$314,7,FALSE())</f>
        <v>0</v>
      </c>
      <c r="AE164" s="19" t="n">
        <f aca="false">VLOOKUP($F164,Calculations!$B$6:$AE$314,10,FALSE())</f>
        <v>0</v>
      </c>
      <c r="AH164" s="6"/>
    </row>
    <row r="165" customFormat="false" ht="12.75" hidden="false" customHeight="false" outlineLevel="0" collapsed="false">
      <c r="A165" s="17" t="s">
        <v>156</v>
      </c>
      <c r="B165" s="17" t="s">
        <v>7</v>
      </c>
      <c r="C165" s="14"/>
      <c r="D165" s="14"/>
      <c r="E165" s="14" t="s">
        <v>38</v>
      </c>
      <c r="F165" s="15" t="s">
        <v>291</v>
      </c>
      <c r="G165" s="15"/>
      <c r="H165" s="15"/>
      <c r="I165" s="15"/>
      <c r="J165" s="19" t="n">
        <f aca="false">VLOOKUP($F165,Calculations!$B$6:$AE$314,5,FALSE())</f>
        <v>2186</v>
      </c>
      <c r="K165" s="20" t="s">
        <v>40</v>
      </c>
      <c r="L165" s="20" t="n">
        <f aca="false">J165</f>
        <v>2186</v>
      </c>
      <c r="M165" s="19" t="n">
        <f aca="false">VLOOKUP($F165,Calculations!$B$6:$AE$314,24,FALSE())</f>
        <v>0</v>
      </c>
      <c r="N165" s="23"/>
      <c r="O165" s="16" t="n">
        <f aca="false">+N165+M165+J165</f>
        <v>2186</v>
      </c>
      <c r="P165" s="16"/>
      <c r="Q165" s="19" t="n">
        <f aca="false">+J165</f>
        <v>2186</v>
      </c>
      <c r="R165" s="19"/>
      <c r="S165" s="19"/>
      <c r="T165" s="19" t="n">
        <f aca="false">+S165+R165+Q165</f>
        <v>2186</v>
      </c>
      <c r="U165" s="15"/>
      <c r="V165" s="19" t="n">
        <f aca="false">VLOOKUP($F165,Calculations!$B$6:$AE$314,8,FALSE())</f>
        <v>189.173076923077</v>
      </c>
      <c r="W165" s="19" t="n">
        <f aca="false">VLOOKUP($F165,Calculations!$B$6:$AE$314,11,FALSE())</f>
        <v>504.461538461538</v>
      </c>
      <c r="X165" s="19"/>
      <c r="Y165" s="19" t="n">
        <f aca="false">T165+V165</f>
        <v>2375.17307692308</v>
      </c>
      <c r="Z165" s="19" t="n">
        <f aca="false">T165+W165</f>
        <v>2690.46153846154</v>
      </c>
      <c r="AA165" s="19"/>
      <c r="AB165" s="21" t="n">
        <f aca="false">VLOOKUP($F165,Calculations!$B$6:$AE$314,29,FALSE())</f>
        <v>36122</v>
      </c>
      <c r="AC165" s="15"/>
      <c r="AD165" s="19" t="n">
        <f aca="false">VLOOKUP($F165,Calculations!$B$6:$AE$314,7,FALSE())</f>
        <v>0</v>
      </c>
      <c r="AE165" s="19" t="n">
        <f aca="false">VLOOKUP($F165,Calculations!$B$6:$AE$314,10,FALSE())</f>
        <v>0</v>
      </c>
      <c r="AH165" s="6"/>
    </row>
    <row r="166" customFormat="false" ht="12.75" hidden="false" customHeight="false" outlineLevel="0" collapsed="false">
      <c r="A166" s="17" t="s">
        <v>140</v>
      </c>
      <c r="B166" s="17" t="s">
        <v>7</v>
      </c>
      <c r="C166" s="14"/>
      <c r="D166" s="14"/>
      <c r="E166" s="14" t="s">
        <v>38</v>
      </c>
      <c r="F166" s="15" t="s">
        <v>292</v>
      </c>
      <c r="G166" s="15"/>
      <c r="H166" s="15"/>
      <c r="I166" s="15"/>
      <c r="J166" s="19" t="n">
        <f aca="false">VLOOKUP($F166,Calculations!$B$6:$AE$314,5,FALSE())</f>
        <v>1943</v>
      </c>
      <c r="K166" s="20" t="s">
        <v>40</v>
      </c>
      <c r="L166" s="20" t="n">
        <f aca="false">J166</f>
        <v>1943</v>
      </c>
      <c r="M166" s="19" t="n">
        <f aca="false">VLOOKUP($F166,Calculations!$B$6:$AE$314,24,FALSE())</f>
        <v>0</v>
      </c>
      <c r="N166" s="23"/>
      <c r="O166" s="16" t="n">
        <f aca="false">+N166+M166+J166</f>
        <v>1943</v>
      </c>
      <c r="P166" s="16"/>
      <c r="Q166" s="19" t="n">
        <f aca="false">+J166</f>
        <v>1943</v>
      </c>
      <c r="R166" s="19"/>
      <c r="S166" s="19"/>
      <c r="T166" s="19" t="n">
        <f aca="false">+S166+R166+Q166</f>
        <v>1943</v>
      </c>
      <c r="U166" s="15"/>
      <c r="V166" s="19" t="n">
        <f aca="false">VLOOKUP($F166,Calculations!$B$6:$AE$314,8,FALSE())</f>
        <v>336.288461538462</v>
      </c>
      <c r="W166" s="19" t="n">
        <f aca="false">VLOOKUP($F166,Calculations!$B$6:$AE$314,11,FALSE())</f>
        <v>784.673076923077</v>
      </c>
      <c r="X166" s="19"/>
      <c r="Y166" s="19" t="n">
        <f aca="false">T166+V166</f>
        <v>2279.28846153846</v>
      </c>
      <c r="Z166" s="19" t="n">
        <f aca="false">T166+W166</f>
        <v>2727.67307692308</v>
      </c>
      <c r="AA166" s="19"/>
      <c r="AB166" s="21" t="n">
        <f aca="false">VLOOKUP($F166,Calculations!$B$6:$AE$314,29,FALSE())</f>
        <v>35065</v>
      </c>
      <c r="AC166" s="15"/>
      <c r="AD166" s="19" t="n">
        <f aca="false">VLOOKUP($F166,Calculations!$B$6:$AE$314,7,FALSE())</f>
        <v>0</v>
      </c>
      <c r="AE166" s="19" t="n">
        <f aca="false">VLOOKUP($F166,Calculations!$B$6:$AE$314,10,FALSE())</f>
        <v>0</v>
      </c>
      <c r="AH166" s="6"/>
    </row>
    <row r="167" customFormat="false" ht="12.75" hidden="false" customHeight="false" outlineLevel="0" collapsed="false">
      <c r="A167" s="17" t="s">
        <v>159</v>
      </c>
      <c r="B167" s="17" t="s">
        <v>7</v>
      </c>
      <c r="C167" s="14"/>
      <c r="D167" s="14"/>
      <c r="E167" s="14" t="s">
        <v>38</v>
      </c>
      <c r="F167" s="15" t="s">
        <v>293</v>
      </c>
      <c r="G167" s="15"/>
      <c r="H167" s="15"/>
      <c r="I167" s="15"/>
      <c r="J167" s="19" t="n">
        <f aca="false">VLOOKUP($F167,Calculations!$B$6:$AE$314,5,FALSE())</f>
        <v>1200</v>
      </c>
      <c r="K167" s="20" t="s">
        <v>40</v>
      </c>
      <c r="L167" s="20" t="n">
        <f aca="false">J167</f>
        <v>1200</v>
      </c>
      <c r="M167" s="19" t="n">
        <f aca="false">VLOOKUP($F167,Calculations!$B$6:$AE$314,24,FALSE())</f>
        <v>0</v>
      </c>
      <c r="N167" s="23"/>
      <c r="O167" s="16" t="n">
        <f aca="false">+N167+M167+J167</f>
        <v>1200</v>
      </c>
      <c r="P167" s="16"/>
      <c r="Q167" s="19" t="n">
        <f aca="false">+J167</f>
        <v>1200</v>
      </c>
      <c r="R167" s="19"/>
      <c r="S167" s="19"/>
      <c r="T167" s="19" t="n">
        <f aca="false">+S167+R167+Q167</f>
        <v>1200</v>
      </c>
      <c r="U167" s="15"/>
      <c r="V167" s="19" t="n">
        <f aca="false">VLOOKUP($F167,Calculations!$B$6:$AE$314,8,FALSE())</f>
        <v>138.461538461538</v>
      </c>
      <c r="W167" s="19" t="n">
        <f aca="false">VLOOKUP($F167,Calculations!$B$6:$AE$314,11,FALSE())</f>
        <v>346.153846153846</v>
      </c>
      <c r="X167" s="19"/>
      <c r="Y167" s="19" t="n">
        <f aca="false">T167+V167</f>
        <v>1338.46153846154</v>
      </c>
      <c r="Z167" s="19" t="n">
        <f aca="false">T167+W167</f>
        <v>1546.15384615385</v>
      </c>
      <c r="AA167" s="19"/>
      <c r="AB167" s="21" t="n">
        <f aca="false">VLOOKUP($F167,Calculations!$B$6:$AE$314,29,FALSE())</f>
        <v>35620</v>
      </c>
      <c r="AC167" s="15"/>
      <c r="AD167" s="19" t="n">
        <f aca="false">VLOOKUP($F167,Calculations!$B$6:$AE$314,7,FALSE())</f>
        <v>0</v>
      </c>
      <c r="AE167" s="19" t="n">
        <f aca="false">VLOOKUP($F167,Calculations!$B$6:$AE$314,10,FALSE())</f>
        <v>0</v>
      </c>
      <c r="AH167" s="6"/>
    </row>
    <row r="168" customFormat="false" ht="12.75" hidden="false" customHeight="false" outlineLevel="0" collapsed="false">
      <c r="A168" s="17" t="s">
        <v>145</v>
      </c>
      <c r="B168" s="17" t="s">
        <v>7</v>
      </c>
      <c r="C168" s="14"/>
      <c r="D168" s="14"/>
      <c r="E168" s="14" t="s">
        <v>38</v>
      </c>
      <c r="F168" s="15" t="s">
        <v>294</v>
      </c>
      <c r="G168" s="15"/>
      <c r="H168" s="15"/>
      <c r="I168" s="15"/>
      <c r="J168" s="19" t="n">
        <f aca="false">VLOOKUP($F168,Calculations!$B$6:$AE$314,5,FALSE())</f>
        <v>1200</v>
      </c>
      <c r="K168" s="20"/>
      <c r="L168" s="20"/>
      <c r="M168" s="19" t="n">
        <f aca="false">VLOOKUP($F168,Calculations!$B$6:$AE$314,24,FALSE())</f>
        <v>0</v>
      </c>
      <c r="N168" s="23"/>
      <c r="O168" s="16" t="n">
        <f aca="false">+N168+M168+J168</f>
        <v>1200</v>
      </c>
      <c r="P168" s="16"/>
      <c r="Q168" s="19" t="n">
        <f aca="false">+J168</f>
        <v>1200</v>
      </c>
      <c r="R168" s="19"/>
      <c r="S168" s="19"/>
      <c r="T168" s="19" t="n">
        <f aca="false">+S168+R168+Q168</f>
        <v>1200</v>
      </c>
      <c r="U168" s="15"/>
      <c r="V168" s="19" t="n">
        <f aca="false">VLOOKUP($F168,Calculations!$B$6:$AE$314,8,FALSE())</f>
        <v>69.2307692307692</v>
      </c>
      <c r="W168" s="19" t="n">
        <f aca="false">VLOOKUP($F168,Calculations!$B$6:$AE$314,11,FALSE())</f>
        <v>207.692307692308</v>
      </c>
      <c r="X168" s="19"/>
      <c r="Y168" s="19" t="n">
        <f aca="false">T168+V168</f>
        <v>1269.23076923077</v>
      </c>
      <c r="Z168" s="19" t="n">
        <f aca="false">T168+W168</f>
        <v>1407.69230769231</v>
      </c>
      <c r="AA168" s="19"/>
      <c r="AB168" s="21" t="n">
        <f aca="false">VLOOKUP($F168,Calculations!$B$6:$AE$314,29,FALSE())</f>
        <v>36557</v>
      </c>
      <c r="AC168" s="15"/>
      <c r="AD168" s="19" t="n">
        <f aca="false">VLOOKUP($F168,Calculations!$B$6:$AE$314,7,FALSE())</f>
        <v>0</v>
      </c>
      <c r="AE168" s="19" t="n">
        <f aca="false">VLOOKUP($F168,Calculations!$B$6:$AE$314,10,FALSE())</f>
        <v>0</v>
      </c>
      <c r="AH168" s="6"/>
    </row>
    <row r="169" customFormat="false" ht="13.5" hidden="false" customHeight="false" outlineLevel="0" collapsed="false">
      <c r="A169" s="17" t="s">
        <v>145</v>
      </c>
      <c r="B169" s="17" t="s">
        <v>7</v>
      </c>
      <c r="C169" s="14"/>
      <c r="D169" s="14"/>
      <c r="E169" s="14" t="s">
        <v>38</v>
      </c>
      <c r="F169" s="15" t="s">
        <v>295</v>
      </c>
      <c r="G169" s="15"/>
      <c r="H169" s="15"/>
      <c r="I169" s="15"/>
      <c r="J169" s="28" t="n">
        <f aca="false">VLOOKUP($F169,Calculations!$B$6:$AE$314,5,FALSE())</f>
        <v>0</v>
      </c>
      <c r="K169" s="29" t="s">
        <v>296</v>
      </c>
      <c r="L169" s="29"/>
      <c r="M169" s="28" t="n">
        <f aca="false">VLOOKUP($F169,Calculations!$B$6:$AE$314,24,FALSE())</f>
        <v>10000</v>
      </c>
      <c r="N169" s="30"/>
      <c r="O169" s="31"/>
      <c r="P169" s="31"/>
      <c r="Q169" s="28" t="n">
        <f aca="false">+J169</f>
        <v>0</v>
      </c>
      <c r="R169" s="28"/>
      <c r="S169" s="28"/>
      <c r="T169" s="28"/>
      <c r="U169" s="32"/>
      <c r="V169" s="28" t="n">
        <f aca="false">VLOOKUP($F169,Calculations!$B$6:$AE$314,8,FALSE())</f>
        <v>0</v>
      </c>
      <c r="W169" s="28" t="n">
        <f aca="false">VLOOKUP($F169,Calculations!$B$6:$AE$314,11,FALSE())</f>
        <v>0</v>
      </c>
      <c r="X169" s="28"/>
      <c r="Y169" s="28" t="n">
        <f aca="false">T169+V169</f>
        <v>0</v>
      </c>
      <c r="Z169" s="28" t="n">
        <f aca="false">T169+W169</f>
        <v>0</v>
      </c>
      <c r="AA169" s="19"/>
      <c r="AB169" s="21" t="n">
        <f aca="false">VLOOKUP($F169,Calculations!$B$6:$AE$314,29,FALSE())</f>
        <v>34759</v>
      </c>
      <c r="AC169" s="15"/>
      <c r="AD169" s="19" t="n">
        <f aca="false">VLOOKUP($F169,Calculations!$B$6:$AE$314,7,FALSE())</f>
        <v>0</v>
      </c>
      <c r="AE169" s="19" t="n">
        <f aca="false">VLOOKUP($F169,Calculations!$B$6:$AE$314,10,FALSE())</f>
        <v>0</v>
      </c>
      <c r="AH169" s="6"/>
    </row>
    <row r="170" customFormat="false" ht="12.75" hidden="false" customHeight="false" outlineLevel="0" collapsed="false">
      <c r="A170" s="17" t="s">
        <v>6</v>
      </c>
      <c r="B170" s="17"/>
      <c r="C170" s="14"/>
      <c r="D170" s="14"/>
      <c r="E170" s="14"/>
      <c r="F170" s="17"/>
      <c r="G170" s="17"/>
      <c r="H170" s="17"/>
      <c r="I170" s="17"/>
      <c r="J170" s="33" t="n">
        <f aca="false">SUM(J20:J169)</f>
        <v>10162860.896</v>
      </c>
      <c r="K170" s="33" t="n">
        <f aca="false">SUM(K20:K169)</f>
        <v>0</v>
      </c>
      <c r="L170" s="33" t="e">
        <f aca="false">SUM(L20:L169)</f>
        <v>#REF!</v>
      </c>
      <c r="M170" s="33" t="n">
        <f aca="false">SUM(M20:M169)</f>
        <v>4907880</v>
      </c>
      <c r="N170" s="34" t="n">
        <f aca="false">SUM(N20:N169)</f>
        <v>1382620</v>
      </c>
      <c r="O170" s="33" t="n">
        <f aca="false">SUM(O20:O169)</f>
        <v>16443360.896</v>
      </c>
      <c r="P170" s="33"/>
      <c r="Q170" s="33" t="n">
        <f aca="false">SUM(Q20:Q169)</f>
        <v>8632647.896</v>
      </c>
      <c r="R170" s="33" t="n">
        <f aca="false">SUM(R20:R169)</f>
        <v>958000</v>
      </c>
      <c r="S170" s="33" t="n">
        <f aca="false">SUM(S20:S169)</f>
        <v>690000</v>
      </c>
      <c r="T170" s="33" t="n">
        <f aca="false">SUM(T20:T169)</f>
        <v>10280647.896</v>
      </c>
      <c r="U170" s="33"/>
      <c r="V170" s="33" t="n">
        <f aca="false">SUM(V20:V169)</f>
        <v>7838815.24984615</v>
      </c>
      <c r="W170" s="33" t="n">
        <f aca="false">SUM(W20:W169)</f>
        <v>10437830.1856154</v>
      </c>
      <c r="X170" s="33"/>
      <c r="Y170" s="33" t="n">
        <f aca="false">SUM(Y20:Y169)</f>
        <v>18119463.1458462</v>
      </c>
      <c r="Z170" s="33" t="n">
        <f aca="false">SUM(Z20:Z169)</f>
        <v>20718478.0816154</v>
      </c>
      <c r="AA170" s="16"/>
      <c r="AB170" s="16"/>
      <c r="AC170" s="16"/>
      <c r="AD170" s="16" t="n">
        <f aca="false">SUM(AD20:AD169)</f>
        <v>0</v>
      </c>
      <c r="AE170" s="16" t="n">
        <f aca="false">SUM(AE20:AE169)</f>
        <v>0</v>
      </c>
      <c r="AF170" s="12"/>
      <c r="AH170" s="6"/>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row>
    <row r="171" customFormat="false" ht="12.75" hidden="false" customHeight="false" outlineLevel="0" collapsed="false">
      <c r="A171" s="17"/>
      <c r="B171" s="17"/>
      <c r="C171" s="14"/>
      <c r="D171" s="14"/>
      <c r="E171" s="14"/>
      <c r="F171" s="15"/>
      <c r="G171" s="15"/>
      <c r="H171" s="15"/>
      <c r="I171" s="15"/>
      <c r="J171" s="19"/>
      <c r="K171" s="20"/>
      <c r="L171" s="20"/>
      <c r="M171" s="19"/>
      <c r="N171" s="23"/>
      <c r="O171" s="16"/>
      <c r="P171" s="16"/>
      <c r="Q171" s="19"/>
      <c r="R171" s="19"/>
      <c r="S171" s="19"/>
      <c r="T171" s="19"/>
      <c r="U171" s="15"/>
      <c r="V171" s="19"/>
      <c r="W171" s="19"/>
      <c r="X171" s="19"/>
      <c r="Y171" s="19"/>
      <c r="Z171" s="19"/>
      <c r="AA171" s="19"/>
      <c r="AB171" s="21"/>
      <c r="AC171" s="15"/>
      <c r="AD171" s="19"/>
      <c r="AE171" s="19"/>
      <c r="AH171" s="6"/>
    </row>
    <row r="172" customFormat="false" ht="12.75" hidden="false" customHeight="false" outlineLevel="0" collapsed="false">
      <c r="A172" s="17" t="s">
        <v>53</v>
      </c>
      <c r="B172" s="17" t="s">
        <v>7</v>
      </c>
      <c r="C172" s="14"/>
      <c r="D172" s="14"/>
      <c r="E172" s="14"/>
      <c r="F172" s="15" t="s">
        <v>297</v>
      </c>
      <c r="G172" s="15" t="s">
        <v>298</v>
      </c>
      <c r="H172" s="15"/>
      <c r="I172" s="15"/>
      <c r="J172" s="19" t="n">
        <f aca="false">VLOOKUP($F172,Calculations!$B$6:$AE$314,5,FALSE())</f>
        <v>145000</v>
      </c>
      <c r="K172" s="20" t="s">
        <v>40</v>
      </c>
      <c r="L172" s="20" t="n">
        <f aca="false">J172</f>
        <v>145000</v>
      </c>
      <c r="M172" s="19" t="n">
        <f aca="false">VLOOKUP($F172,Calculations!$B$6:$AE$314,24,FALSE())</f>
        <v>0</v>
      </c>
      <c r="N172" s="23"/>
      <c r="O172" s="16" t="n">
        <f aca="false">+N172+M172+J172</f>
        <v>145000</v>
      </c>
      <c r="P172" s="16"/>
      <c r="Q172" s="19"/>
      <c r="R172" s="19"/>
      <c r="S172" s="19"/>
      <c r="T172" s="19"/>
      <c r="U172" s="15"/>
      <c r="V172" s="19" t="n">
        <f aca="false">VLOOKUP($F172,Calculations!$B$6:$AE$314,8,FALSE())</f>
        <v>0</v>
      </c>
      <c r="W172" s="19" t="n">
        <f aca="false">VLOOKUP($F172,Calculations!$B$6:$AE$314,11,FALSE())</f>
        <v>0</v>
      </c>
      <c r="X172" s="19"/>
      <c r="Y172" s="19"/>
      <c r="Z172" s="19"/>
      <c r="AA172" s="19"/>
      <c r="AB172" s="21" t="n">
        <f aca="false">VLOOKUP($F172,Calculations!$B$6:$AE$314,29,FALSE())</f>
        <v>35096</v>
      </c>
      <c r="AC172" s="15"/>
      <c r="AD172" s="19" t="n">
        <f aca="false">VLOOKUP($F172,Calculations!$B$6:$AE$314,7,FALSE())</f>
        <v>66923.0769230769</v>
      </c>
      <c r="AE172" s="19" t="n">
        <f aca="false">VLOOKUP($F172,Calculations!$B$6:$AE$314,10,FALSE())</f>
        <v>117115.384615385</v>
      </c>
      <c r="AH172" s="6"/>
    </row>
    <row r="173" customFormat="false" ht="12.75" hidden="false" customHeight="false" outlineLevel="0" collapsed="false">
      <c r="A173" s="17" t="s">
        <v>53</v>
      </c>
      <c r="B173" s="17" t="s">
        <v>7</v>
      </c>
      <c r="C173" s="14"/>
      <c r="D173" s="14"/>
      <c r="E173" s="14"/>
      <c r="F173" s="15" t="s">
        <v>299</v>
      </c>
      <c r="G173" s="15" t="s">
        <v>300</v>
      </c>
      <c r="H173" s="15"/>
      <c r="I173" s="15"/>
      <c r="J173" s="19" t="n">
        <f aca="false">VLOOKUP($F173,Calculations!$B$6:$AE$314,5,FALSE())</f>
        <v>114645</v>
      </c>
      <c r="K173" s="20" t="s">
        <v>40</v>
      </c>
      <c r="L173" s="20" t="n">
        <f aca="false">J173</f>
        <v>114645</v>
      </c>
      <c r="M173" s="19" t="n">
        <f aca="false">VLOOKUP($F173,Calculations!$B$6:$AE$314,24,FALSE())</f>
        <v>0</v>
      </c>
      <c r="N173" s="23"/>
      <c r="O173" s="16" t="n">
        <f aca="false">+N173+M173+J173</f>
        <v>114645</v>
      </c>
      <c r="P173" s="16"/>
      <c r="Q173" s="19"/>
      <c r="R173" s="19"/>
      <c r="S173" s="19"/>
      <c r="T173" s="19"/>
      <c r="U173" s="15"/>
      <c r="V173" s="19" t="n">
        <f aca="false">VLOOKUP($F173,Calculations!$B$6:$AE$314,8,FALSE())</f>
        <v>0</v>
      </c>
      <c r="W173" s="19" t="n">
        <f aca="false">VLOOKUP($F173,Calculations!$B$6:$AE$314,11,FALSE())</f>
        <v>0</v>
      </c>
      <c r="X173" s="19"/>
      <c r="Y173" s="19"/>
      <c r="Z173" s="19"/>
      <c r="AA173" s="19"/>
      <c r="AB173" s="21" t="n">
        <f aca="false">VLOOKUP($F173,Calculations!$B$6:$AE$314,29,FALSE())</f>
        <v>32804</v>
      </c>
      <c r="AC173" s="15"/>
      <c r="AD173" s="19" t="n">
        <f aca="false">VLOOKUP($F173,Calculations!$B$6:$AE$314,7,FALSE())</f>
        <v>105826.153846154</v>
      </c>
      <c r="AE173" s="19" t="n">
        <f aca="false">VLOOKUP($F173,Calculations!$B$6:$AE$314,10,FALSE())</f>
        <v>105826.153846154</v>
      </c>
      <c r="AH173" s="6"/>
    </row>
    <row r="174" customFormat="false" ht="12.75" hidden="false" customHeight="false" outlineLevel="0" collapsed="false">
      <c r="A174" s="17" t="s">
        <v>53</v>
      </c>
      <c r="B174" s="17" t="s">
        <v>7</v>
      </c>
      <c r="C174" s="14"/>
      <c r="D174" s="14"/>
      <c r="E174" s="14"/>
      <c r="F174" s="15" t="s">
        <v>301</v>
      </c>
      <c r="G174" s="15" t="s">
        <v>302</v>
      </c>
      <c r="H174" s="15"/>
      <c r="I174" s="15"/>
      <c r="J174" s="19" t="n">
        <f aca="false">VLOOKUP($F174,Calculations!$B$6:$AE$314,5,FALSE())</f>
        <v>107000</v>
      </c>
      <c r="K174" s="20" t="s">
        <v>40</v>
      </c>
      <c r="L174" s="20" t="n">
        <f aca="false">J174</f>
        <v>107000</v>
      </c>
      <c r="M174" s="19" t="n">
        <f aca="false">VLOOKUP($F174,Calculations!$B$6:$AE$314,24,FALSE())</f>
        <v>0</v>
      </c>
      <c r="N174" s="23"/>
      <c r="O174" s="16" t="n">
        <f aca="false">+N174+M174+J174</f>
        <v>107000</v>
      </c>
      <c r="P174" s="16"/>
      <c r="Q174" s="19"/>
      <c r="R174" s="19"/>
      <c r="S174" s="19"/>
      <c r="T174" s="19"/>
      <c r="U174" s="15"/>
      <c r="V174" s="19" t="n">
        <f aca="false">VLOOKUP($F174,Calculations!$B$6:$AE$314,8,FALSE())</f>
        <v>0</v>
      </c>
      <c r="W174" s="19" t="n">
        <f aca="false">VLOOKUP($F174,Calculations!$B$6:$AE$314,11,FALSE())</f>
        <v>0</v>
      </c>
      <c r="X174" s="19"/>
      <c r="Y174" s="19"/>
      <c r="Z174" s="19"/>
      <c r="AA174" s="19"/>
      <c r="AB174" s="21" t="n">
        <f aca="false">VLOOKUP($F174,Calculations!$B$6:$AE$314,29,FALSE())</f>
        <v>31586</v>
      </c>
      <c r="AC174" s="15"/>
      <c r="AD174" s="19" t="n">
        <f aca="false">VLOOKUP($F174,Calculations!$B$6:$AE$314,7,FALSE())</f>
        <v>123461.538461538</v>
      </c>
      <c r="AE174" s="19" t="n">
        <f aca="false">VLOOKUP($F174,Calculations!$B$6:$AE$314,10,FALSE())</f>
        <v>107000</v>
      </c>
      <c r="AH174" s="6"/>
    </row>
    <row r="175" customFormat="false" ht="12.75" hidden="false" customHeight="false" outlineLevel="0" collapsed="false">
      <c r="A175" s="17" t="s">
        <v>37</v>
      </c>
      <c r="B175" s="17" t="s">
        <v>42</v>
      </c>
      <c r="C175" s="14"/>
      <c r="D175" s="14"/>
      <c r="E175" s="14"/>
      <c r="F175" s="15" t="s">
        <v>303</v>
      </c>
      <c r="G175" s="15"/>
      <c r="H175" s="15"/>
      <c r="I175" s="15"/>
      <c r="J175" s="19" t="n">
        <f aca="false">VLOOKUP($F175,Calculations!$B$6:$AE$314,5,FALSE())</f>
        <v>106832</v>
      </c>
      <c r="K175" s="20" t="s">
        <v>40</v>
      </c>
      <c r="L175" s="20" t="n">
        <f aca="false">J175</f>
        <v>106832</v>
      </c>
      <c r="M175" s="19" t="n">
        <f aca="false">VLOOKUP($F175,Calculations!$B$6:$AE$314,24,FALSE())</f>
        <v>0</v>
      </c>
      <c r="N175" s="23"/>
      <c r="O175" s="16" t="n">
        <f aca="false">+N175+M175+J175</f>
        <v>106832</v>
      </c>
      <c r="P175" s="16"/>
      <c r="Q175" s="19"/>
      <c r="R175" s="19"/>
      <c r="S175" s="19"/>
      <c r="T175" s="19"/>
      <c r="U175" s="15"/>
      <c r="V175" s="19" t="n">
        <f aca="false">VLOOKUP($F175,Calculations!$B$6:$AE$314,8,FALSE())</f>
        <v>0</v>
      </c>
      <c r="W175" s="19" t="n">
        <f aca="false">VLOOKUP($F175,Calculations!$B$6:$AE$314,11,FALSE())</f>
        <v>0</v>
      </c>
      <c r="X175" s="19"/>
      <c r="Y175" s="19"/>
      <c r="Z175" s="19"/>
      <c r="AA175" s="19"/>
      <c r="AB175" s="21" t="n">
        <f aca="false">VLOOKUP($F175,Calculations!$B$6:$AE$314,29,FALSE())</f>
        <v>32035</v>
      </c>
      <c r="AC175" s="15"/>
      <c r="AD175" s="19" t="n">
        <f aca="false">VLOOKUP($F175,Calculations!$B$6:$AE$314,7,FALSE())</f>
        <v>115049.846153846</v>
      </c>
      <c r="AE175" s="19" t="n">
        <f aca="false">VLOOKUP($F175,Calculations!$B$6:$AE$314,10,FALSE())</f>
        <v>102723.076923077</v>
      </c>
      <c r="AH175" s="6"/>
    </row>
    <row r="176" customFormat="false" ht="12.75" hidden="false" customHeight="false" outlineLevel="0" collapsed="false">
      <c r="A176" s="17" t="s">
        <v>53</v>
      </c>
      <c r="B176" s="17" t="s">
        <v>7</v>
      </c>
      <c r="C176" s="14"/>
      <c r="D176" s="14"/>
      <c r="E176" s="14"/>
      <c r="F176" s="15" t="s">
        <v>304</v>
      </c>
      <c r="G176" s="15" t="s">
        <v>305</v>
      </c>
      <c r="H176" s="15"/>
      <c r="I176" s="15"/>
      <c r="J176" s="19" t="n">
        <f aca="false">VLOOKUP($F176,Calculations!$B$6:$AE$314,5,FALSE())</f>
        <v>95000</v>
      </c>
      <c r="K176" s="20" t="s">
        <v>40</v>
      </c>
      <c r="L176" s="20" t="n">
        <f aca="false">J176</f>
        <v>95000</v>
      </c>
      <c r="M176" s="19" t="n">
        <f aca="false">VLOOKUP($F176,Calculations!$B$6:$AE$314,24,FALSE())</f>
        <v>0</v>
      </c>
      <c r="N176" s="23"/>
      <c r="O176" s="16" t="n">
        <f aca="false">+N176+M176+J176</f>
        <v>95000</v>
      </c>
      <c r="P176" s="16"/>
      <c r="Q176" s="19"/>
      <c r="R176" s="19"/>
      <c r="S176" s="19"/>
      <c r="T176" s="19"/>
      <c r="U176" s="15"/>
      <c r="V176" s="19" t="n">
        <f aca="false">VLOOKUP($F176,Calculations!$B$6:$AE$314,8,FALSE())</f>
        <v>0</v>
      </c>
      <c r="W176" s="19" t="n">
        <f aca="false">VLOOKUP($F176,Calculations!$B$6:$AE$314,11,FALSE())</f>
        <v>0</v>
      </c>
      <c r="X176" s="19"/>
      <c r="Y176" s="19"/>
      <c r="Z176" s="19"/>
      <c r="AA176" s="19"/>
      <c r="AB176" s="21" t="n">
        <f aca="false">VLOOKUP($F176,Calculations!$B$6:$AE$314,29,FALSE())</f>
        <v>32223</v>
      </c>
      <c r="AC176" s="15"/>
      <c r="AD176" s="19" t="n">
        <f aca="false">VLOOKUP($F176,Calculations!$B$6:$AE$314,7,FALSE())</f>
        <v>51153.8461538462</v>
      </c>
      <c r="AE176" s="19" t="n">
        <f aca="false">VLOOKUP($F176,Calculations!$B$6:$AE$314,10,FALSE())</f>
        <v>87692.3076923077</v>
      </c>
      <c r="AH176" s="6"/>
    </row>
    <row r="177" customFormat="false" ht="12.75" hidden="false" customHeight="false" outlineLevel="0" collapsed="false">
      <c r="A177" s="17" t="s">
        <v>41</v>
      </c>
      <c r="B177" s="17" t="s">
        <v>42</v>
      </c>
      <c r="C177" s="14"/>
      <c r="D177" s="14"/>
      <c r="E177" s="14"/>
      <c r="F177" s="15" t="s">
        <v>306</v>
      </c>
      <c r="G177" s="15" t="s">
        <v>122</v>
      </c>
      <c r="H177" s="15"/>
      <c r="I177" s="15"/>
      <c r="J177" s="19" t="n">
        <f aca="false">VLOOKUP($F177,Calculations!$B$6:$AE$314,5,FALSE())</f>
        <v>93312</v>
      </c>
      <c r="K177" s="20" t="s">
        <v>40</v>
      </c>
      <c r="L177" s="20" t="n">
        <f aca="false">J177</f>
        <v>93312</v>
      </c>
      <c r="M177" s="19" t="n">
        <f aca="false">VLOOKUP($F177,Calculations!$B$6:$AE$314,24,FALSE())</f>
        <v>0</v>
      </c>
      <c r="N177" s="23"/>
      <c r="O177" s="16" t="n">
        <f aca="false">+N177+M177+J177</f>
        <v>93312</v>
      </c>
      <c r="P177" s="16"/>
      <c r="Q177" s="19"/>
      <c r="R177" s="19"/>
      <c r="S177" s="19"/>
      <c r="T177" s="19"/>
      <c r="U177" s="15"/>
      <c r="V177" s="19" t="n">
        <f aca="false">VLOOKUP($F177,Calculations!$B$6:$AE$314,8,FALSE())</f>
        <v>0</v>
      </c>
      <c r="W177" s="19" t="n">
        <f aca="false">VLOOKUP($F177,Calculations!$B$6:$AE$314,11,FALSE())</f>
        <v>0</v>
      </c>
      <c r="X177" s="19"/>
      <c r="Y177" s="19"/>
      <c r="Z177" s="19"/>
      <c r="AA177" s="19"/>
      <c r="AB177" s="21" t="n">
        <f aca="false">VLOOKUP($F177,Calculations!$B$6:$AE$314,29,FALSE())</f>
        <v>31523</v>
      </c>
      <c r="AC177" s="15"/>
      <c r="AD177" s="19" t="n">
        <f aca="false">VLOOKUP($F177,Calculations!$B$6:$AE$314,7,FALSE())</f>
        <v>53833.8461538462</v>
      </c>
      <c r="AE177" s="19" t="n">
        <f aca="false">VLOOKUP($F177,Calculations!$B$6:$AE$314,10,FALSE())</f>
        <v>89723.0769230769</v>
      </c>
      <c r="AH177" s="6"/>
    </row>
    <row r="178" customFormat="false" ht="12.75" hidden="false" customHeight="false" outlineLevel="0" collapsed="false">
      <c r="A178" s="17" t="s">
        <v>53</v>
      </c>
      <c r="B178" s="17" t="s">
        <v>7</v>
      </c>
      <c r="C178" s="14"/>
      <c r="D178" s="14"/>
      <c r="E178" s="14"/>
      <c r="F178" s="15" t="s">
        <v>307</v>
      </c>
      <c r="G178" s="15" t="s">
        <v>308</v>
      </c>
      <c r="H178" s="15"/>
      <c r="I178" s="15"/>
      <c r="J178" s="19" t="n">
        <f aca="false">VLOOKUP($F178,Calculations!$B$6:$AE$314,5,FALSE())</f>
        <v>87000</v>
      </c>
      <c r="K178" s="20" t="s">
        <v>40</v>
      </c>
      <c r="L178" s="20" t="n">
        <f aca="false">J178</f>
        <v>87000</v>
      </c>
      <c r="M178" s="19" t="n">
        <f aca="false">VLOOKUP($F178,Calculations!$B$6:$AE$314,24,FALSE())</f>
        <v>0</v>
      </c>
      <c r="N178" s="23"/>
      <c r="O178" s="16" t="n">
        <f aca="false">+N178+M178+J178</f>
        <v>87000</v>
      </c>
      <c r="P178" s="16"/>
      <c r="Q178" s="19"/>
      <c r="R178" s="19"/>
      <c r="S178" s="19"/>
      <c r="T178" s="19"/>
      <c r="U178" s="15"/>
      <c r="V178" s="19" t="n">
        <f aca="false">VLOOKUP($F178,Calculations!$B$6:$AE$314,8,FALSE())</f>
        <v>0</v>
      </c>
      <c r="W178" s="19" t="n">
        <f aca="false">VLOOKUP($F178,Calculations!$B$6:$AE$314,11,FALSE())</f>
        <v>0</v>
      </c>
      <c r="X178" s="19"/>
      <c r="Y178" s="19"/>
      <c r="Z178" s="19"/>
      <c r="AA178" s="19"/>
      <c r="AB178" s="21" t="n">
        <f aca="false">VLOOKUP($F178,Calculations!$B$6:$AE$314,29,FALSE())</f>
        <v>31923</v>
      </c>
      <c r="AC178" s="15"/>
      <c r="AD178" s="19" t="n">
        <f aca="false">VLOOKUP($F178,Calculations!$B$6:$AE$314,7,FALSE())</f>
        <v>46846.1538461538</v>
      </c>
      <c r="AE178" s="19" t="n">
        <f aca="false">VLOOKUP($F178,Calculations!$B$6:$AE$314,10,FALSE())</f>
        <v>76961.5384615385</v>
      </c>
      <c r="AH178" s="6"/>
    </row>
    <row r="179" customFormat="false" ht="12.75" hidden="false" customHeight="false" outlineLevel="0" collapsed="false">
      <c r="A179" s="17" t="s">
        <v>41</v>
      </c>
      <c r="B179" s="17" t="s">
        <v>42</v>
      </c>
      <c r="C179" s="14"/>
      <c r="D179" s="14"/>
      <c r="E179" s="14"/>
      <c r="F179" s="15" t="s">
        <v>309</v>
      </c>
      <c r="G179" s="15" t="s">
        <v>310</v>
      </c>
      <c r="H179" s="15"/>
      <c r="I179" s="15"/>
      <c r="J179" s="19" t="n">
        <f aca="false">VLOOKUP($F179,Calculations!$B$6:$AE$314,5,FALSE())</f>
        <v>86400</v>
      </c>
      <c r="K179" s="20" t="s">
        <v>40</v>
      </c>
      <c r="L179" s="20" t="n">
        <f aca="false">J179</f>
        <v>86400</v>
      </c>
      <c r="M179" s="19" t="n">
        <f aca="false">VLOOKUP($F179,Calculations!$B$6:$AE$314,24,FALSE())</f>
        <v>0</v>
      </c>
      <c r="N179" s="23"/>
      <c r="O179" s="16" t="n">
        <f aca="false">+N179+M179+J179</f>
        <v>86400</v>
      </c>
      <c r="P179" s="16"/>
      <c r="Q179" s="19"/>
      <c r="R179" s="19"/>
      <c r="S179" s="19"/>
      <c r="T179" s="19"/>
      <c r="U179" s="15"/>
      <c r="V179" s="19" t="n">
        <f aca="false">VLOOKUP($F179,Calculations!$B$6:$AE$314,8,FALSE())</f>
        <v>0</v>
      </c>
      <c r="W179" s="19" t="n">
        <f aca="false">VLOOKUP($F179,Calculations!$B$6:$AE$314,11,FALSE())</f>
        <v>0</v>
      </c>
      <c r="X179" s="19"/>
      <c r="Y179" s="19"/>
      <c r="Z179" s="19"/>
      <c r="AA179" s="19"/>
      <c r="AB179" s="21" t="n">
        <f aca="false">VLOOKUP($F179,Calculations!$B$6:$AE$314,29,FALSE())</f>
        <v>32223</v>
      </c>
      <c r="AC179" s="15"/>
      <c r="AD179" s="19" t="n">
        <f aca="false">VLOOKUP($F179,Calculations!$B$6:$AE$314,7,FALSE())</f>
        <v>46523.0769230769</v>
      </c>
      <c r="AE179" s="19" t="n">
        <f aca="false">VLOOKUP($F179,Calculations!$B$6:$AE$314,10,FALSE())</f>
        <v>76430.7692307692</v>
      </c>
      <c r="AH179" s="6"/>
    </row>
    <row r="180" customFormat="false" ht="12.75" hidden="false" customHeight="false" outlineLevel="0" collapsed="false">
      <c r="A180" s="17" t="s">
        <v>37</v>
      </c>
      <c r="B180" s="17" t="s">
        <v>7</v>
      </c>
      <c r="C180" s="14"/>
      <c r="D180" s="14"/>
      <c r="E180" s="14"/>
      <c r="F180" s="15" t="s">
        <v>311</v>
      </c>
      <c r="G180" s="15"/>
      <c r="H180" s="15"/>
      <c r="I180" s="15"/>
      <c r="J180" s="19" t="n">
        <f aca="false">VLOOKUP($F180,Calculations!$B$6:$AE$314,5,FALSE())</f>
        <v>80690</v>
      </c>
      <c r="K180" s="20" t="s">
        <v>40</v>
      </c>
      <c r="L180" s="20" t="n">
        <f aca="false">J180</f>
        <v>80690</v>
      </c>
      <c r="M180" s="19" t="n">
        <f aca="false">VLOOKUP($F180,Calculations!$B$6:$AE$314,24,FALSE())</f>
        <v>0</v>
      </c>
      <c r="N180" s="23" t="n">
        <v>47350</v>
      </c>
      <c r="O180" s="16" t="n">
        <f aca="false">+N180+M180+J180</f>
        <v>128040</v>
      </c>
      <c r="P180" s="16"/>
      <c r="Q180" s="19"/>
      <c r="R180" s="19"/>
      <c r="S180" s="19"/>
      <c r="T180" s="19"/>
      <c r="U180" s="15"/>
      <c r="V180" s="19" t="n">
        <f aca="false">VLOOKUP($F180,Calculations!$B$6:$AE$314,8,FALSE())</f>
        <v>0</v>
      </c>
      <c r="W180" s="19" t="n">
        <f aca="false">VLOOKUP($F180,Calculations!$B$6:$AE$314,11,FALSE())</f>
        <v>0</v>
      </c>
      <c r="X180" s="19"/>
      <c r="Y180" s="19"/>
      <c r="Z180" s="19"/>
      <c r="AA180" s="19"/>
      <c r="AB180" s="21" t="n">
        <f aca="false">VLOOKUP($F180,Calculations!$B$6:$AE$314,29,FALSE())</f>
        <v>32843</v>
      </c>
      <c r="AC180" s="15"/>
      <c r="AD180" s="19" t="n">
        <f aca="false">VLOOKUP($F180,Calculations!$B$6:$AE$314,7,FALSE())</f>
        <v>37241.5384615385</v>
      </c>
      <c r="AE180" s="19" t="n">
        <f aca="false">VLOOKUP($F180,Calculations!$B$6:$AE$314,10,FALSE())</f>
        <v>65172.6923076923</v>
      </c>
      <c r="AH180" s="6"/>
    </row>
    <row r="181" customFormat="false" ht="12.75" hidden="false" customHeight="false" outlineLevel="0" collapsed="false">
      <c r="A181" s="17" t="s">
        <v>50</v>
      </c>
      <c r="B181" s="17" t="s">
        <v>7</v>
      </c>
      <c r="C181" s="14"/>
      <c r="D181" s="14"/>
      <c r="E181" s="14"/>
      <c r="F181" s="15" t="s">
        <v>312</v>
      </c>
      <c r="G181" s="15" t="s">
        <v>313</v>
      </c>
      <c r="H181" s="15"/>
      <c r="I181" s="15"/>
      <c r="J181" s="19" t="n">
        <f aca="false">VLOOKUP($F181,Calculations!$B$6:$AE$314,5,FALSE())</f>
        <v>80000</v>
      </c>
      <c r="K181" s="20" t="s">
        <v>40</v>
      </c>
      <c r="L181" s="20" t="n">
        <f aca="false">J181</f>
        <v>80000</v>
      </c>
      <c r="M181" s="19" t="n">
        <f aca="false">VLOOKUP($F181,Calculations!$B$6:$AE$314,24,FALSE())</f>
        <v>0</v>
      </c>
      <c r="N181" s="23"/>
      <c r="O181" s="16" t="n">
        <f aca="false">+N181+M181+J181</f>
        <v>80000</v>
      </c>
      <c r="P181" s="16"/>
      <c r="Q181" s="19"/>
      <c r="R181" s="19"/>
      <c r="S181" s="19"/>
      <c r="T181" s="19"/>
      <c r="U181" s="15"/>
      <c r="V181" s="19" t="n">
        <f aca="false">VLOOKUP($F181,Calculations!$B$6:$AE$314,8,FALSE())</f>
        <v>0</v>
      </c>
      <c r="W181" s="19" t="n">
        <f aca="false">VLOOKUP($F181,Calculations!$B$6:$AE$314,11,FALSE())</f>
        <v>0</v>
      </c>
      <c r="X181" s="19"/>
      <c r="Y181" s="19"/>
      <c r="Z181" s="19"/>
      <c r="AA181" s="19"/>
      <c r="AB181" s="21" t="n">
        <f aca="false">VLOOKUP($F181,Calculations!$B$6:$AE$314,29,FALSE())</f>
        <v>32090</v>
      </c>
      <c r="AC181" s="15"/>
      <c r="AD181" s="19" t="n">
        <f aca="false">VLOOKUP($F181,Calculations!$B$6:$AE$314,7,FALSE())</f>
        <v>43076.9230769231</v>
      </c>
      <c r="AE181" s="19" t="n">
        <f aca="false">VLOOKUP($F181,Calculations!$B$6:$AE$314,10,FALSE())</f>
        <v>67692.3076923077</v>
      </c>
      <c r="AH181" s="6"/>
    </row>
    <row r="182" customFormat="false" ht="12.75" hidden="false" customHeight="false" outlineLevel="0" collapsed="false">
      <c r="A182" s="17" t="s">
        <v>53</v>
      </c>
      <c r="B182" s="17" t="s">
        <v>7</v>
      </c>
      <c r="C182" s="14"/>
      <c r="D182" s="14"/>
      <c r="E182" s="14"/>
      <c r="F182" s="15" t="s">
        <v>314</v>
      </c>
      <c r="G182" s="15" t="s">
        <v>315</v>
      </c>
      <c r="H182" s="15"/>
      <c r="I182" s="15"/>
      <c r="J182" s="19" t="n">
        <f aca="false">VLOOKUP($F182,Calculations!$B$6:$AE$314,5,FALSE())</f>
        <v>73320</v>
      </c>
      <c r="K182" s="20" t="s">
        <v>40</v>
      </c>
      <c r="L182" s="20" t="n">
        <f aca="false">J182</f>
        <v>73320</v>
      </c>
      <c r="M182" s="19" t="n">
        <f aca="false">VLOOKUP($F182,Calculations!$B$6:$AE$314,24,FALSE())</f>
        <v>0</v>
      </c>
      <c r="N182" s="23"/>
      <c r="O182" s="16" t="n">
        <f aca="false">+N182+M182+J182</f>
        <v>73320</v>
      </c>
      <c r="P182" s="16"/>
      <c r="Q182" s="19"/>
      <c r="R182" s="19"/>
      <c r="S182" s="19"/>
      <c r="T182" s="19"/>
      <c r="U182" s="15"/>
      <c r="V182" s="19" t="n">
        <f aca="false">VLOOKUP($F182,Calculations!$B$6:$AE$314,8,FALSE())</f>
        <v>0</v>
      </c>
      <c r="W182" s="19" t="n">
        <f aca="false">VLOOKUP($F182,Calculations!$B$6:$AE$314,11,FALSE())</f>
        <v>0</v>
      </c>
      <c r="X182" s="19"/>
      <c r="Y182" s="19"/>
      <c r="Z182" s="19"/>
      <c r="AA182" s="19"/>
      <c r="AB182" s="21" t="n">
        <f aca="false">VLOOKUP($F182,Calculations!$B$6:$AE$314,29,FALSE())</f>
        <v>35219</v>
      </c>
      <c r="AC182" s="15"/>
      <c r="AD182" s="19" t="n">
        <f aca="false">VLOOKUP($F182,Calculations!$B$6:$AE$314,7,FALSE())</f>
        <v>16920</v>
      </c>
      <c r="AE182" s="19" t="n">
        <f aca="false">VLOOKUP($F182,Calculations!$B$6:$AE$314,10,FALSE())</f>
        <v>39480</v>
      </c>
      <c r="AH182" s="6"/>
    </row>
    <row r="183" customFormat="false" ht="12.75" hidden="false" customHeight="false" outlineLevel="0" collapsed="false">
      <c r="A183" s="17" t="s">
        <v>53</v>
      </c>
      <c r="B183" s="17" t="s">
        <v>7</v>
      </c>
      <c r="C183" s="14"/>
      <c r="D183" s="14"/>
      <c r="E183" s="14"/>
      <c r="F183" s="15" t="s">
        <v>316</v>
      </c>
      <c r="G183" s="15" t="s">
        <v>317</v>
      </c>
      <c r="H183" s="15"/>
      <c r="I183" s="15"/>
      <c r="J183" s="19" t="n">
        <f aca="false">VLOOKUP($F183,Calculations!$B$6:$AE$314,5,FALSE())</f>
        <v>70700</v>
      </c>
      <c r="K183" s="20" t="s">
        <v>40</v>
      </c>
      <c r="L183" s="20" t="n">
        <f aca="false">J183</f>
        <v>70700</v>
      </c>
      <c r="M183" s="19" t="n">
        <f aca="false">VLOOKUP($F183,Calculations!$B$6:$AE$314,24,FALSE())</f>
        <v>0</v>
      </c>
      <c r="N183" s="23"/>
      <c r="O183" s="16" t="n">
        <f aca="false">+N183+M183+J183</f>
        <v>70700</v>
      </c>
      <c r="P183" s="16"/>
      <c r="Q183" s="19"/>
      <c r="R183" s="19"/>
      <c r="S183" s="19"/>
      <c r="T183" s="19"/>
      <c r="U183" s="15"/>
      <c r="V183" s="19" t="n">
        <f aca="false">VLOOKUP($F183,Calculations!$B$6:$AE$314,8,FALSE())</f>
        <v>0</v>
      </c>
      <c r="W183" s="19" t="n">
        <f aca="false">VLOOKUP($F183,Calculations!$B$6:$AE$314,11,FALSE())</f>
        <v>0</v>
      </c>
      <c r="X183" s="19"/>
      <c r="Y183" s="19"/>
      <c r="Z183" s="19"/>
      <c r="AA183" s="19"/>
      <c r="AB183" s="21" t="n">
        <f aca="false">VLOOKUP($F183,Calculations!$B$6:$AE$314,29,FALSE())</f>
        <v>34722</v>
      </c>
      <c r="AC183" s="15"/>
      <c r="AD183" s="19" t="n">
        <f aca="false">VLOOKUP($F183,Calculations!$B$6:$AE$314,7,FALSE())</f>
        <v>19034.6153846154</v>
      </c>
      <c r="AE183" s="19" t="n">
        <f aca="false">VLOOKUP($F183,Calculations!$B$6:$AE$314,10,FALSE())</f>
        <v>40788.4615384615</v>
      </c>
      <c r="AH183" s="6"/>
    </row>
    <row r="184" customFormat="false" ht="12.75" hidden="false" customHeight="false" outlineLevel="0" collapsed="false">
      <c r="A184" s="17" t="s">
        <v>53</v>
      </c>
      <c r="B184" s="17" t="s">
        <v>7</v>
      </c>
      <c r="C184" s="14"/>
      <c r="D184" s="14"/>
      <c r="E184" s="14"/>
      <c r="F184" s="15" t="s">
        <v>318</v>
      </c>
      <c r="G184" s="15" t="s">
        <v>319</v>
      </c>
      <c r="H184" s="15"/>
      <c r="I184" s="15"/>
      <c r="J184" s="19" t="n">
        <f aca="false">VLOOKUP($F184,Calculations!$B$6:$AE$314,5,FALSE())</f>
        <v>70500</v>
      </c>
      <c r="K184" s="20" t="s">
        <v>40</v>
      </c>
      <c r="L184" s="20" t="n">
        <f aca="false">J184</f>
        <v>70500</v>
      </c>
      <c r="M184" s="19" t="n">
        <f aca="false">VLOOKUP($F184,Calculations!$B$6:$AE$314,24,FALSE())</f>
        <v>0</v>
      </c>
      <c r="N184" s="23"/>
      <c r="O184" s="16" t="n">
        <f aca="false">+N184+M184+J184</f>
        <v>70500</v>
      </c>
      <c r="P184" s="16"/>
      <c r="Q184" s="19"/>
      <c r="R184" s="19"/>
      <c r="S184" s="19"/>
      <c r="T184" s="19"/>
      <c r="U184" s="15"/>
      <c r="V184" s="19" t="n">
        <f aca="false">VLOOKUP($F184,Calculations!$B$6:$AE$314,8,FALSE())</f>
        <v>0</v>
      </c>
      <c r="W184" s="19" t="n">
        <f aca="false">VLOOKUP($F184,Calculations!$B$6:$AE$314,11,FALSE())</f>
        <v>0</v>
      </c>
      <c r="X184" s="19"/>
      <c r="Y184" s="19"/>
      <c r="Z184" s="19"/>
      <c r="AA184" s="19"/>
      <c r="AB184" s="21" t="n">
        <f aca="false">VLOOKUP($F184,Calculations!$B$6:$AE$314,29,FALSE())</f>
        <v>35541</v>
      </c>
      <c r="AC184" s="15"/>
      <c r="AD184" s="19" t="n">
        <f aca="false">VLOOKUP($F184,Calculations!$B$6:$AE$314,7,FALSE())</f>
        <v>13557.6923076923</v>
      </c>
      <c r="AE184" s="19" t="n">
        <f aca="false">VLOOKUP($F184,Calculations!$B$6:$AE$314,10,FALSE())</f>
        <v>35250</v>
      </c>
      <c r="AH184" s="6"/>
    </row>
    <row r="185" customFormat="false" ht="12.75" hidden="false" customHeight="false" outlineLevel="0" collapsed="false">
      <c r="A185" s="17" t="s">
        <v>53</v>
      </c>
      <c r="B185" s="17" t="s">
        <v>7</v>
      </c>
      <c r="C185" s="14"/>
      <c r="D185" s="14"/>
      <c r="E185" s="14"/>
      <c r="F185" s="15" t="s">
        <v>320</v>
      </c>
      <c r="G185" s="15" t="s">
        <v>321</v>
      </c>
      <c r="H185" s="15"/>
      <c r="I185" s="15"/>
      <c r="J185" s="19" t="n">
        <f aca="false">VLOOKUP($F185,Calculations!$B$6:$AE$314,5,FALSE())</f>
        <v>65000</v>
      </c>
      <c r="K185" s="20" t="s">
        <v>40</v>
      </c>
      <c r="L185" s="20" t="n">
        <f aca="false">J185</f>
        <v>65000</v>
      </c>
      <c r="M185" s="19" t="n">
        <f aca="false">VLOOKUP($F185,Calculations!$B$6:$AE$314,24,FALSE())</f>
        <v>0</v>
      </c>
      <c r="N185" s="23"/>
      <c r="O185" s="16" t="n">
        <f aca="false">+N185+M185+J185</f>
        <v>65000</v>
      </c>
      <c r="P185" s="16"/>
      <c r="Q185" s="19"/>
      <c r="R185" s="19"/>
      <c r="S185" s="19"/>
      <c r="T185" s="19"/>
      <c r="U185" s="15"/>
      <c r="V185" s="19" t="n">
        <f aca="false">VLOOKUP($F185,Calculations!$B$6:$AE$314,8,FALSE())</f>
        <v>0</v>
      </c>
      <c r="W185" s="19" t="n">
        <f aca="false">VLOOKUP($F185,Calculations!$B$6:$AE$314,11,FALSE())</f>
        <v>0</v>
      </c>
      <c r="X185" s="19"/>
      <c r="Y185" s="19"/>
      <c r="Z185" s="19"/>
      <c r="AA185" s="19"/>
      <c r="AB185" s="21" t="n">
        <f aca="false">VLOOKUP($F185,Calculations!$B$6:$AE$314,29,FALSE())</f>
        <v>36892</v>
      </c>
      <c r="AC185" s="15"/>
      <c r="AD185" s="19" t="n">
        <f aca="false">VLOOKUP($F185,Calculations!$B$6:$AE$314,7,FALSE())</f>
        <v>2500</v>
      </c>
      <c r="AE185" s="19" t="n">
        <f aca="false">VLOOKUP($F185,Calculations!$B$6:$AE$314,10,FALSE())</f>
        <v>20000</v>
      </c>
      <c r="AH185" s="6"/>
    </row>
    <row r="186" customFormat="false" ht="12.75" hidden="false" customHeight="false" outlineLevel="0" collapsed="false">
      <c r="A186" s="17" t="s">
        <v>53</v>
      </c>
      <c r="B186" s="17" t="s">
        <v>7</v>
      </c>
      <c r="C186" s="14"/>
      <c r="D186" s="14"/>
      <c r="E186" s="14"/>
      <c r="F186" s="15" t="s">
        <v>322</v>
      </c>
      <c r="G186" s="15" t="s">
        <v>323</v>
      </c>
      <c r="H186" s="15"/>
      <c r="I186" s="15"/>
      <c r="J186" s="19" t="n">
        <f aca="false">VLOOKUP($F186,Calculations!$B$6:$AE$314,5,FALSE())</f>
        <v>64350</v>
      </c>
      <c r="K186" s="20" t="s">
        <v>40</v>
      </c>
      <c r="L186" s="20" t="n">
        <f aca="false">J186</f>
        <v>64350</v>
      </c>
      <c r="M186" s="19" t="n">
        <f aca="false">VLOOKUP($F186,Calculations!$B$6:$AE$314,24,FALSE())</f>
        <v>0</v>
      </c>
      <c r="N186" s="23"/>
      <c r="O186" s="16" t="n">
        <f aca="false">+N186+M186+J186</f>
        <v>64350</v>
      </c>
      <c r="P186" s="16"/>
      <c r="Q186" s="19"/>
      <c r="R186" s="19"/>
      <c r="S186" s="19"/>
      <c r="T186" s="19"/>
      <c r="U186" s="15"/>
      <c r="V186" s="19" t="n">
        <f aca="false">VLOOKUP($F186,Calculations!$B$6:$AE$314,8,FALSE())</f>
        <v>0</v>
      </c>
      <c r="W186" s="19" t="n">
        <f aca="false">VLOOKUP($F186,Calculations!$B$6:$AE$314,11,FALSE())</f>
        <v>0</v>
      </c>
      <c r="X186" s="19"/>
      <c r="Y186" s="19"/>
      <c r="Z186" s="19"/>
      <c r="AA186" s="19"/>
      <c r="AB186" s="21" t="n">
        <f aca="false">VLOOKUP($F186,Calculations!$B$6:$AE$314,29,FALSE())</f>
        <v>32392</v>
      </c>
      <c r="AC186" s="15"/>
      <c r="AD186" s="19" t="n">
        <f aca="false">VLOOKUP($F186,Calculations!$B$6:$AE$314,7,FALSE())</f>
        <v>32175</v>
      </c>
      <c r="AE186" s="19" t="n">
        <f aca="false">VLOOKUP($F186,Calculations!$B$6:$AE$314,10,FALSE())</f>
        <v>49500</v>
      </c>
      <c r="AH186" s="6"/>
    </row>
    <row r="187" customFormat="false" ht="12.75" hidden="false" customHeight="false" outlineLevel="0" collapsed="false">
      <c r="A187" s="17" t="s">
        <v>37</v>
      </c>
      <c r="B187" s="17" t="s">
        <v>7</v>
      </c>
      <c r="C187" s="14"/>
      <c r="D187" s="14"/>
      <c r="E187" s="14"/>
      <c r="F187" s="15" t="s">
        <v>324</v>
      </c>
      <c r="G187" s="15"/>
      <c r="H187" s="15"/>
      <c r="I187" s="15"/>
      <c r="J187" s="19" t="n">
        <f aca="false">VLOOKUP($F187,Calculations!$B$6:$AE$314,5,FALSE())</f>
        <v>61815</v>
      </c>
      <c r="K187" s="20" t="s">
        <v>40</v>
      </c>
      <c r="L187" s="20" t="n">
        <f aca="false">J187</f>
        <v>61815</v>
      </c>
      <c r="M187" s="19" t="n">
        <f aca="false">VLOOKUP($F187,Calculations!$B$6:$AE$314,24,FALSE())</f>
        <v>0</v>
      </c>
      <c r="N187" s="23"/>
      <c r="O187" s="16" t="n">
        <f aca="false">+N187+M187+J187</f>
        <v>61815</v>
      </c>
      <c r="P187" s="16"/>
      <c r="Q187" s="19"/>
      <c r="R187" s="19"/>
      <c r="S187" s="19"/>
      <c r="T187" s="19"/>
      <c r="U187" s="15"/>
      <c r="V187" s="19" t="n">
        <f aca="false">VLOOKUP($F187,Calculations!$B$6:$AE$314,8,FALSE())</f>
        <v>0</v>
      </c>
      <c r="W187" s="19" t="n">
        <f aca="false">VLOOKUP($F187,Calculations!$B$6:$AE$314,11,FALSE())</f>
        <v>0</v>
      </c>
      <c r="X187" s="19"/>
      <c r="Y187" s="19"/>
      <c r="Z187" s="19"/>
      <c r="AA187" s="19"/>
      <c r="AB187" s="21" t="n">
        <f aca="false">VLOOKUP($F187,Calculations!$B$6:$AE$314,29,FALSE())</f>
        <v>36251</v>
      </c>
      <c r="AC187" s="15"/>
      <c r="AD187" s="19" t="n">
        <f aca="false">VLOOKUP($F187,Calculations!$B$6:$AE$314,7,FALSE())</f>
        <v>7132.5</v>
      </c>
      <c r="AE187" s="19" t="n">
        <f aca="false">VLOOKUP($F187,Calculations!$B$6:$AE$314,10,FALSE())</f>
        <v>23775</v>
      </c>
      <c r="AH187" s="6"/>
    </row>
    <row r="188" customFormat="false" ht="12.75" hidden="false" customHeight="false" outlineLevel="0" collapsed="false">
      <c r="A188" s="17" t="s">
        <v>53</v>
      </c>
      <c r="B188" s="17" t="s">
        <v>7</v>
      </c>
      <c r="C188" s="14"/>
      <c r="D188" s="14"/>
      <c r="E188" s="14"/>
      <c r="F188" s="15" t="s">
        <v>325</v>
      </c>
      <c r="G188" s="15" t="s">
        <v>326</v>
      </c>
      <c r="H188" s="15"/>
      <c r="I188" s="15"/>
      <c r="J188" s="19" t="n">
        <f aca="false">VLOOKUP($F188,Calculations!$B$6:$AE$314,5,FALSE())</f>
        <v>60000</v>
      </c>
      <c r="K188" s="20" t="s">
        <v>40</v>
      </c>
      <c r="L188" s="20" t="n">
        <f aca="false">J188</f>
        <v>60000</v>
      </c>
      <c r="M188" s="19" t="n">
        <f aca="false">VLOOKUP($F188,Calculations!$B$6:$AE$314,24,FALSE())</f>
        <v>0</v>
      </c>
      <c r="N188" s="23"/>
      <c r="O188" s="16" t="n">
        <f aca="false">+N188+M188+J188</f>
        <v>60000</v>
      </c>
      <c r="P188" s="16"/>
      <c r="Q188" s="19"/>
      <c r="R188" s="19"/>
      <c r="S188" s="19"/>
      <c r="T188" s="19"/>
      <c r="U188" s="15"/>
      <c r="V188" s="19" t="n">
        <f aca="false">VLOOKUP($F188,Calculations!$B$6:$AE$314,8,FALSE())</f>
        <v>0</v>
      </c>
      <c r="W188" s="19" t="n">
        <f aca="false">VLOOKUP($F188,Calculations!$B$6:$AE$314,11,FALSE())</f>
        <v>0</v>
      </c>
      <c r="X188" s="19"/>
      <c r="Y188" s="19"/>
      <c r="Z188" s="19"/>
      <c r="AA188" s="19"/>
      <c r="AB188" s="21" t="n">
        <f aca="false">VLOOKUP($F188,Calculations!$B$6:$AE$314,29,FALSE())</f>
        <v>32468</v>
      </c>
      <c r="AC188" s="15"/>
      <c r="AD188" s="19" t="n">
        <f aca="false">VLOOKUP($F188,Calculations!$B$6:$AE$314,7,FALSE())</f>
        <v>30000</v>
      </c>
      <c r="AE188" s="19" t="n">
        <f aca="false">VLOOKUP($F188,Calculations!$B$6:$AE$314,10,FALSE())</f>
        <v>43846.1538461538</v>
      </c>
      <c r="AH188" s="6"/>
    </row>
    <row r="189" customFormat="false" ht="12.75" hidden="false" customHeight="false" outlineLevel="0" collapsed="false">
      <c r="A189" s="17" t="s">
        <v>41</v>
      </c>
      <c r="B189" s="17" t="s">
        <v>42</v>
      </c>
      <c r="C189" s="14"/>
      <c r="D189" s="14"/>
      <c r="E189" s="14"/>
      <c r="F189" s="15" t="s">
        <v>327</v>
      </c>
      <c r="G189" s="15" t="s">
        <v>328</v>
      </c>
      <c r="H189" s="15"/>
      <c r="I189" s="15"/>
      <c r="J189" s="19" t="n">
        <f aca="false">VLOOKUP($F189,Calculations!$B$6:$AE$314,5,FALSE())</f>
        <v>58320</v>
      </c>
      <c r="K189" s="20" t="s">
        <v>40</v>
      </c>
      <c r="L189" s="20" t="n">
        <f aca="false">J189</f>
        <v>58320</v>
      </c>
      <c r="M189" s="19" t="n">
        <f aca="false">VLOOKUP($F189,Calculations!$B$6:$AE$314,24,FALSE())</f>
        <v>0</v>
      </c>
      <c r="N189" s="23"/>
      <c r="O189" s="16" t="n">
        <f aca="false">+N189+M189+J189</f>
        <v>58320</v>
      </c>
      <c r="P189" s="16"/>
      <c r="Q189" s="19"/>
      <c r="R189" s="19"/>
      <c r="S189" s="19"/>
      <c r="T189" s="19"/>
      <c r="U189" s="15"/>
      <c r="V189" s="19" t="n">
        <f aca="false">VLOOKUP($F189,Calculations!$B$6:$AE$314,8,FALSE())</f>
        <v>0</v>
      </c>
      <c r="W189" s="19" t="n">
        <f aca="false">VLOOKUP($F189,Calculations!$B$6:$AE$314,11,FALSE())</f>
        <v>0</v>
      </c>
      <c r="X189" s="19"/>
      <c r="Y189" s="19"/>
      <c r="Z189" s="19"/>
      <c r="AA189" s="19"/>
      <c r="AB189" s="21" t="n">
        <f aca="false">VLOOKUP($F189,Calculations!$B$6:$AE$314,29,FALSE())</f>
        <v>33133</v>
      </c>
      <c r="AC189" s="15"/>
      <c r="AD189" s="19" t="n">
        <f aca="false">VLOOKUP($F189,Calculations!$B$6:$AE$314,7,FALSE())</f>
        <v>24673.8461538462</v>
      </c>
      <c r="AE189" s="19" t="n">
        <f aca="false">VLOOKUP($F189,Calculations!$B$6:$AE$314,10,FALSE())</f>
        <v>38132.3076923077</v>
      </c>
      <c r="AH189" s="6"/>
    </row>
    <row r="190" customFormat="false" ht="12.75" hidden="false" customHeight="false" outlineLevel="0" collapsed="false">
      <c r="A190" s="17" t="s">
        <v>41</v>
      </c>
      <c r="B190" s="17" t="s">
        <v>42</v>
      </c>
      <c r="C190" s="14"/>
      <c r="D190" s="14"/>
      <c r="E190" s="14"/>
      <c r="F190" s="15" t="s">
        <v>329</v>
      </c>
      <c r="G190" s="15" t="s">
        <v>226</v>
      </c>
      <c r="H190" s="15"/>
      <c r="I190" s="15"/>
      <c r="J190" s="19" t="n">
        <f aca="false">VLOOKUP($F190,Calculations!$B$6:$AE$314,5,FALSE())</f>
        <v>58320</v>
      </c>
      <c r="K190" s="20" t="s">
        <v>40</v>
      </c>
      <c r="L190" s="20" t="n">
        <f aca="false">J190</f>
        <v>58320</v>
      </c>
      <c r="M190" s="19" t="n">
        <f aca="false">VLOOKUP($F190,Calculations!$B$6:$AE$314,24,FALSE())</f>
        <v>0</v>
      </c>
      <c r="N190" s="23"/>
      <c r="O190" s="16" t="n">
        <f aca="false">+N190+M190+J190</f>
        <v>58320</v>
      </c>
      <c r="P190" s="16"/>
      <c r="Q190" s="19"/>
      <c r="R190" s="19"/>
      <c r="S190" s="19"/>
      <c r="T190" s="19"/>
      <c r="U190" s="15"/>
      <c r="V190" s="19" t="n">
        <f aca="false">VLOOKUP($F190,Calculations!$B$6:$AE$314,8,FALSE())</f>
        <v>0</v>
      </c>
      <c r="W190" s="19" t="n">
        <f aca="false">VLOOKUP($F190,Calculations!$B$6:$AE$314,11,FALSE())</f>
        <v>0</v>
      </c>
      <c r="X190" s="19"/>
      <c r="Y190" s="19"/>
      <c r="Z190" s="19"/>
      <c r="AA190" s="19"/>
      <c r="AB190" s="21" t="n">
        <f aca="false">VLOOKUP($F190,Calculations!$B$6:$AE$314,29,FALSE())</f>
        <v>33735</v>
      </c>
      <c r="AC190" s="15"/>
      <c r="AD190" s="19" t="n">
        <f aca="false">VLOOKUP($F190,Calculations!$B$6:$AE$314,7,FALSE())</f>
        <v>22430.7692307692</v>
      </c>
      <c r="AE190" s="19" t="n">
        <f aca="false">VLOOKUP($F190,Calculations!$B$6:$AE$314,10,FALSE())</f>
        <v>35889.2307692308</v>
      </c>
      <c r="AH190" s="6"/>
    </row>
    <row r="191" customFormat="false" ht="12.75" hidden="false" customHeight="false" outlineLevel="0" collapsed="false">
      <c r="A191" s="17" t="s">
        <v>37</v>
      </c>
      <c r="B191" s="17" t="s">
        <v>7</v>
      </c>
      <c r="C191" s="14"/>
      <c r="D191" s="14"/>
      <c r="E191" s="14"/>
      <c r="F191" s="15" t="s">
        <v>330</v>
      </c>
      <c r="G191" s="15"/>
      <c r="H191" s="15"/>
      <c r="I191" s="15"/>
      <c r="J191" s="19" t="n">
        <f aca="false">VLOOKUP($F191,Calculations!$B$6:$AE$314,5,FALSE())</f>
        <v>55586</v>
      </c>
      <c r="K191" s="20" t="s">
        <v>40</v>
      </c>
      <c r="L191" s="20" t="n">
        <f aca="false">J191</f>
        <v>55586</v>
      </c>
      <c r="M191" s="19" t="n">
        <f aca="false">VLOOKUP($F191,Calculations!$B$6:$AE$314,24,FALSE())</f>
        <v>0</v>
      </c>
      <c r="N191" s="23"/>
      <c r="O191" s="16" t="n">
        <f aca="false">+N191+M191+J191</f>
        <v>55586</v>
      </c>
      <c r="P191" s="16"/>
      <c r="Q191" s="19"/>
      <c r="R191" s="19"/>
      <c r="S191" s="19"/>
      <c r="T191" s="19"/>
      <c r="U191" s="15"/>
      <c r="V191" s="19" t="n">
        <f aca="false">VLOOKUP($F191,Calculations!$B$6:$AE$314,8,FALSE())</f>
        <v>0</v>
      </c>
      <c r="W191" s="19" t="n">
        <f aca="false">VLOOKUP($F191,Calculations!$B$6:$AE$314,11,FALSE())</f>
        <v>0</v>
      </c>
      <c r="X191" s="19"/>
      <c r="Y191" s="19"/>
      <c r="Z191" s="19"/>
      <c r="AA191" s="19"/>
      <c r="AB191" s="21" t="n">
        <f aca="false">VLOOKUP($F191,Calculations!$B$6:$AE$314,29,FALSE())</f>
        <v>33826</v>
      </c>
      <c r="AC191" s="15"/>
      <c r="AD191" s="19" t="n">
        <f aca="false">VLOOKUP($F191,Calculations!$B$6:$AE$314,7,FALSE())</f>
        <v>19241.3076923077</v>
      </c>
      <c r="AE191" s="19" t="n">
        <f aca="false">VLOOKUP($F191,Calculations!$B$6:$AE$314,10,FALSE())</f>
        <v>32068.8461538462</v>
      </c>
      <c r="AH191" s="6"/>
    </row>
    <row r="192" customFormat="false" ht="12.75" hidden="false" customHeight="false" outlineLevel="0" collapsed="false">
      <c r="A192" s="17" t="s">
        <v>37</v>
      </c>
      <c r="B192" s="17" t="s">
        <v>7</v>
      </c>
      <c r="C192" s="14"/>
      <c r="D192" s="14"/>
      <c r="E192" s="14"/>
      <c r="F192" s="15" t="s">
        <v>331</v>
      </c>
      <c r="G192" s="15"/>
      <c r="H192" s="15"/>
      <c r="I192" s="15"/>
      <c r="J192" s="19" t="n">
        <f aca="false">VLOOKUP($F192,Calculations!$B$6:$AE$314,5,FALSE())</f>
        <v>54945</v>
      </c>
      <c r="K192" s="20" t="s">
        <v>40</v>
      </c>
      <c r="L192" s="20" t="n">
        <f aca="false">J192</f>
        <v>54945</v>
      </c>
      <c r="M192" s="19" t="n">
        <f aca="false">VLOOKUP($F192,Calculations!$B$6:$AE$314,24,FALSE())</f>
        <v>0</v>
      </c>
      <c r="N192" s="23"/>
      <c r="O192" s="16" t="n">
        <f aca="false">+N192+M192+J192</f>
        <v>54945</v>
      </c>
      <c r="P192" s="16"/>
      <c r="Q192" s="19"/>
      <c r="R192" s="19"/>
      <c r="S192" s="19"/>
      <c r="T192" s="19"/>
      <c r="U192" s="15"/>
      <c r="V192" s="19" t="n">
        <f aca="false">VLOOKUP($F192,Calculations!$B$6:$AE$314,8,FALSE())</f>
        <v>0</v>
      </c>
      <c r="W192" s="19" t="n">
        <f aca="false">VLOOKUP($F192,Calculations!$B$6:$AE$314,11,FALSE())</f>
        <v>0</v>
      </c>
      <c r="X192" s="19"/>
      <c r="Y192" s="19"/>
      <c r="Z192" s="19"/>
      <c r="AA192" s="19"/>
      <c r="AB192" s="21" t="n">
        <f aca="false">VLOOKUP($F192,Calculations!$B$6:$AE$314,29,FALSE())</f>
        <v>33609</v>
      </c>
      <c r="AC192" s="15"/>
      <c r="AD192" s="19" t="n">
        <f aca="false">VLOOKUP($F192,Calculations!$B$6:$AE$314,7,FALSE())</f>
        <v>21132.6923076923</v>
      </c>
      <c r="AE192" s="19" t="n">
        <f aca="false">VLOOKUP($F192,Calculations!$B$6:$AE$314,10,FALSE())</f>
        <v>33812.3076923077</v>
      </c>
      <c r="AH192" s="6"/>
    </row>
    <row r="193" customFormat="false" ht="25.5" hidden="false" customHeight="false" outlineLevel="0" collapsed="false">
      <c r="A193" s="17" t="s">
        <v>53</v>
      </c>
      <c r="B193" s="17" t="s">
        <v>7</v>
      </c>
      <c r="C193" s="14"/>
      <c r="D193" s="14"/>
      <c r="E193" s="35"/>
      <c r="F193" s="36" t="s">
        <v>332</v>
      </c>
      <c r="G193" s="36" t="s">
        <v>333</v>
      </c>
      <c r="H193" s="36"/>
      <c r="I193" s="36"/>
      <c r="J193" s="19" t="n">
        <f aca="false">VLOOKUP($F193,Calculations!$B$6:$AE$314,5,FALSE())</f>
        <v>54050</v>
      </c>
      <c r="K193" s="20" t="s">
        <v>40</v>
      </c>
      <c r="L193" s="20" t="n">
        <f aca="false">J193</f>
        <v>54050</v>
      </c>
      <c r="M193" s="19" t="n">
        <f aca="false">VLOOKUP($F193,Calculations!$B$6:$AE$314,24,FALSE())</f>
        <v>0</v>
      </c>
      <c r="N193" s="37"/>
      <c r="O193" s="16" t="n">
        <f aca="false">+N193+M193+J193</f>
        <v>54050</v>
      </c>
      <c r="P193" s="16"/>
      <c r="Q193" s="19"/>
      <c r="R193" s="19"/>
      <c r="S193" s="19"/>
      <c r="T193" s="19"/>
      <c r="U193" s="15"/>
      <c r="V193" s="19" t="n">
        <f aca="false">VLOOKUP($F193,Calculations!$B$6:$AE$314,8,FALSE())</f>
        <v>0</v>
      </c>
      <c r="W193" s="19" t="n">
        <f aca="false">VLOOKUP($F193,Calculations!$B$6:$AE$314,11,FALSE())</f>
        <v>0</v>
      </c>
      <c r="X193" s="19"/>
      <c r="Y193" s="19"/>
      <c r="Z193" s="19"/>
      <c r="AA193" s="19"/>
      <c r="AB193" s="21" t="n">
        <f aca="false">VLOOKUP($F193,Calculations!$B$6:$AE$314,29,FALSE())</f>
        <v>34953</v>
      </c>
      <c r="AC193" s="15"/>
      <c r="AD193" s="19" t="n">
        <f aca="false">VLOOKUP($F193,Calculations!$B$6:$AE$314,7,FALSE())</f>
        <v>12473.0769230769</v>
      </c>
      <c r="AE193" s="19" t="n">
        <f aca="false">VLOOKUP($F193,Calculations!$B$6:$AE$314,10,FALSE())</f>
        <v>24946.1538461538</v>
      </c>
      <c r="AH193" s="6"/>
    </row>
    <row r="194" customFormat="false" ht="12.75" hidden="false" customHeight="false" outlineLevel="0" collapsed="false">
      <c r="A194" s="17" t="s">
        <v>37</v>
      </c>
      <c r="B194" s="17" t="s">
        <v>42</v>
      </c>
      <c r="C194" s="14"/>
      <c r="D194" s="14"/>
      <c r="E194" s="14"/>
      <c r="F194" s="15" t="s">
        <v>334</v>
      </c>
      <c r="G194" s="15"/>
      <c r="H194" s="15"/>
      <c r="I194" s="15"/>
      <c r="J194" s="19" t="n">
        <f aca="false">VLOOKUP($F194,Calculations!$B$6:$AE$314,5,FALSE())</f>
        <v>52795</v>
      </c>
      <c r="K194" s="20" t="s">
        <v>40</v>
      </c>
      <c r="L194" s="20" t="n">
        <f aca="false">J194</f>
        <v>52795</v>
      </c>
      <c r="M194" s="19" t="n">
        <f aca="false">VLOOKUP($F194,Calculations!$B$6:$AE$314,24,FALSE())</f>
        <v>0</v>
      </c>
      <c r="N194" s="23"/>
      <c r="O194" s="16" t="n">
        <f aca="false">+N194+M194+J194</f>
        <v>52795</v>
      </c>
      <c r="P194" s="16"/>
      <c r="Q194" s="19"/>
      <c r="R194" s="19"/>
      <c r="S194" s="19"/>
      <c r="T194" s="19"/>
      <c r="U194" s="15"/>
      <c r="V194" s="19" t="n">
        <f aca="false">VLOOKUP($F194,Calculations!$B$6:$AE$314,8,FALSE())</f>
        <v>0</v>
      </c>
      <c r="W194" s="19" t="n">
        <f aca="false">VLOOKUP($F194,Calculations!$B$6:$AE$314,11,FALSE())</f>
        <v>0</v>
      </c>
      <c r="X194" s="19"/>
      <c r="Y194" s="19"/>
      <c r="Z194" s="19"/>
      <c r="AA194" s="19"/>
      <c r="AB194" s="21" t="n">
        <f aca="false">VLOOKUP($F194,Calculations!$B$6:$AE$314,29,FALSE())</f>
        <v>34700</v>
      </c>
      <c r="AC194" s="15"/>
      <c r="AD194" s="19" t="n">
        <f aca="false">VLOOKUP($F194,Calculations!$B$6:$AE$314,7,FALSE())</f>
        <v>14214.0384615385</v>
      </c>
      <c r="AE194" s="19" t="n">
        <f aca="false">VLOOKUP($F194,Calculations!$B$6:$AE$314,10,FALSE())</f>
        <v>26397.5</v>
      </c>
      <c r="AH194" s="6"/>
    </row>
    <row r="195" customFormat="false" ht="12.75" hidden="false" customHeight="false" outlineLevel="0" collapsed="false">
      <c r="A195" s="17" t="s">
        <v>53</v>
      </c>
      <c r="B195" s="17" t="s">
        <v>7</v>
      </c>
      <c r="C195" s="14"/>
      <c r="D195" s="14"/>
      <c r="E195" s="14"/>
      <c r="F195" s="15" t="s">
        <v>335</v>
      </c>
      <c r="G195" s="15" t="s">
        <v>336</v>
      </c>
      <c r="H195" s="15"/>
      <c r="I195" s="15"/>
      <c r="J195" s="19" t="n">
        <f aca="false">VLOOKUP($F195,Calculations!$B$6:$AE$314,5,FALSE())</f>
        <v>52060</v>
      </c>
      <c r="K195" s="20" t="s">
        <v>40</v>
      </c>
      <c r="L195" s="20" t="n">
        <f aca="false">J195</f>
        <v>52060</v>
      </c>
      <c r="M195" s="19" t="n">
        <f aca="false">VLOOKUP($F195,Calculations!$B$6:$AE$314,24,FALSE())</f>
        <v>0</v>
      </c>
      <c r="N195" s="23"/>
      <c r="O195" s="16" t="n">
        <f aca="false">+N195+M195+J195</f>
        <v>52060</v>
      </c>
      <c r="P195" s="16"/>
      <c r="Q195" s="19"/>
      <c r="R195" s="19"/>
      <c r="S195" s="19"/>
      <c r="T195" s="19"/>
      <c r="U195" s="15"/>
      <c r="V195" s="19" t="n">
        <f aca="false">VLOOKUP($F195,Calculations!$B$6:$AE$314,8,FALSE())</f>
        <v>0</v>
      </c>
      <c r="W195" s="19" t="n">
        <f aca="false">VLOOKUP($F195,Calculations!$B$6:$AE$314,11,FALSE())</f>
        <v>0</v>
      </c>
      <c r="X195" s="19"/>
      <c r="Y195" s="19"/>
      <c r="Z195" s="19"/>
      <c r="AA195" s="19"/>
      <c r="AB195" s="21" t="n">
        <f aca="false">VLOOKUP($F195,Calculations!$B$6:$AE$314,29,FALSE())</f>
        <v>29677</v>
      </c>
      <c r="AC195" s="15"/>
      <c r="AD195" s="19" t="n">
        <f aca="false">VLOOKUP($F195,Calculations!$B$6:$AE$314,7,FALSE())</f>
        <v>40046.1538461538</v>
      </c>
      <c r="AE195" s="19" t="n">
        <f aca="false">VLOOKUP($F195,Calculations!$B$6:$AE$314,10,FALSE())</f>
        <v>52060</v>
      </c>
      <c r="AH195" s="6"/>
    </row>
    <row r="196" customFormat="false" ht="12.75" hidden="false" customHeight="false" outlineLevel="0" collapsed="false">
      <c r="A196" s="17" t="s">
        <v>37</v>
      </c>
      <c r="B196" s="17" t="s">
        <v>7</v>
      </c>
      <c r="C196" s="14"/>
      <c r="D196" s="14"/>
      <c r="E196" s="14"/>
      <c r="F196" s="15" t="s">
        <v>337</v>
      </c>
      <c r="G196" s="15"/>
      <c r="H196" s="15"/>
      <c r="I196" s="15"/>
      <c r="J196" s="19" t="n">
        <f aca="false">VLOOKUP($F196,Calculations!$B$6:$AE$314,5,FALSE())</f>
        <v>51552</v>
      </c>
      <c r="K196" s="20" t="s">
        <v>40</v>
      </c>
      <c r="L196" s="20" t="n">
        <f aca="false">J196</f>
        <v>51552</v>
      </c>
      <c r="M196" s="19" t="n">
        <f aca="false">VLOOKUP($F196,Calculations!$B$6:$AE$314,24,FALSE())</f>
        <v>7500</v>
      </c>
      <c r="N196" s="23"/>
      <c r="O196" s="16" t="n">
        <f aca="false">+N196+M196+J196</f>
        <v>59052</v>
      </c>
      <c r="P196" s="16"/>
      <c r="Q196" s="19"/>
      <c r="R196" s="19"/>
      <c r="S196" s="19"/>
      <c r="T196" s="19"/>
      <c r="U196" s="15"/>
      <c r="V196" s="19" t="n">
        <f aca="false">VLOOKUP($F196,Calculations!$B$6:$AE$314,8,FALSE())</f>
        <v>0</v>
      </c>
      <c r="W196" s="19" t="n">
        <f aca="false">VLOOKUP($F196,Calculations!$B$6:$AE$314,11,FALSE())</f>
        <v>0</v>
      </c>
      <c r="X196" s="19"/>
      <c r="Y196" s="19"/>
      <c r="Z196" s="19"/>
      <c r="AA196" s="19"/>
      <c r="AB196" s="21" t="n">
        <f aca="false">VLOOKUP($F196,Calculations!$B$6:$AE$314,29,FALSE())</f>
        <v>35023</v>
      </c>
      <c r="AC196" s="15"/>
      <c r="AD196" s="19" t="n">
        <f aca="false">VLOOKUP($F196,Calculations!$B$6:$AE$314,7,FALSE())</f>
        <v>11896.6153846154</v>
      </c>
      <c r="AE196" s="19" t="n">
        <f aca="false">VLOOKUP($F196,Calculations!$B$6:$AE$314,10,FALSE())</f>
        <v>23793.2307692308</v>
      </c>
      <c r="AH196" s="6"/>
    </row>
    <row r="197" customFormat="false" ht="12.75" hidden="false" customHeight="false" outlineLevel="0" collapsed="false">
      <c r="A197" s="17" t="s">
        <v>53</v>
      </c>
      <c r="B197" s="17" t="s">
        <v>7</v>
      </c>
      <c r="C197" s="14"/>
      <c r="D197" s="14"/>
      <c r="E197" s="14"/>
      <c r="F197" s="15" t="s">
        <v>338</v>
      </c>
      <c r="G197" s="15" t="s">
        <v>339</v>
      </c>
      <c r="H197" s="15"/>
      <c r="I197" s="15"/>
      <c r="J197" s="19" t="n">
        <f aca="false">VLOOKUP($F197,Calculations!$B$6:$AE$314,5,FALSE())</f>
        <v>51400</v>
      </c>
      <c r="K197" s="20" t="s">
        <v>40</v>
      </c>
      <c r="L197" s="20" t="n">
        <f aca="false">J197</f>
        <v>51400</v>
      </c>
      <c r="M197" s="19" t="n">
        <f aca="false">VLOOKUP($F197,Calculations!$B$6:$AE$314,24,FALSE())</f>
        <v>0</v>
      </c>
      <c r="N197" s="23"/>
      <c r="O197" s="16" t="n">
        <f aca="false">+N197+M197+J197</f>
        <v>51400</v>
      </c>
      <c r="P197" s="16"/>
      <c r="Q197" s="19"/>
      <c r="R197" s="19"/>
      <c r="S197" s="19"/>
      <c r="T197" s="19"/>
      <c r="U197" s="15"/>
      <c r="V197" s="19" t="n">
        <f aca="false">VLOOKUP($F197,Calculations!$B$6:$AE$314,8,FALSE())</f>
        <v>0</v>
      </c>
      <c r="W197" s="19" t="n">
        <f aca="false">VLOOKUP($F197,Calculations!$B$6:$AE$314,11,FALSE())</f>
        <v>0</v>
      </c>
      <c r="X197" s="19"/>
      <c r="Y197" s="19"/>
      <c r="Z197" s="19"/>
      <c r="AA197" s="19"/>
      <c r="AB197" s="21" t="n">
        <f aca="false">VLOOKUP($F197,Calculations!$B$6:$AE$314,29,FALSE())</f>
        <v>31888</v>
      </c>
      <c r="AC197" s="15"/>
      <c r="AD197" s="19" t="n">
        <f aca="false">VLOOKUP($F197,Calculations!$B$6:$AE$314,7,FALSE())</f>
        <v>27676.9230769231</v>
      </c>
      <c r="AE197" s="19" t="n">
        <f aca="false">VLOOKUP($F197,Calculations!$B$6:$AE$314,10,FALSE())</f>
        <v>39538.4615384615</v>
      </c>
      <c r="AH197" s="6"/>
    </row>
    <row r="198" customFormat="false" ht="12.75" hidden="false" customHeight="false" outlineLevel="0" collapsed="false">
      <c r="A198" s="17" t="s">
        <v>53</v>
      </c>
      <c r="B198" s="17" t="s">
        <v>7</v>
      </c>
      <c r="C198" s="14"/>
      <c r="D198" s="14"/>
      <c r="E198" s="14"/>
      <c r="F198" s="15" t="s">
        <v>340</v>
      </c>
      <c r="G198" s="15" t="s">
        <v>236</v>
      </c>
      <c r="H198" s="15"/>
      <c r="I198" s="15"/>
      <c r="J198" s="19" t="n">
        <f aca="false">VLOOKUP($F198,Calculations!$B$6:$AE$314,5,FALSE())</f>
        <v>49760</v>
      </c>
      <c r="K198" s="20" t="s">
        <v>40</v>
      </c>
      <c r="L198" s="20" t="n">
        <f aca="false">J198</f>
        <v>49760</v>
      </c>
      <c r="M198" s="19" t="n">
        <f aca="false">VLOOKUP($F198,Calculations!$B$6:$AE$314,24,FALSE())</f>
        <v>0</v>
      </c>
      <c r="N198" s="23"/>
      <c r="O198" s="16" t="n">
        <f aca="false">+N198+M198+J198</f>
        <v>49760</v>
      </c>
      <c r="P198" s="16"/>
      <c r="Q198" s="19"/>
      <c r="R198" s="19"/>
      <c r="S198" s="19"/>
      <c r="T198" s="19"/>
      <c r="U198" s="15"/>
      <c r="V198" s="19" t="n">
        <f aca="false">VLOOKUP($F198,Calculations!$B$6:$AE$314,8,FALSE())</f>
        <v>0</v>
      </c>
      <c r="W198" s="19" t="n">
        <f aca="false">VLOOKUP($F198,Calculations!$B$6:$AE$314,11,FALSE())</f>
        <v>0</v>
      </c>
      <c r="X198" s="19"/>
      <c r="Y198" s="19"/>
      <c r="Z198" s="19"/>
      <c r="AA198" s="19"/>
      <c r="AB198" s="21" t="n">
        <f aca="false">VLOOKUP($F198,Calculations!$B$6:$AE$314,29,FALSE())</f>
        <v>31229</v>
      </c>
      <c r="AC198" s="15"/>
      <c r="AD198" s="19" t="n">
        <f aca="false">VLOOKUP($F198,Calculations!$B$6:$AE$314,7,FALSE())</f>
        <v>15310.7692307692</v>
      </c>
      <c r="AE198" s="19" t="n">
        <f aca="false">VLOOKUP($F198,Calculations!$B$6:$AE$314,10,FALSE())</f>
        <v>40190.7692307692</v>
      </c>
      <c r="AH198" s="6"/>
    </row>
    <row r="199" customFormat="false" ht="12.75" hidden="false" customHeight="false" outlineLevel="0" collapsed="false">
      <c r="A199" s="17" t="s">
        <v>37</v>
      </c>
      <c r="B199" s="17" t="s">
        <v>7</v>
      </c>
      <c r="C199" s="14"/>
      <c r="D199" s="14"/>
      <c r="E199" s="14"/>
      <c r="F199" s="15" t="s">
        <v>341</v>
      </c>
      <c r="G199" s="15"/>
      <c r="H199" s="15"/>
      <c r="I199" s="15"/>
      <c r="J199" s="19" t="n">
        <f aca="false">VLOOKUP($F199,Calculations!$B$6:$AE$314,5,FALSE())</f>
        <v>46885</v>
      </c>
      <c r="K199" s="20" t="s">
        <v>40</v>
      </c>
      <c r="L199" s="20" t="n">
        <f aca="false">J199</f>
        <v>46885</v>
      </c>
      <c r="M199" s="19" t="n">
        <f aca="false">VLOOKUP($F199,Calculations!$B$6:$AE$314,24,FALSE())</f>
        <v>0</v>
      </c>
      <c r="N199" s="23"/>
      <c r="O199" s="16" t="n">
        <f aca="false">+N199+M199+J199</f>
        <v>46885</v>
      </c>
      <c r="P199" s="16"/>
      <c r="Q199" s="19"/>
      <c r="R199" s="19"/>
      <c r="S199" s="19"/>
      <c r="T199" s="19"/>
      <c r="U199" s="15"/>
      <c r="V199" s="19" t="n">
        <f aca="false">VLOOKUP($F199,Calculations!$B$6:$AE$314,8,FALSE())</f>
        <v>0</v>
      </c>
      <c r="W199" s="19" t="n">
        <f aca="false">VLOOKUP($F199,Calculations!$B$6:$AE$314,11,FALSE())</f>
        <v>0</v>
      </c>
      <c r="X199" s="19"/>
      <c r="Y199" s="19"/>
      <c r="Z199" s="19"/>
      <c r="AA199" s="19"/>
      <c r="AB199" s="21" t="n">
        <f aca="false">VLOOKUP($F199,Calculations!$B$6:$AE$314,29,FALSE())</f>
        <v>36647</v>
      </c>
      <c r="AC199" s="15"/>
      <c r="AD199" s="19" t="n">
        <f aca="false">VLOOKUP($F199,Calculations!$B$6:$AE$314,7,FALSE())</f>
        <v>1803.26923076923</v>
      </c>
      <c r="AE199" s="19" t="n">
        <f aca="false">VLOOKUP($F199,Calculations!$B$6:$AE$314,10,FALSE())</f>
        <v>12622.8846153846</v>
      </c>
      <c r="AH199" s="6"/>
    </row>
    <row r="200" customFormat="false" ht="12.75" hidden="false" customHeight="false" outlineLevel="0" collapsed="false">
      <c r="A200" s="17" t="s">
        <v>50</v>
      </c>
      <c r="B200" s="17" t="s">
        <v>7</v>
      </c>
      <c r="C200" s="14"/>
      <c r="D200" s="14"/>
      <c r="E200" s="14"/>
      <c r="F200" s="15" t="s">
        <v>342</v>
      </c>
      <c r="G200" s="15" t="s">
        <v>175</v>
      </c>
      <c r="H200" s="15"/>
      <c r="I200" s="15"/>
      <c r="J200" s="19" t="n">
        <f aca="false">VLOOKUP($F200,Calculations!$B$6:$AE$314,5,FALSE())</f>
        <v>46500</v>
      </c>
      <c r="K200" s="20" t="s">
        <v>40</v>
      </c>
      <c r="L200" s="20" t="n">
        <f aca="false">J200</f>
        <v>46500</v>
      </c>
      <c r="M200" s="19" t="n">
        <f aca="false">VLOOKUP($F200,Calculations!$B$6:$AE$314,24,FALSE())</f>
        <v>0</v>
      </c>
      <c r="N200" s="23"/>
      <c r="O200" s="16" t="n">
        <f aca="false">+N200+M200+J200</f>
        <v>46500</v>
      </c>
      <c r="P200" s="16"/>
      <c r="Q200" s="19"/>
      <c r="R200" s="19"/>
      <c r="S200" s="19"/>
      <c r="T200" s="19"/>
      <c r="U200" s="15"/>
      <c r="V200" s="19" t="n">
        <f aca="false">VLOOKUP($F200,Calculations!$B$6:$AE$314,8,FALSE())</f>
        <v>0</v>
      </c>
      <c r="W200" s="19" t="n">
        <f aca="false">VLOOKUP($F200,Calculations!$B$6:$AE$314,11,FALSE())</f>
        <v>0</v>
      </c>
      <c r="X200" s="19"/>
      <c r="Y200" s="19"/>
      <c r="Z200" s="19"/>
      <c r="AA200" s="19"/>
      <c r="AB200" s="21" t="n">
        <f aca="false">VLOOKUP($F200,Calculations!$B$6:$AE$314,29,FALSE())</f>
        <v>33605</v>
      </c>
      <c r="AC200" s="15"/>
      <c r="AD200" s="19" t="n">
        <f aca="false">VLOOKUP($F200,Calculations!$B$6:$AE$314,7,FALSE())</f>
        <v>8942.30769230769</v>
      </c>
      <c r="AE200" s="19" t="n">
        <f aca="false">VLOOKUP($F200,Calculations!$B$6:$AE$314,10,FALSE())</f>
        <v>26826.9230769231</v>
      </c>
      <c r="AH200" s="6"/>
    </row>
    <row r="201" customFormat="false" ht="12.75" hidden="false" customHeight="false" outlineLevel="0" collapsed="false">
      <c r="A201" s="17" t="s">
        <v>53</v>
      </c>
      <c r="B201" s="17" t="s">
        <v>7</v>
      </c>
      <c r="C201" s="14"/>
      <c r="D201" s="14"/>
      <c r="E201" s="14"/>
      <c r="F201" s="15" t="s">
        <v>343</v>
      </c>
      <c r="G201" s="15" t="s">
        <v>344</v>
      </c>
      <c r="H201" s="15"/>
      <c r="I201" s="15"/>
      <c r="J201" s="19" t="n">
        <f aca="false">VLOOKUP($F201,Calculations!$B$6:$AE$314,5,FALSE())</f>
        <v>45000</v>
      </c>
      <c r="K201" s="20" t="s">
        <v>40</v>
      </c>
      <c r="L201" s="20" t="n">
        <f aca="false">J201</f>
        <v>45000</v>
      </c>
      <c r="M201" s="19" t="n">
        <f aca="false">VLOOKUP($F201,Calculations!$B$6:$AE$314,24,FALSE())</f>
        <v>0</v>
      </c>
      <c r="N201" s="23"/>
      <c r="O201" s="16" t="n">
        <f aca="false">+N201+M201+J201</f>
        <v>45000</v>
      </c>
      <c r="P201" s="16"/>
      <c r="Q201" s="19"/>
      <c r="R201" s="19"/>
      <c r="S201" s="19"/>
      <c r="T201" s="19"/>
      <c r="U201" s="15"/>
      <c r="V201" s="19" t="n">
        <f aca="false">VLOOKUP($F201,Calculations!$B$6:$AE$314,8,FALSE())</f>
        <v>0</v>
      </c>
      <c r="W201" s="19" t="n">
        <f aca="false">VLOOKUP($F201,Calculations!$B$6:$AE$314,11,FALSE())</f>
        <v>0</v>
      </c>
      <c r="X201" s="19"/>
      <c r="Y201" s="19"/>
      <c r="Z201" s="19"/>
      <c r="AA201" s="19"/>
      <c r="AB201" s="21" t="n">
        <f aca="false">VLOOKUP($F201,Calculations!$B$6:$AE$314,29,FALSE())</f>
        <v>35579</v>
      </c>
      <c r="AC201" s="15"/>
      <c r="AD201" s="19" t="n">
        <f aca="false">VLOOKUP($F201,Calculations!$B$6:$AE$314,7,FALSE())</f>
        <v>4326.92307692308</v>
      </c>
      <c r="AE201" s="19" t="n">
        <f aca="false">VLOOKUP($F201,Calculations!$B$6:$AE$314,10,FALSE())</f>
        <v>17307.6923076923</v>
      </c>
      <c r="AH201" s="6"/>
    </row>
    <row r="202" customFormat="false" ht="12.75" hidden="false" customHeight="false" outlineLevel="0" collapsed="false">
      <c r="A202" s="17" t="s">
        <v>53</v>
      </c>
      <c r="B202" s="17" t="s">
        <v>7</v>
      </c>
      <c r="C202" s="14"/>
      <c r="D202" s="14"/>
      <c r="E202" s="14"/>
      <c r="F202" s="15" t="s">
        <v>345</v>
      </c>
      <c r="G202" s="15" t="s">
        <v>236</v>
      </c>
      <c r="H202" s="15"/>
      <c r="I202" s="15"/>
      <c r="J202" s="19" t="n">
        <f aca="false">VLOOKUP($F202,Calculations!$B$6:$AE$314,5,FALSE())</f>
        <v>45000</v>
      </c>
      <c r="K202" s="20" t="s">
        <v>40</v>
      </c>
      <c r="L202" s="20" t="n">
        <f aca="false">J202</f>
        <v>45000</v>
      </c>
      <c r="M202" s="19" t="n">
        <f aca="false">VLOOKUP($F202,Calculations!$B$6:$AE$314,24,FALSE())</f>
        <v>0</v>
      </c>
      <c r="N202" s="23"/>
      <c r="O202" s="16" t="n">
        <f aca="false">+N202+M202+J202</f>
        <v>45000</v>
      </c>
      <c r="P202" s="16"/>
      <c r="Q202" s="19"/>
      <c r="R202" s="19"/>
      <c r="S202" s="19"/>
      <c r="T202" s="19"/>
      <c r="U202" s="15"/>
      <c r="V202" s="19" t="n">
        <f aca="false">VLOOKUP($F202,Calculations!$B$6:$AE$314,8,FALSE())</f>
        <v>0</v>
      </c>
      <c r="W202" s="19" t="n">
        <f aca="false">VLOOKUP($F202,Calculations!$B$6:$AE$314,11,FALSE())</f>
        <v>0</v>
      </c>
      <c r="X202" s="19"/>
      <c r="Y202" s="19"/>
      <c r="Z202" s="19"/>
      <c r="AA202" s="19"/>
      <c r="AB202" s="21" t="n">
        <f aca="false">VLOOKUP($F202,Calculations!$B$6:$AE$314,29,FALSE())</f>
        <v>34249</v>
      </c>
      <c r="AC202" s="15"/>
      <c r="AD202" s="19" t="n">
        <f aca="false">VLOOKUP($F202,Calculations!$B$6:$AE$314,7,FALSE())</f>
        <v>6923.07692307692</v>
      </c>
      <c r="AE202" s="19" t="n">
        <f aca="false">VLOOKUP($F202,Calculations!$B$6:$AE$314,10,FALSE())</f>
        <v>22500</v>
      </c>
      <c r="AH202" s="6"/>
    </row>
    <row r="203" customFormat="false" ht="12.75" hidden="false" customHeight="false" outlineLevel="0" collapsed="false">
      <c r="A203" s="17" t="s">
        <v>37</v>
      </c>
      <c r="B203" s="17" t="s">
        <v>7</v>
      </c>
      <c r="C203" s="14"/>
      <c r="D203" s="14"/>
      <c r="E203" s="14"/>
      <c r="F203" s="15" t="s">
        <v>346</v>
      </c>
      <c r="G203" s="15"/>
      <c r="H203" s="15"/>
      <c r="I203" s="15"/>
      <c r="J203" s="19" t="n">
        <f aca="false">VLOOKUP($F203,Calculations!$B$6:$AE$314,5,FALSE())</f>
        <v>44828</v>
      </c>
      <c r="K203" s="20" t="s">
        <v>40</v>
      </c>
      <c r="L203" s="20" t="n">
        <f aca="false">J203</f>
        <v>44828</v>
      </c>
      <c r="M203" s="19" t="n">
        <f aca="false">VLOOKUP($F203,Calculations!$B$6:$AE$314,24,FALSE())</f>
        <v>0</v>
      </c>
      <c r="N203" s="23"/>
      <c r="O203" s="16" t="n">
        <f aca="false">+N203+M203+J203</f>
        <v>44828</v>
      </c>
      <c r="P203" s="16"/>
      <c r="Q203" s="19"/>
      <c r="R203" s="19"/>
      <c r="S203" s="19"/>
      <c r="T203" s="19"/>
      <c r="U203" s="15"/>
      <c r="V203" s="19" t="n">
        <f aca="false">VLOOKUP($F203,Calculations!$B$6:$AE$314,8,FALSE())</f>
        <v>0</v>
      </c>
      <c r="W203" s="19" t="n">
        <f aca="false">VLOOKUP($F203,Calculations!$B$6:$AE$314,11,FALSE())</f>
        <v>0</v>
      </c>
      <c r="X203" s="19"/>
      <c r="Y203" s="19"/>
      <c r="Z203" s="19"/>
      <c r="AA203" s="19"/>
      <c r="AB203" s="21" t="n">
        <f aca="false">VLOOKUP($F203,Calculations!$B$6:$AE$314,29,FALSE())</f>
        <v>35093</v>
      </c>
      <c r="AC203" s="15"/>
      <c r="AD203" s="19" t="n">
        <f aca="false">VLOOKUP($F203,Calculations!$B$6:$AE$314,7,FALSE())</f>
        <v>5172.46153846154</v>
      </c>
      <c r="AE203" s="19" t="n">
        <f aca="false">VLOOKUP($F203,Calculations!$B$6:$AE$314,10,FALSE())</f>
        <v>18965.6923076923</v>
      </c>
      <c r="AH203" s="6"/>
    </row>
    <row r="204" customFormat="false" ht="12.75" hidden="false" customHeight="false" outlineLevel="0" collapsed="false">
      <c r="A204" s="17" t="s">
        <v>37</v>
      </c>
      <c r="B204" s="17" t="s">
        <v>7</v>
      </c>
      <c r="C204" s="14"/>
      <c r="D204" s="14"/>
      <c r="E204" s="14"/>
      <c r="F204" s="15" t="s">
        <v>347</v>
      </c>
      <c r="G204" s="15"/>
      <c r="H204" s="15"/>
      <c r="I204" s="15"/>
      <c r="J204" s="19" t="n">
        <f aca="false">VLOOKUP($F204,Calculations!$B$6:$AE$314,5,FALSE())</f>
        <v>42868</v>
      </c>
      <c r="K204" s="20" t="s">
        <v>40</v>
      </c>
      <c r="L204" s="20" t="n">
        <f aca="false">J204</f>
        <v>42868</v>
      </c>
      <c r="M204" s="19" t="n">
        <f aca="false">VLOOKUP($F204,Calculations!$B$6:$AE$314,24,FALSE())</f>
        <v>0</v>
      </c>
      <c r="N204" s="23"/>
      <c r="O204" s="16" t="n">
        <f aca="false">+N204+M204+J204</f>
        <v>42868</v>
      </c>
      <c r="P204" s="16"/>
      <c r="Q204" s="19"/>
      <c r="R204" s="19"/>
      <c r="S204" s="19"/>
      <c r="T204" s="19"/>
      <c r="U204" s="15"/>
      <c r="V204" s="19" t="n">
        <f aca="false">VLOOKUP($F204,Calculations!$B$6:$AE$314,8,FALSE())</f>
        <v>0</v>
      </c>
      <c r="W204" s="19" t="n">
        <f aca="false">VLOOKUP($F204,Calculations!$B$6:$AE$314,11,FALSE())</f>
        <v>0</v>
      </c>
      <c r="X204" s="19"/>
      <c r="Y204" s="19"/>
      <c r="Z204" s="19"/>
      <c r="AA204" s="19"/>
      <c r="AB204" s="21" t="n">
        <f aca="false">VLOOKUP($F204,Calculations!$B$6:$AE$314,29,FALSE())</f>
        <v>36130</v>
      </c>
      <c r="AC204" s="15"/>
      <c r="AD204" s="19" t="n">
        <f aca="false">VLOOKUP($F204,Calculations!$B$6:$AE$314,7,FALSE())</f>
        <v>2473.15384615385</v>
      </c>
      <c r="AE204" s="19" t="n">
        <f aca="false">VLOOKUP($F204,Calculations!$B$6:$AE$314,10,FALSE())</f>
        <v>13190.1538461538</v>
      </c>
      <c r="AH204" s="6"/>
    </row>
    <row r="205" customFormat="false" ht="12.75" hidden="false" customHeight="false" outlineLevel="0" collapsed="false">
      <c r="A205" s="17" t="s">
        <v>53</v>
      </c>
      <c r="B205" s="17" t="s">
        <v>7</v>
      </c>
      <c r="C205" s="14"/>
      <c r="D205" s="14"/>
      <c r="E205" s="14"/>
      <c r="F205" s="15" t="s">
        <v>348</v>
      </c>
      <c r="G205" s="15" t="s">
        <v>349</v>
      </c>
      <c r="H205" s="15"/>
      <c r="I205" s="15"/>
      <c r="J205" s="19" t="n">
        <f aca="false">VLOOKUP($F205,Calculations!$B$6:$AE$314,5,FALSE())</f>
        <v>41500</v>
      </c>
      <c r="K205" s="20" t="s">
        <v>40</v>
      </c>
      <c r="L205" s="20" t="n">
        <f aca="false">J205</f>
        <v>41500</v>
      </c>
      <c r="M205" s="19" t="n">
        <f aca="false">VLOOKUP($F205,Calculations!$B$6:$AE$314,24,FALSE())</f>
        <v>0</v>
      </c>
      <c r="N205" s="23"/>
      <c r="O205" s="16" t="n">
        <f aca="false">+N205+M205+J205</f>
        <v>41500</v>
      </c>
      <c r="P205" s="16"/>
      <c r="Q205" s="19"/>
      <c r="R205" s="19"/>
      <c r="S205" s="19"/>
      <c r="T205" s="19"/>
      <c r="U205" s="15"/>
      <c r="V205" s="19" t="n">
        <f aca="false">VLOOKUP($F205,Calculations!$B$6:$AE$314,8,FALSE())</f>
        <v>0</v>
      </c>
      <c r="W205" s="19" t="n">
        <f aca="false">VLOOKUP($F205,Calculations!$B$6:$AE$314,11,FALSE())</f>
        <v>0</v>
      </c>
      <c r="X205" s="19"/>
      <c r="Y205" s="19"/>
      <c r="Z205" s="19"/>
      <c r="AA205" s="19"/>
      <c r="AB205" s="21" t="n">
        <f aca="false">VLOOKUP($F205,Calculations!$B$6:$AE$314,29,FALSE())</f>
        <v>35205</v>
      </c>
      <c r="AC205" s="15"/>
      <c r="AD205" s="19" t="n">
        <f aca="false">VLOOKUP($F205,Calculations!$B$6:$AE$314,7,FALSE())</f>
        <v>4788.46153846154</v>
      </c>
      <c r="AE205" s="19" t="n">
        <f aca="false">VLOOKUP($F205,Calculations!$B$6:$AE$314,10,FALSE())</f>
        <v>17557.6923076923</v>
      </c>
      <c r="AH205" s="6"/>
    </row>
    <row r="206" customFormat="false" ht="12.75" hidden="false" customHeight="false" outlineLevel="0" collapsed="false">
      <c r="A206" s="17" t="s">
        <v>37</v>
      </c>
      <c r="B206" s="17" t="s">
        <v>7</v>
      </c>
      <c r="C206" s="14"/>
      <c r="D206" s="14"/>
      <c r="E206" s="14"/>
      <c r="F206" s="15" t="s">
        <v>350</v>
      </c>
      <c r="G206" s="15"/>
      <c r="H206" s="15"/>
      <c r="I206" s="15"/>
      <c r="J206" s="19" t="n">
        <f aca="false">VLOOKUP($F206,Calculations!$B$6:$AE$314,5,FALSE())</f>
        <v>41401</v>
      </c>
      <c r="K206" s="20" t="s">
        <v>40</v>
      </c>
      <c r="L206" s="20" t="n">
        <f aca="false">J206</f>
        <v>41401</v>
      </c>
      <c r="M206" s="19" t="n">
        <f aca="false">VLOOKUP($F206,Calculations!$B$6:$AE$314,24,FALSE())</f>
        <v>0</v>
      </c>
      <c r="N206" s="23"/>
      <c r="O206" s="16" t="n">
        <f aca="false">+N206+M206+J206</f>
        <v>41401</v>
      </c>
      <c r="P206" s="16"/>
      <c r="Q206" s="19"/>
      <c r="R206" s="19"/>
      <c r="S206" s="19"/>
      <c r="T206" s="19"/>
      <c r="U206" s="15"/>
      <c r="V206" s="19" t="n">
        <f aca="false">VLOOKUP($F206,Calculations!$B$6:$AE$314,8,FALSE())</f>
        <v>0</v>
      </c>
      <c r="W206" s="19" t="n">
        <f aca="false">VLOOKUP($F206,Calculations!$B$6:$AE$314,11,FALSE())</f>
        <v>0</v>
      </c>
      <c r="X206" s="19"/>
      <c r="Y206" s="19"/>
      <c r="Z206" s="19"/>
      <c r="AA206" s="19"/>
      <c r="AB206" s="21" t="n">
        <f aca="false">VLOOKUP($F206,Calculations!$B$6:$AE$314,29,FALSE())</f>
        <v>36570</v>
      </c>
      <c r="AC206" s="15"/>
      <c r="AD206" s="19" t="n">
        <f aca="false">VLOOKUP($F206,Calculations!$B$6:$AE$314,7,FALSE())</f>
        <v>1592.34615384615</v>
      </c>
      <c r="AE206" s="19" t="n">
        <f aca="false">VLOOKUP($F206,Calculations!$B$6:$AE$314,10,FALSE())</f>
        <v>11146.4230769231</v>
      </c>
      <c r="AH206" s="6"/>
    </row>
    <row r="207" customFormat="false" ht="12.75" hidden="false" customHeight="false" outlineLevel="0" collapsed="false">
      <c r="A207" s="17" t="s">
        <v>37</v>
      </c>
      <c r="B207" s="17" t="s">
        <v>7</v>
      </c>
      <c r="C207" s="14"/>
      <c r="D207" s="14"/>
      <c r="E207" s="14"/>
      <c r="F207" s="15" t="s">
        <v>351</v>
      </c>
      <c r="G207" s="15"/>
      <c r="H207" s="15"/>
      <c r="I207" s="15"/>
      <c r="J207" s="19" t="n">
        <f aca="false">VLOOKUP($F207,Calculations!$B$6:$AE$314,5,FALSE())</f>
        <v>41401</v>
      </c>
      <c r="K207" s="20" t="s">
        <v>40</v>
      </c>
      <c r="L207" s="20" t="n">
        <f aca="false">J207</f>
        <v>41401</v>
      </c>
      <c r="M207" s="19" t="n">
        <f aca="false">VLOOKUP($F207,Calculations!$B$6:$AE$314,24,FALSE())</f>
        <v>0</v>
      </c>
      <c r="N207" s="23"/>
      <c r="O207" s="16" t="n">
        <f aca="false">+N207+M207+J207</f>
        <v>41401</v>
      </c>
      <c r="P207" s="16"/>
      <c r="Q207" s="19"/>
      <c r="R207" s="19"/>
      <c r="S207" s="19"/>
      <c r="T207" s="19"/>
      <c r="U207" s="15"/>
      <c r="V207" s="19" t="n">
        <f aca="false">VLOOKUP($F207,Calculations!$B$6:$AE$314,8,FALSE())</f>
        <v>0</v>
      </c>
      <c r="W207" s="19" t="n">
        <f aca="false">VLOOKUP($F207,Calculations!$B$6:$AE$314,11,FALSE())</f>
        <v>0</v>
      </c>
      <c r="X207" s="19"/>
      <c r="Y207" s="19"/>
      <c r="Z207" s="19"/>
      <c r="AA207" s="19"/>
      <c r="AB207" s="21" t="n">
        <f aca="false">VLOOKUP($F207,Calculations!$B$6:$AE$314,29,FALSE())</f>
        <v>36648</v>
      </c>
      <c r="AC207" s="15"/>
      <c r="AD207" s="19" t="n">
        <f aca="false">VLOOKUP($F207,Calculations!$B$6:$AE$314,7,FALSE())</f>
        <v>1592.34615384615</v>
      </c>
      <c r="AE207" s="19" t="n">
        <f aca="false">VLOOKUP($F207,Calculations!$B$6:$AE$314,10,FALSE())</f>
        <v>11146.4230769231</v>
      </c>
      <c r="AH207" s="6"/>
    </row>
    <row r="208" customFormat="false" ht="12.75" hidden="false" customHeight="false" outlineLevel="0" collapsed="false">
      <c r="A208" s="17" t="s">
        <v>53</v>
      </c>
      <c r="B208" s="17" t="s">
        <v>7</v>
      </c>
      <c r="C208" s="14"/>
      <c r="D208" s="14"/>
      <c r="E208" s="14"/>
      <c r="F208" s="15" t="s">
        <v>352</v>
      </c>
      <c r="G208" s="15" t="s">
        <v>353</v>
      </c>
      <c r="H208" s="15"/>
      <c r="I208" s="15"/>
      <c r="J208" s="19" t="n">
        <f aca="false">VLOOKUP($F208,Calculations!$B$6:$AE$314,5,FALSE())</f>
        <v>40000</v>
      </c>
      <c r="K208" s="20" t="s">
        <v>40</v>
      </c>
      <c r="L208" s="20" t="n">
        <f aca="false">J208</f>
        <v>40000</v>
      </c>
      <c r="M208" s="19" t="n">
        <f aca="false">VLOOKUP($F208,Calculations!$B$6:$AE$314,24,FALSE())</f>
        <v>0</v>
      </c>
      <c r="N208" s="23"/>
      <c r="O208" s="16" t="n">
        <f aca="false">+N208+M208+J208</f>
        <v>40000</v>
      </c>
      <c r="P208" s="16"/>
      <c r="Q208" s="19"/>
      <c r="R208" s="19"/>
      <c r="S208" s="19"/>
      <c r="T208" s="19"/>
      <c r="U208" s="15"/>
      <c r="V208" s="19" t="n">
        <f aca="false">VLOOKUP($F208,Calculations!$B$6:$AE$314,8,FALSE())</f>
        <v>0</v>
      </c>
      <c r="W208" s="19" t="n">
        <f aca="false">VLOOKUP($F208,Calculations!$B$6:$AE$314,11,FALSE())</f>
        <v>0</v>
      </c>
      <c r="X208" s="19"/>
      <c r="Y208" s="19"/>
      <c r="Z208" s="19"/>
      <c r="AA208" s="19"/>
      <c r="AB208" s="21" t="n">
        <f aca="false">VLOOKUP($F208,Calculations!$B$6:$AE$314,29,FALSE())</f>
        <v>32524</v>
      </c>
      <c r="AC208" s="15"/>
      <c r="AD208" s="19" t="n">
        <f aca="false">VLOOKUP($F208,Calculations!$B$6:$AE$314,7,FALSE())</f>
        <v>10000</v>
      </c>
      <c r="AE208" s="19" t="n">
        <f aca="false">VLOOKUP($F208,Calculations!$B$6:$AE$314,10,FALSE())</f>
        <v>26153.8461538462</v>
      </c>
      <c r="AH208" s="6"/>
    </row>
    <row r="209" customFormat="false" ht="12.75" hidden="false" customHeight="false" outlineLevel="0" collapsed="false">
      <c r="A209" s="17" t="s">
        <v>41</v>
      </c>
      <c r="B209" s="17" t="s">
        <v>42</v>
      </c>
      <c r="C209" s="14"/>
      <c r="D209" s="14"/>
      <c r="E209" s="14"/>
      <c r="F209" s="15" t="s">
        <v>354</v>
      </c>
      <c r="G209" s="15" t="s">
        <v>355</v>
      </c>
      <c r="H209" s="15"/>
      <c r="I209" s="15"/>
      <c r="J209" s="19" t="n">
        <f aca="false">VLOOKUP($F209,Calculations!$B$6:$AE$314,5,FALSE())</f>
        <v>39917</v>
      </c>
      <c r="K209" s="20" t="s">
        <v>40</v>
      </c>
      <c r="L209" s="20" t="n">
        <f aca="false">J209</f>
        <v>39917</v>
      </c>
      <c r="M209" s="19" t="n">
        <f aca="false">VLOOKUP($F209,Calculations!$B$6:$AE$314,24,FALSE())</f>
        <v>0</v>
      </c>
      <c r="N209" s="23"/>
      <c r="O209" s="16" t="n">
        <f aca="false">+N209+M209+J209</f>
        <v>39917</v>
      </c>
      <c r="P209" s="16"/>
      <c r="Q209" s="19"/>
      <c r="R209" s="19"/>
      <c r="S209" s="19"/>
      <c r="T209" s="19"/>
      <c r="U209" s="15"/>
      <c r="V209" s="19" t="n">
        <f aca="false">VLOOKUP($F209,Calculations!$B$6:$AE$314,8,FALSE())</f>
        <v>0</v>
      </c>
      <c r="W209" s="19" t="n">
        <f aca="false">VLOOKUP($F209,Calculations!$B$6:$AE$314,11,FALSE())</f>
        <v>0</v>
      </c>
      <c r="X209" s="19"/>
      <c r="Y209" s="19"/>
      <c r="Z209" s="19"/>
      <c r="AA209" s="19"/>
      <c r="AB209" s="21" t="n">
        <f aca="false">VLOOKUP($F209,Calculations!$B$6:$AE$314,29,FALSE())</f>
        <v>34745</v>
      </c>
      <c r="AC209" s="15"/>
      <c r="AD209" s="19" t="n">
        <f aca="false">VLOOKUP($F209,Calculations!$B$6:$AE$314,7,FALSE())</f>
        <v>5373.44230769231</v>
      </c>
      <c r="AE209" s="19" t="n">
        <f aca="false">VLOOKUP($F209,Calculations!$B$6:$AE$314,10,FALSE())</f>
        <v>16887.9615384615</v>
      </c>
      <c r="AH209" s="6"/>
    </row>
    <row r="210" customFormat="false" ht="12.75" hidden="false" customHeight="false" outlineLevel="0" collapsed="false">
      <c r="A210" s="17" t="s">
        <v>77</v>
      </c>
      <c r="B210" s="17" t="s">
        <v>7</v>
      </c>
      <c r="C210" s="14"/>
      <c r="D210" s="14"/>
      <c r="E210" s="14"/>
      <c r="F210" s="15" t="s">
        <v>356</v>
      </c>
      <c r="G210" s="15"/>
      <c r="H210" s="15"/>
      <c r="I210" s="15"/>
      <c r="J210" s="19" t="n">
        <f aca="false">VLOOKUP($F210,Calculations!$B$6:$AE$314,5,FALSE())</f>
        <v>38462</v>
      </c>
      <c r="K210" s="20" t="s">
        <v>40</v>
      </c>
      <c r="L210" s="20" t="n">
        <f aca="false">J210</f>
        <v>38462</v>
      </c>
      <c r="M210" s="19" t="n">
        <f aca="false">VLOOKUP($F210,Calculations!$B$6:$AE$314,24,FALSE())</f>
        <v>0</v>
      </c>
      <c r="N210" s="23"/>
      <c r="O210" s="16" t="n">
        <f aca="false">+N210+M210+J210</f>
        <v>38462</v>
      </c>
      <c r="P210" s="16"/>
      <c r="Q210" s="19"/>
      <c r="R210" s="19"/>
      <c r="S210" s="19"/>
      <c r="T210" s="19"/>
      <c r="U210" s="15"/>
      <c r="V210" s="19" t="n">
        <f aca="false">VLOOKUP($F210,Calculations!$B$6:$AE$314,8,FALSE())</f>
        <v>0</v>
      </c>
      <c r="W210" s="19" t="n">
        <f aca="false">VLOOKUP($F210,Calculations!$B$6:$AE$314,11,FALSE())</f>
        <v>0</v>
      </c>
      <c r="X210" s="19"/>
      <c r="Y210" s="19"/>
      <c r="Z210" s="19"/>
      <c r="AA210" s="19"/>
      <c r="AB210" s="21" t="n">
        <f aca="false">VLOOKUP($F210,Calculations!$B$6:$AE$314,29,FALSE())</f>
        <v>36739</v>
      </c>
      <c r="AC210" s="15"/>
      <c r="AD210" s="19" t="n">
        <f aca="false">VLOOKUP($F210,Calculations!$B$6:$AE$314,7,FALSE())</f>
        <v>739.653846153846</v>
      </c>
      <c r="AE210" s="19" t="n">
        <f aca="false">VLOOKUP($F210,Calculations!$B$6:$AE$314,10,FALSE())</f>
        <v>7396.53846153846</v>
      </c>
      <c r="AH210" s="6"/>
    </row>
    <row r="211" customFormat="false" ht="12.75" hidden="false" customHeight="false" outlineLevel="0" collapsed="false">
      <c r="A211" s="17" t="s">
        <v>77</v>
      </c>
      <c r="B211" s="17" t="s">
        <v>7</v>
      </c>
      <c r="C211" s="14"/>
      <c r="D211" s="14"/>
      <c r="E211" s="14"/>
      <c r="F211" s="15" t="s">
        <v>357</v>
      </c>
      <c r="G211" s="15"/>
      <c r="H211" s="15"/>
      <c r="I211" s="15"/>
      <c r="J211" s="19" t="n">
        <f aca="false">VLOOKUP($F211,Calculations!$B$6:$AE$314,5,FALSE())</f>
        <v>38209</v>
      </c>
      <c r="K211" s="20" t="s">
        <v>40</v>
      </c>
      <c r="L211" s="20" t="n">
        <f aca="false">J211</f>
        <v>38209</v>
      </c>
      <c r="M211" s="19" t="n">
        <f aca="false">VLOOKUP($F211,Calculations!$B$6:$AE$314,24,FALSE())</f>
        <v>0</v>
      </c>
      <c r="N211" s="23"/>
      <c r="O211" s="16" t="n">
        <f aca="false">+N211+M211+J211</f>
        <v>38209</v>
      </c>
      <c r="P211" s="16"/>
      <c r="Q211" s="19"/>
      <c r="R211" s="19"/>
      <c r="S211" s="19"/>
      <c r="T211" s="19"/>
      <c r="U211" s="15"/>
      <c r="V211" s="19" t="n">
        <f aca="false">VLOOKUP($F211,Calculations!$B$6:$AE$314,8,FALSE())</f>
        <v>0</v>
      </c>
      <c r="W211" s="19" t="n">
        <f aca="false">VLOOKUP($F211,Calculations!$B$6:$AE$314,11,FALSE())</f>
        <v>0</v>
      </c>
      <c r="X211" s="19"/>
      <c r="Y211" s="19"/>
      <c r="Z211" s="19"/>
      <c r="AA211" s="19"/>
      <c r="AB211" s="21" t="n">
        <f aca="false">VLOOKUP($F211,Calculations!$B$6:$AE$314,29,FALSE())</f>
        <v>34759</v>
      </c>
      <c r="AC211" s="15"/>
      <c r="AD211" s="19" t="n">
        <f aca="false">VLOOKUP($F211,Calculations!$B$6:$AE$314,7,FALSE())</f>
        <v>5143.51923076923</v>
      </c>
      <c r="AE211" s="19" t="n">
        <f aca="false">VLOOKUP($F211,Calculations!$B$6:$AE$314,10,FALSE())</f>
        <v>16165.3461538462</v>
      </c>
      <c r="AH211" s="6"/>
    </row>
    <row r="212" customFormat="false" ht="12.75" hidden="false" customHeight="false" outlineLevel="0" collapsed="false">
      <c r="A212" s="17" t="s">
        <v>37</v>
      </c>
      <c r="B212" s="17" t="s">
        <v>7</v>
      </c>
      <c r="C212" s="14"/>
      <c r="D212" s="14"/>
      <c r="E212" s="14"/>
      <c r="F212" s="15" t="s">
        <v>358</v>
      </c>
      <c r="G212" s="15"/>
      <c r="H212" s="15"/>
      <c r="I212" s="15"/>
      <c r="J212" s="19" t="n">
        <f aca="false">VLOOKUP($F212,Calculations!$B$6:$AE$314,5,FALSE())</f>
        <v>37723</v>
      </c>
      <c r="K212" s="20" t="s">
        <v>40</v>
      </c>
      <c r="L212" s="20" t="n">
        <f aca="false">J212</f>
        <v>37723</v>
      </c>
      <c r="M212" s="19" t="n">
        <f aca="false">VLOOKUP($F212,Calculations!$B$6:$AE$314,24,FALSE())</f>
        <v>0</v>
      </c>
      <c r="N212" s="23"/>
      <c r="O212" s="16" t="n">
        <f aca="false">+N212+M212+J212</f>
        <v>37723</v>
      </c>
      <c r="P212" s="16"/>
      <c r="Q212" s="19"/>
      <c r="R212" s="19"/>
      <c r="S212" s="19"/>
      <c r="T212" s="19"/>
      <c r="U212" s="15"/>
      <c r="V212" s="19" t="n">
        <f aca="false">VLOOKUP($F212,Calculations!$B$6:$AE$314,8,FALSE())</f>
        <v>0</v>
      </c>
      <c r="W212" s="19" t="n">
        <f aca="false">VLOOKUP($F212,Calculations!$B$6:$AE$314,11,FALSE())</f>
        <v>0</v>
      </c>
      <c r="X212" s="19"/>
      <c r="Y212" s="19"/>
      <c r="Z212" s="19"/>
      <c r="AA212" s="19"/>
      <c r="AB212" s="21" t="n">
        <f aca="false">VLOOKUP($F212,Calculations!$B$6:$AE$314,29,FALSE())</f>
        <v>35947</v>
      </c>
      <c r="AC212" s="15"/>
      <c r="AD212" s="19" t="n">
        <f aca="false">VLOOKUP($F212,Calculations!$B$6:$AE$314,7,FALSE())</f>
        <v>2901.76923076923</v>
      </c>
      <c r="AE212" s="19" t="n">
        <f aca="false">VLOOKUP($F212,Calculations!$B$6:$AE$314,10,FALSE())</f>
        <v>11607.0769230769</v>
      </c>
      <c r="AH212" s="6"/>
    </row>
    <row r="213" customFormat="false" ht="12.75" hidden="false" customHeight="false" outlineLevel="0" collapsed="false">
      <c r="A213" s="17" t="s">
        <v>58</v>
      </c>
      <c r="B213" s="17" t="s">
        <v>7</v>
      </c>
      <c r="C213" s="14"/>
      <c r="D213" s="14"/>
      <c r="E213" s="14"/>
      <c r="F213" s="15" t="s">
        <v>359</v>
      </c>
      <c r="G213" s="15"/>
      <c r="H213" s="15"/>
      <c r="I213" s="15"/>
      <c r="J213" s="19" t="n">
        <f aca="false">VLOOKUP($F213,Calculations!$B$6:$AE$314,5,FALSE())</f>
        <v>35767</v>
      </c>
      <c r="K213" s="20" t="s">
        <v>40</v>
      </c>
      <c r="L213" s="20" t="n">
        <f aca="false">J213</f>
        <v>35767</v>
      </c>
      <c r="M213" s="19" t="n">
        <f aca="false">VLOOKUP($F213,Calculations!$B$6:$AE$314,24,FALSE())</f>
        <v>0</v>
      </c>
      <c r="N213" s="23"/>
      <c r="O213" s="16" t="n">
        <f aca="false">+N213+M213+J213</f>
        <v>35767</v>
      </c>
      <c r="P213" s="16"/>
      <c r="Q213" s="19"/>
      <c r="R213" s="19"/>
      <c r="S213" s="19"/>
      <c r="T213" s="19"/>
      <c r="U213" s="15"/>
      <c r="V213" s="19" t="n">
        <f aca="false">VLOOKUP($F213,Calculations!$B$6:$AE$314,8,FALSE())</f>
        <v>0</v>
      </c>
      <c r="W213" s="19" t="n">
        <f aca="false">VLOOKUP($F213,Calculations!$B$6:$AE$314,11,FALSE())</f>
        <v>0</v>
      </c>
      <c r="X213" s="19"/>
      <c r="Y213" s="19"/>
      <c r="Z213" s="19"/>
      <c r="AA213" s="19"/>
      <c r="AB213" s="21" t="n">
        <f aca="false">VLOOKUP($F213,Calculations!$B$6:$AE$314,29,FALSE())</f>
        <v>35744</v>
      </c>
      <c r="AC213" s="15"/>
      <c r="AD213" s="19" t="n">
        <f aca="false">VLOOKUP($F213,Calculations!$B$6:$AE$314,7,FALSE())</f>
        <v>2751.30769230769</v>
      </c>
      <c r="AE213" s="19" t="n">
        <f aca="false">VLOOKUP($F213,Calculations!$B$6:$AE$314,10,FALSE())</f>
        <v>11005.2307692308</v>
      </c>
      <c r="AH213" s="6"/>
    </row>
    <row r="214" customFormat="false" ht="12.75" hidden="false" customHeight="false" outlineLevel="0" collapsed="false">
      <c r="A214" s="17" t="s">
        <v>46</v>
      </c>
      <c r="B214" s="17" t="s">
        <v>47</v>
      </c>
      <c r="C214" s="14"/>
      <c r="D214" s="14"/>
      <c r="E214" s="14"/>
      <c r="F214" s="15" t="s">
        <v>360</v>
      </c>
      <c r="G214" s="15" t="s">
        <v>361</v>
      </c>
      <c r="H214" s="15"/>
      <c r="I214" s="15"/>
      <c r="J214" s="19" t="n">
        <f aca="false">VLOOKUP($F214,Calculations!$B$6:$AE$314,5,FALSE())</f>
        <v>35500</v>
      </c>
      <c r="K214" s="20" t="s">
        <v>40</v>
      </c>
      <c r="L214" s="20" t="n">
        <f aca="false">J214</f>
        <v>35500</v>
      </c>
      <c r="M214" s="19" t="n">
        <f aca="false">VLOOKUP($F214,Calculations!$B$6:$AE$314,24,FALSE())</f>
        <v>0</v>
      </c>
      <c r="N214" s="23"/>
      <c r="O214" s="16" t="n">
        <f aca="false">+N214+M214+J214</f>
        <v>35500</v>
      </c>
      <c r="P214" s="16"/>
      <c r="Q214" s="19"/>
      <c r="R214" s="19"/>
      <c r="S214" s="19"/>
      <c r="T214" s="19"/>
      <c r="U214" s="15"/>
      <c r="V214" s="19" t="n">
        <f aca="false">VLOOKUP($F214,Calculations!$B$6:$AE$314,8,FALSE())</f>
        <v>0</v>
      </c>
      <c r="W214" s="19" t="n">
        <f aca="false">VLOOKUP($F214,Calculations!$B$6:$AE$314,11,FALSE())</f>
        <v>0</v>
      </c>
      <c r="X214" s="19"/>
      <c r="Y214" s="19"/>
      <c r="Z214" s="19"/>
      <c r="AA214" s="19"/>
      <c r="AB214" s="21" t="n">
        <f aca="false">VLOOKUP($F214,Calculations!$B$6:$AE$314,29,FALSE())</f>
        <v>35667</v>
      </c>
      <c r="AC214" s="15"/>
      <c r="AD214" s="19" t="n">
        <f aca="false">VLOOKUP($F214,Calculations!$B$6:$AE$314,7,FALSE())</f>
        <v>2730.76923076923</v>
      </c>
      <c r="AE214" s="19" t="n">
        <f aca="false">VLOOKUP($F214,Calculations!$B$6:$AE$314,10,FALSE())</f>
        <v>10923.0769230769</v>
      </c>
      <c r="AH214" s="6"/>
    </row>
    <row r="215" customFormat="false" ht="12.75" hidden="false" customHeight="false" outlineLevel="0" collapsed="false">
      <c r="A215" s="17" t="s">
        <v>77</v>
      </c>
      <c r="B215" s="17" t="s">
        <v>7</v>
      </c>
      <c r="C215" s="14"/>
      <c r="D215" s="14"/>
      <c r="E215" s="14"/>
      <c r="F215" s="15" t="s">
        <v>362</v>
      </c>
      <c r="G215" s="15"/>
      <c r="H215" s="15"/>
      <c r="I215" s="15"/>
      <c r="J215" s="19" t="n">
        <f aca="false">VLOOKUP($F215,Calculations!$B$6:$AE$314,5,FALSE())</f>
        <v>35067</v>
      </c>
      <c r="K215" s="20" t="s">
        <v>40</v>
      </c>
      <c r="L215" s="20" t="n">
        <f aca="false">J215</f>
        <v>35067</v>
      </c>
      <c r="M215" s="19" t="n">
        <f aca="false">VLOOKUP($F215,Calculations!$B$6:$AE$314,24,FALSE())</f>
        <v>0</v>
      </c>
      <c r="N215" s="23"/>
      <c r="O215" s="16" t="n">
        <f aca="false">+N215+M215+J215</f>
        <v>35067</v>
      </c>
      <c r="P215" s="16"/>
      <c r="Q215" s="19"/>
      <c r="R215" s="19"/>
      <c r="S215" s="19"/>
      <c r="T215" s="19"/>
      <c r="U215" s="15"/>
      <c r="V215" s="19" t="n">
        <f aca="false">VLOOKUP($F215,Calculations!$B$6:$AE$314,8,FALSE())</f>
        <v>0</v>
      </c>
      <c r="W215" s="19" t="n">
        <f aca="false">VLOOKUP($F215,Calculations!$B$6:$AE$314,11,FALSE())</f>
        <v>0</v>
      </c>
      <c r="X215" s="19"/>
      <c r="Y215" s="19"/>
      <c r="Z215" s="19"/>
      <c r="AA215" s="19"/>
      <c r="AB215" s="21" t="n">
        <f aca="false">VLOOKUP($F215,Calculations!$B$6:$AE$314,29,FALSE())</f>
        <v>34862</v>
      </c>
      <c r="AC215" s="15"/>
      <c r="AD215" s="19" t="n">
        <f aca="false">VLOOKUP($F215,Calculations!$B$6:$AE$314,7,FALSE())</f>
        <v>4046.19230769231</v>
      </c>
      <c r="AE215" s="19" t="n">
        <f aca="false">VLOOKUP($F215,Calculations!$B$6:$AE$314,10,FALSE())</f>
        <v>13487.3076923077</v>
      </c>
      <c r="AH215" s="6"/>
    </row>
    <row r="216" customFormat="false" ht="12.75" hidden="false" customHeight="false" outlineLevel="0" collapsed="false">
      <c r="A216" s="17" t="s">
        <v>58</v>
      </c>
      <c r="B216" s="17" t="s">
        <v>7</v>
      </c>
      <c r="C216" s="14"/>
      <c r="D216" s="14"/>
      <c r="E216" s="14"/>
      <c r="F216" s="15" t="s">
        <v>363</v>
      </c>
      <c r="G216" s="15"/>
      <c r="H216" s="15"/>
      <c r="I216" s="15"/>
      <c r="J216" s="19" t="n">
        <f aca="false">VLOOKUP($F216,Calculations!$B$6:$AE$314,5,FALSE())</f>
        <v>34868</v>
      </c>
      <c r="K216" s="20" t="s">
        <v>40</v>
      </c>
      <c r="L216" s="20" t="n">
        <f aca="false">J216</f>
        <v>34868</v>
      </c>
      <c r="M216" s="19" t="n">
        <f aca="false">VLOOKUP($F216,Calculations!$B$6:$AE$314,24,FALSE())</f>
        <v>0</v>
      </c>
      <c r="N216" s="23"/>
      <c r="O216" s="16" t="n">
        <f aca="false">+N216+M216+J216</f>
        <v>34868</v>
      </c>
      <c r="P216" s="16"/>
      <c r="Q216" s="19"/>
      <c r="R216" s="19"/>
      <c r="S216" s="19"/>
      <c r="T216" s="19"/>
      <c r="U216" s="15"/>
      <c r="V216" s="19" t="n">
        <f aca="false">VLOOKUP($F216,Calculations!$B$6:$AE$314,8,FALSE())</f>
        <v>0</v>
      </c>
      <c r="W216" s="19" t="n">
        <f aca="false">VLOOKUP($F216,Calculations!$B$6:$AE$314,11,FALSE())</f>
        <v>0</v>
      </c>
      <c r="X216" s="19"/>
      <c r="Y216" s="19"/>
      <c r="Z216" s="19"/>
      <c r="AA216" s="19"/>
      <c r="AB216" s="21" t="n">
        <f aca="false">VLOOKUP($F216,Calculations!$B$6:$AE$314,29,FALSE())</f>
        <v>29508</v>
      </c>
      <c r="AC216" s="15"/>
      <c r="AD216" s="19" t="n">
        <f aca="false">VLOOKUP($F216,Calculations!$B$6:$AE$314,7,FALSE())</f>
        <v>14081.3076923077</v>
      </c>
      <c r="AE216" s="19" t="n">
        <f aca="false">VLOOKUP($F216,Calculations!$B$6:$AE$314,10,FALSE())</f>
        <v>33526.9230769231</v>
      </c>
      <c r="AH216" s="6"/>
    </row>
    <row r="217" customFormat="false" ht="12.75" hidden="false" customHeight="false" outlineLevel="0" collapsed="false">
      <c r="A217" s="17" t="s">
        <v>50</v>
      </c>
      <c r="B217" s="17" t="s">
        <v>7</v>
      </c>
      <c r="C217" s="14"/>
      <c r="D217" s="14"/>
      <c r="E217" s="14"/>
      <c r="F217" s="15" t="s">
        <v>364</v>
      </c>
      <c r="G217" s="15" t="s">
        <v>236</v>
      </c>
      <c r="H217" s="15"/>
      <c r="I217" s="15"/>
      <c r="J217" s="19" t="n">
        <f aca="false">VLOOKUP($F217,Calculations!$B$6:$AE$314,5,FALSE())</f>
        <v>34000</v>
      </c>
      <c r="K217" s="20" t="s">
        <v>40</v>
      </c>
      <c r="L217" s="20" t="n">
        <f aca="false">J217</f>
        <v>34000</v>
      </c>
      <c r="M217" s="19" t="n">
        <f aca="false">VLOOKUP($F217,Calculations!$B$6:$AE$314,24,FALSE())</f>
        <v>0</v>
      </c>
      <c r="N217" s="23"/>
      <c r="O217" s="16" t="n">
        <f aca="false">+N217+M217+J217</f>
        <v>34000</v>
      </c>
      <c r="P217" s="16"/>
      <c r="Q217" s="19"/>
      <c r="R217" s="19"/>
      <c r="S217" s="19"/>
      <c r="T217" s="19"/>
      <c r="U217" s="15"/>
      <c r="V217" s="19" t="n">
        <f aca="false">VLOOKUP($F217,Calculations!$B$6:$AE$314,8,FALSE())</f>
        <v>0</v>
      </c>
      <c r="W217" s="19" t="n">
        <f aca="false">VLOOKUP($F217,Calculations!$B$6:$AE$314,11,FALSE())</f>
        <v>0</v>
      </c>
      <c r="X217" s="19"/>
      <c r="Y217" s="19"/>
      <c r="Z217" s="19"/>
      <c r="AA217" s="19"/>
      <c r="AB217" s="21" t="n">
        <f aca="false">VLOOKUP($F217,Calculations!$B$6:$AE$314,29,FALSE())</f>
        <v>36927</v>
      </c>
      <c r="AC217" s="15"/>
      <c r="AD217" s="19" t="n">
        <f aca="false">VLOOKUP($F217,Calculations!$B$6:$AE$314,7,FALSE())</f>
        <v>653.846153846154</v>
      </c>
      <c r="AE217" s="19" t="n">
        <f aca="false">VLOOKUP($F217,Calculations!$B$6:$AE$314,10,FALSE())</f>
        <v>6538.46153846154</v>
      </c>
      <c r="AH217" s="6"/>
    </row>
    <row r="218" customFormat="false" ht="12.75" hidden="false" customHeight="false" outlineLevel="0" collapsed="false">
      <c r="A218" s="17" t="s">
        <v>37</v>
      </c>
      <c r="B218" s="17" t="s">
        <v>7</v>
      </c>
      <c r="C218" s="14"/>
      <c r="D218" s="14"/>
      <c r="E218" s="14"/>
      <c r="F218" s="15" t="s">
        <v>365</v>
      </c>
      <c r="G218" s="15"/>
      <c r="H218" s="15"/>
      <c r="I218" s="15"/>
      <c r="J218" s="19" t="n">
        <f aca="false">VLOOKUP($F218,Calculations!$B$6:$AE$314,5,FALSE())</f>
        <v>32557</v>
      </c>
      <c r="K218" s="20" t="s">
        <v>40</v>
      </c>
      <c r="L218" s="20" t="n">
        <f aca="false">J218</f>
        <v>32557</v>
      </c>
      <c r="M218" s="19" t="n">
        <f aca="false">VLOOKUP($F218,Calculations!$B$6:$AE$314,24,FALSE())</f>
        <v>0</v>
      </c>
      <c r="N218" s="23"/>
      <c r="O218" s="16" t="n">
        <f aca="false">+N218+M218+J218</f>
        <v>32557</v>
      </c>
      <c r="P218" s="16"/>
      <c r="Q218" s="19"/>
      <c r="R218" s="19"/>
      <c r="S218" s="19"/>
      <c r="T218" s="19"/>
      <c r="U218" s="15"/>
      <c r="V218" s="19" t="n">
        <f aca="false">VLOOKUP($F218,Calculations!$B$6:$AE$314,8,FALSE())</f>
        <v>0</v>
      </c>
      <c r="W218" s="19" t="n">
        <f aca="false">VLOOKUP($F218,Calculations!$B$6:$AE$314,11,FALSE())</f>
        <v>0</v>
      </c>
      <c r="X218" s="19"/>
      <c r="Y218" s="19"/>
      <c r="Z218" s="19"/>
      <c r="AA218" s="19"/>
      <c r="AB218" s="21" t="n">
        <f aca="false">VLOOKUP($F218,Calculations!$B$6:$AE$314,29,FALSE())</f>
        <v>35674</v>
      </c>
      <c r="AC218" s="15"/>
      <c r="AD218" s="19" t="n">
        <f aca="false">VLOOKUP($F218,Calculations!$B$6:$AE$314,7,FALSE())</f>
        <v>2504.38461538462</v>
      </c>
      <c r="AE218" s="19" t="n">
        <f aca="false">VLOOKUP($F218,Calculations!$B$6:$AE$314,10,FALSE())</f>
        <v>10017.5384615385</v>
      </c>
      <c r="AH218" s="6"/>
    </row>
    <row r="219" customFormat="false" ht="12.75" hidden="false" customHeight="false" outlineLevel="0" collapsed="false">
      <c r="A219" s="17" t="s">
        <v>77</v>
      </c>
      <c r="B219" s="17" t="s">
        <v>7</v>
      </c>
      <c r="C219" s="14"/>
      <c r="D219" s="14"/>
      <c r="E219" s="14"/>
      <c r="F219" s="15" t="s">
        <v>366</v>
      </c>
      <c r="G219" s="15"/>
      <c r="H219" s="15"/>
      <c r="I219" s="15"/>
      <c r="J219" s="19" t="n">
        <f aca="false">VLOOKUP($F219,Calculations!$B$6:$AE$314,5,FALSE())</f>
        <v>32478</v>
      </c>
      <c r="K219" s="20" t="s">
        <v>40</v>
      </c>
      <c r="L219" s="20" t="n">
        <f aca="false">J219</f>
        <v>32478</v>
      </c>
      <c r="M219" s="19" t="n">
        <f aca="false">VLOOKUP($F219,Calculations!$B$6:$AE$314,24,FALSE())</f>
        <v>0</v>
      </c>
      <c r="N219" s="23"/>
      <c r="O219" s="16" t="n">
        <f aca="false">+N219+M219+J219</f>
        <v>32478</v>
      </c>
      <c r="P219" s="16"/>
      <c r="Q219" s="19"/>
      <c r="R219" s="19"/>
      <c r="S219" s="19"/>
      <c r="T219" s="19"/>
      <c r="U219" s="15"/>
      <c r="V219" s="19" t="n">
        <f aca="false">VLOOKUP($F219,Calculations!$B$6:$AE$314,8,FALSE())</f>
        <v>0</v>
      </c>
      <c r="W219" s="19" t="n">
        <f aca="false">VLOOKUP($F219,Calculations!$B$6:$AE$314,11,FALSE())</f>
        <v>0</v>
      </c>
      <c r="X219" s="19"/>
      <c r="Y219" s="19"/>
      <c r="Z219" s="19"/>
      <c r="AA219" s="19"/>
      <c r="AB219" s="21" t="n">
        <f aca="false">VLOOKUP($F219,Calculations!$B$6:$AE$314,29,FALSE())</f>
        <v>35339</v>
      </c>
      <c r="AC219" s="15"/>
      <c r="AD219" s="19" t="n">
        <f aca="false">VLOOKUP($F219,Calculations!$B$6:$AE$314,7,FALSE())</f>
        <v>3122.88461538462</v>
      </c>
      <c r="AE219" s="19" t="n">
        <f aca="false">VLOOKUP($F219,Calculations!$B$6:$AE$314,10,FALSE())</f>
        <v>11242.3846153846</v>
      </c>
      <c r="AH219" s="6"/>
    </row>
    <row r="220" customFormat="false" ht="12.75" hidden="false" customHeight="false" outlineLevel="0" collapsed="false">
      <c r="A220" s="17" t="s">
        <v>41</v>
      </c>
      <c r="B220" s="17" t="s">
        <v>42</v>
      </c>
      <c r="C220" s="14"/>
      <c r="D220" s="14"/>
      <c r="E220" s="14"/>
      <c r="F220" s="15" t="s">
        <v>367</v>
      </c>
      <c r="G220" s="15" t="s">
        <v>368</v>
      </c>
      <c r="H220" s="15"/>
      <c r="I220" s="15"/>
      <c r="J220" s="19" t="n">
        <f aca="false">VLOOKUP($F220,Calculations!$B$6:$AE$314,5,FALSE())</f>
        <v>32400</v>
      </c>
      <c r="K220" s="20" t="s">
        <v>40</v>
      </c>
      <c r="L220" s="20" t="n">
        <f aca="false">J220</f>
        <v>32400</v>
      </c>
      <c r="M220" s="19" t="n">
        <f aca="false">VLOOKUP($F220,Calculations!$B$6:$AE$314,24,FALSE())</f>
        <v>0</v>
      </c>
      <c r="N220" s="23"/>
      <c r="O220" s="16" t="n">
        <f aca="false">+N220+M220+J220</f>
        <v>32400</v>
      </c>
      <c r="P220" s="16"/>
      <c r="Q220" s="19"/>
      <c r="R220" s="19"/>
      <c r="S220" s="19"/>
      <c r="T220" s="19"/>
      <c r="U220" s="15"/>
      <c r="V220" s="19" t="n">
        <f aca="false">VLOOKUP($F220,Calculations!$B$6:$AE$314,8,FALSE())</f>
        <v>0</v>
      </c>
      <c r="W220" s="19" t="n">
        <f aca="false">VLOOKUP($F220,Calculations!$B$6:$AE$314,11,FALSE())</f>
        <v>0</v>
      </c>
      <c r="X220" s="19"/>
      <c r="Y220" s="19"/>
      <c r="Z220" s="19"/>
      <c r="AA220" s="19"/>
      <c r="AB220" s="21" t="n">
        <f aca="false">VLOOKUP($F220,Calculations!$B$6:$AE$314,29,FALSE())</f>
        <v>36402</v>
      </c>
      <c r="AC220" s="15"/>
      <c r="AD220" s="19" t="n">
        <f aca="false">VLOOKUP($F220,Calculations!$B$6:$AE$314,7,FALSE())</f>
        <v>1246.15384615385</v>
      </c>
      <c r="AE220" s="19" t="n">
        <f aca="false">VLOOKUP($F220,Calculations!$B$6:$AE$314,10,FALSE())</f>
        <v>7476.92307692308</v>
      </c>
      <c r="AH220" s="6"/>
    </row>
    <row r="221" customFormat="false" ht="12.75" hidden="false" customHeight="false" outlineLevel="0" collapsed="false">
      <c r="A221" s="17" t="s">
        <v>50</v>
      </c>
      <c r="B221" s="17" t="s">
        <v>7</v>
      </c>
      <c r="C221" s="14"/>
      <c r="D221" s="14"/>
      <c r="E221" s="14"/>
      <c r="F221" s="15" t="s">
        <v>369</v>
      </c>
      <c r="G221" s="15" t="s">
        <v>236</v>
      </c>
      <c r="H221" s="15"/>
      <c r="I221" s="15"/>
      <c r="J221" s="19" t="n">
        <f aca="false">VLOOKUP($F221,Calculations!$B$6:$AE$314,5,FALSE())</f>
        <v>31000</v>
      </c>
      <c r="K221" s="20" t="s">
        <v>40</v>
      </c>
      <c r="L221" s="20" t="n">
        <f aca="false">J221</f>
        <v>31000</v>
      </c>
      <c r="M221" s="19" t="n">
        <f aca="false">VLOOKUP($F221,Calculations!$B$6:$AE$314,24,FALSE())</f>
        <v>0</v>
      </c>
      <c r="N221" s="23"/>
      <c r="O221" s="16" t="n">
        <f aca="false">+N221+M221+J221</f>
        <v>31000</v>
      </c>
      <c r="P221" s="16"/>
      <c r="Q221" s="19"/>
      <c r="R221" s="19"/>
      <c r="S221" s="19"/>
      <c r="T221" s="19"/>
      <c r="U221" s="15"/>
      <c r="V221" s="19" t="n">
        <f aca="false">VLOOKUP($F221,Calculations!$B$6:$AE$314,8,FALSE())</f>
        <v>0</v>
      </c>
      <c r="W221" s="19" t="n">
        <f aca="false">VLOOKUP($F221,Calculations!$B$6:$AE$314,11,FALSE())</f>
        <v>0</v>
      </c>
      <c r="X221" s="19"/>
      <c r="Y221" s="19"/>
      <c r="Z221" s="19"/>
      <c r="AA221" s="19"/>
      <c r="AB221" s="21" t="n">
        <f aca="false">VLOOKUP($F221,Calculations!$B$6:$AE$314,29,FALSE())</f>
        <v>33462</v>
      </c>
      <c r="AC221" s="15"/>
      <c r="AD221" s="19" t="n">
        <f aca="false">VLOOKUP($F221,Calculations!$B$6:$AE$314,7,FALSE())</f>
        <v>5961.53846153846</v>
      </c>
      <c r="AE221" s="19" t="n">
        <f aca="false">VLOOKUP($F221,Calculations!$B$6:$AE$314,10,FALSE())</f>
        <v>16692.3076923077</v>
      </c>
      <c r="AH221" s="6"/>
    </row>
    <row r="222" customFormat="false" ht="12.75" hidden="false" customHeight="false" outlineLevel="0" collapsed="false">
      <c r="A222" s="17" t="s">
        <v>53</v>
      </c>
      <c r="B222" s="17" t="s">
        <v>7</v>
      </c>
      <c r="C222" s="14"/>
      <c r="D222" s="14"/>
      <c r="E222" s="14"/>
      <c r="F222" s="15" t="s">
        <v>370</v>
      </c>
      <c r="G222" s="15" t="s">
        <v>371</v>
      </c>
      <c r="H222" s="15"/>
      <c r="I222" s="15"/>
      <c r="J222" s="19" t="n">
        <f aca="false">VLOOKUP($F222,Calculations!$B$6:$AE$314,5,FALSE())</f>
        <v>30000</v>
      </c>
      <c r="K222" s="20" t="s">
        <v>40</v>
      </c>
      <c r="L222" s="20" t="n">
        <f aca="false">J222</f>
        <v>30000</v>
      </c>
      <c r="M222" s="19" t="n">
        <f aca="false">VLOOKUP($F222,Calculations!$B$6:$AE$314,24,FALSE())</f>
        <v>0</v>
      </c>
      <c r="N222" s="23"/>
      <c r="O222" s="16" t="n">
        <f aca="false">+N222+M222+J222</f>
        <v>30000</v>
      </c>
      <c r="P222" s="16"/>
      <c r="Q222" s="19"/>
      <c r="R222" s="19"/>
      <c r="S222" s="19"/>
      <c r="T222" s="19"/>
      <c r="U222" s="15"/>
      <c r="V222" s="19" t="n">
        <f aca="false">VLOOKUP($F222,Calculations!$B$6:$AE$314,8,FALSE())</f>
        <v>0</v>
      </c>
      <c r="W222" s="19" t="n">
        <f aca="false">VLOOKUP($F222,Calculations!$B$6:$AE$314,11,FALSE())</f>
        <v>0</v>
      </c>
      <c r="X222" s="19"/>
      <c r="Y222" s="19"/>
      <c r="Z222" s="19"/>
      <c r="AA222" s="19"/>
      <c r="AB222" s="21" t="n">
        <f aca="false">VLOOKUP($F222,Calculations!$B$6:$AE$314,29,FALSE())</f>
        <v>36325</v>
      </c>
      <c r="AC222" s="15"/>
      <c r="AD222" s="19" t="n">
        <f aca="false">VLOOKUP($F222,Calculations!$B$6:$AE$314,7,FALSE())</f>
        <v>1730.76923076923</v>
      </c>
      <c r="AE222" s="19" t="n">
        <f aca="false">VLOOKUP($F222,Calculations!$B$6:$AE$314,10,FALSE())</f>
        <v>6923.07692307692</v>
      </c>
      <c r="AH222" s="6"/>
    </row>
    <row r="223" customFormat="false" ht="12.75" hidden="false" customHeight="false" outlineLevel="0" collapsed="false">
      <c r="A223" s="17" t="s">
        <v>50</v>
      </c>
      <c r="B223" s="17" t="s">
        <v>7</v>
      </c>
      <c r="C223" s="14"/>
      <c r="D223" s="14"/>
      <c r="E223" s="14"/>
      <c r="F223" s="15" t="s">
        <v>372</v>
      </c>
      <c r="G223" s="15" t="s">
        <v>236</v>
      </c>
      <c r="H223" s="15"/>
      <c r="I223" s="15"/>
      <c r="J223" s="19" t="n">
        <f aca="false">VLOOKUP($F223,Calculations!$B$6:$AE$314,5,FALSE())</f>
        <v>30000</v>
      </c>
      <c r="K223" s="20" t="s">
        <v>40</v>
      </c>
      <c r="L223" s="20" t="n">
        <f aca="false">J223</f>
        <v>30000</v>
      </c>
      <c r="M223" s="19" t="n">
        <f aca="false">VLOOKUP($F223,Calculations!$B$6:$AE$314,24,FALSE())</f>
        <v>0</v>
      </c>
      <c r="N223" s="23"/>
      <c r="O223" s="16" t="n">
        <f aca="false">+N223+M223+J223</f>
        <v>30000</v>
      </c>
      <c r="P223" s="16"/>
      <c r="Q223" s="19"/>
      <c r="R223" s="19"/>
      <c r="S223" s="19"/>
      <c r="T223" s="19"/>
      <c r="U223" s="15"/>
      <c r="V223" s="19" t="n">
        <f aca="false">VLOOKUP($F223,Calculations!$B$6:$AE$314,8,FALSE())</f>
        <v>0</v>
      </c>
      <c r="W223" s="19" t="n">
        <f aca="false">VLOOKUP($F223,Calculations!$B$6:$AE$314,11,FALSE())</f>
        <v>0</v>
      </c>
      <c r="X223" s="19"/>
      <c r="Y223" s="19"/>
      <c r="Z223" s="19"/>
      <c r="AA223" s="19"/>
      <c r="AB223" s="21" t="n">
        <f aca="false">VLOOKUP($F223,Calculations!$B$6:$AE$314,29,FALSE())</f>
        <v>36914</v>
      </c>
      <c r="AC223" s="15"/>
      <c r="AD223" s="19" t="n">
        <f aca="false">VLOOKUP($F223,Calculations!$B$6:$AE$314,7,FALSE())</f>
        <v>576.923076923077</v>
      </c>
      <c r="AE223" s="19" t="n">
        <f aca="false">VLOOKUP($F223,Calculations!$B$6:$AE$314,10,FALSE())</f>
        <v>4615.38461538462</v>
      </c>
      <c r="AH223" s="6"/>
    </row>
    <row r="224" customFormat="false" ht="12.75" hidden="false" customHeight="false" outlineLevel="0" collapsed="false">
      <c r="A224" s="17" t="s">
        <v>41</v>
      </c>
      <c r="B224" s="17" t="s">
        <v>42</v>
      </c>
      <c r="C224" s="14"/>
      <c r="D224" s="14"/>
      <c r="E224" s="14"/>
      <c r="F224" s="15" t="s">
        <v>373</v>
      </c>
      <c r="G224" s="15" t="s">
        <v>236</v>
      </c>
      <c r="H224" s="15"/>
      <c r="I224" s="15"/>
      <c r="J224" s="19" t="n">
        <f aca="false">VLOOKUP($F224,Calculations!$B$6:$AE$314,5,FALSE())</f>
        <v>28080</v>
      </c>
      <c r="K224" s="20" t="s">
        <v>40</v>
      </c>
      <c r="L224" s="20" t="n">
        <f aca="false">J224</f>
        <v>28080</v>
      </c>
      <c r="M224" s="19" t="n">
        <f aca="false">VLOOKUP($F224,Calculations!$B$6:$AE$314,24,FALSE())</f>
        <v>0</v>
      </c>
      <c r="N224" s="23"/>
      <c r="O224" s="16" t="n">
        <f aca="false">+N224+M224+J224</f>
        <v>28080</v>
      </c>
      <c r="P224" s="16"/>
      <c r="Q224" s="19"/>
      <c r="R224" s="19"/>
      <c r="S224" s="19"/>
      <c r="T224" s="19"/>
      <c r="U224" s="15"/>
      <c r="V224" s="19" t="n">
        <f aca="false">VLOOKUP($F224,Calculations!$B$6:$AE$314,8,FALSE())</f>
        <v>0</v>
      </c>
      <c r="W224" s="19" t="n">
        <f aca="false">VLOOKUP($F224,Calculations!$B$6:$AE$314,11,FALSE())</f>
        <v>0</v>
      </c>
      <c r="X224" s="19"/>
      <c r="Y224" s="19"/>
      <c r="Z224" s="19"/>
      <c r="AA224" s="19"/>
      <c r="AB224" s="21" t="n">
        <f aca="false">VLOOKUP($F224,Calculations!$B$6:$AE$314,29,FALSE())</f>
        <v>36347</v>
      </c>
      <c r="AC224" s="15"/>
      <c r="AD224" s="19" t="n">
        <f aca="false">VLOOKUP($F224,Calculations!$B$6:$AE$314,7,FALSE())</f>
        <v>1080</v>
      </c>
      <c r="AE224" s="19" t="n">
        <f aca="false">VLOOKUP($F224,Calculations!$B$6:$AE$314,10,FALSE())</f>
        <v>5400</v>
      </c>
      <c r="AH224" s="6"/>
    </row>
    <row r="225" customFormat="false" ht="12.75" hidden="false" customHeight="false" outlineLevel="0" collapsed="false">
      <c r="A225" s="17" t="s">
        <v>53</v>
      </c>
      <c r="B225" s="17" t="s">
        <v>7</v>
      </c>
      <c r="C225" s="14"/>
      <c r="D225" s="14"/>
      <c r="E225" s="14"/>
      <c r="F225" s="15" t="s">
        <v>374</v>
      </c>
      <c r="G225" s="15" t="s">
        <v>375</v>
      </c>
      <c r="H225" s="15"/>
      <c r="I225" s="15"/>
      <c r="J225" s="19" t="n">
        <f aca="false">VLOOKUP($F225,Calculations!$B$6:$AE$314,5,FALSE())</f>
        <v>28080</v>
      </c>
      <c r="K225" s="20" t="s">
        <v>40</v>
      </c>
      <c r="L225" s="20" t="n">
        <f aca="false">J225</f>
        <v>28080</v>
      </c>
      <c r="M225" s="19" t="n">
        <f aca="false">VLOOKUP($F225,Calculations!$B$6:$AE$314,24,FALSE())</f>
        <v>0</v>
      </c>
      <c r="N225" s="23"/>
      <c r="O225" s="16" t="n">
        <f aca="false">+N225+M225+J225</f>
        <v>28080</v>
      </c>
      <c r="P225" s="16"/>
      <c r="Q225" s="19"/>
      <c r="R225" s="19"/>
      <c r="S225" s="19"/>
      <c r="T225" s="19"/>
      <c r="U225" s="15"/>
      <c r="V225" s="19" t="n">
        <f aca="false">VLOOKUP($F225,Calculations!$B$6:$AE$314,8,FALSE())</f>
        <v>0</v>
      </c>
      <c r="W225" s="19" t="n">
        <f aca="false">VLOOKUP($F225,Calculations!$B$6:$AE$314,11,FALSE())</f>
        <v>0</v>
      </c>
      <c r="X225" s="19"/>
      <c r="Y225" s="19"/>
      <c r="Z225" s="19"/>
      <c r="AA225" s="19"/>
      <c r="AB225" s="21" t="n">
        <f aca="false">VLOOKUP($F225,Calculations!$B$6:$AE$314,29,FALSE())</f>
        <v>36381</v>
      </c>
      <c r="AC225" s="15"/>
      <c r="AD225" s="19" t="n">
        <f aca="false">VLOOKUP($F225,Calculations!$B$6:$AE$314,7,FALSE())</f>
        <v>1080</v>
      </c>
      <c r="AE225" s="19" t="n">
        <f aca="false">VLOOKUP($F225,Calculations!$B$6:$AE$314,10,FALSE())</f>
        <v>5400</v>
      </c>
      <c r="AH225" s="6"/>
    </row>
    <row r="226" customFormat="false" ht="12.75" hidden="false" customHeight="false" outlineLevel="0" collapsed="false">
      <c r="A226" s="17" t="s">
        <v>50</v>
      </c>
      <c r="B226" s="17" t="s">
        <v>7</v>
      </c>
      <c r="C226" s="14"/>
      <c r="D226" s="14"/>
      <c r="E226" s="14"/>
      <c r="F226" s="15" t="s">
        <v>376</v>
      </c>
      <c r="G226" s="15" t="s">
        <v>236</v>
      </c>
      <c r="H226" s="15"/>
      <c r="I226" s="15"/>
      <c r="J226" s="19" t="n">
        <f aca="false">VLOOKUP($F226,Calculations!$B$6:$AE$314,5,FALSE())</f>
        <v>28000</v>
      </c>
      <c r="K226" s="20" t="s">
        <v>40</v>
      </c>
      <c r="L226" s="20" t="n">
        <f aca="false">J226</f>
        <v>28000</v>
      </c>
      <c r="M226" s="19" t="n">
        <f aca="false">VLOOKUP($F226,Calculations!$B$6:$AE$314,24,FALSE())</f>
        <v>0</v>
      </c>
      <c r="N226" s="23"/>
      <c r="O226" s="16" t="n">
        <f aca="false">+N226+M226+J226</f>
        <v>28000</v>
      </c>
      <c r="P226" s="16"/>
      <c r="Q226" s="19"/>
      <c r="R226" s="19"/>
      <c r="S226" s="19"/>
      <c r="T226" s="19"/>
      <c r="U226" s="15"/>
      <c r="V226" s="19" t="n">
        <f aca="false">VLOOKUP($F226,Calculations!$B$6:$AE$314,8,FALSE())</f>
        <v>0</v>
      </c>
      <c r="W226" s="19" t="n">
        <f aca="false">VLOOKUP($F226,Calculations!$B$6:$AE$314,11,FALSE())</f>
        <v>0</v>
      </c>
      <c r="X226" s="19"/>
      <c r="Y226" s="19"/>
      <c r="Z226" s="19"/>
      <c r="AA226" s="19"/>
      <c r="AB226" s="21" t="n">
        <f aca="false">VLOOKUP($F226,Calculations!$B$6:$AE$314,29,FALSE())</f>
        <v>36689</v>
      </c>
      <c r="AC226" s="15"/>
      <c r="AD226" s="19" t="n">
        <f aca="false">VLOOKUP($F226,Calculations!$B$6:$AE$314,7,FALSE())</f>
        <v>1076.92307692308</v>
      </c>
      <c r="AE226" s="19" t="n">
        <f aca="false">VLOOKUP($F226,Calculations!$B$6:$AE$314,10,FALSE())</f>
        <v>5384.61538461539</v>
      </c>
      <c r="AH226" s="6"/>
    </row>
    <row r="227" customFormat="false" ht="12.75" hidden="false" customHeight="false" outlineLevel="0" collapsed="false">
      <c r="A227" s="17" t="s">
        <v>50</v>
      </c>
      <c r="B227" s="17" t="s">
        <v>7</v>
      </c>
      <c r="C227" s="14"/>
      <c r="D227" s="14"/>
      <c r="E227" s="14"/>
      <c r="F227" s="15" t="s">
        <v>377</v>
      </c>
      <c r="G227" s="15" t="s">
        <v>236</v>
      </c>
      <c r="H227" s="15"/>
      <c r="I227" s="15"/>
      <c r="J227" s="19" t="n">
        <f aca="false">VLOOKUP($F227,Calculations!$B$6:$AE$314,5,FALSE())</f>
        <v>27000</v>
      </c>
      <c r="K227" s="20" t="s">
        <v>40</v>
      </c>
      <c r="L227" s="20" t="n">
        <f aca="false">J227</f>
        <v>27000</v>
      </c>
      <c r="M227" s="19" t="n">
        <f aca="false">VLOOKUP($F227,Calculations!$B$6:$AE$314,24,FALSE())</f>
        <v>0</v>
      </c>
      <c r="N227" s="23"/>
      <c r="O227" s="16" t="n">
        <f aca="false">+N227+M227+J227</f>
        <v>27000</v>
      </c>
      <c r="P227" s="16"/>
      <c r="Q227" s="19"/>
      <c r="R227" s="19"/>
      <c r="S227" s="19"/>
      <c r="T227" s="19"/>
      <c r="U227" s="15"/>
      <c r="V227" s="19" t="n">
        <f aca="false">VLOOKUP($F227,Calculations!$B$6:$AE$314,8,FALSE())</f>
        <v>0</v>
      </c>
      <c r="W227" s="19" t="n">
        <f aca="false">VLOOKUP($F227,Calculations!$B$6:$AE$314,11,FALSE())</f>
        <v>0</v>
      </c>
      <c r="X227" s="19"/>
      <c r="Y227" s="19"/>
      <c r="Z227" s="19"/>
      <c r="AA227" s="19"/>
      <c r="AB227" s="21" t="n">
        <f aca="false">VLOOKUP($F227,Calculations!$B$6:$AE$314,29,FALSE())</f>
        <v>36500</v>
      </c>
      <c r="AC227" s="15"/>
      <c r="AD227" s="19" t="n">
        <f aca="false">VLOOKUP($F227,Calculations!$B$6:$AE$314,7,FALSE())</f>
        <v>1038.46153846154</v>
      </c>
      <c r="AE227" s="19" t="n">
        <f aca="false">VLOOKUP($F227,Calculations!$B$6:$AE$314,10,FALSE())</f>
        <v>5192.30769230769</v>
      </c>
      <c r="AH227" s="6"/>
    </row>
    <row r="228" customFormat="false" ht="12.75" hidden="false" customHeight="false" outlineLevel="0" collapsed="false">
      <c r="A228" s="17" t="s">
        <v>58</v>
      </c>
      <c r="B228" s="17" t="s">
        <v>7</v>
      </c>
      <c r="C228" s="14"/>
      <c r="D228" s="14"/>
      <c r="E228" s="14"/>
      <c r="F228" s="15" t="s">
        <v>378</v>
      </c>
      <c r="G228" s="15"/>
      <c r="H228" s="15"/>
      <c r="I228" s="15"/>
      <c r="J228" s="19" t="n">
        <f aca="false">VLOOKUP($F228,Calculations!$B$6:$AE$314,5,FALSE())</f>
        <v>25927</v>
      </c>
      <c r="K228" s="20" t="s">
        <v>40</v>
      </c>
      <c r="L228" s="20" t="n">
        <f aca="false">J228</f>
        <v>25927</v>
      </c>
      <c r="M228" s="19" t="n">
        <f aca="false">VLOOKUP($F228,Calculations!$B$6:$AE$314,24,FALSE())</f>
        <v>0</v>
      </c>
      <c r="N228" s="23"/>
      <c r="O228" s="16" t="n">
        <f aca="false">+N228+M228+J228</f>
        <v>25927</v>
      </c>
      <c r="P228" s="16"/>
      <c r="Q228" s="19"/>
      <c r="R228" s="19"/>
      <c r="S228" s="19"/>
      <c r="T228" s="19"/>
      <c r="U228" s="15"/>
      <c r="V228" s="19" t="n">
        <f aca="false">VLOOKUP($F228,Calculations!$B$6:$AE$314,8,FALSE())</f>
        <v>0</v>
      </c>
      <c r="W228" s="19" t="n">
        <f aca="false">VLOOKUP($F228,Calculations!$B$6:$AE$314,11,FALSE())</f>
        <v>0</v>
      </c>
      <c r="X228" s="19"/>
      <c r="Y228" s="19"/>
      <c r="Z228" s="19"/>
      <c r="AA228" s="19"/>
      <c r="AB228" s="21" t="n">
        <f aca="false">VLOOKUP($F228,Calculations!$B$6:$AE$314,29,FALSE())</f>
        <v>31146</v>
      </c>
      <c r="AC228" s="15"/>
      <c r="AD228" s="19" t="n">
        <f aca="false">VLOOKUP($F228,Calculations!$B$6:$AE$314,7,FALSE())</f>
        <v>8476.13461538462</v>
      </c>
      <c r="AE228" s="19" t="n">
        <f aca="false">VLOOKUP($F228,Calculations!$B$6:$AE$314,10,FALSE())</f>
        <v>19943.8461538462</v>
      </c>
      <c r="AH228" s="6"/>
    </row>
    <row r="229" customFormat="false" ht="12.75" hidden="false" customHeight="false" outlineLevel="0" collapsed="false">
      <c r="A229" s="17" t="s">
        <v>50</v>
      </c>
      <c r="B229" s="17" t="s">
        <v>7</v>
      </c>
      <c r="C229" s="14"/>
      <c r="D229" s="14"/>
      <c r="E229" s="14"/>
      <c r="F229" s="15" t="s">
        <v>379</v>
      </c>
      <c r="G229" s="15" t="s">
        <v>236</v>
      </c>
      <c r="H229" s="15"/>
      <c r="I229" s="15"/>
      <c r="J229" s="19" t="n">
        <f aca="false">VLOOKUP($F229,Calculations!$B$6:$AE$314,5,FALSE())</f>
        <v>25000</v>
      </c>
      <c r="K229" s="20" t="s">
        <v>40</v>
      </c>
      <c r="L229" s="20" t="n">
        <f aca="false">J229</f>
        <v>25000</v>
      </c>
      <c r="M229" s="19" t="n">
        <f aca="false">VLOOKUP($F229,Calculations!$B$6:$AE$314,24,FALSE())</f>
        <v>0</v>
      </c>
      <c r="N229" s="23"/>
      <c r="O229" s="16" t="n">
        <f aca="false">+N229+M229+J229</f>
        <v>25000</v>
      </c>
      <c r="P229" s="16"/>
      <c r="Q229" s="19"/>
      <c r="R229" s="19"/>
      <c r="S229" s="19"/>
      <c r="T229" s="19"/>
      <c r="U229" s="15"/>
      <c r="V229" s="19" t="n">
        <f aca="false">VLOOKUP($F229,Calculations!$B$6:$AE$314,8,FALSE())</f>
        <v>0</v>
      </c>
      <c r="W229" s="19" t="n">
        <f aca="false">VLOOKUP($F229,Calculations!$B$6:$AE$314,11,FALSE())</f>
        <v>0</v>
      </c>
      <c r="X229" s="19"/>
      <c r="Y229" s="19"/>
      <c r="Z229" s="19"/>
      <c r="AA229" s="19"/>
      <c r="AB229" s="21" t="n">
        <f aca="false">VLOOKUP($F229,Calculations!$B$6:$AE$314,29,FALSE())</f>
        <v>36795</v>
      </c>
      <c r="AC229" s="15"/>
      <c r="AD229" s="19" t="n">
        <f aca="false">VLOOKUP($F229,Calculations!$B$6:$AE$314,7,FALSE())</f>
        <v>480.769230769231</v>
      </c>
      <c r="AE229" s="19" t="n">
        <f aca="false">VLOOKUP($F229,Calculations!$B$6:$AE$314,10,FALSE())</f>
        <v>3846.15384615385</v>
      </c>
      <c r="AH229" s="6"/>
    </row>
    <row r="230" customFormat="false" ht="12.75" hidden="false" customHeight="false" outlineLevel="0" collapsed="false">
      <c r="A230" s="17" t="s">
        <v>50</v>
      </c>
      <c r="B230" s="17" t="s">
        <v>7</v>
      </c>
      <c r="C230" s="14"/>
      <c r="D230" s="14"/>
      <c r="E230" s="14"/>
      <c r="F230" s="15" t="s">
        <v>380</v>
      </c>
      <c r="G230" s="15" t="s">
        <v>236</v>
      </c>
      <c r="H230" s="15"/>
      <c r="I230" s="15"/>
      <c r="J230" s="19" t="n">
        <f aca="false">VLOOKUP($F230,Calculations!$B$6:$AE$314,5,FALSE())</f>
        <v>24000</v>
      </c>
      <c r="K230" s="20" t="s">
        <v>40</v>
      </c>
      <c r="L230" s="20" t="n">
        <f aca="false">J230</f>
        <v>24000</v>
      </c>
      <c r="M230" s="19" t="n">
        <f aca="false">VLOOKUP($F230,Calculations!$B$6:$AE$314,24,FALSE())</f>
        <v>0</v>
      </c>
      <c r="N230" s="23"/>
      <c r="O230" s="16" t="n">
        <f aca="false">+N230+M230+J230</f>
        <v>24000</v>
      </c>
      <c r="P230" s="16"/>
      <c r="Q230" s="19"/>
      <c r="R230" s="19"/>
      <c r="S230" s="19"/>
      <c r="T230" s="19"/>
      <c r="U230" s="15"/>
      <c r="V230" s="19" t="n">
        <f aca="false">VLOOKUP($F230,Calculations!$B$6:$AE$314,8,FALSE())</f>
        <v>0</v>
      </c>
      <c r="W230" s="19" t="n">
        <f aca="false">VLOOKUP($F230,Calculations!$B$6:$AE$314,11,FALSE())</f>
        <v>0</v>
      </c>
      <c r="X230" s="19"/>
      <c r="Y230" s="19"/>
      <c r="Z230" s="19"/>
      <c r="AA230" s="19"/>
      <c r="AB230" s="21" t="n">
        <f aca="false">VLOOKUP($F230,Calculations!$B$6:$AE$314,29,FALSE())</f>
        <v>36101</v>
      </c>
      <c r="AC230" s="15"/>
      <c r="AD230" s="19" t="n">
        <f aca="false">VLOOKUP($F230,Calculations!$B$6:$AE$314,7,FALSE())</f>
        <v>1384.61538461538</v>
      </c>
      <c r="AE230" s="19" t="n">
        <f aca="false">VLOOKUP($F230,Calculations!$B$6:$AE$314,10,FALSE())</f>
        <v>5538.46153846154</v>
      </c>
      <c r="AH230" s="6"/>
    </row>
    <row r="231" customFormat="false" ht="12.75" hidden="false" customHeight="false" outlineLevel="0" collapsed="false">
      <c r="A231" s="17" t="s">
        <v>77</v>
      </c>
      <c r="B231" s="17" t="s">
        <v>7</v>
      </c>
      <c r="C231" s="14"/>
      <c r="D231" s="14"/>
      <c r="E231" s="14"/>
      <c r="F231" s="15" t="s">
        <v>381</v>
      </c>
      <c r="G231" s="15"/>
      <c r="H231" s="15"/>
      <c r="I231" s="15"/>
      <c r="J231" s="19" t="n">
        <f aca="false">VLOOKUP($F231,Calculations!$B$6:$AE$314,5,FALSE())</f>
        <v>23777</v>
      </c>
      <c r="K231" s="20" t="s">
        <v>40</v>
      </c>
      <c r="L231" s="20" t="n">
        <f aca="false">J231</f>
        <v>23777</v>
      </c>
      <c r="M231" s="19" t="n">
        <f aca="false">VLOOKUP($F231,Calculations!$B$6:$AE$314,24,FALSE())</f>
        <v>0</v>
      </c>
      <c r="N231" s="23"/>
      <c r="O231" s="16" t="n">
        <f aca="false">+N231+M231+J231</f>
        <v>23777</v>
      </c>
      <c r="P231" s="16"/>
      <c r="Q231" s="19"/>
      <c r="R231" s="19"/>
      <c r="S231" s="19"/>
      <c r="T231" s="19"/>
      <c r="U231" s="15"/>
      <c r="V231" s="19" t="n">
        <f aca="false">VLOOKUP($F231,Calculations!$B$6:$AE$314,8,FALSE())</f>
        <v>0</v>
      </c>
      <c r="W231" s="19" t="n">
        <f aca="false">VLOOKUP($F231,Calculations!$B$6:$AE$314,11,FALSE())</f>
        <v>0</v>
      </c>
      <c r="X231" s="19"/>
      <c r="Y231" s="19"/>
      <c r="Z231" s="19"/>
      <c r="AA231" s="19"/>
      <c r="AB231" s="21" t="n">
        <f aca="false">VLOOKUP($F231,Calculations!$B$6:$AE$314,29,FALSE())</f>
        <v>34820</v>
      </c>
      <c r="AC231" s="15"/>
      <c r="AD231" s="19" t="n">
        <f aca="false">VLOOKUP($F231,Calculations!$B$6:$AE$314,7,FALSE())</f>
        <v>3200.75</v>
      </c>
      <c r="AE231" s="19" t="n">
        <f aca="false">VLOOKUP($F231,Calculations!$B$6:$AE$314,10,FALSE())</f>
        <v>9145</v>
      </c>
      <c r="AH231" s="6"/>
    </row>
    <row r="232" customFormat="false" ht="12.75" hidden="false" customHeight="false" outlineLevel="0" collapsed="false">
      <c r="A232" s="17" t="s">
        <v>50</v>
      </c>
      <c r="B232" s="17" t="s">
        <v>7</v>
      </c>
      <c r="C232" s="14"/>
      <c r="D232" s="14"/>
      <c r="E232" s="14"/>
      <c r="F232" s="15" t="s">
        <v>382</v>
      </c>
      <c r="G232" s="15" t="s">
        <v>371</v>
      </c>
      <c r="H232" s="15"/>
      <c r="I232" s="15"/>
      <c r="J232" s="19" t="n">
        <f aca="false">VLOOKUP($F232,Calculations!$B$6:$AE$314,5,FALSE())</f>
        <v>23000</v>
      </c>
      <c r="K232" s="20" t="s">
        <v>40</v>
      </c>
      <c r="L232" s="20" t="n">
        <f aca="false">J232</f>
        <v>23000</v>
      </c>
      <c r="M232" s="19" t="n">
        <f aca="false">VLOOKUP($F232,Calculations!$B$6:$AE$314,24,FALSE())</f>
        <v>0</v>
      </c>
      <c r="N232" s="23"/>
      <c r="O232" s="16" t="n">
        <f aca="false">+N232+M232+J232</f>
        <v>23000</v>
      </c>
      <c r="P232" s="16"/>
      <c r="Q232" s="19"/>
      <c r="R232" s="19"/>
      <c r="S232" s="19"/>
      <c r="T232" s="19"/>
      <c r="U232" s="15"/>
      <c r="V232" s="19" t="n">
        <f aca="false">VLOOKUP($F232,Calculations!$B$6:$AE$314,8,FALSE())</f>
        <v>0</v>
      </c>
      <c r="W232" s="19" t="n">
        <f aca="false">VLOOKUP($F232,Calculations!$B$6:$AE$314,11,FALSE())</f>
        <v>0</v>
      </c>
      <c r="X232" s="19"/>
      <c r="Y232" s="19"/>
      <c r="Z232" s="19"/>
      <c r="AA232" s="19"/>
      <c r="AB232" s="21" t="n">
        <f aca="false">VLOOKUP($F232,Calculations!$B$6:$AE$314,29,FALSE())</f>
        <v>36913</v>
      </c>
      <c r="AC232" s="15"/>
      <c r="AD232" s="19" t="n">
        <f aca="false">VLOOKUP($F232,Calculations!$B$6:$AE$314,7,FALSE())</f>
        <v>442.307692307692</v>
      </c>
      <c r="AE232" s="19" t="n">
        <f aca="false">VLOOKUP($F232,Calculations!$B$6:$AE$314,10,FALSE())</f>
        <v>3538.46153846154</v>
      </c>
      <c r="AH232" s="6"/>
    </row>
    <row r="233" customFormat="false" ht="12.75" hidden="false" customHeight="false" outlineLevel="0" collapsed="false">
      <c r="A233" s="17" t="s">
        <v>82</v>
      </c>
      <c r="B233" s="17" t="s">
        <v>7</v>
      </c>
      <c r="C233" s="14"/>
      <c r="D233" s="14"/>
      <c r="E233" s="14"/>
      <c r="F233" s="15" t="s">
        <v>383</v>
      </c>
      <c r="G233" s="15"/>
      <c r="H233" s="15"/>
      <c r="I233" s="15"/>
      <c r="J233" s="19" t="n">
        <f aca="false">VLOOKUP($F233,Calculations!$B$6:$AE$314,5,FALSE())</f>
        <v>22952</v>
      </c>
      <c r="K233" s="20" t="s">
        <v>40</v>
      </c>
      <c r="L233" s="20" t="n">
        <f aca="false">J233</f>
        <v>22952</v>
      </c>
      <c r="M233" s="19" t="n">
        <f aca="false">VLOOKUP($F233,Calculations!$B$6:$AE$314,24,FALSE())</f>
        <v>0</v>
      </c>
      <c r="N233" s="23"/>
      <c r="O233" s="16" t="n">
        <f aca="false">+N233+M233+J233</f>
        <v>22952</v>
      </c>
      <c r="P233" s="16"/>
      <c r="Q233" s="19"/>
      <c r="R233" s="19"/>
      <c r="S233" s="19"/>
      <c r="T233" s="19"/>
      <c r="U233" s="15"/>
      <c r="V233" s="19" t="n">
        <f aca="false">VLOOKUP($F233,Calculations!$B$6:$AE$314,8,FALSE())</f>
        <v>0</v>
      </c>
      <c r="W233" s="19" t="n">
        <f aca="false">VLOOKUP($F233,Calculations!$B$6:$AE$314,11,FALSE())</f>
        <v>0</v>
      </c>
      <c r="X233" s="19"/>
      <c r="Y233" s="19"/>
      <c r="Z233" s="19"/>
      <c r="AA233" s="19"/>
      <c r="AB233" s="21" t="n">
        <f aca="false">VLOOKUP($F233,Calculations!$B$6:$AE$314,29,FALSE())</f>
        <v>36100</v>
      </c>
      <c r="AC233" s="15"/>
      <c r="AD233" s="19" t="n">
        <f aca="false">VLOOKUP($F233,Calculations!$B$6:$AE$314,7,FALSE())</f>
        <v>1324.15384615385</v>
      </c>
      <c r="AE233" s="19" t="n">
        <f aca="false">VLOOKUP($F233,Calculations!$B$6:$AE$314,10,FALSE())</f>
        <v>5296.61538461539</v>
      </c>
      <c r="AH233" s="6"/>
    </row>
    <row r="234" customFormat="false" ht="12.75" hidden="false" customHeight="false" outlineLevel="0" collapsed="false">
      <c r="A234" s="17" t="s">
        <v>82</v>
      </c>
      <c r="B234" s="17" t="s">
        <v>7</v>
      </c>
      <c r="C234" s="14"/>
      <c r="D234" s="14"/>
      <c r="E234" s="14"/>
      <c r="F234" s="15" t="s">
        <v>384</v>
      </c>
      <c r="G234" s="15"/>
      <c r="H234" s="15"/>
      <c r="I234" s="15"/>
      <c r="J234" s="19" t="n">
        <f aca="false">VLOOKUP($F234,Calculations!$B$6:$AE$314,5,FALSE())</f>
        <v>12853</v>
      </c>
      <c r="K234" s="20" t="s">
        <v>40</v>
      </c>
      <c r="L234" s="20" t="n">
        <f aca="false">J234</f>
        <v>12853</v>
      </c>
      <c r="M234" s="19" t="n">
        <f aca="false">VLOOKUP($F234,Calculations!$B$6:$AE$314,24,FALSE())</f>
        <v>0</v>
      </c>
      <c r="N234" s="23"/>
      <c r="O234" s="16" t="n">
        <f aca="false">+N234+M234+J234</f>
        <v>12853</v>
      </c>
      <c r="P234" s="16"/>
      <c r="Q234" s="19"/>
      <c r="R234" s="19"/>
      <c r="S234" s="19"/>
      <c r="T234" s="19"/>
      <c r="U234" s="15"/>
      <c r="V234" s="19" t="n">
        <f aca="false">VLOOKUP($F234,Calculations!$B$6:$AE$314,8,FALSE())</f>
        <v>0</v>
      </c>
      <c r="W234" s="19" t="n">
        <f aca="false">VLOOKUP($F234,Calculations!$B$6:$AE$314,11,FALSE())</f>
        <v>0</v>
      </c>
      <c r="X234" s="19"/>
      <c r="Y234" s="19"/>
      <c r="Z234" s="19"/>
      <c r="AA234" s="19"/>
      <c r="AB234" s="21" t="n">
        <f aca="false">VLOOKUP($F234,Calculations!$B$6:$AE$314,29,FALSE())</f>
        <v>35309</v>
      </c>
      <c r="AC234" s="15"/>
      <c r="AD234" s="19" t="n">
        <f aca="false">VLOOKUP($F234,Calculations!$B$6:$AE$314,7,FALSE())</f>
        <v>1235.86538461538</v>
      </c>
      <c r="AE234" s="19" t="n">
        <f aca="false">VLOOKUP($F234,Calculations!$B$6:$AE$314,10,FALSE())</f>
        <v>3460.42307692308</v>
      </c>
      <c r="AH234" s="6"/>
    </row>
    <row r="235" customFormat="false" ht="12.75" hidden="false" customHeight="false" outlineLevel="0" collapsed="false">
      <c r="A235" s="17" t="s">
        <v>82</v>
      </c>
      <c r="B235" s="17" t="s">
        <v>7</v>
      </c>
      <c r="C235" s="14"/>
      <c r="D235" s="14"/>
      <c r="E235" s="14"/>
      <c r="F235" s="15" t="s">
        <v>385</v>
      </c>
      <c r="G235" s="15"/>
      <c r="H235" s="15"/>
      <c r="I235" s="15"/>
      <c r="J235" s="19" t="n">
        <f aca="false">VLOOKUP($F235,Calculations!$B$6:$AE$314,5,FALSE())</f>
        <v>8263</v>
      </c>
      <c r="K235" s="20" t="s">
        <v>40</v>
      </c>
      <c r="L235" s="20" t="n">
        <f aca="false">J235</f>
        <v>8263</v>
      </c>
      <c r="M235" s="19" t="n">
        <f aca="false">VLOOKUP($F235,Calculations!$B$6:$AE$314,24,FALSE())</f>
        <v>0</v>
      </c>
      <c r="N235" s="23"/>
      <c r="O235" s="16" t="n">
        <f aca="false">+N235+M235+J235</f>
        <v>8263</v>
      </c>
      <c r="P235" s="16"/>
      <c r="Q235" s="19"/>
      <c r="R235" s="19"/>
      <c r="S235" s="19"/>
      <c r="T235" s="19"/>
      <c r="U235" s="15"/>
      <c r="V235" s="19" t="n">
        <f aca="false">VLOOKUP($F235,Calculations!$B$6:$AE$314,8,FALSE())</f>
        <v>0</v>
      </c>
      <c r="W235" s="19" t="n">
        <f aca="false">VLOOKUP($F235,Calculations!$B$6:$AE$314,11,FALSE())</f>
        <v>0</v>
      </c>
      <c r="X235" s="19"/>
      <c r="Y235" s="19"/>
      <c r="Z235" s="19"/>
      <c r="AA235" s="19"/>
      <c r="AB235" s="21" t="n">
        <f aca="false">VLOOKUP($F235,Calculations!$B$6:$AE$314,29,FALSE())</f>
        <v>31929</v>
      </c>
      <c r="AC235" s="15"/>
      <c r="AD235" s="19" t="n">
        <f aca="false">VLOOKUP($F235,Calculations!$B$6:$AE$314,7,FALSE())</f>
        <v>2224.65384615385</v>
      </c>
      <c r="AE235" s="19" t="n">
        <f aca="false">VLOOKUP($F235,Calculations!$B$6:$AE$314,10,FALSE())</f>
        <v>4767.11538461539</v>
      </c>
      <c r="AH235" s="6"/>
    </row>
    <row r="236" customFormat="false" ht="26.25" hidden="false" customHeight="false" outlineLevel="0" collapsed="false">
      <c r="A236" s="17" t="s">
        <v>82</v>
      </c>
      <c r="B236" s="17" t="s">
        <v>7</v>
      </c>
      <c r="C236" s="14"/>
      <c r="D236" s="14"/>
      <c r="E236" s="14"/>
      <c r="F236" s="36" t="s">
        <v>386</v>
      </c>
      <c r="G236" s="15"/>
      <c r="H236" s="15"/>
      <c r="I236" s="15"/>
      <c r="J236" s="28" t="n">
        <f aca="false">VLOOKUP($F236,Calculations!$B$6:$AE$314,5,FALSE())</f>
        <v>5049</v>
      </c>
      <c r="K236" s="29" t="s">
        <v>40</v>
      </c>
      <c r="L236" s="29" t="n">
        <f aca="false">J236</f>
        <v>5049</v>
      </c>
      <c r="M236" s="28" t="n">
        <f aca="false">VLOOKUP($F236,Calculations!$B$6:$AE$314,24,FALSE())</f>
        <v>0</v>
      </c>
      <c r="N236" s="30"/>
      <c r="O236" s="31" t="n">
        <f aca="false">+N236+M236+J236</f>
        <v>5049</v>
      </c>
      <c r="P236" s="16"/>
      <c r="Q236" s="19"/>
      <c r="R236" s="19"/>
      <c r="S236" s="19"/>
      <c r="T236" s="19"/>
      <c r="U236" s="15"/>
      <c r="V236" s="19" t="n">
        <f aca="false">VLOOKUP($F236,Calculations!$B$6:$AE$314,8,FALSE())</f>
        <v>0</v>
      </c>
      <c r="W236" s="19" t="n">
        <f aca="false">VLOOKUP($F236,Calculations!$B$6:$AE$314,11,FALSE())</f>
        <v>0</v>
      </c>
      <c r="X236" s="19"/>
      <c r="Y236" s="19"/>
      <c r="Z236" s="19"/>
      <c r="AA236" s="19"/>
      <c r="AB236" s="21" t="n">
        <f aca="false">VLOOKUP($F236,Calculations!$B$6:$AE$314,29,FALSE())</f>
        <v>35370</v>
      </c>
      <c r="AC236" s="15"/>
      <c r="AD236" s="28" t="n">
        <f aca="false">VLOOKUP($F236,Calculations!$B$6:$AE$314,7,FALSE())</f>
        <v>485.480769230769</v>
      </c>
      <c r="AE236" s="28" t="n">
        <f aca="false">VLOOKUP($F236,Calculations!$B$6:$AE$314,10,FALSE())</f>
        <v>1165.15384615385</v>
      </c>
    </row>
    <row r="237" customFormat="false" ht="12.75" hidden="false" customHeight="false" outlineLevel="0" collapsed="false">
      <c r="A237" s="17" t="s">
        <v>6</v>
      </c>
      <c r="B237" s="13"/>
      <c r="C237" s="13"/>
      <c r="D237" s="13"/>
      <c r="E237" s="14"/>
      <c r="F237" s="17"/>
      <c r="G237" s="17"/>
      <c r="H237" s="17"/>
      <c r="I237" s="17"/>
      <c r="J237" s="33" t="n">
        <f aca="false">SUM(J172:J236)</f>
        <v>3235664</v>
      </c>
      <c r="K237" s="38"/>
      <c r="L237" s="38"/>
      <c r="M237" s="33" t="n">
        <f aca="false">SUM(M172:M236)</f>
        <v>7500</v>
      </c>
      <c r="N237" s="34" t="n">
        <f aca="false">SUM(N172:N236)</f>
        <v>47350</v>
      </c>
      <c r="O237" s="33" t="n">
        <f aca="false">SUM(O172:O236)</f>
        <v>3290514</v>
      </c>
      <c r="P237" s="16"/>
      <c r="Q237" s="16"/>
      <c r="R237" s="16"/>
      <c r="S237" s="16"/>
      <c r="T237" s="16"/>
      <c r="U237" s="16"/>
      <c r="V237" s="16" t="n">
        <f aca="false">SUM(V172:V236)</f>
        <v>0</v>
      </c>
      <c r="W237" s="16" t="n">
        <f aca="false">SUM(W172:W236)</f>
        <v>0</v>
      </c>
      <c r="X237" s="16"/>
      <c r="Y237" s="16"/>
      <c r="Z237" s="16"/>
      <c r="AA237" s="16"/>
      <c r="AB237" s="16"/>
      <c r="AC237" s="16"/>
      <c r="AD237" s="33" t="n">
        <f aca="false">SUM(AD172:AD236)</f>
        <v>1145060.92307692</v>
      </c>
      <c r="AE237" s="33" t="n">
        <f aca="false">SUM(AE172:AE236)</f>
        <v>1935807.15384615</v>
      </c>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c r="GU237" s="12"/>
      <c r="GV237" s="12"/>
      <c r="GW237" s="12"/>
      <c r="GX237" s="12"/>
      <c r="GY237" s="12"/>
      <c r="GZ237" s="12"/>
      <c r="HA237" s="12"/>
      <c r="HB237" s="12"/>
      <c r="HC237" s="12"/>
      <c r="HD237" s="12"/>
      <c r="HE237" s="12"/>
      <c r="HF237" s="12"/>
      <c r="HG237" s="12"/>
      <c r="HH237" s="12"/>
      <c r="HI237" s="12"/>
      <c r="HJ237" s="12"/>
      <c r="HK237" s="12"/>
      <c r="HL237" s="12"/>
      <c r="HM237" s="12"/>
      <c r="HN237" s="12"/>
      <c r="HO237" s="12"/>
      <c r="HP237" s="12"/>
      <c r="HQ237" s="12"/>
      <c r="HR237" s="12"/>
      <c r="HS237" s="12"/>
      <c r="HT237" s="12"/>
      <c r="HU237" s="12"/>
      <c r="HV237" s="12"/>
      <c r="HW237" s="12"/>
      <c r="HX237" s="12"/>
      <c r="HY237" s="12"/>
      <c r="HZ237" s="12"/>
      <c r="IA237" s="12"/>
      <c r="IB237" s="12"/>
      <c r="IC237" s="12"/>
      <c r="ID237" s="12"/>
      <c r="IE237" s="12"/>
      <c r="IF237" s="12"/>
      <c r="IG237" s="12"/>
      <c r="IH237" s="12"/>
      <c r="II237" s="12"/>
      <c r="IJ237" s="12"/>
      <c r="IK237" s="12"/>
      <c r="IL237" s="12"/>
      <c r="IM237" s="12"/>
      <c r="IN237" s="12"/>
      <c r="IO237" s="12"/>
      <c r="IP237" s="12"/>
      <c r="IQ237" s="12"/>
      <c r="IR237" s="12"/>
      <c r="IS237" s="12"/>
      <c r="IT237" s="12"/>
      <c r="IU237" s="12"/>
      <c r="IV237" s="12"/>
      <c r="IW237" s="12"/>
    </row>
    <row r="240" customFormat="false" ht="15" hidden="false" customHeight="true" outlineLevel="0" collapsed="false">
      <c r="A240" s="39"/>
      <c r="B240" s="5"/>
      <c r="C240" s="1" t="s">
        <v>0</v>
      </c>
      <c r="D240" s="1"/>
      <c r="E240" s="1"/>
      <c r="F240" s="2" t="s">
        <v>7</v>
      </c>
      <c r="G240" s="2" t="s">
        <v>19</v>
      </c>
      <c r="H240" s="5"/>
      <c r="I240" s="5"/>
      <c r="J240" s="5"/>
      <c r="K240" s="5"/>
      <c r="L240" s="5"/>
      <c r="M240" s="5"/>
      <c r="N240" s="5"/>
      <c r="O240" s="40"/>
      <c r="P240" s="40"/>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row>
    <row r="241" customFormat="false" ht="12.75" hidden="false" customHeight="false" outlineLevel="0" collapsed="false">
      <c r="A241" s="39"/>
      <c r="B241" s="5"/>
      <c r="C241" s="3"/>
      <c r="D241" s="3"/>
      <c r="E241" s="4"/>
      <c r="F241" s="5"/>
      <c r="G241" s="5"/>
      <c r="H241" s="5"/>
      <c r="I241" s="5"/>
      <c r="J241" s="5"/>
      <c r="K241" s="5"/>
      <c r="L241" s="5"/>
      <c r="M241" s="5"/>
      <c r="N241" s="5"/>
      <c r="O241" s="40"/>
      <c r="P241" s="40"/>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row>
    <row r="242" customFormat="false" ht="25.5" hidden="false" customHeight="true" outlineLevel="0" collapsed="false">
      <c r="A242" s="39"/>
      <c r="B242" s="5"/>
      <c r="C242" s="1" t="s">
        <v>3</v>
      </c>
      <c r="D242" s="1"/>
      <c r="E242" s="1"/>
      <c r="F242" s="6" t="n">
        <f aca="false">AD237</f>
        <v>1145060.92307692</v>
      </c>
      <c r="G242" s="6" t="n">
        <f aca="false">AE237</f>
        <v>1935807.15384615</v>
      </c>
      <c r="H242" s="5"/>
      <c r="I242" s="5"/>
      <c r="J242" s="5"/>
      <c r="K242" s="5"/>
      <c r="L242" s="5"/>
      <c r="M242" s="5"/>
      <c r="N242" s="5"/>
      <c r="O242" s="40"/>
      <c r="P242" s="40"/>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c r="IW242" s="5"/>
    </row>
    <row r="243" customFormat="false" ht="25.5" hidden="false" customHeight="true" outlineLevel="0" collapsed="false">
      <c r="A243" s="39"/>
      <c r="B243" s="5"/>
      <c r="C243" s="1" t="s">
        <v>4</v>
      </c>
      <c r="D243" s="1"/>
      <c r="E243" s="1"/>
      <c r="F243" s="6" t="n">
        <f aca="false">V170</f>
        <v>7838815.24984615</v>
      </c>
      <c r="G243" s="6" t="n">
        <f aca="false">W170</f>
        <v>10437830.1856154</v>
      </c>
      <c r="H243" s="5"/>
      <c r="I243" s="5"/>
      <c r="J243" s="5"/>
      <c r="K243" s="5"/>
      <c r="L243" s="5"/>
      <c r="M243" s="5"/>
      <c r="N243" s="5"/>
      <c r="O243" s="40"/>
      <c r="P243" s="40"/>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row>
    <row r="244" customFormat="false" ht="25.5" hidden="false" customHeight="true" outlineLevel="0" collapsed="false">
      <c r="A244" s="39"/>
      <c r="B244" s="5"/>
      <c r="C244" s="1" t="s">
        <v>387</v>
      </c>
      <c r="D244" s="1"/>
      <c r="E244" s="1"/>
      <c r="F244" s="6" t="n">
        <v>2000000</v>
      </c>
      <c r="G244" s="6" t="n">
        <v>2000000</v>
      </c>
      <c r="H244" s="5"/>
      <c r="I244" s="5"/>
      <c r="J244" s="5"/>
      <c r="K244" s="5"/>
      <c r="L244" s="5"/>
      <c r="M244" s="5"/>
      <c r="N244" s="5"/>
      <c r="O244" s="40"/>
      <c r="P244" s="40"/>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row>
    <row r="245" customFormat="false" ht="24.75" hidden="false" customHeight="true" outlineLevel="0" collapsed="false">
      <c r="A245" s="39"/>
      <c r="B245" s="5"/>
      <c r="C245" s="1" t="s">
        <v>6</v>
      </c>
      <c r="D245" s="1"/>
      <c r="E245" s="1"/>
      <c r="F245" s="6" t="n">
        <f aca="false">F242+F243+F244</f>
        <v>10983876.1729231</v>
      </c>
      <c r="G245" s="6" t="n">
        <f aca="false">G242+G243+G244</f>
        <v>14373637.3394615</v>
      </c>
      <c r="H245" s="5"/>
      <c r="I245" s="5"/>
      <c r="J245" s="5"/>
      <c r="K245" s="5"/>
      <c r="L245" s="5"/>
      <c r="M245" s="5"/>
      <c r="N245" s="5"/>
      <c r="O245" s="40"/>
      <c r="P245" s="40"/>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row>
    <row r="246" customFormat="false" ht="12.75" hidden="false" customHeight="false" outlineLevel="0" collapsed="false">
      <c r="A246" s="39"/>
      <c r="B246" s="41"/>
      <c r="C246" s="39"/>
      <c r="D246" s="39"/>
      <c r="E246" s="2"/>
      <c r="F246" s="5"/>
      <c r="G246" s="5"/>
      <c r="H246" s="5"/>
      <c r="I246" s="5"/>
      <c r="J246" s="5"/>
      <c r="K246" s="5"/>
      <c r="L246" s="5"/>
      <c r="M246" s="5"/>
      <c r="N246" s="5"/>
      <c r="O246" s="40"/>
      <c r="P246" s="40"/>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row>
    <row r="247" customFormat="false" ht="12.75" hidden="false" customHeight="false" outlineLevel="0" collapsed="false">
      <c r="A247" s="39"/>
      <c r="B247" s="39"/>
      <c r="C247" s="39"/>
      <c r="D247" s="39"/>
      <c r="E247" s="2"/>
      <c r="F247" s="5"/>
      <c r="G247" s="5"/>
      <c r="H247" s="5"/>
      <c r="I247" s="5"/>
      <c r="J247" s="5"/>
      <c r="K247" s="5"/>
      <c r="L247" s="5"/>
      <c r="M247" s="5"/>
      <c r="N247" s="5"/>
      <c r="O247" s="40"/>
      <c r="P247" s="40"/>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row>
    <row r="248" customFormat="false" ht="12.75" hidden="false" customHeight="false" outlineLevel="0" collapsed="false">
      <c r="A248" s="39"/>
      <c r="B248" s="39"/>
      <c r="C248" s="39"/>
      <c r="D248" s="39"/>
      <c r="E248" s="2"/>
      <c r="F248" s="5"/>
      <c r="G248" s="5"/>
      <c r="H248" s="5"/>
      <c r="I248" s="5"/>
      <c r="J248" s="5"/>
      <c r="K248" s="5"/>
      <c r="L248" s="5"/>
      <c r="M248" s="5"/>
      <c r="N248" s="5"/>
      <c r="O248" s="40"/>
      <c r="P248" s="40"/>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row>
  </sheetData>
  <mergeCells count="5">
    <mergeCell ref="C240:E240"/>
    <mergeCell ref="C242:E242"/>
    <mergeCell ref="C243:E243"/>
    <mergeCell ref="C244:E244"/>
    <mergeCell ref="C245:E245"/>
  </mergeCells>
  <printOptions headings="false" gridLines="false" gridLinesSet="true" horizontalCentered="false" verticalCentered="false"/>
  <pageMargins left="0.259722222222222" right="0.359722222222222" top="0.320138888888889" bottom="0.25" header="0.511811023622047" footer="0.511811023622047"/>
  <pageSetup paperSize="5" scale="100" fitToWidth="1" fitToHeight="6" pageOrder="downThenOver" orientation="landscape" blackAndWhite="false" draft="false" cellComments="none" horizontalDpi="300" verticalDpi="300" copies="1"/>
  <headerFooter differentFirst="false" differentOddEven="false">
    <oddHeader/>
    <oddFooter/>
  </headerFooter>
  <rowBreaks count="3" manualBreakCount="3">
    <brk id="44" man="true" max="16383" min="0"/>
    <brk id="99" man="true" max="16383" min="0"/>
    <brk id="224"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9:H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sheetData>
    <row r="9" customFormat="false" ht="26.25" hidden="false" customHeight="false" outlineLevel="0" collapsed="false">
      <c r="D9" s="42" t="s">
        <v>388</v>
      </c>
      <c r="E9" s="42"/>
      <c r="F9" s="42"/>
      <c r="G9" s="42"/>
      <c r="H9" s="42"/>
    </row>
  </sheetData>
  <mergeCells count="1">
    <mergeCell ref="D9:H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1"/>
  <cols>
    <col collapsed="false" customWidth="true" hidden="false" outlineLevel="0" max="1" min="1" style="8" width="3.85"/>
    <col collapsed="false" customWidth="true" hidden="false" outlineLevel="0" max="2" min="2" style="43" width="21.7"/>
    <col collapsed="false" customWidth="true" hidden="true" outlineLevel="0" max="3" min="3" style="43" width="9.06"/>
    <col collapsed="false" customWidth="true" hidden="false" outlineLevel="0" max="4" min="4" style="43" width="17.28"/>
    <col collapsed="false" customWidth="true" hidden="true" outlineLevel="1" max="5" min="5" style="43" width="10.85"/>
    <col collapsed="false" customWidth="true" hidden="false" outlineLevel="0" max="6" min="6" style="44" width="14.28"/>
    <col collapsed="false" customWidth="true" hidden="false" outlineLevel="0" max="7" min="7" style="44" width="16.7"/>
    <col collapsed="false" customWidth="true" hidden="false" outlineLevel="0" max="9" min="8" style="44" width="14.28"/>
    <col collapsed="false" customWidth="true" hidden="false" outlineLevel="0" max="10" min="10" style="44" width="2.7"/>
    <col collapsed="false" customWidth="true" hidden="false" outlineLevel="0" max="12" min="11" style="44" width="14.28"/>
    <col collapsed="false" customWidth="true" hidden="true" outlineLevel="1" max="22" min="13" style="44" width="14.28"/>
    <col collapsed="false" customWidth="true" hidden="true" outlineLevel="1" max="23" min="23" style="45" width="14.28"/>
    <col collapsed="false" customWidth="false" hidden="true" outlineLevel="1" max="24" min="24" style="45" width="9.14"/>
    <col collapsed="false" customWidth="true" hidden="true" outlineLevel="1" max="25" min="25" style="45" width="10.13"/>
    <col collapsed="false" customWidth="false" hidden="true" outlineLevel="1" max="28" min="26" style="46" width="9.14"/>
    <col collapsed="false" customWidth="true" hidden="false" outlineLevel="0" max="29" min="29" style="46" width="4.14"/>
    <col collapsed="false" customWidth="true" hidden="false" outlineLevel="0" max="30" min="30" style="47" width="9.41"/>
    <col collapsed="false" customWidth="true" hidden="false" outlineLevel="0" max="31" min="31" style="48" width="15.7"/>
    <col collapsed="false" customWidth="true" hidden="true" outlineLevel="1" max="35" min="32" style="46" width="11.85"/>
    <col collapsed="false" customWidth="true" hidden="true" outlineLevel="1" max="36" min="36" style="46" width="24.41"/>
    <col collapsed="false" customWidth="true" hidden="true" outlineLevel="1" max="37" min="37" style="43" width="27.56"/>
    <col collapsed="false" customWidth="true" hidden="true" outlineLevel="1" max="38" min="38" style="43" width="13.85"/>
    <col collapsed="false" customWidth="false" hidden="true" outlineLevel="1" max="39" min="39" style="43" width="9.14"/>
    <col collapsed="false" customWidth="false" hidden="false" outlineLevel="0" max="40" min="40" style="43" width="9.14"/>
    <col collapsed="false" customWidth="true" hidden="false" outlineLevel="0" max="41" min="41" style="43" width="10.28"/>
    <col collapsed="false" customWidth="false" hidden="false" outlineLevel="0" max="257" min="42" style="43" width="9.14"/>
  </cols>
  <sheetData>
    <row r="1" customFormat="false" ht="12.75" hidden="false" customHeight="false" outlineLevel="0" collapsed="false">
      <c r="F1" s="48" t="n">
        <v>4</v>
      </c>
      <c r="M1" s="49" t="n">
        <v>0.75</v>
      </c>
      <c r="AQ1" s="50"/>
      <c r="AR1" s="50"/>
      <c r="AS1" s="50"/>
    </row>
    <row r="2" customFormat="false" ht="15.75" hidden="false" customHeight="false" outlineLevel="0" collapsed="false">
      <c r="B2" s="51" t="s">
        <v>389</v>
      </c>
      <c r="C2" s="52"/>
      <c r="D2" s="52"/>
      <c r="E2" s="52"/>
      <c r="F2" s="48" t="n">
        <v>2</v>
      </c>
      <c r="G2" s="44" t="n">
        <v>99999</v>
      </c>
      <c r="H2" s="52"/>
      <c r="I2" s="52"/>
      <c r="J2" s="52"/>
      <c r="K2" s="52"/>
      <c r="L2" s="53" t="n">
        <v>1.5</v>
      </c>
      <c r="M2" s="52" t="n">
        <v>2</v>
      </c>
      <c r="O2" s="53"/>
      <c r="P2" s="53"/>
      <c r="Q2" s="53"/>
      <c r="R2" s="53"/>
      <c r="S2" s="52"/>
      <c r="T2" s="52"/>
      <c r="U2" s="52"/>
      <c r="V2" s="52"/>
      <c r="W2" s="52"/>
      <c r="X2" s="52"/>
      <c r="Y2" s="52"/>
      <c r="Z2" s="52"/>
      <c r="AA2" s="52"/>
      <c r="AB2" s="52"/>
      <c r="AC2" s="52"/>
      <c r="AD2" s="52"/>
      <c r="AE2" s="54" t="s">
        <v>390</v>
      </c>
      <c r="AF2" s="52"/>
      <c r="AG2" s="52"/>
      <c r="AH2" s="52"/>
      <c r="AI2" s="52"/>
      <c r="AJ2" s="52"/>
      <c r="AK2" s="52"/>
      <c r="AL2" s="52"/>
      <c r="AQ2" s="50" t="s">
        <v>391</v>
      </c>
      <c r="AR2" s="50"/>
      <c r="AS2" s="50"/>
    </row>
    <row r="3" customFormat="false" ht="12.75" hidden="false" customHeight="false" outlineLevel="0" collapsed="false">
      <c r="F3" s="48" t="n">
        <v>1</v>
      </c>
      <c r="G3" s="44" t="n">
        <v>49999</v>
      </c>
      <c r="H3" s="55" t="s">
        <v>18</v>
      </c>
      <c r="I3" s="55" t="s">
        <v>392</v>
      </c>
      <c r="J3" s="55"/>
      <c r="K3" s="55" t="s">
        <v>393</v>
      </c>
      <c r="L3" s="55" t="s">
        <v>392</v>
      </c>
      <c r="M3" s="55" t="s">
        <v>394</v>
      </c>
      <c r="N3" s="55" t="s">
        <v>394</v>
      </c>
      <c r="O3" s="55" t="s">
        <v>3</v>
      </c>
      <c r="P3" s="55" t="s">
        <v>3</v>
      </c>
      <c r="Q3" s="55" t="s">
        <v>32</v>
      </c>
      <c r="R3" s="55" t="s">
        <v>32</v>
      </c>
      <c r="AE3" s="47" t="n">
        <v>37072</v>
      </c>
      <c r="AF3" s="56"/>
      <c r="AO3" s="57" t="s">
        <v>395</v>
      </c>
      <c r="AQ3" s="50"/>
      <c r="AR3" s="50"/>
      <c r="AS3" s="50"/>
    </row>
    <row r="4" customFormat="false" ht="12.75" hidden="false" customHeight="false" outlineLevel="0" collapsed="false">
      <c r="B4" s="12" t="s">
        <v>25</v>
      </c>
      <c r="C4" s="12" t="s">
        <v>396</v>
      </c>
      <c r="D4" s="12" t="s">
        <v>26</v>
      </c>
      <c r="E4" s="12" t="s">
        <v>27</v>
      </c>
      <c r="F4" s="55" t="s">
        <v>29</v>
      </c>
      <c r="G4" s="55" t="s">
        <v>397</v>
      </c>
      <c r="H4" s="55" t="s">
        <v>3</v>
      </c>
      <c r="I4" s="55" t="s">
        <v>32</v>
      </c>
      <c r="J4" s="55"/>
      <c r="K4" s="55" t="s">
        <v>3</v>
      </c>
      <c r="L4" s="55" t="s">
        <v>32</v>
      </c>
      <c r="M4" s="55" t="s">
        <v>398</v>
      </c>
      <c r="N4" s="55" t="s">
        <v>32</v>
      </c>
      <c r="O4" s="55" t="s">
        <v>399</v>
      </c>
      <c r="P4" s="55" t="s">
        <v>400</v>
      </c>
      <c r="Q4" s="55" t="s">
        <v>399</v>
      </c>
      <c r="R4" s="55" t="s">
        <v>400</v>
      </c>
      <c r="S4" s="55" t="s">
        <v>401</v>
      </c>
      <c r="T4" s="55" t="s">
        <v>402</v>
      </c>
      <c r="U4" s="55" t="s">
        <v>29</v>
      </c>
      <c r="V4" s="55" t="s">
        <v>29</v>
      </c>
      <c r="W4" s="58"/>
      <c r="X4" s="58" t="s">
        <v>403</v>
      </c>
      <c r="Y4" s="58"/>
      <c r="Z4" s="9" t="s">
        <v>404</v>
      </c>
      <c r="AA4" s="9"/>
      <c r="AB4" s="9" t="s">
        <v>31</v>
      </c>
      <c r="AC4" s="9" t="s">
        <v>405</v>
      </c>
      <c r="AD4" s="59" t="s">
        <v>406</v>
      </c>
      <c r="AE4" s="57" t="s">
        <v>407</v>
      </c>
      <c r="AF4" s="9" t="s">
        <v>3</v>
      </c>
      <c r="AG4" s="9" t="s">
        <v>408</v>
      </c>
      <c r="AH4" s="9" t="s">
        <v>409</v>
      </c>
      <c r="AI4" s="9" t="s">
        <v>410</v>
      </c>
      <c r="AJ4" s="9" t="s">
        <v>411</v>
      </c>
      <c r="AK4" s="12" t="s">
        <v>412</v>
      </c>
      <c r="AO4" s="57" t="s">
        <v>413</v>
      </c>
      <c r="AP4" s="57" t="s">
        <v>414</v>
      </c>
      <c r="AQ4" s="50" t="s">
        <v>256</v>
      </c>
      <c r="AR4" s="50" t="n">
        <v>0.03489</v>
      </c>
      <c r="AS4" s="50"/>
    </row>
    <row r="5" customFormat="false" ht="12.75" hidden="false" customHeight="false" outlineLevel="0" collapsed="false">
      <c r="B5" s="12"/>
      <c r="C5" s="12"/>
      <c r="D5" s="12"/>
      <c r="E5" s="12"/>
      <c r="F5" s="55" t="s">
        <v>415</v>
      </c>
      <c r="G5" s="55"/>
      <c r="H5" s="55"/>
      <c r="I5" s="55"/>
      <c r="J5" s="55"/>
      <c r="K5" s="55"/>
      <c r="L5" s="55"/>
      <c r="M5" s="55"/>
      <c r="N5" s="55"/>
      <c r="O5" s="55"/>
      <c r="P5" s="55"/>
      <c r="Q5" s="55"/>
      <c r="R5" s="55"/>
      <c r="S5" s="55"/>
      <c r="T5" s="55"/>
      <c r="U5" s="55" t="s">
        <v>416</v>
      </c>
      <c r="V5" s="55" t="s">
        <v>40</v>
      </c>
      <c r="W5" s="58" t="s">
        <v>417</v>
      </c>
      <c r="X5" s="58" t="s">
        <v>418</v>
      </c>
      <c r="Y5" s="58" t="s">
        <v>6</v>
      </c>
      <c r="Z5" s="9"/>
      <c r="AA5" s="9" t="n">
        <v>1999</v>
      </c>
      <c r="AB5" s="9" t="n">
        <v>2000</v>
      </c>
      <c r="AC5" s="9"/>
      <c r="AD5" s="59"/>
      <c r="AE5" s="57"/>
      <c r="AF5" s="9"/>
      <c r="AG5" s="9"/>
      <c r="AH5" s="9"/>
      <c r="AI5" s="9"/>
      <c r="AJ5" s="9"/>
      <c r="AK5" s="12"/>
    </row>
    <row r="6" customFormat="false" ht="61.5" hidden="false" customHeight="false" outlineLevel="0" collapsed="false">
      <c r="A6" s="60" t="s">
        <v>53</v>
      </c>
      <c r="B6" s="43" t="s">
        <v>316</v>
      </c>
      <c r="D6" s="43" t="s">
        <v>317</v>
      </c>
      <c r="F6" s="48" t="n">
        <v>70700</v>
      </c>
      <c r="G6" s="48" t="n">
        <f aca="false">F6/52</f>
        <v>1359.61538461538</v>
      </c>
      <c r="H6" s="61" t="n">
        <f aca="false">IF(AC6="N",IF(F6&lt;$G$3,$F$3*G6*AE6,IF(F6&lt;$G$2,$F$2*G6*AE6,$F$1*G6*AE6)),0)</f>
        <v>19034.6153846154</v>
      </c>
      <c r="I6" s="61" t="n">
        <f aca="false">IF(AC6="Y",(IF(F6&lt;$G$3,$F$3*G6*AE6,IF(F6&lt;$G$2,$F$2*G6*AE6,$F$1*G6*AE6))*$L$2),0)</f>
        <v>0</v>
      </c>
      <c r="J6" s="61"/>
      <c r="K6" s="61" t="n">
        <f aca="false">IF(AC6="N",(MIN((($F$3*G6*AE6+ROUNDUP((F6/10000),0)*G6)*2),F6)),0)</f>
        <v>40788.4615384615</v>
      </c>
      <c r="L6" s="61" t="n">
        <f aca="false">IF(AC6="Y",(MIN((($F$3*G6*AE6+ROUNDUP((F6/10000),0)*G6)*2),F6))*$L$2,0)</f>
        <v>0</v>
      </c>
      <c r="M6" s="61" t="n">
        <f aca="false">IF(AC6="N",IF((F6/10000*G6*$M$2)&gt;F6*$M$1,F6*$M$1,(F6/10000*G6*$M$2)),0)</f>
        <v>19224.9615384615</v>
      </c>
      <c r="N6" s="61" t="n">
        <f aca="false">IF(AC6="Y",(IF((F6/10000*G6*$M$2)&gt;F6*$M$1,F6*$M$1,(F6/10000*G6*$M$2)))*$L$2,0)</f>
        <v>0</v>
      </c>
      <c r="O6" s="61" t="n">
        <f aca="false">MAX(IF(F6&lt;$G$3,$F$3*G6*AE6,IF(F6&lt;$G$2,$F$2*G6*AE6,$F$1*G6*AE6)),IF((F6/10000*G6*$M$2)&gt;F6*$M$1,F6*$M$1,(F6/10000*G6*$M$2)))</f>
        <v>19224.9615384615</v>
      </c>
      <c r="P6" s="61" t="n">
        <f aca="false">MIN(IF(F6&lt;$G$3,$F$3*G6*AE6,IF(F6&lt;$G$2,$F$2*G6*AE6,$F$1*G6*AE6)),IF((F6/10000*G6*$M$2)&gt;F6*$M$1,F6*$M$1,(F6/10000*G6*$M$2)))</f>
        <v>19034.6153846154</v>
      </c>
      <c r="Q6" s="61" t="n">
        <f aca="false">MAX(I6,N6)</f>
        <v>0</v>
      </c>
      <c r="R6" s="61" t="n">
        <f aca="false">MIN(I6,N6)</f>
        <v>0</v>
      </c>
      <c r="S6" s="62" t="n">
        <f aca="false">F6/10000</f>
        <v>7.07</v>
      </c>
      <c r="T6" s="62" t="n">
        <f aca="false">ROUNDUP(S6,0)</f>
        <v>8</v>
      </c>
      <c r="U6" s="44" t="s">
        <v>40</v>
      </c>
      <c r="V6" s="44" t="n">
        <f aca="false">F6</f>
        <v>70700</v>
      </c>
      <c r="Y6" s="45" t="n">
        <f aca="false">(W6+X6)</f>
        <v>0</v>
      </c>
      <c r="AC6" s="46" t="s">
        <v>419</v>
      </c>
      <c r="AD6" s="47" t="n">
        <v>34722</v>
      </c>
      <c r="AE6" s="63" t="n">
        <f aca="false">ROUNDUP(DAYS360(AD6,$AE$3)/365,0)</f>
        <v>7</v>
      </c>
      <c r="AF6" s="62" t="n">
        <f aca="false">(G6*AE6)+(G6*T6)</f>
        <v>20394.2307692308</v>
      </c>
      <c r="AG6" s="62" t="n">
        <f aca="false">26*G6</f>
        <v>35350</v>
      </c>
      <c r="AH6" s="62" t="n">
        <f aca="false">G6*52</f>
        <v>70700</v>
      </c>
      <c r="AI6" s="62" t="n">
        <f aca="false">AF6*2</f>
        <v>40788.4615384615</v>
      </c>
      <c r="AJ6" s="64" t="n">
        <f aca="false">(SUM(AI6:AI46)+SUM(AI48:AI89)+SUM(AI91:AI106)+SUM(AI109:AI118)+SUM(AI120:AI135)+SUM(AI137:AI146)+SUM(AI148:AI160)+SUM(AI162:AI276)+SUM(AI278:AI290)+SUM(AI292:AI314))</f>
        <v>1883747.15384615</v>
      </c>
      <c r="AL6" s="43" t="n">
        <f aca="false">IF(AC6="N",V6,0)</f>
        <v>70700</v>
      </c>
      <c r="AM6" s="43" t="n">
        <f aca="false">IF(AL6&gt;0,1,0)</f>
        <v>1</v>
      </c>
    </row>
    <row r="7" customFormat="false" ht="15.75" hidden="false" customHeight="false" outlineLevel="0" collapsed="false">
      <c r="A7" s="65"/>
      <c r="B7" s="66" t="s">
        <v>63</v>
      </c>
      <c r="C7" s="66"/>
      <c r="D7" s="66" t="s">
        <v>64</v>
      </c>
      <c r="E7" s="66"/>
      <c r="F7" s="67" t="n">
        <v>206000</v>
      </c>
      <c r="G7" s="67" t="n">
        <f aca="false">F7/52</f>
        <v>3961.53846153846</v>
      </c>
      <c r="H7" s="61"/>
      <c r="I7" s="61"/>
      <c r="J7" s="61"/>
      <c r="K7" s="61"/>
      <c r="L7" s="68"/>
      <c r="M7" s="69"/>
      <c r="N7" s="69"/>
      <c r="O7" s="61"/>
      <c r="P7" s="61"/>
      <c r="Q7" s="61"/>
      <c r="R7" s="61"/>
      <c r="S7" s="70" t="n">
        <f aca="false">F7/10000</f>
        <v>20.6</v>
      </c>
      <c r="T7" s="70" t="n">
        <f aca="false">ROUNDUP(S7,0)</f>
        <v>21</v>
      </c>
      <c r="U7" s="71" t="s">
        <v>40</v>
      </c>
      <c r="V7" s="71" t="n">
        <f aca="false">F7</f>
        <v>206000</v>
      </c>
      <c r="W7" s="72"/>
      <c r="X7" s="72"/>
      <c r="Y7" s="72" t="n">
        <v>90000</v>
      </c>
      <c r="Z7" s="73"/>
      <c r="AA7" s="73"/>
      <c r="AB7" s="73"/>
      <c r="AC7" s="73" t="s">
        <v>420</v>
      </c>
      <c r="AD7" s="47" t="n">
        <v>29430</v>
      </c>
      <c r="AE7" s="63" t="n">
        <f aca="false">ROUNDUP(DAYS360(AD7,$AE$3)/365,0)</f>
        <v>21</v>
      </c>
      <c r="AF7" s="73"/>
      <c r="AG7" s="73"/>
      <c r="AH7" s="73"/>
      <c r="AI7" s="73"/>
      <c r="AJ7" s="73"/>
      <c r="AK7" s="66"/>
      <c r="AL7" s="12" t="n">
        <f aca="false">IF(AC7="N",V7,0)</f>
        <v>0</v>
      </c>
      <c r="AM7" s="12" t="n">
        <f aca="false">IF(AL7&gt;0,1,0)</f>
        <v>0</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c r="IW7" s="66"/>
    </row>
    <row r="8" customFormat="false" ht="15" hidden="false" customHeight="false" outlineLevel="0" collapsed="false">
      <c r="A8" s="74"/>
      <c r="B8" s="43" t="s">
        <v>84</v>
      </c>
      <c r="D8" s="43" t="s">
        <v>85</v>
      </c>
      <c r="F8" s="48" t="n">
        <v>222000</v>
      </c>
      <c r="G8" s="48" t="n">
        <f aca="false">F8/52</f>
        <v>4269.23076923077</v>
      </c>
      <c r="H8" s="61" t="n">
        <f aca="false">IF(AC8="N",IF(F8&lt;$G$3,$F$3*G8*AE8,IF(F8&lt;$G$2,$F$2*G8*AE8,$F$1*G8*AE8)),0)</f>
        <v>0</v>
      </c>
      <c r="I8" s="61" t="n">
        <f aca="false">IF(AC8="Y",(IF(F8&lt;$G$3,$F$3*G8*AE8,IF(F8&lt;$G$2,$F$2*G8*AE8,$F$1*G8*AE8))*$L$2),0)</f>
        <v>717230.769230769</v>
      </c>
      <c r="J8" s="61"/>
      <c r="K8" s="61" t="n">
        <f aca="false">IF(AC8="N",(MIN((($F$3*G8*AE8+ROUNDUP((F8/10000),0)*G8)*2),F8)),0)</f>
        <v>0</v>
      </c>
      <c r="L8" s="61" t="n">
        <f aca="false">IF(AC8="Y",(MIN((($F$3*G8*AE8+ROUNDUP((F8/10000),0)*G8)*2),F8))*$L$2,0)</f>
        <v>333000</v>
      </c>
      <c r="M8" s="61" t="n">
        <f aca="false">IF(AC8="N",IF((F8/10000*G8*$M$2)&gt;F8*$M$1,F8*$M$1,(F8/10000*G8*$M$2)),0)</f>
        <v>0</v>
      </c>
      <c r="N8" s="61" t="n">
        <f aca="false">IF(AC8="Y",(IF((F8/10000*G8*$M$2)&gt;F8*$M$1,F8*$M$1,(F8/10000*G8*$M$2)))*$L$2,0)</f>
        <v>249750</v>
      </c>
      <c r="O8" s="61" t="n">
        <f aca="false">MAX(IF(F8&lt;$G$3,$F$3*G8*AE8,IF(F8&lt;$G$2,$F$2*G8*AE8,$F$1*G8*AE8)),IF((F8/10000*G8*$M$2)&gt;F8*$M$1,F8*$M$1,(F8/10000*G8*$M$2)))</f>
        <v>478153.846153846</v>
      </c>
      <c r="P8" s="61" t="n">
        <f aca="false">MIN(IF(F8&lt;$G$3,$F$3*G8*AE8,IF(F8&lt;$G$2,$F$2*G8*AE8,$F$1*G8*AE8)),IF((F8/10000*G8*$M$2)&gt;F8*$M$1,F8*$M$1,(F8/10000*G8*$M$2)))</f>
        <v>166500</v>
      </c>
      <c r="Q8" s="61" t="n">
        <f aca="false">MAX(I8,N8)</f>
        <v>717230.769230769</v>
      </c>
      <c r="R8" s="61" t="n">
        <f aca="false">MIN(I8,N8)</f>
        <v>249750</v>
      </c>
      <c r="S8" s="62" t="n">
        <f aca="false">F8/10000</f>
        <v>22.2</v>
      </c>
      <c r="T8" s="62" t="n">
        <f aca="false">ROUNDUP(S8,0)</f>
        <v>23</v>
      </c>
      <c r="U8" s="44" t="s">
        <v>40</v>
      </c>
      <c r="V8" s="44" t="n">
        <f aca="false">F8</f>
        <v>222000</v>
      </c>
      <c r="Y8" s="45" t="n">
        <v>75000</v>
      </c>
      <c r="AC8" s="46" t="s">
        <v>420</v>
      </c>
      <c r="AD8" s="47" t="n">
        <v>26931</v>
      </c>
      <c r="AE8" s="63" t="n">
        <f aca="false">ROUNDUP(DAYS360(AD8,$AE$3)/365,0)</f>
        <v>28</v>
      </c>
      <c r="AL8" s="43" t="n">
        <f aca="false">IF(AC8="N",V8,0)</f>
        <v>0</v>
      </c>
      <c r="AM8" s="43" t="n">
        <f aca="false">IF(AL8&gt;0,1,0)</f>
        <v>0</v>
      </c>
    </row>
    <row r="9" customFormat="false" ht="15" hidden="false" customHeight="false" outlineLevel="0" collapsed="false">
      <c r="A9" s="74"/>
      <c r="B9" s="43" t="s">
        <v>192</v>
      </c>
      <c r="D9" s="43" t="s">
        <v>193</v>
      </c>
      <c r="F9" s="48" t="n">
        <v>52600</v>
      </c>
      <c r="G9" s="48" t="n">
        <f aca="false">F9/52</f>
        <v>1011.53846153846</v>
      </c>
      <c r="H9" s="61" t="n">
        <f aca="false">IF(AC9="N",IF(F9&lt;$G$3,$F$3*G9*AE9,IF(F9&lt;$G$2,$F$2*G9*AE9,$F$1*G9*AE9)),0)</f>
        <v>0</v>
      </c>
      <c r="I9" s="61" t="n">
        <f aca="false">IF(AC9="Y",(IF(F9&lt;$G$3,$F$3*G9*AE9,IF(F9&lt;$G$2,$F$2*G9*AE9,$F$1*G9*AE9))*$L$2),0)</f>
        <v>69796.1538461538</v>
      </c>
      <c r="J9" s="61"/>
      <c r="K9" s="61" t="n">
        <f aca="false">IF(AC9="N",(MIN((($F$3*G9*AE9+ROUNDUP((F9/10000),0)*G9)*2),F9)),0)</f>
        <v>0</v>
      </c>
      <c r="L9" s="61" t="n">
        <f aca="false">IF(AC9="Y",(MIN((($F$3*G9*AE9+ROUNDUP((F9/10000),0)*G9)*2),F9))*$L$2,0)</f>
        <v>78900</v>
      </c>
      <c r="M9" s="61" t="n">
        <f aca="false">IF(AC9="N",IF((F9/10000*G9*$M$2)&gt;F9*$M$1,F9*$M$1,(F9/10000*G9*$M$2)),0)</f>
        <v>0</v>
      </c>
      <c r="N9" s="61" t="n">
        <f aca="false">IF(AC9="Y",(IF((F9/10000*G9*$M$2)&gt;F9*$M$1,F9*$M$1,(F9/10000*G9*$M$2)))*$L$2,0)</f>
        <v>15962.0769230769</v>
      </c>
      <c r="O9" s="61" t="n">
        <f aca="false">MAX(IF(F9&lt;$G$3,$F$3*G9*AE9,IF(F9&lt;$G$2,$F$2*G9*AE9,$F$1*G9*AE9)),IF((F9/10000*G9*$M$2)&gt;F9*$M$1,F9*$M$1,(F9/10000*G9*$M$2)))</f>
        <v>46530.7692307692</v>
      </c>
      <c r="P9" s="61" t="n">
        <f aca="false">MIN(IF(F9&lt;$G$3,$F$3*G9*AE9,IF(F9&lt;$G$2,$F$2*G9*AE9,$F$1*G9*AE9)),IF((F9/10000*G9*$M$2)&gt;F9*$M$1,F9*$M$1,(F9/10000*G9*$M$2)))</f>
        <v>10641.3846153846</v>
      </c>
      <c r="Q9" s="61" t="n">
        <f aca="false">MAX(I9,N9)</f>
        <v>69796.1538461538</v>
      </c>
      <c r="R9" s="61" t="n">
        <f aca="false">MIN(I9,N9)</f>
        <v>15962.0769230769</v>
      </c>
      <c r="S9" s="62" t="n">
        <f aca="false">F9/10000</f>
        <v>5.26</v>
      </c>
      <c r="T9" s="62" t="n">
        <f aca="false">ROUNDUP(S9,0)</f>
        <v>6</v>
      </c>
      <c r="U9" s="44" t="s">
        <v>40</v>
      </c>
      <c r="V9" s="44" t="n">
        <f aca="false">F9</f>
        <v>52600</v>
      </c>
      <c r="Y9" s="45" t="n">
        <f aca="false">(W9+X9)</f>
        <v>0</v>
      </c>
      <c r="AC9" s="46" t="s">
        <v>420</v>
      </c>
      <c r="AD9" s="47" t="n">
        <v>28751</v>
      </c>
      <c r="AE9" s="63" t="n">
        <f aca="false">ROUNDUP(DAYS360(AD9,$AE$3)/365,0)</f>
        <v>23</v>
      </c>
      <c r="AL9" s="43" t="n">
        <f aca="false">IF(AC9="N",V9,0)</f>
        <v>0</v>
      </c>
      <c r="AM9" s="43" t="n">
        <f aca="false">IF(AL9&gt;0,1,0)</f>
        <v>0</v>
      </c>
    </row>
    <row r="10" customFormat="false" ht="15" hidden="false" customHeight="false" outlineLevel="0" collapsed="false">
      <c r="A10" s="74"/>
      <c r="B10" s="43" t="s">
        <v>99</v>
      </c>
      <c r="D10" s="43" t="s">
        <v>92</v>
      </c>
      <c r="F10" s="48" t="n">
        <v>180000</v>
      </c>
      <c r="G10" s="48" t="n">
        <f aca="false">F10/52</f>
        <v>3461.53846153846</v>
      </c>
      <c r="H10" s="61" t="n">
        <f aca="false">IF(AC10="N",IF(F10&lt;$G$3,$F$3*G10*AE10,IF(F10&lt;$G$2,$F$2*G10*AE10,$F$1*G10*AE10)),0)</f>
        <v>0</v>
      </c>
      <c r="I10" s="61" t="n">
        <f aca="false">IF(AC10="Y",(IF(F10&lt;$G$3,$F$3*G10*AE10,IF(F10&lt;$G$2,$F$2*G10*AE10,$F$1*G10*AE10))*$L$2),0)</f>
        <v>456923.076923077</v>
      </c>
      <c r="J10" s="61"/>
      <c r="K10" s="61" t="n">
        <f aca="false">IF(AC10="N",(MIN((($F$3*G10*AE10+ROUNDUP((F10/10000),0)*G10)*2),F10)),0)</f>
        <v>0</v>
      </c>
      <c r="L10" s="61" t="n">
        <f aca="false">IF(AC10="Y",(MIN((($F$3*G10*AE10+ROUNDUP((F10/10000),0)*G10)*2),F10))*$L$2,0)</f>
        <v>270000</v>
      </c>
      <c r="M10" s="61" t="n">
        <f aca="false">IF(AC10="N",IF((F10/10000*G10*$M$2)&gt;F10*$M$1,F10*$M$1,(F10/10000*G10*$M$2)),0)</f>
        <v>0</v>
      </c>
      <c r="N10" s="61" t="n">
        <f aca="false">IF(AC10="Y",(IF((F10/10000*G10*$M$2)&gt;F10*$M$1,F10*$M$1,(F10/10000*G10*$M$2)))*$L$2,0)</f>
        <v>186923.076923077</v>
      </c>
      <c r="O10" s="61" t="n">
        <f aca="false">MAX(IF(F10&lt;$G$3,$F$3*G10*AE10,IF(F10&lt;$G$2,$F$2*G10*AE10,$F$1*G10*AE10)),IF((F10/10000*G10*$M$2)&gt;F10*$M$1,F10*$M$1,(F10/10000*G10*$M$2)))</f>
        <v>304615.384615385</v>
      </c>
      <c r="P10" s="61" t="n">
        <f aca="false">MIN(IF(F10&lt;$G$3,$F$3*G10*AE10,IF(F10&lt;$G$2,$F$2*G10*AE10,$F$1*G10*AE10)),IF((F10/10000*G10*$M$2)&gt;F10*$M$1,F10*$M$1,(F10/10000*G10*$M$2)))</f>
        <v>124615.384615385</v>
      </c>
      <c r="Q10" s="61" t="n">
        <f aca="false">MAX(I10,N10)</f>
        <v>456923.076923077</v>
      </c>
      <c r="R10" s="61" t="n">
        <f aca="false">MIN(I10,N10)</f>
        <v>186923.076923077</v>
      </c>
      <c r="S10" s="62" t="n">
        <f aca="false">F10/10000</f>
        <v>18</v>
      </c>
      <c r="T10" s="62" t="n">
        <f aca="false">ROUNDUP(S10,0)</f>
        <v>18</v>
      </c>
      <c r="U10" s="44" t="s">
        <v>40</v>
      </c>
      <c r="V10" s="44" t="n">
        <f aca="false">F10</f>
        <v>180000</v>
      </c>
      <c r="Y10" s="45" t="n">
        <v>50000</v>
      </c>
      <c r="AC10" s="46" t="s">
        <v>420</v>
      </c>
      <c r="AD10" s="47" t="n">
        <v>29157</v>
      </c>
      <c r="AE10" s="63" t="n">
        <f aca="false">ROUNDUP(DAYS360(AD10,$AE$3)/365,0)</f>
        <v>22</v>
      </c>
      <c r="AL10" s="43" t="n">
        <f aca="false">IF(AC10="N",V10,0)</f>
        <v>0</v>
      </c>
      <c r="AM10" s="43" t="n">
        <f aca="false">IF(AL10&gt;0,1,0)</f>
        <v>0</v>
      </c>
    </row>
    <row r="11" customFormat="false" ht="15" hidden="false" customHeight="false" outlineLevel="0" collapsed="false">
      <c r="A11" s="74"/>
      <c r="B11" s="43" t="s">
        <v>370</v>
      </c>
      <c r="D11" s="43" t="s">
        <v>371</v>
      </c>
      <c r="F11" s="48" t="n">
        <v>30000</v>
      </c>
      <c r="G11" s="48" t="n">
        <f aca="false">F11/52</f>
        <v>576.923076923077</v>
      </c>
      <c r="H11" s="61" t="n">
        <f aca="false">IF(AC11="N",IF(F11&lt;$G$3,$F$3*G11*AE11,IF(F11&lt;$G$2,$F$2*G11*AE11,$F$1*G11*AE11)),0)</f>
        <v>1730.76923076923</v>
      </c>
      <c r="I11" s="61" t="n">
        <f aca="false">IF(AC11="Y",(IF(F11&lt;$G$3,$F$3*G11*AE11,IF(F11&lt;$G$2,$F$2*G11*AE11,$F$1*G11*AE11))*$L$2),0)</f>
        <v>0</v>
      </c>
      <c r="J11" s="61"/>
      <c r="K11" s="61" t="n">
        <f aca="false">IF(AC11="N",(MIN((($F$3*G11*AE11+ROUNDUP((F11/10000),0)*G11)*2),F11)),0)</f>
        <v>6923.07692307692</v>
      </c>
      <c r="L11" s="61" t="n">
        <f aca="false">IF(AC11="Y",(MIN((($F$3*G11*AE11+ROUNDUP((F11/10000),0)*G11)*2),F11))*$L$2,0)</f>
        <v>0</v>
      </c>
      <c r="M11" s="61" t="n">
        <f aca="false">IF(AC11="N",IF((F11/10000*G11*$M$2)&gt;F11*$M$1,F11*$M$1,(F11/10000*G11*$M$2)),0)</f>
        <v>3461.53846153846</v>
      </c>
      <c r="N11" s="61" t="n">
        <f aca="false">IF(AC11="Y",(IF((F11/10000*G11*$M$2)&gt;F11*$M$1,F11*$M$1,(F11/10000*G11*$M$2)))*$L$2,0)</f>
        <v>0</v>
      </c>
      <c r="O11" s="61" t="n">
        <f aca="false">MAX(IF(F11&lt;$G$3,$F$3*G11*AE11,IF(F11&lt;$G$2,$F$2*G11*AE11,$F$1*G11*AE11)),IF((F11/10000*G11*$M$2)&gt;F11*$M$1,F11*$M$1,(F11/10000*G11*$M$2)))</f>
        <v>3461.53846153846</v>
      </c>
      <c r="P11" s="61" t="n">
        <f aca="false">MIN(IF(F11&lt;$G$3,$F$3*G11*AE11,IF(F11&lt;$G$2,$F$2*G11*AE11,$F$1*G11*AE11)),IF((F11/10000*G11*$M$2)&gt;F11*$M$1,F11*$M$1,(F11/10000*G11*$M$2)))</f>
        <v>1730.76923076923</v>
      </c>
      <c r="Q11" s="61" t="n">
        <f aca="false">MAX(I11,N11)</f>
        <v>0</v>
      </c>
      <c r="R11" s="61" t="n">
        <f aca="false">MIN(I11,N11)</f>
        <v>0</v>
      </c>
      <c r="S11" s="62" t="n">
        <f aca="false">F11/10000</f>
        <v>3</v>
      </c>
      <c r="T11" s="62" t="n">
        <f aca="false">ROUNDUP(S11,0)</f>
        <v>3</v>
      </c>
      <c r="U11" s="44" t="s">
        <v>40</v>
      </c>
      <c r="V11" s="44" t="n">
        <f aca="false">F11</f>
        <v>30000</v>
      </c>
      <c r="Y11" s="45" t="n">
        <f aca="false">(W11+X11)</f>
        <v>0</v>
      </c>
      <c r="AC11" s="46" t="s">
        <v>419</v>
      </c>
      <c r="AD11" s="47" t="n">
        <v>36325</v>
      </c>
      <c r="AE11" s="63" t="n">
        <f aca="false">ROUNDUP(DAYS360(AD11,$AE$3)/365,0)</f>
        <v>3</v>
      </c>
      <c r="AF11" s="62" t="n">
        <f aca="false">(G11*AE11)+(G11*T11)</f>
        <v>3461.53846153846</v>
      </c>
      <c r="AG11" s="62" t="n">
        <f aca="false">26*G11</f>
        <v>15000</v>
      </c>
      <c r="AH11" s="62" t="n">
        <f aca="false">G11*52</f>
        <v>30000</v>
      </c>
      <c r="AI11" s="62" t="n">
        <f aca="false">AF11*2</f>
        <v>6923.07692307692</v>
      </c>
      <c r="AJ11" s="62"/>
      <c r="AL11" s="43" t="n">
        <f aca="false">IF(AC11="N",V11,0)</f>
        <v>30000</v>
      </c>
      <c r="AM11" s="43" t="n">
        <f aca="false">IF(AL11&gt;0,1,0)</f>
        <v>1</v>
      </c>
    </row>
    <row r="12" customFormat="false" ht="15" hidden="false" customHeight="false" outlineLevel="0" collapsed="false">
      <c r="A12" s="74"/>
      <c r="B12" s="43" t="s">
        <v>320</v>
      </c>
      <c r="D12" s="43" t="s">
        <v>321</v>
      </c>
      <c r="F12" s="48" t="n">
        <v>65000</v>
      </c>
      <c r="G12" s="48" t="n">
        <f aca="false">F12/52</f>
        <v>1250</v>
      </c>
      <c r="H12" s="61" t="n">
        <f aca="false">IF(AC12="N",IF(F12&lt;$G$3,$F$3*G12*AE12,IF(F12&lt;$G$2,$F$2*G12*AE12,$F$1*G12*AE12)),0)</f>
        <v>2500</v>
      </c>
      <c r="I12" s="61" t="n">
        <f aca="false">IF(AC12="Y",(IF(F12&lt;$G$3,$F$3*G12*AE12,IF(F12&lt;$G$2,$F$2*G12*AE12,$F$1*G12*AE12))*$L$2),0)</f>
        <v>0</v>
      </c>
      <c r="J12" s="61"/>
      <c r="K12" s="61" t="n">
        <f aca="false">IF(AC12="N",(MIN((($F$3*G12*AE12+ROUNDUP((F12/10000),0)*G12)*2),F12)),0)</f>
        <v>20000</v>
      </c>
      <c r="L12" s="61" t="n">
        <f aca="false">IF(AC12="Y",(MIN((($F$3*G12*AE12+ROUNDUP((F12/10000),0)*G12)*2),F12))*$L$2,0)</f>
        <v>0</v>
      </c>
      <c r="M12" s="61" t="n">
        <f aca="false">IF(AC12="N",IF((F12/10000*G12*$M$2)&gt;F12*$M$1,F12*$M$1,(F12/10000*G12*$M$2)),0)</f>
        <v>16250</v>
      </c>
      <c r="N12" s="61" t="n">
        <f aca="false">IF(AC12="Y",(IF((F12/10000*G12*$M$2)&gt;F12*$M$1,F12*$M$1,(F12/10000*G12*$M$2)))*$L$2,0)</f>
        <v>0</v>
      </c>
      <c r="O12" s="61" t="n">
        <f aca="false">MAX(IF(F12&lt;$G$3,$F$3*G12*AE12,IF(F12&lt;$G$2,$F$2*G12*AE12,$F$1*G12*AE12)),IF((F12/10000*G12*$M$2)&gt;F12*$M$1,F12*$M$1,(F12/10000*G12*$M$2)))</f>
        <v>16250</v>
      </c>
      <c r="P12" s="61" t="n">
        <f aca="false">MIN(IF(F12&lt;$G$3,$F$3*G12*AE12,IF(F12&lt;$G$2,$F$2*G12*AE12,$F$1*G12*AE12)),IF((F12/10000*G12*$M$2)&gt;F12*$M$1,F12*$M$1,(F12/10000*G12*$M$2)))</f>
        <v>2500</v>
      </c>
      <c r="Q12" s="61" t="n">
        <f aca="false">MAX(I12,N12)</f>
        <v>0</v>
      </c>
      <c r="R12" s="61" t="n">
        <f aca="false">MIN(I12,N12)</f>
        <v>0</v>
      </c>
      <c r="S12" s="62" t="n">
        <f aca="false">F12/10000</f>
        <v>6.5</v>
      </c>
      <c r="T12" s="62" t="n">
        <f aca="false">ROUNDUP(S12,0)</f>
        <v>7</v>
      </c>
      <c r="U12" s="44" t="s">
        <v>40</v>
      </c>
      <c r="V12" s="44" t="n">
        <f aca="false">F12</f>
        <v>65000</v>
      </c>
      <c r="Y12" s="45" t="n">
        <f aca="false">(W12+X12)</f>
        <v>0</v>
      </c>
      <c r="AC12" s="46" t="s">
        <v>419</v>
      </c>
      <c r="AD12" s="47" t="n">
        <v>36892</v>
      </c>
      <c r="AE12" s="63" t="n">
        <f aca="false">ROUNDUP(DAYS360(AD12,$AE$3)/365,0)</f>
        <v>1</v>
      </c>
      <c r="AF12" s="62" t="n">
        <f aca="false">(G12*AE12)+(G12*T12)</f>
        <v>10000</v>
      </c>
      <c r="AG12" s="62" t="n">
        <f aca="false">26*G12</f>
        <v>32500</v>
      </c>
      <c r="AH12" s="62" t="n">
        <f aca="false">G12*52</f>
        <v>65000</v>
      </c>
      <c r="AI12" s="62" t="n">
        <f aca="false">AF12*2</f>
        <v>20000</v>
      </c>
      <c r="AJ12" s="62"/>
      <c r="AL12" s="43" t="n">
        <f aca="false">IF(AC12="N",V12,0)</f>
        <v>65000</v>
      </c>
      <c r="AM12" s="43" t="n">
        <f aca="false">IF(AL12&gt;0,1,0)</f>
        <v>1</v>
      </c>
    </row>
    <row r="13" customFormat="false" ht="15" hidden="false" customHeight="false" outlineLevel="0" collapsed="false">
      <c r="A13" s="74"/>
      <c r="B13" s="43" t="s">
        <v>304</v>
      </c>
      <c r="D13" s="43" t="s">
        <v>305</v>
      </c>
      <c r="F13" s="48" t="n">
        <v>95000</v>
      </c>
      <c r="G13" s="48" t="n">
        <f aca="false">F13/52</f>
        <v>1826.92307692308</v>
      </c>
      <c r="H13" s="61" t="n">
        <f aca="false">IF(AC13="N",IF(F13&lt;$G$3,$F$3*G13*AE13,IF(F13&lt;$G$2,$F$2*G13*AE13,$F$1*G13*AE13)),0)</f>
        <v>51153.8461538462</v>
      </c>
      <c r="I13" s="61" t="n">
        <f aca="false">IF(AC13="Y",(IF(F13&lt;$G$3,$F$3*G13*AE13,IF(F13&lt;$G$2,$F$2*G13*AE13,$F$1*G13*AE13))*$L$2),0)</f>
        <v>0</v>
      </c>
      <c r="J13" s="61"/>
      <c r="K13" s="61" t="n">
        <f aca="false">IF(AC13="N",(MIN((($F$3*G13*AE13+ROUNDUP((F13/10000),0)*G13)*2),F13)),0)</f>
        <v>87692.3076923077</v>
      </c>
      <c r="L13" s="61" t="n">
        <f aca="false">IF(AC13="Y",(MIN((($F$3*G13*AE13+ROUNDUP((F13/10000),0)*G13)*2),F13))*$L$2,0)</f>
        <v>0</v>
      </c>
      <c r="M13" s="61" t="n">
        <f aca="false">IF(AC13="N",IF((F13/10000*G13*$M$2)&gt;F13*$M$1,F13*$M$1,(F13/10000*G13*$M$2)),0)</f>
        <v>34711.5384615385</v>
      </c>
      <c r="N13" s="61" t="n">
        <f aca="false">IF(AC13="Y",(IF((F13/10000*G13*$M$2)&gt;F13*$M$1,F13*$M$1,(F13/10000*G13*$M$2)))*$L$2,0)</f>
        <v>0</v>
      </c>
      <c r="O13" s="61" t="n">
        <f aca="false">MAX(IF(F13&lt;$G$3,$F$3*G13*AE13,IF(F13&lt;$G$2,$F$2*G13*AE13,$F$1*G13*AE13)),IF((F13/10000*G13*$M$2)&gt;F13*$M$1,F13*$M$1,(F13/10000*G13*$M$2)))</f>
        <v>51153.8461538462</v>
      </c>
      <c r="P13" s="61" t="n">
        <f aca="false">MIN(IF(F13&lt;$G$3,$F$3*G13*AE13,IF(F13&lt;$G$2,$F$2*G13*AE13,$F$1*G13*AE13)),IF((F13/10000*G13*$M$2)&gt;F13*$M$1,F13*$M$1,(F13/10000*G13*$M$2)))</f>
        <v>34711.5384615385</v>
      </c>
      <c r="Q13" s="61" t="n">
        <f aca="false">MAX(I13,N13)</f>
        <v>0</v>
      </c>
      <c r="R13" s="61" t="n">
        <f aca="false">MIN(I13,N13)</f>
        <v>0</v>
      </c>
      <c r="S13" s="62" t="n">
        <f aca="false">F13/10000</f>
        <v>9.5</v>
      </c>
      <c r="T13" s="62" t="n">
        <f aca="false">ROUNDUP(S13,0)</f>
        <v>10</v>
      </c>
      <c r="U13" s="44" t="s">
        <v>40</v>
      </c>
      <c r="V13" s="44" t="n">
        <f aca="false">F13</f>
        <v>95000</v>
      </c>
      <c r="Y13" s="45" t="n">
        <f aca="false">(W13+X13)</f>
        <v>0</v>
      </c>
      <c r="AC13" s="46" t="s">
        <v>419</v>
      </c>
      <c r="AD13" s="47" t="n">
        <v>32223</v>
      </c>
      <c r="AE13" s="63" t="n">
        <f aca="false">ROUNDUP(DAYS360(AD13,$AE$3)/365,0)</f>
        <v>14</v>
      </c>
      <c r="AF13" s="62" t="n">
        <f aca="false">(G13*AE13)+(G13*T13)</f>
        <v>43846.1538461538</v>
      </c>
      <c r="AG13" s="62" t="n">
        <f aca="false">26*G13</f>
        <v>47500</v>
      </c>
      <c r="AH13" s="62" t="n">
        <f aca="false">G13*52</f>
        <v>95000</v>
      </c>
      <c r="AI13" s="62" t="n">
        <f aca="false">AF13*2</f>
        <v>87692.3076923077</v>
      </c>
      <c r="AJ13" s="62"/>
      <c r="AL13" s="43" t="n">
        <f aca="false">IF(AC13="N",V13,0)</f>
        <v>95000</v>
      </c>
      <c r="AM13" s="43" t="n">
        <f aca="false">IF(AL13&gt;0,1,0)</f>
        <v>1</v>
      </c>
    </row>
    <row r="14" customFormat="false" ht="15" hidden="false" customHeight="false" outlineLevel="0" collapsed="false">
      <c r="A14" s="74"/>
      <c r="B14" s="43" t="s">
        <v>348</v>
      </c>
      <c r="D14" s="43" t="s">
        <v>349</v>
      </c>
      <c r="F14" s="48" t="n">
        <v>41500</v>
      </c>
      <c r="G14" s="48" t="n">
        <f aca="false">F14/52</f>
        <v>798.076923076923</v>
      </c>
      <c r="H14" s="61" t="n">
        <f aca="false">IF(AC14="N",IF(F14&lt;$G$3,$F$3*G14*AE14,IF(F14&lt;$G$2,$F$2*G14*AE14,$F$1*G14*AE14)),0)</f>
        <v>4788.46153846154</v>
      </c>
      <c r="I14" s="61" t="n">
        <f aca="false">IF(AC14="Y",(IF(F14&lt;$G$3,$F$3*G14*AE14,IF(F14&lt;$G$2,$F$2*G14*AE14,$F$1*G14*AE14))*$L$2),0)</f>
        <v>0</v>
      </c>
      <c r="J14" s="61"/>
      <c r="K14" s="61" t="n">
        <f aca="false">IF(AC14="N",(MIN((($F$3*G14*AE14+ROUNDUP((F14/10000),0)*G14)*2),F14)),0)</f>
        <v>17557.6923076923</v>
      </c>
      <c r="L14" s="61" t="n">
        <f aca="false">IF(AC14="Y",(MIN((($F$3*G14*AE14+ROUNDUP((F14/10000),0)*G14)*2),F14))*$L$2,0)</f>
        <v>0</v>
      </c>
      <c r="M14" s="61" t="n">
        <f aca="false">IF(AC14="N",IF((F14/10000*G14*$M$2)&gt;F14*$M$1,F14*$M$1,(F14/10000*G14*$M$2)),0)</f>
        <v>6624.03846153846</v>
      </c>
      <c r="N14" s="61" t="n">
        <f aca="false">IF(AC14="Y",(IF((F14/10000*G14*$M$2)&gt;F14*$M$1,F14*$M$1,(F14/10000*G14*$M$2)))*$L$2,0)</f>
        <v>0</v>
      </c>
      <c r="O14" s="61" t="n">
        <f aca="false">MAX(IF(F14&lt;$G$3,$F$3*G14*AE14,IF(F14&lt;$G$2,$F$2*G14*AE14,$F$1*G14*AE14)),IF((F14/10000*G14*$M$2)&gt;F14*$M$1,F14*$M$1,(F14/10000*G14*$M$2)))</f>
        <v>6624.03846153846</v>
      </c>
      <c r="P14" s="61" t="n">
        <f aca="false">MIN(IF(F14&lt;$G$3,$F$3*G14*AE14,IF(F14&lt;$G$2,$F$2*G14*AE14,$F$1*G14*AE14)),IF((F14/10000*G14*$M$2)&gt;F14*$M$1,F14*$M$1,(F14/10000*G14*$M$2)))</f>
        <v>4788.46153846154</v>
      </c>
      <c r="Q14" s="61" t="n">
        <f aca="false">MAX(I14,N14)</f>
        <v>0</v>
      </c>
      <c r="R14" s="61" t="n">
        <f aca="false">MIN(I14,N14)</f>
        <v>0</v>
      </c>
      <c r="S14" s="62" t="n">
        <f aca="false">F14/10000</f>
        <v>4.15</v>
      </c>
      <c r="T14" s="62" t="n">
        <f aca="false">ROUNDUP(S14,0)</f>
        <v>5</v>
      </c>
      <c r="U14" s="44" t="s">
        <v>40</v>
      </c>
      <c r="V14" s="44" t="n">
        <f aca="false">F14</f>
        <v>41500</v>
      </c>
      <c r="Y14" s="45" t="n">
        <f aca="false">(W14+X14)</f>
        <v>0</v>
      </c>
      <c r="AC14" s="46" t="s">
        <v>419</v>
      </c>
      <c r="AD14" s="47" t="n">
        <v>35205</v>
      </c>
      <c r="AE14" s="63" t="n">
        <f aca="false">ROUNDUP(DAYS360(AD14,$AE$3)/365,0)</f>
        <v>6</v>
      </c>
      <c r="AF14" s="62" t="n">
        <f aca="false">(G14*AE14)+(G14*T14)</f>
        <v>8778.84615384615</v>
      </c>
      <c r="AG14" s="62" t="n">
        <f aca="false">26*G14</f>
        <v>20750</v>
      </c>
      <c r="AH14" s="62" t="n">
        <f aca="false">G14*52</f>
        <v>41500</v>
      </c>
      <c r="AI14" s="62" t="n">
        <f aca="false">AF14*2</f>
        <v>17557.6923076923</v>
      </c>
      <c r="AJ14" s="62"/>
      <c r="AL14" s="43" t="n">
        <f aca="false">IF(AC14="N",V14,0)</f>
        <v>41500</v>
      </c>
      <c r="AM14" s="43" t="n">
        <f aca="false">IF(AL14&gt;0,1,0)</f>
        <v>1</v>
      </c>
    </row>
    <row r="15" customFormat="false" ht="15" hidden="false" customHeight="false" outlineLevel="0" collapsed="false">
      <c r="A15" s="74"/>
      <c r="B15" s="43" t="s">
        <v>79</v>
      </c>
      <c r="D15" s="43" t="s">
        <v>80</v>
      </c>
      <c r="F15" s="48" t="n">
        <v>245000</v>
      </c>
      <c r="G15" s="48" t="n">
        <f aca="false">F15/52</f>
        <v>4711.53846153846</v>
      </c>
      <c r="H15" s="61" t="n">
        <f aca="false">IF(AC15="N",IF(F15&lt;$G$3,$F$3*G15*AE15,IF(F15&lt;$G$2,$F$2*G15*AE15,$F$1*G15*AE15)),0)</f>
        <v>0</v>
      </c>
      <c r="I15" s="61" t="n">
        <f aca="false">IF(AC15="Y",(IF(F15&lt;$G$3,$F$3*G15*AE15,IF(F15&lt;$G$2,$F$2*G15*AE15,$F$1*G15*AE15))*$L$2),0)</f>
        <v>282692.307692308</v>
      </c>
      <c r="J15" s="61"/>
      <c r="K15" s="61" t="n">
        <f aca="false">IF(AC15="N",(MIN((($F$3*G15*AE15+ROUNDUP((F15/10000),0)*G15)*2),F15)),0)</f>
        <v>0</v>
      </c>
      <c r="L15" s="61" t="n">
        <f aca="false">IF(AC15="Y",(MIN((($F$3*G15*AE15+ROUNDUP((F15/10000),0)*G15)*2),F15))*$L$2,0)</f>
        <v>367500</v>
      </c>
      <c r="M15" s="61" t="n">
        <f aca="false">IF(AC15="N",IF((F15/10000*G15*$M$2)&gt;F15*$M$1,F15*$M$1,(F15/10000*G15*$M$2)),0)</f>
        <v>0</v>
      </c>
      <c r="N15" s="61" t="n">
        <f aca="false">IF(AC15="Y",(IF((F15/10000*G15*$M$2)&gt;F15*$M$1,F15*$M$1,(F15/10000*G15*$M$2)))*$L$2,0)</f>
        <v>275625</v>
      </c>
      <c r="O15" s="61" t="n">
        <f aca="false">MAX(IF(F15&lt;$G$3,$F$3*G15*AE15,IF(F15&lt;$G$2,$F$2*G15*AE15,$F$1*G15*AE15)),IF((F15/10000*G15*$M$2)&gt;F15*$M$1,F15*$M$1,(F15/10000*G15*$M$2)))</f>
        <v>188461.538461538</v>
      </c>
      <c r="P15" s="61" t="n">
        <f aca="false">MIN(IF(F15&lt;$G$3,$F$3*G15*AE15,IF(F15&lt;$G$2,$F$2*G15*AE15,$F$1*G15*AE15)),IF((F15/10000*G15*$M$2)&gt;F15*$M$1,F15*$M$1,(F15/10000*G15*$M$2)))</f>
        <v>183750</v>
      </c>
      <c r="Q15" s="61" t="n">
        <f aca="false">MAX(I15,N15)</f>
        <v>282692.307692308</v>
      </c>
      <c r="R15" s="61" t="n">
        <f aca="false">MIN(I15,N15)</f>
        <v>275625</v>
      </c>
      <c r="S15" s="62" t="n">
        <f aca="false">F15/10000</f>
        <v>24.5</v>
      </c>
      <c r="T15" s="62" t="n">
        <f aca="false">ROUNDUP(S15,0)</f>
        <v>25</v>
      </c>
      <c r="U15" s="44" t="s">
        <v>40</v>
      </c>
      <c r="V15" s="44" t="n">
        <f aca="false">F15</f>
        <v>245000</v>
      </c>
      <c r="Y15" s="45" t="n">
        <v>100000</v>
      </c>
      <c r="AC15" s="46" t="s">
        <v>420</v>
      </c>
      <c r="AD15" s="47" t="n">
        <v>33668</v>
      </c>
      <c r="AE15" s="63" t="n">
        <f aca="false">ROUNDUP(DAYS360(AD15,$AE$3)/365,0)</f>
        <v>10</v>
      </c>
      <c r="AL15" s="43" t="n">
        <f aca="false">IF(AC15="N",V15,0)</f>
        <v>0</v>
      </c>
      <c r="AM15" s="43" t="n">
        <f aca="false">IF(AL15&gt;0,1,0)</f>
        <v>0</v>
      </c>
    </row>
    <row r="16" customFormat="false" ht="15" hidden="false" customHeight="false" outlineLevel="0" collapsed="false">
      <c r="A16" s="74"/>
      <c r="B16" s="43" t="s">
        <v>322</v>
      </c>
      <c r="D16" s="43" t="s">
        <v>323</v>
      </c>
      <c r="F16" s="48" t="n">
        <v>64350</v>
      </c>
      <c r="G16" s="48" t="n">
        <f aca="false">F16/52</f>
        <v>1237.5</v>
      </c>
      <c r="H16" s="61" t="n">
        <f aca="false">IF(AC16="N",IF(F16&lt;$G$3,$F$3*G16*AE16,IF(F16&lt;$G$2,$F$2*G16*AE16,$F$1*G16*AE16)),0)</f>
        <v>32175</v>
      </c>
      <c r="I16" s="61" t="n">
        <f aca="false">IF(AC16="Y",(IF(F16&lt;$G$3,$F$3*G16*AE16,IF(F16&lt;$G$2,$F$2*G16*AE16,$F$1*G16*AE16))*$L$2),0)</f>
        <v>0</v>
      </c>
      <c r="J16" s="61"/>
      <c r="K16" s="61" t="n">
        <f aca="false">IF(AC16="N",(MIN((($F$3*G16*AE16+ROUNDUP((F16/10000),0)*G16)*2),F16)),0)</f>
        <v>49500</v>
      </c>
      <c r="L16" s="61" t="n">
        <f aca="false">IF(AC16="Y",(MIN((($F$3*G16*AE16+ROUNDUP((F16/10000),0)*G16)*2),F16))*$L$2,0)</f>
        <v>0</v>
      </c>
      <c r="M16" s="61" t="n">
        <f aca="false">IF(AC16="N",IF((F16/10000*G16*$M$2)&gt;F16*$M$1,F16*$M$1,(F16/10000*G16*$M$2)),0)</f>
        <v>15926.625</v>
      </c>
      <c r="N16" s="61" t="n">
        <f aca="false">IF(AC16="Y",(IF((F16/10000*G16*$M$2)&gt;F16*$M$1,F16*$M$1,(F16/10000*G16*$M$2)))*$L$2,0)</f>
        <v>0</v>
      </c>
      <c r="O16" s="61" t="n">
        <f aca="false">MAX(IF(F16&lt;$G$3,$F$3*G16*AE16,IF(F16&lt;$G$2,$F$2*G16*AE16,$F$1*G16*AE16)),IF((F16/10000*G16*$M$2)&gt;F16*$M$1,F16*$M$1,(F16/10000*G16*$M$2)))</f>
        <v>32175</v>
      </c>
      <c r="P16" s="61" t="n">
        <f aca="false">MIN(IF(F16&lt;$G$3,$F$3*G16*AE16,IF(F16&lt;$G$2,$F$2*G16*AE16,$F$1*G16*AE16)),IF((F16/10000*G16*$M$2)&gt;F16*$M$1,F16*$M$1,(F16/10000*G16*$M$2)))</f>
        <v>15926.625</v>
      </c>
      <c r="Q16" s="61" t="n">
        <f aca="false">MAX(I16,N16)</f>
        <v>0</v>
      </c>
      <c r="R16" s="61" t="n">
        <f aca="false">MIN(I16,N16)</f>
        <v>0</v>
      </c>
      <c r="S16" s="62" t="n">
        <f aca="false">F16/10000</f>
        <v>6.435</v>
      </c>
      <c r="T16" s="62" t="n">
        <f aca="false">ROUNDUP(S16,0)</f>
        <v>7</v>
      </c>
      <c r="U16" s="44" t="s">
        <v>40</v>
      </c>
      <c r="V16" s="44" t="n">
        <f aca="false">F16</f>
        <v>64350</v>
      </c>
      <c r="Y16" s="45" t="n">
        <f aca="false">(W16+X16)</f>
        <v>0</v>
      </c>
      <c r="AC16" s="46" t="s">
        <v>419</v>
      </c>
      <c r="AD16" s="47" t="n">
        <v>32392</v>
      </c>
      <c r="AE16" s="63" t="n">
        <f aca="false">ROUNDUP(DAYS360(AD16,$AE$3)/365,0)</f>
        <v>13</v>
      </c>
      <c r="AF16" s="62" t="n">
        <f aca="false">(G16*AE16)+(G16*T16)</f>
        <v>24750</v>
      </c>
      <c r="AG16" s="62" t="n">
        <f aca="false">26*G16</f>
        <v>32175</v>
      </c>
      <c r="AH16" s="62" t="n">
        <f aca="false">G16*52</f>
        <v>64350</v>
      </c>
      <c r="AI16" s="62" t="n">
        <f aca="false">AF16*2</f>
        <v>49500</v>
      </c>
      <c r="AJ16" s="62"/>
      <c r="AL16" s="43" t="n">
        <f aca="false">IF(AC16="N",V16,0)</f>
        <v>64350</v>
      </c>
      <c r="AM16" s="43" t="n">
        <f aca="false">IF(AL16&gt;0,1,0)</f>
        <v>1</v>
      </c>
    </row>
    <row r="17" customFormat="false" ht="15" hidden="false" customHeight="false" outlineLevel="0" collapsed="false">
      <c r="A17" s="74"/>
      <c r="B17" s="43" t="s">
        <v>314</v>
      </c>
      <c r="D17" s="43" t="s">
        <v>315</v>
      </c>
      <c r="F17" s="48" t="n">
        <v>73320</v>
      </c>
      <c r="G17" s="48" t="n">
        <f aca="false">F17/52</f>
        <v>1410</v>
      </c>
      <c r="H17" s="61" t="n">
        <f aca="false">IF(AC17="N",IF(F17&lt;$G$3,$F$3*G17*AE17,IF(F17&lt;$G$2,$F$2*G17*AE17,$F$1*G17*AE17)),0)</f>
        <v>16920</v>
      </c>
      <c r="I17" s="61" t="n">
        <f aca="false">IF(AC17="Y",(IF(F17&lt;$G$3,$F$3*G17*AE17,IF(F17&lt;$G$2,$F$2*G17*AE17,$F$1*G17*AE17))*$L$2),0)</f>
        <v>0</v>
      </c>
      <c r="J17" s="61"/>
      <c r="K17" s="61" t="n">
        <f aca="false">IF(AC17="N",(MIN((($F$3*G17*AE17+ROUNDUP((F17/10000),0)*G17)*2),F17)),0)</f>
        <v>39480</v>
      </c>
      <c r="L17" s="61" t="n">
        <f aca="false">IF(AC17="Y",(MIN((($F$3*G17*AE17+ROUNDUP((F17/10000),0)*G17)*2),F17))*$L$2,0)</f>
        <v>0</v>
      </c>
      <c r="M17" s="61" t="n">
        <f aca="false">IF(AC17="N",IF((F17/10000*G17*$M$2)&gt;F17*$M$1,F17*$M$1,(F17/10000*G17*$M$2)),0)</f>
        <v>20676.24</v>
      </c>
      <c r="N17" s="61" t="n">
        <f aca="false">IF(AC17="Y",(IF((F17/10000*G17*$M$2)&gt;F17*$M$1,F17*$M$1,(F17/10000*G17*$M$2)))*$L$2,0)</f>
        <v>0</v>
      </c>
      <c r="O17" s="61" t="n">
        <f aca="false">MAX(IF(F17&lt;$G$3,$F$3*G17*AE17,IF(F17&lt;$G$2,$F$2*G17*AE17,$F$1*G17*AE17)),IF((F17/10000*G17*$M$2)&gt;F17*$M$1,F17*$M$1,(F17/10000*G17*$M$2)))</f>
        <v>20676.24</v>
      </c>
      <c r="P17" s="61" t="n">
        <f aca="false">MIN(IF(F17&lt;$G$3,$F$3*G17*AE17,IF(F17&lt;$G$2,$F$2*G17*AE17,$F$1*G17*AE17)),IF((F17/10000*G17*$M$2)&gt;F17*$M$1,F17*$M$1,(F17/10000*G17*$M$2)))</f>
        <v>16920</v>
      </c>
      <c r="Q17" s="61" t="n">
        <f aca="false">MAX(I17,N17)</f>
        <v>0</v>
      </c>
      <c r="R17" s="61" t="n">
        <f aca="false">MIN(I17,N17)</f>
        <v>0</v>
      </c>
      <c r="S17" s="62" t="n">
        <f aca="false">F17/10000</f>
        <v>7.332</v>
      </c>
      <c r="T17" s="62" t="n">
        <f aca="false">ROUNDUP(S17,0)</f>
        <v>8</v>
      </c>
      <c r="U17" s="44" t="s">
        <v>40</v>
      </c>
      <c r="V17" s="44" t="n">
        <f aca="false">F17</f>
        <v>73320</v>
      </c>
      <c r="Y17" s="45" t="n">
        <f aca="false">(W17+X17)</f>
        <v>0</v>
      </c>
      <c r="AC17" s="46" t="s">
        <v>419</v>
      </c>
      <c r="AD17" s="47" t="n">
        <v>35219</v>
      </c>
      <c r="AE17" s="63" t="n">
        <f aca="false">ROUNDUP(DAYS360(AD17,$AE$3)/365,0)</f>
        <v>6</v>
      </c>
      <c r="AF17" s="62" t="n">
        <f aca="false">(G17*AE17)+(G17*T17)</f>
        <v>19740</v>
      </c>
      <c r="AG17" s="62" t="n">
        <f aca="false">26*G17</f>
        <v>36660</v>
      </c>
      <c r="AH17" s="62" t="n">
        <f aca="false">G17*52</f>
        <v>73320</v>
      </c>
      <c r="AI17" s="62" t="n">
        <f aca="false">AF17*2</f>
        <v>39480</v>
      </c>
      <c r="AJ17" s="62"/>
      <c r="AL17" s="43" t="n">
        <f aca="false">IF(AC17="N",V17,0)</f>
        <v>73320</v>
      </c>
      <c r="AM17" s="43" t="n">
        <f aca="false">IF(AL17&gt;0,1,0)</f>
        <v>1</v>
      </c>
    </row>
    <row r="18" customFormat="false" ht="15" hidden="false" customHeight="false" outlineLevel="0" collapsed="false">
      <c r="A18" s="74"/>
      <c r="B18" s="43" t="s">
        <v>307</v>
      </c>
      <c r="D18" s="43" t="s">
        <v>308</v>
      </c>
      <c r="F18" s="48" t="n">
        <v>87000</v>
      </c>
      <c r="G18" s="48" t="n">
        <f aca="false">F18/52</f>
        <v>1673.07692307692</v>
      </c>
      <c r="H18" s="61" t="n">
        <f aca="false">IF(AC18="N",IF(F18&lt;$G$3,$F$3*G18*AE18,IF(F18&lt;$G$2,$F$2*G18*AE18,$F$1*G18*AE18)),0)</f>
        <v>46846.1538461538</v>
      </c>
      <c r="I18" s="61" t="n">
        <f aca="false">IF(AC18="Y",(IF(F18&lt;$G$3,$F$3*G18*AE18,IF(F18&lt;$G$2,$F$2*G18*AE18,$F$1*G18*AE18))*$L$2),0)</f>
        <v>0</v>
      </c>
      <c r="J18" s="61"/>
      <c r="K18" s="61" t="n">
        <f aca="false">IF(AC18="N",(MIN((($F$3*G18*AE18+ROUNDUP((F18/10000),0)*G18)*2),F18)),0)</f>
        <v>76961.5384615385</v>
      </c>
      <c r="L18" s="61" t="n">
        <f aca="false">IF(AC18="Y",(MIN((($F$3*G18*AE18+ROUNDUP((F18/10000),0)*G18)*2),F18))*$L$2,0)</f>
        <v>0</v>
      </c>
      <c r="M18" s="61" t="n">
        <f aca="false">IF(AC18="N",IF((F18/10000*G18*$M$2)&gt;F18*$M$1,F18*$M$1,(F18/10000*G18*$M$2)),0)</f>
        <v>29111.5384615385</v>
      </c>
      <c r="N18" s="61" t="n">
        <f aca="false">IF(AC18="Y",(IF((F18/10000*G18*$M$2)&gt;F18*$M$1,F18*$M$1,(F18/10000*G18*$M$2)))*$L$2,0)</f>
        <v>0</v>
      </c>
      <c r="O18" s="61" t="n">
        <f aca="false">MAX(IF(F18&lt;$G$3,$F$3*G18*AE18,IF(F18&lt;$G$2,$F$2*G18*AE18,$F$1*G18*AE18)),IF((F18/10000*G18*$M$2)&gt;F18*$M$1,F18*$M$1,(F18/10000*G18*$M$2)))</f>
        <v>46846.1538461538</v>
      </c>
      <c r="P18" s="61" t="n">
        <f aca="false">MIN(IF(F18&lt;$G$3,$F$3*G18*AE18,IF(F18&lt;$G$2,$F$2*G18*AE18,$F$1*G18*AE18)),IF((F18/10000*G18*$M$2)&gt;F18*$M$1,F18*$M$1,(F18/10000*G18*$M$2)))</f>
        <v>29111.5384615385</v>
      </c>
      <c r="Q18" s="61" t="n">
        <f aca="false">MAX(I18,N18)</f>
        <v>0</v>
      </c>
      <c r="R18" s="61" t="n">
        <f aca="false">MIN(I18,N18)</f>
        <v>0</v>
      </c>
      <c r="S18" s="62" t="n">
        <f aca="false">F18/10000</f>
        <v>8.7</v>
      </c>
      <c r="T18" s="62" t="n">
        <f aca="false">ROUNDUP(S18,0)</f>
        <v>9</v>
      </c>
      <c r="U18" s="44" t="s">
        <v>40</v>
      </c>
      <c r="V18" s="44" t="n">
        <f aca="false">F18</f>
        <v>87000</v>
      </c>
      <c r="Y18" s="45" t="n">
        <f aca="false">(W18+X18)</f>
        <v>0</v>
      </c>
      <c r="AC18" s="46" t="s">
        <v>419</v>
      </c>
      <c r="AD18" s="47" t="n">
        <v>31923</v>
      </c>
      <c r="AE18" s="63" t="n">
        <f aca="false">ROUNDUP(DAYS360(AD18,$AE$3)/365,0)</f>
        <v>14</v>
      </c>
      <c r="AF18" s="62" t="n">
        <f aca="false">(G18*AE18)+(G18*T18)</f>
        <v>38480.7692307692</v>
      </c>
      <c r="AG18" s="62" t="n">
        <f aca="false">26*G18</f>
        <v>43500</v>
      </c>
      <c r="AH18" s="62" t="n">
        <f aca="false">G18*52</f>
        <v>87000</v>
      </c>
      <c r="AI18" s="62" t="n">
        <f aca="false">AF18*2</f>
        <v>76961.5384615385</v>
      </c>
      <c r="AJ18" s="62"/>
      <c r="AL18" s="43" t="n">
        <f aca="false">IF(AC18="N",V18,0)</f>
        <v>87000</v>
      </c>
      <c r="AM18" s="43" t="n">
        <f aca="false">IF(AL18&gt;0,1,0)</f>
        <v>1</v>
      </c>
    </row>
    <row r="19" customFormat="false" ht="15" hidden="false" customHeight="false" outlineLevel="0" collapsed="false">
      <c r="A19" s="74"/>
      <c r="B19" s="43" t="s">
        <v>352</v>
      </c>
      <c r="D19" s="43" t="s">
        <v>353</v>
      </c>
      <c r="F19" s="48" t="n">
        <v>40000</v>
      </c>
      <c r="G19" s="48" t="n">
        <f aca="false">F19/52</f>
        <v>769.230769230769</v>
      </c>
      <c r="H19" s="61" t="n">
        <f aca="false">IF(AC19="N",IF(F19&lt;$G$3,$F$3*G19*AE19,IF(F19&lt;$G$2,$F$2*G19*AE19,$F$1*G19*AE19)),0)</f>
        <v>10000</v>
      </c>
      <c r="I19" s="61" t="n">
        <f aca="false">IF(AC19="Y",(IF(F19&lt;$G$3,$F$3*G19*AE19,IF(F19&lt;$G$2,$F$2*G19*AE19,$F$1*G19*AE19))*$L$2),0)</f>
        <v>0</v>
      </c>
      <c r="J19" s="61"/>
      <c r="K19" s="61" t="n">
        <f aca="false">IF(AC19="N",(MIN((($F$3*G19*AE19+ROUNDUP((F19/10000),0)*G19)*2),F19)),0)</f>
        <v>26153.8461538462</v>
      </c>
      <c r="L19" s="61" t="n">
        <f aca="false">IF(AC19="Y",(MIN((($F$3*G19*AE19+ROUNDUP((F19/10000),0)*G19)*2),F19))*$L$2,0)</f>
        <v>0</v>
      </c>
      <c r="M19" s="61" t="n">
        <f aca="false">IF(AC19="N",IF((F19/10000*G19*$M$2)&gt;F19*$M$1,F19*$M$1,(F19/10000*G19*$M$2)),0)</f>
        <v>6153.84615384615</v>
      </c>
      <c r="N19" s="61" t="n">
        <f aca="false">IF(AC19="Y",(IF((F19/10000*G19*$M$2)&gt;F19*$M$1,F19*$M$1,(F19/10000*G19*$M$2)))*$L$2,0)</f>
        <v>0</v>
      </c>
      <c r="O19" s="61" t="n">
        <f aca="false">MAX(IF(F19&lt;$G$3,$F$3*G19*AE19,IF(F19&lt;$G$2,$F$2*G19*AE19,$F$1*G19*AE19)),IF((F19/10000*G19*$M$2)&gt;F19*$M$1,F19*$M$1,(F19/10000*G19*$M$2)))</f>
        <v>10000</v>
      </c>
      <c r="P19" s="61" t="n">
        <f aca="false">MIN(IF(F19&lt;$G$3,$F$3*G19*AE19,IF(F19&lt;$G$2,$F$2*G19*AE19,$F$1*G19*AE19)),IF((F19/10000*G19*$M$2)&gt;F19*$M$1,F19*$M$1,(F19/10000*G19*$M$2)))</f>
        <v>6153.84615384615</v>
      </c>
      <c r="Q19" s="61" t="n">
        <f aca="false">MAX(I19,N19)</f>
        <v>0</v>
      </c>
      <c r="R19" s="61" t="n">
        <f aca="false">MIN(I19,N19)</f>
        <v>0</v>
      </c>
      <c r="S19" s="62" t="n">
        <f aca="false">F19/10000</f>
        <v>4</v>
      </c>
      <c r="T19" s="62" t="n">
        <f aca="false">ROUNDUP(S19,0)</f>
        <v>4</v>
      </c>
      <c r="U19" s="44" t="s">
        <v>40</v>
      </c>
      <c r="V19" s="44" t="n">
        <f aca="false">F19</f>
        <v>40000</v>
      </c>
      <c r="Y19" s="45" t="n">
        <f aca="false">(W19+X19)</f>
        <v>0</v>
      </c>
      <c r="AC19" s="46" t="s">
        <v>419</v>
      </c>
      <c r="AD19" s="47" t="n">
        <v>32524</v>
      </c>
      <c r="AE19" s="63" t="n">
        <f aca="false">ROUNDUP(DAYS360(AD19,$AE$3)/365,0)</f>
        <v>13</v>
      </c>
      <c r="AF19" s="62" t="n">
        <f aca="false">(G19*AE19)+(G19*T19)</f>
        <v>13076.9230769231</v>
      </c>
      <c r="AG19" s="62" t="n">
        <f aca="false">26*G19</f>
        <v>20000</v>
      </c>
      <c r="AH19" s="62" t="n">
        <f aca="false">G19*52</f>
        <v>40000</v>
      </c>
      <c r="AI19" s="62" t="n">
        <f aca="false">AF19*2</f>
        <v>26153.8461538462</v>
      </c>
      <c r="AJ19" s="62"/>
      <c r="AL19" s="43" t="n">
        <f aca="false">IF(AC19="N",V19,0)</f>
        <v>40000</v>
      </c>
      <c r="AM19" s="43" t="n">
        <f aca="false">IF(AL19&gt;0,1,0)</f>
        <v>1</v>
      </c>
    </row>
    <row r="20" customFormat="false" ht="15" hidden="false" customHeight="false" outlineLevel="0" collapsed="false">
      <c r="A20" s="74"/>
      <c r="B20" s="43" t="s">
        <v>297</v>
      </c>
      <c r="D20" s="43" t="s">
        <v>298</v>
      </c>
      <c r="F20" s="48" t="n">
        <v>145000</v>
      </c>
      <c r="G20" s="48" t="n">
        <f aca="false">F20/52</f>
        <v>2788.46153846154</v>
      </c>
      <c r="H20" s="61" t="n">
        <f aca="false">IF(AC20="N",IF(F20&lt;$G$3,$F$3*G20*AE20,IF(F20&lt;$G$2,$F$2*G20*AE20,$F$1*G20*AE20)),0)</f>
        <v>66923.0769230769</v>
      </c>
      <c r="I20" s="61" t="n">
        <f aca="false">IF(AC20="Y",(IF(F20&lt;$G$3,$F$3*G20*AE20,IF(F20&lt;$G$2,$F$2*G20*AE20,$F$1*G20*AE20))*$L$2),0)</f>
        <v>0</v>
      </c>
      <c r="J20" s="61"/>
      <c r="K20" s="61" t="n">
        <f aca="false">IF(AC20="N",(MIN((($F$3*G20*AE20+ROUNDUP((F20/10000),0)*G20)*2),F20)),0)</f>
        <v>117115.384615385</v>
      </c>
      <c r="L20" s="61" t="n">
        <f aca="false">IF(AC20="Y",(MIN((($F$3*G20*AE20+ROUNDUP((F20/10000),0)*G20)*2),F20))*$L$2,0)</f>
        <v>0</v>
      </c>
      <c r="M20" s="61" t="n">
        <f aca="false">IF(AC20="N",IF((F20/10000*G20*$M$2)&gt;F20*$M$1,F20*$M$1,(F20/10000*G20*$M$2)),0)</f>
        <v>80865.3846153846</v>
      </c>
      <c r="N20" s="61" t="n">
        <f aca="false">IF(AC20="Y",(IF((F20/10000*G20*$M$2)&gt;F20*$M$1,F20*$M$1,(F20/10000*G20*$M$2)))*$L$2,0)</f>
        <v>0</v>
      </c>
      <c r="O20" s="61" t="n">
        <f aca="false">MAX(IF(F20&lt;$G$3,$F$3*G20*AE20,IF(F20&lt;$G$2,$F$2*G20*AE20,$F$1*G20*AE20)),IF((F20/10000*G20*$M$2)&gt;F20*$M$1,F20*$M$1,(F20/10000*G20*$M$2)))</f>
        <v>80865.3846153846</v>
      </c>
      <c r="P20" s="61" t="n">
        <f aca="false">MIN(IF(F20&lt;$G$3,$F$3*G20*AE20,IF(F20&lt;$G$2,$F$2*G20*AE20,$F$1*G20*AE20)),IF((F20/10000*G20*$M$2)&gt;F20*$M$1,F20*$M$1,(F20/10000*G20*$M$2)))</f>
        <v>66923.0769230769</v>
      </c>
      <c r="Q20" s="61" t="n">
        <f aca="false">MAX(I20,N20)</f>
        <v>0</v>
      </c>
      <c r="R20" s="61" t="n">
        <f aca="false">MIN(I20,N20)</f>
        <v>0</v>
      </c>
      <c r="S20" s="62" t="n">
        <f aca="false">F20/10000</f>
        <v>14.5</v>
      </c>
      <c r="T20" s="62" t="n">
        <f aca="false">ROUNDUP(S20,0)</f>
        <v>15</v>
      </c>
      <c r="U20" s="44" t="s">
        <v>40</v>
      </c>
      <c r="V20" s="44" t="n">
        <f aca="false">F20</f>
        <v>145000</v>
      </c>
      <c r="Y20" s="45" t="n">
        <f aca="false">(W20+X20)</f>
        <v>0</v>
      </c>
      <c r="AC20" s="46" t="s">
        <v>419</v>
      </c>
      <c r="AD20" s="47" t="n">
        <v>35096</v>
      </c>
      <c r="AE20" s="63" t="n">
        <f aca="false">ROUNDUP(DAYS360(AD20,$AE$3)/365,0)</f>
        <v>6</v>
      </c>
      <c r="AF20" s="62" t="n">
        <f aca="false">(G20*AE20)+(G20*T20)</f>
        <v>58557.6923076923</v>
      </c>
      <c r="AG20" s="62" t="n">
        <f aca="false">26*G20</f>
        <v>72500</v>
      </c>
      <c r="AH20" s="62" t="n">
        <f aca="false">G20*52</f>
        <v>145000</v>
      </c>
      <c r="AI20" s="62" t="n">
        <f aca="false">AF20*2</f>
        <v>117115.384615385</v>
      </c>
      <c r="AJ20" s="62"/>
      <c r="AL20" s="43" t="n">
        <f aca="false">IF(AC20="N",V20,0)</f>
        <v>145000</v>
      </c>
      <c r="AM20" s="43" t="n">
        <f aca="false">IF(AL20&gt;0,1,0)</f>
        <v>1</v>
      </c>
    </row>
    <row r="21" customFormat="false" ht="15" hidden="false" customHeight="false" outlineLevel="0" collapsed="false">
      <c r="A21" s="74"/>
      <c r="B21" s="43" t="s">
        <v>340</v>
      </c>
      <c r="D21" s="43" t="s">
        <v>236</v>
      </c>
      <c r="F21" s="48" t="n">
        <v>49760</v>
      </c>
      <c r="G21" s="48" t="n">
        <f aca="false">F21/52</f>
        <v>956.923076923077</v>
      </c>
      <c r="H21" s="61" t="n">
        <f aca="false">IF(AC21="N",IF(F21&lt;$G$3,$F$3*G21*AE21,IF(F21&lt;$G$2,$F$2*G21*AE21,$F$1*G21*AE21)),0)</f>
        <v>15310.7692307692</v>
      </c>
      <c r="I21" s="61" t="n">
        <f aca="false">IF(AC21="Y",(IF(F21&lt;$G$3,$F$3*G21*AE21,IF(F21&lt;$G$2,$F$2*G21*AE21,$F$1*G21*AE21))*$L$2),0)</f>
        <v>0</v>
      </c>
      <c r="J21" s="61"/>
      <c r="K21" s="61" t="n">
        <f aca="false">IF(AC21="N",(MIN((($F$3*G21*AE21+ROUNDUP((F21/10000),0)*G21)*2),F21)),0)</f>
        <v>40190.7692307692</v>
      </c>
      <c r="L21" s="61" t="n">
        <f aca="false">IF(AC21="Y",(MIN((($F$3*G21*AE21+ROUNDUP((F21/10000),0)*G21)*2),F21))*$L$2,0)</f>
        <v>0</v>
      </c>
      <c r="M21" s="61" t="n">
        <f aca="false">IF(AC21="N",IF((F21/10000*G21*$M$2)&gt;F21*$M$1,F21*$M$1,(F21/10000*G21*$M$2)),0)</f>
        <v>9523.29846153846</v>
      </c>
      <c r="N21" s="61" t="n">
        <f aca="false">IF(AC21="Y",(IF((F21/10000*G21*$M$2)&gt;F21*$M$1,F21*$M$1,(F21/10000*G21*$M$2)))*$L$2,0)</f>
        <v>0</v>
      </c>
      <c r="O21" s="61" t="n">
        <f aca="false">MAX(IF(F21&lt;$G$3,$F$3*G21*AE21,IF(F21&lt;$G$2,$F$2*G21*AE21,$F$1*G21*AE21)),IF((F21/10000*G21*$M$2)&gt;F21*$M$1,F21*$M$1,(F21/10000*G21*$M$2)))</f>
        <v>15310.7692307692</v>
      </c>
      <c r="P21" s="61" t="n">
        <f aca="false">MIN(IF(F21&lt;$G$3,$F$3*G21*AE21,IF(F21&lt;$G$2,$F$2*G21*AE21,$F$1*G21*AE21)),IF((F21/10000*G21*$M$2)&gt;F21*$M$1,F21*$M$1,(F21/10000*G21*$M$2)))</f>
        <v>9523.29846153846</v>
      </c>
      <c r="Q21" s="61" t="n">
        <f aca="false">MAX(I21,N21)</f>
        <v>0</v>
      </c>
      <c r="R21" s="61" t="n">
        <f aca="false">MIN(I21,N21)</f>
        <v>0</v>
      </c>
      <c r="S21" s="62" t="n">
        <f aca="false">F21/10000</f>
        <v>4.976</v>
      </c>
      <c r="T21" s="62" t="n">
        <f aca="false">ROUNDUP(S21,0)</f>
        <v>5</v>
      </c>
      <c r="U21" s="44" t="s">
        <v>40</v>
      </c>
      <c r="V21" s="44" t="n">
        <f aca="false">F21</f>
        <v>49760</v>
      </c>
      <c r="Y21" s="45" t="n">
        <f aca="false">(W21+X21)</f>
        <v>0</v>
      </c>
      <c r="AC21" s="46" t="s">
        <v>419</v>
      </c>
      <c r="AD21" s="47" t="n">
        <v>31229</v>
      </c>
      <c r="AE21" s="63" t="n">
        <f aca="false">ROUNDUP(DAYS360(AD21,$AE$3)/365,0)</f>
        <v>16</v>
      </c>
      <c r="AF21" s="62" t="n">
        <f aca="false">(G21*AE21)+(G21*T21)</f>
        <v>20095.3846153846</v>
      </c>
      <c r="AG21" s="62" t="n">
        <f aca="false">26*G21</f>
        <v>24880</v>
      </c>
      <c r="AH21" s="62" t="n">
        <f aca="false">G21*52</f>
        <v>49760</v>
      </c>
      <c r="AI21" s="62" t="n">
        <f aca="false">AF21*2</f>
        <v>40190.7692307692</v>
      </c>
      <c r="AJ21" s="62"/>
      <c r="AL21" s="43" t="n">
        <f aca="false">IF(AC21="N",V21,0)</f>
        <v>49760</v>
      </c>
      <c r="AM21" s="43" t="n">
        <f aca="false">IF(AL21&gt;0,1,0)</f>
        <v>1</v>
      </c>
    </row>
    <row r="22" customFormat="false" ht="15" hidden="false" customHeight="false" outlineLevel="0" collapsed="false">
      <c r="A22" s="74"/>
      <c r="B22" s="43" t="s">
        <v>301</v>
      </c>
      <c r="D22" s="43" t="s">
        <v>302</v>
      </c>
      <c r="F22" s="48" t="n">
        <v>107000</v>
      </c>
      <c r="G22" s="48" t="n">
        <f aca="false">F22/52</f>
        <v>2057.69230769231</v>
      </c>
      <c r="H22" s="61" t="n">
        <f aca="false">IF(AC22="N",IF(F22&lt;$G$3,$F$3*G22*AE22,IF(F22&lt;$G$2,$F$2*G22*AE22,$F$1*G22*AE22)),0)</f>
        <v>123461.538461538</v>
      </c>
      <c r="I22" s="61" t="n">
        <f aca="false">IF(AC22="Y",(IF(F22&lt;$G$3,$F$3*G22*AE22,IF(F22&lt;$G$2,$F$2*G22*AE22,$F$1*G22*AE22))*$L$2),0)</f>
        <v>0</v>
      </c>
      <c r="J22" s="61"/>
      <c r="K22" s="61" t="n">
        <f aca="false">IF(AC22="N",(MIN((($F$3*G22*AE22+ROUNDUP((F22/10000),0)*G22)*2),F22)),0)</f>
        <v>107000</v>
      </c>
      <c r="L22" s="61" t="n">
        <f aca="false">IF(AC22="Y",(MIN((($F$3*G22*AE22+ROUNDUP((F22/10000),0)*G22)*2),F22))*$L$2,0)</f>
        <v>0</v>
      </c>
      <c r="M22" s="61" t="n">
        <f aca="false">IF(AC22="N",IF((F22/10000*G22*$M$2)&gt;F22*$M$1,F22*$M$1,(F22/10000*G22*$M$2)),0)</f>
        <v>44034.6153846154</v>
      </c>
      <c r="N22" s="61" t="n">
        <f aca="false">IF(AC22="Y",(IF((F22/10000*G22*$M$2)&gt;F22*$M$1,F22*$M$1,(F22/10000*G22*$M$2)))*$L$2,0)</f>
        <v>0</v>
      </c>
      <c r="O22" s="61" t="n">
        <f aca="false">MAX(IF(F22&lt;$G$3,$F$3*G22*AE22,IF(F22&lt;$G$2,$F$2*G22*AE22,$F$1*G22*AE22)),IF((F22/10000*G22*$M$2)&gt;F22*$M$1,F22*$M$1,(F22/10000*G22*$M$2)))</f>
        <v>123461.538461538</v>
      </c>
      <c r="P22" s="61" t="n">
        <f aca="false">MIN(IF(F22&lt;$G$3,$F$3*G22*AE22,IF(F22&lt;$G$2,$F$2*G22*AE22,$F$1*G22*AE22)),IF((F22/10000*G22*$M$2)&gt;F22*$M$1,F22*$M$1,(F22/10000*G22*$M$2)))</f>
        <v>44034.6153846154</v>
      </c>
      <c r="Q22" s="61" t="n">
        <f aca="false">MAX(I22,N22)</f>
        <v>0</v>
      </c>
      <c r="R22" s="61" t="n">
        <f aca="false">MIN(I22,N22)</f>
        <v>0</v>
      </c>
      <c r="S22" s="62" t="n">
        <f aca="false">F22/10000</f>
        <v>10.7</v>
      </c>
      <c r="T22" s="62" t="n">
        <f aca="false">ROUNDUP(S22,0)</f>
        <v>11</v>
      </c>
      <c r="U22" s="44" t="s">
        <v>40</v>
      </c>
      <c r="V22" s="44" t="n">
        <f aca="false">F22</f>
        <v>107000</v>
      </c>
      <c r="Y22" s="45" t="n">
        <f aca="false">(W22+X22)</f>
        <v>0</v>
      </c>
      <c r="AC22" s="46" t="s">
        <v>419</v>
      </c>
      <c r="AD22" s="47" t="n">
        <v>31586</v>
      </c>
      <c r="AE22" s="63" t="n">
        <f aca="false">ROUNDUP(DAYS360(AD22,$AE$3)/365,0)</f>
        <v>15</v>
      </c>
      <c r="AF22" s="62" t="n">
        <f aca="false">(G22*AE22)+(G22*T22)</f>
        <v>53500</v>
      </c>
      <c r="AG22" s="62" t="n">
        <f aca="false">26*G22</f>
        <v>53500</v>
      </c>
      <c r="AH22" s="62" t="n">
        <f aca="false">G22*52</f>
        <v>107000</v>
      </c>
      <c r="AI22" s="62" t="n">
        <f aca="false">AF22*2</f>
        <v>107000</v>
      </c>
      <c r="AJ22" s="62"/>
      <c r="AL22" s="43" t="n">
        <f aca="false">IF(AC22="N",V22,0)</f>
        <v>107000</v>
      </c>
      <c r="AM22" s="43" t="n">
        <f aca="false">IF(AL22&gt;0,1,0)</f>
        <v>1</v>
      </c>
    </row>
    <row r="23" customFormat="false" ht="15" hidden="false" customHeight="false" outlineLevel="0" collapsed="false">
      <c r="A23" s="74"/>
      <c r="B23" s="43" t="s">
        <v>174</v>
      </c>
      <c r="D23" s="43" t="s">
        <v>175</v>
      </c>
      <c r="F23" s="48" t="n">
        <v>60000</v>
      </c>
      <c r="G23" s="48" t="n">
        <f aca="false">F23/52</f>
        <v>1153.84615384615</v>
      </c>
      <c r="H23" s="61" t="n">
        <f aca="false">IF(AC23="N",IF(F23&lt;$G$3,$F$3*G23*AE23,IF(F23&lt;$G$2,$F$2*G23*AE23,$F$1*G23*AE23)),0)</f>
        <v>0</v>
      </c>
      <c r="I23" s="61" t="n">
        <f aca="false">IF(AC23="Y",(IF(F23&lt;$G$3,$F$3*G23*AE23,IF(F23&lt;$G$2,$F$2*G23*AE23,$F$1*G23*AE23))*$L$2),0)</f>
        <v>3461.53846153846</v>
      </c>
      <c r="J23" s="61"/>
      <c r="K23" s="61" t="n">
        <f aca="false">IF(AC23="N",(MIN((($F$3*G23*AE23+ROUNDUP((F23/10000),0)*G23)*2),F23)),0)</f>
        <v>0</v>
      </c>
      <c r="L23" s="61" t="n">
        <f aca="false">IF(AC23="Y",(MIN((($F$3*G23*AE23+ROUNDUP((F23/10000),0)*G23)*2),F23))*$L$2,0)</f>
        <v>24230.7692307692</v>
      </c>
      <c r="M23" s="61" t="n">
        <f aca="false">IF(AC23="N",IF((F23/10000*G23*$M$2)&gt;F23*$M$1,F23*$M$1,(F23/10000*G23*$M$2)),0)</f>
        <v>0</v>
      </c>
      <c r="N23" s="61" t="n">
        <f aca="false">IF(AC23="Y",(IF((F23/10000*G23*$M$2)&gt;F23*$M$1,F23*$M$1,(F23/10000*G23*$M$2)))*$L$2,0)</f>
        <v>20769.2307692308</v>
      </c>
      <c r="O23" s="61" t="n">
        <f aca="false">MAX(IF(F23&lt;$G$3,$F$3*G23*AE23,IF(F23&lt;$G$2,$F$2*G23*AE23,$F$1*G23*AE23)),IF((F23/10000*G23*$M$2)&gt;F23*$M$1,F23*$M$1,(F23/10000*G23*$M$2)))</f>
        <v>13846.1538461538</v>
      </c>
      <c r="P23" s="61" t="n">
        <f aca="false">MIN(IF(F23&lt;$G$3,$F$3*G23*AE23,IF(F23&lt;$G$2,$F$2*G23*AE23,$F$1*G23*AE23)),IF((F23/10000*G23*$M$2)&gt;F23*$M$1,F23*$M$1,(F23/10000*G23*$M$2)))</f>
        <v>2307.69230769231</v>
      </c>
      <c r="Q23" s="61" t="n">
        <f aca="false">MAX(I23,N23)</f>
        <v>20769.2307692308</v>
      </c>
      <c r="R23" s="61" t="n">
        <f aca="false">MIN(I23,N23)</f>
        <v>3461.53846153846</v>
      </c>
      <c r="S23" s="62" t="n">
        <f aca="false">F23/10000</f>
        <v>6</v>
      </c>
      <c r="T23" s="62" t="n">
        <f aca="false">ROUNDUP(S23,0)</f>
        <v>6</v>
      </c>
      <c r="U23" s="44" t="s">
        <v>40</v>
      </c>
      <c r="V23" s="44" t="n">
        <f aca="false">F23</f>
        <v>60000</v>
      </c>
      <c r="Y23" s="45" t="n">
        <f aca="false">(W23+X23)</f>
        <v>0</v>
      </c>
      <c r="AC23" s="46" t="s">
        <v>420</v>
      </c>
      <c r="AD23" s="47" t="n">
        <v>36878</v>
      </c>
      <c r="AE23" s="63" t="n">
        <f aca="false">ROUNDUP(DAYS360(AD23,$AE$3)/365,0)</f>
        <v>1</v>
      </c>
      <c r="AL23" s="43" t="n">
        <f aca="false">IF(AC23="N",V23,0)</f>
        <v>0</v>
      </c>
      <c r="AM23" s="43" t="n">
        <f aca="false">IF(AL23&gt;0,1,0)</f>
        <v>0</v>
      </c>
    </row>
    <row r="24" customFormat="false" ht="15" hidden="false" customHeight="false" outlineLevel="0" collapsed="false">
      <c r="A24" s="74"/>
      <c r="B24" s="43" t="s">
        <v>335</v>
      </c>
      <c r="D24" s="43" t="s">
        <v>336</v>
      </c>
      <c r="F24" s="48" t="n">
        <v>52060</v>
      </c>
      <c r="G24" s="48" t="n">
        <f aca="false">F24/52</f>
        <v>1001.15384615385</v>
      </c>
      <c r="H24" s="61" t="n">
        <f aca="false">IF(AC24="N",IF(F24&lt;$G$3,$F$3*G24*AE24,IF(F24&lt;$G$2,$F$2*G24*AE24,$F$1*G24*AE24)),0)</f>
        <v>40046.1538461538</v>
      </c>
      <c r="I24" s="61" t="n">
        <f aca="false">IF(AC24="Y",(IF(F24&lt;$G$3,$F$3*G24*AE24,IF(F24&lt;$G$2,$F$2*G24*AE24,$F$1*G24*AE24))*$L$2),0)</f>
        <v>0</v>
      </c>
      <c r="J24" s="61"/>
      <c r="K24" s="61" t="n">
        <f aca="false">IF(AC24="N",(MIN((($F$3*G24*AE24+ROUNDUP((F24/10000),0)*G24)*2),F24)),0)</f>
        <v>52060</v>
      </c>
      <c r="L24" s="61" t="n">
        <f aca="false">IF(AC24="Y",(MIN((($F$3*G24*AE24+ROUNDUP((F24/10000),0)*G24)*2),F24))*$L$2,0)</f>
        <v>0</v>
      </c>
      <c r="M24" s="61" t="n">
        <f aca="false">IF(AC24="N",IF((F24/10000*G24*$M$2)&gt;F24*$M$1,F24*$M$1,(F24/10000*G24*$M$2)),0)</f>
        <v>10424.0138461538</v>
      </c>
      <c r="N24" s="61" t="n">
        <f aca="false">IF(AC24="Y",(IF((F24/10000*G24*$M$2)&gt;F24*$M$1,F24*$M$1,(F24/10000*G24*$M$2)))*$L$2,0)</f>
        <v>0</v>
      </c>
      <c r="O24" s="61" t="n">
        <f aca="false">MAX(IF(F24&lt;$G$3,$F$3*G24*AE24,IF(F24&lt;$G$2,$F$2*G24*AE24,$F$1*G24*AE24)),IF((F24/10000*G24*$M$2)&gt;F24*$M$1,F24*$M$1,(F24/10000*G24*$M$2)))</f>
        <v>40046.1538461538</v>
      </c>
      <c r="P24" s="61" t="n">
        <f aca="false">MIN(IF(F24&lt;$G$3,$F$3*G24*AE24,IF(F24&lt;$G$2,$F$2*G24*AE24,$F$1*G24*AE24)),IF((F24/10000*G24*$M$2)&gt;F24*$M$1,F24*$M$1,(F24/10000*G24*$M$2)))</f>
        <v>10424.0138461538</v>
      </c>
      <c r="Q24" s="61" t="n">
        <f aca="false">MAX(I24,N24)</f>
        <v>0</v>
      </c>
      <c r="R24" s="61" t="n">
        <f aca="false">MIN(I24,N24)</f>
        <v>0</v>
      </c>
      <c r="S24" s="62" t="n">
        <f aca="false">F24/10000</f>
        <v>5.206</v>
      </c>
      <c r="T24" s="62" t="n">
        <f aca="false">ROUNDUP(S24,0)</f>
        <v>6</v>
      </c>
      <c r="U24" s="44" t="s">
        <v>40</v>
      </c>
      <c r="V24" s="44" t="n">
        <f aca="false">F24</f>
        <v>52060</v>
      </c>
      <c r="Y24" s="45" t="n">
        <f aca="false">(W24+X24)</f>
        <v>0</v>
      </c>
      <c r="AC24" s="46" t="s">
        <v>419</v>
      </c>
      <c r="AD24" s="47" t="n">
        <v>29677</v>
      </c>
      <c r="AE24" s="63" t="n">
        <f aca="false">ROUNDUP(DAYS360(AD24,$AE$3)/365,0)</f>
        <v>20</v>
      </c>
      <c r="AL24" s="43" t="n">
        <f aca="false">IF(AC24="N",V24,0)</f>
        <v>52060</v>
      </c>
      <c r="AM24" s="43" t="n">
        <f aca="false">IF(AL24&gt;0,1,0)</f>
        <v>1</v>
      </c>
    </row>
    <row r="25" customFormat="false" ht="15.75" hidden="false" customHeight="false" outlineLevel="0" collapsed="false">
      <c r="A25" s="65"/>
      <c r="B25" s="66" t="s">
        <v>69</v>
      </c>
      <c r="C25" s="66"/>
      <c r="D25" s="66" t="s">
        <v>70</v>
      </c>
      <c r="E25" s="66"/>
      <c r="F25" s="67" t="n">
        <v>134000</v>
      </c>
      <c r="G25" s="67" t="n">
        <f aca="false">F25/52</f>
        <v>2576.92307692308</v>
      </c>
      <c r="H25" s="69"/>
      <c r="I25" s="69"/>
      <c r="J25" s="69"/>
      <c r="K25" s="69"/>
      <c r="L25" s="69"/>
      <c r="M25" s="69"/>
      <c r="N25" s="69"/>
      <c r="O25" s="61"/>
      <c r="P25" s="61"/>
      <c r="Q25" s="61"/>
      <c r="R25" s="61"/>
      <c r="S25" s="70" t="n">
        <f aca="false">F25/10000</f>
        <v>13.4</v>
      </c>
      <c r="T25" s="70" t="n">
        <f aca="false">ROUNDUP(S25,0)</f>
        <v>14</v>
      </c>
      <c r="U25" s="71" t="s">
        <v>40</v>
      </c>
      <c r="V25" s="71" t="n">
        <f aca="false">F25</f>
        <v>134000</v>
      </c>
      <c r="W25" s="72"/>
      <c r="X25" s="72"/>
      <c r="Y25" s="72" t="n">
        <v>50000</v>
      </c>
      <c r="Z25" s="73"/>
      <c r="AA25" s="73"/>
      <c r="AB25" s="73"/>
      <c r="AC25" s="73" t="s">
        <v>420</v>
      </c>
      <c r="AD25" s="59" t="n">
        <v>29311</v>
      </c>
      <c r="AE25" s="75" t="n">
        <f aca="false">ROUNDUP(DAYS360(AD25,$AE$3)/365,0)</f>
        <v>21</v>
      </c>
      <c r="AF25" s="73"/>
      <c r="AG25" s="73"/>
      <c r="AH25" s="73"/>
      <c r="AI25" s="73"/>
      <c r="AJ25" s="73"/>
      <c r="AK25" s="66"/>
      <c r="AL25" s="12" t="n">
        <f aca="false">IF(AC25="N",V25,0)</f>
        <v>0</v>
      </c>
      <c r="AM25" s="12" t="n">
        <f aca="false">IF(AL25&gt;0,1,0)</f>
        <v>0</v>
      </c>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row>
    <row r="26" customFormat="false" ht="15.75" hidden="false" customHeight="false" outlineLevel="0" collapsed="false">
      <c r="A26" s="65"/>
      <c r="B26" s="66" t="s">
        <v>74</v>
      </c>
      <c r="C26" s="66"/>
      <c r="D26" s="66" t="s">
        <v>75</v>
      </c>
      <c r="E26" s="66"/>
      <c r="F26" s="67" t="n">
        <v>350000</v>
      </c>
      <c r="G26" s="67" t="n">
        <f aca="false">F26/52</f>
        <v>6730.76923076923</v>
      </c>
      <c r="H26" s="69"/>
      <c r="I26" s="69"/>
      <c r="J26" s="69"/>
      <c r="K26" s="69"/>
      <c r="L26" s="69"/>
      <c r="M26" s="69"/>
      <c r="N26" s="69"/>
      <c r="O26" s="61"/>
      <c r="P26" s="61"/>
      <c r="Q26" s="61"/>
      <c r="R26" s="61"/>
      <c r="S26" s="70" t="n">
        <f aca="false">F26/10000</f>
        <v>35</v>
      </c>
      <c r="T26" s="70" t="n">
        <f aca="false">ROUNDUP(S26,0)</f>
        <v>35</v>
      </c>
      <c r="U26" s="71" t="s">
        <v>40</v>
      </c>
      <c r="V26" s="71" t="n">
        <f aca="false">F26</f>
        <v>350000</v>
      </c>
      <c r="W26" s="72"/>
      <c r="X26" s="72"/>
      <c r="Y26" s="72" t="n">
        <v>350000</v>
      </c>
      <c r="Z26" s="73"/>
      <c r="AA26" s="73"/>
      <c r="AB26" s="73"/>
      <c r="AC26" s="73" t="s">
        <v>420</v>
      </c>
      <c r="AD26" s="59" t="n">
        <v>27211</v>
      </c>
      <c r="AE26" s="75" t="n">
        <f aca="false">ROUNDUP(DAYS360(AD26,$AE$3)/365,0)</f>
        <v>27</v>
      </c>
      <c r="AF26" s="73"/>
      <c r="AG26" s="73"/>
      <c r="AH26" s="73"/>
      <c r="AI26" s="73"/>
      <c r="AJ26" s="73"/>
      <c r="AK26" s="66"/>
      <c r="AL26" s="12" t="n">
        <f aca="false">IF(AC26="N",V26,0)</f>
        <v>0</v>
      </c>
      <c r="AM26" s="12" t="n">
        <f aca="false">IF(AL26&gt;0,1,0)</f>
        <v>0</v>
      </c>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c r="IW26" s="66"/>
    </row>
    <row r="27" customFormat="false" ht="15" hidden="false" customHeight="false" outlineLevel="0" collapsed="false">
      <c r="A27" s="74"/>
      <c r="B27" s="43" t="s">
        <v>235</v>
      </c>
      <c r="D27" s="43" t="s">
        <v>236</v>
      </c>
      <c r="F27" s="48" t="n">
        <v>35000</v>
      </c>
      <c r="G27" s="48" t="n">
        <f aca="false">F27/52</f>
        <v>673.076923076923</v>
      </c>
      <c r="H27" s="61" t="n">
        <f aca="false">IF(AC27="N",IF(F27&lt;$G$3,$F$3*G27*AE27,IF(F27&lt;$G$2,$F$2*G27*AE27,$F$1*G27*AE27)),0)</f>
        <v>0</v>
      </c>
      <c r="I27" s="61" t="n">
        <f aca="false">IF(AC27="Y",(IF(F27&lt;$G$3,$F$3*G27*AE27,IF(F27&lt;$G$2,$F$2*G27*AE27,$F$1*G27*AE27))*$L$2),0)</f>
        <v>3028.84615384615</v>
      </c>
      <c r="J27" s="61"/>
      <c r="K27" s="61" t="n">
        <f aca="false">IF(AC27="N",(MIN((($F$3*G27*AE27+ROUNDUP((F27/10000),0)*G27)*2),F27)),0)</f>
        <v>0</v>
      </c>
      <c r="L27" s="61" t="n">
        <f aca="false">IF(AC27="Y",(MIN((($F$3*G27*AE27+ROUNDUP((F27/10000),0)*G27)*2),F27))*$L$2,0)</f>
        <v>14134.6153846154</v>
      </c>
      <c r="M27" s="61" t="n">
        <f aca="false">IF(AC27="N",IF((F27/10000*G27*$M$2)&gt;F27*$M$1,F27*$M$1,(F27/10000*G27*$M$2)),0)</f>
        <v>0</v>
      </c>
      <c r="N27" s="61" t="n">
        <f aca="false">IF(AC27="Y",(IF((F27/10000*G27*$M$2)&gt;F27*$M$1,F27*$M$1,(F27/10000*G27*$M$2)))*$L$2,0)</f>
        <v>7067.30769230769</v>
      </c>
      <c r="O27" s="61" t="n">
        <f aca="false">MAX(IF(F27&lt;$G$3,$F$3*G27*AE27,IF(F27&lt;$G$2,$F$2*G27*AE27,$F$1*G27*AE27)),IF((F27/10000*G27*$M$2)&gt;F27*$M$1,F27*$M$1,(F27/10000*G27*$M$2)))</f>
        <v>4711.53846153846</v>
      </c>
      <c r="P27" s="61" t="n">
        <f aca="false">MIN(IF(F27&lt;$G$3,$F$3*G27*AE27,IF(F27&lt;$G$2,$F$2*G27*AE27,$F$1*G27*AE27)),IF((F27/10000*G27*$M$2)&gt;F27*$M$1,F27*$M$1,(F27/10000*G27*$M$2)))</f>
        <v>2019.23076923077</v>
      </c>
      <c r="Q27" s="61" t="n">
        <f aca="false">MAX(I27,N27)</f>
        <v>7067.30769230769</v>
      </c>
      <c r="R27" s="61" t="n">
        <f aca="false">MIN(I27,N27)</f>
        <v>3028.84615384615</v>
      </c>
      <c r="S27" s="62" t="n">
        <f aca="false">F27/10000</f>
        <v>3.5</v>
      </c>
      <c r="T27" s="62" t="n">
        <f aca="false">ROUNDUP(S27,0)</f>
        <v>4</v>
      </c>
      <c r="U27" s="44" t="s">
        <v>40</v>
      </c>
      <c r="V27" s="44" t="n">
        <f aca="false">F27</f>
        <v>35000</v>
      </c>
      <c r="Y27" s="45" t="n">
        <f aca="false">(W27+X27)</f>
        <v>0</v>
      </c>
      <c r="AC27" s="46" t="s">
        <v>420</v>
      </c>
      <c r="AD27" s="47" t="n">
        <v>36293</v>
      </c>
      <c r="AE27" s="63" t="n">
        <f aca="false">ROUNDUP(DAYS360(AD27,$AE$3)/365,0)</f>
        <v>3</v>
      </c>
      <c r="AL27" s="43" t="n">
        <f aca="false">IF(AC27="N",V27,0)</f>
        <v>0</v>
      </c>
      <c r="AM27" s="43" t="n">
        <f aca="false">IF(AL27&gt;0,1,0)</f>
        <v>0</v>
      </c>
    </row>
    <row r="28" customFormat="false" ht="15" hidden="false" customHeight="false" outlineLevel="0" collapsed="false">
      <c r="A28" s="74"/>
      <c r="B28" s="76" t="s">
        <v>109</v>
      </c>
      <c r="C28" s="76"/>
      <c r="D28" s="76" t="s">
        <v>110</v>
      </c>
      <c r="E28" s="76"/>
      <c r="F28" s="77" t="n">
        <v>132430</v>
      </c>
      <c r="G28" s="77" t="n">
        <f aca="false">F28/52</f>
        <v>2546.73076923077</v>
      </c>
      <c r="H28" s="61" t="n">
        <f aca="false">IF(AC28="N",IF(F28&lt;$G$3,$F$3*G28*AE28,IF(F28&lt;$G$2,$F$2*G28*AE28,$F$1*G28*AE28)),0)</f>
        <v>0</v>
      </c>
      <c r="I28" s="61" t="n">
        <f aca="false">IF(AC28="Y",(IF(F28&lt;$G$3,$F$3*G28*AE28,IF(F28&lt;$G$2,$F$2*G28*AE28,$F$1*G28*AE28))*$L$2),0)</f>
        <v>76401.9230769231</v>
      </c>
      <c r="J28" s="61"/>
      <c r="K28" s="61" t="n">
        <f aca="false">IF(AC28="N",(MIN((($F$3*G28*AE28+ROUNDUP((F28/10000),0)*G28)*2),F28)),0)</f>
        <v>0</v>
      </c>
      <c r="L28" s="61" t="n">
        <f aca="false">IF(AC28="Y",(MIN((($F$3*G28*AE28+ROUNDUP((F28/10000),0)*G28)*2),F28))*$L$2,0)</f>
        <v>145163.653846154</v>
      </c>
      <c r="M28" s="61" t="n">
        <f aca="false">IF(AC28="N",IF((F28/10000*G28*$M$2)&gt;F28*$M$1,F28*$M$1,(F28/10000*G28*$M$2)),0)</f>
        <v>0</v>
      </c>
      <c r="N28" s="61" t="n">
        <f aca="false">IF(AC28="Y",(IF((F28/10000*G28*$M$2)&gt;F28*$M$1,F28*$M$1,(F28/10000*G28*$M$2)))*$L$2,0)</f>
        <v>101179.066730769</v>
      </c>
      <c r="O28" s="61" t="n">
        <f aca="false">MAX(IF(F28&lt;$G$3,$F$3*G28*AE28,IF(F28&lt;$G$2,$F$2*G28*AE28,$F$1*G28*AE28)),IF((F28/10000*G28*$M$2)&gt;F28*$M$1,F28*$M$1,(F28/10000*G28*$M$2)))</f>
        <v>67452.7111538462</v>
      </c>
      <c r="P28" s="61" t="n">
        <f aca="false">MIN(IF(F28&lt;$G$3,$F$3*G28*AE28,IF(F28&lt;$G$2,$F$2*G28*AE28,$F$1*G28*AE28)),IF((F28/10000*G28*$M$2)&gt;F28*$M$1,F28*$M$1,(F28/10000*G28*$M$2)))</f>
        <v>50934.6153846154</v>
      </c>
      <c r="Q28" s="61" t="n">
        <f aca="false">MAX(I28,N28)</f>
        <v>101179.066730769</v>
      </c>
      <c r="R28" s="61" t="n">
        <f aca="false">MIN(I28,N28)</f>
        <v>76401.9230769231</v>
      </c>
      <c r="S28" s="78" t="n">
        <f aca="false">F28/10000</f>
        <v>13.243</v>
      </c>
      <c r="T28" s="78" t="n">
        <f aca="false">ROUNDUP(S28,0)</f>
        <v>14</v>
      </c>
      <c r="U28" s="79" t="s">
        <v>40</v>
      </c>
      <c r="V28" s="79" t="n">
        <f aca="false">F28</f>
        <v>132430</v>
      </c>
      <c r="W28" s="80"/>
      <c r="X28" s="80"/>
      <c r="Y28" s="80" t="n">
        <v>13000</v>
      </c>
      <c r="Z28" s="81"/>
      <c r="AA28" s="81"/>
      <c r="AB28" s="81"/>
      <c r="AC28" s="81" t="s">
        <v>420</v>
      </c>
      <c r="AD28" s="47" t="n">
        <v>35464</v>
      </c>
      <c r="AE28" s="63" t="n">
        <f aca="false">ROUNDUP(DAYS360(AD28,$AE$3)/365,0)</f>
        <v>5</v>
      </c>
      <c r="AF28" s="81"/>
      <c r="AG28" s="81"/>
      <c r="AH28" s="81"/>
      <c r="AI28" s="81"/>
      <c r="AJ28" s="81"/>
      <c r="AK28" s="76"/>
      <c r="AL28" s="43" t="n">
        <f aca="false">IF(AC28="N",V28,0)</f>
        <v>0</v>
      </c>
      <c r="AM28" s="43" t="n">
        <f aca="false">IF(AL28&gt;0,1,0)</f>
        <v>0</v>
      </c>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c r="IW28" s="76"/>
    </row>
    <row r="29" customFormat="false" ht="15" hidden="false" customHeight="false" outlineLevel="0" collapsed="false">
      <c r="A29" s="74"/>
      <c r="B29" s="43" t="s">
        <v>131</v>
      </c>
      <c r="D29" s="43" t="s">
        <v>132</v>
      </c>
      <c r="F29" s="48" t="n">
        <v>85000</v>
      </c>
      <c r="G29" s="48" t="n">
        <f aca="false">F29/52</f>
        <v>1634.61538461538</v>
      </c>
      <c r="H29" s="61" t="n">
        <f aca="false">IF(AC29="N",IF(F29&lt;$G$3,$F$3*G29*AE29,IF(F29&lt;$G$2,$F$2*G29*AE29,$F$1*G29*AE29)),0)</f>
        <v>0</v>
      </c>
      <c r="I29" s="61" t="n">
        <f aca="false">IF(AC29="Y",(IF(F29&lt;$G$3,$F$3*G29*AE29,IF(F29&lt;$G$2,$F$2*G29*AE29,$F$1*G29*AE29))*$L$2),0)</f>
        <v>53942.3076923077</v>
      </c>
      <c r="J29" s="61"/>
      <c r="K29" s="61" t="n">
        <f aca="false">IF(AC29="N",(MIN((($F$3*G29*AE29+ROUNDUP((F29/10000),0)*G29)*2),F29)),0)</f>
        <v>0</v>
      </c>
      <c r="L29" s="61" t="n">
        <f aca="false">IF(AC29="Y",(MIN((($F$3*G29*AE29+ROUNDUP((F29/10000),0)*G29)*2),F29))*$L$2,0)</f>
        <v>98076.9230769231</v>
      </c>
      <c r="M29" s="61" t="n">
        <f aca="false">IF(AC29="N",IF((F29/10000*G29*$M$2)&gt;F29*$M$1,F29*$M$1,(F29/10000*G29*$M$2)),0)</f>
        <v>0</v>
      </c>
      <c r="N29" s="61" t="n">
        <f aca="false">IF(AC29="Y",(IF((F29/10000*G29*$M$2)&gt;F29*$M$1,F29*$M$1,(F29/10000*G29*$M$2)))*$L$2,0)</f>
        <v>41682.6923076923</v>
      </c>
      <c r="O29" s="61" t="n">
        <f aca="false">MAX(IF(F29&lt;$G$3,$F$3*G29*AE29,IF(F29&lt;$G$2,$F$2*G29*AE29,$F$1*G29*AE29)),IF((F29/10000*G29*$M$2)&gt;F29*$M$1,F29*$M$1,(F29/10000*G29*$M$2)))</f>
        <v>35961.5384615385</v>
      </c>
      <c r="P29" s="61" t="n">
        <f aca="false">MIN(IF(F29&lt;$G$3,$F$3*G29*AE29,IF(F29&lt;$G$2,$F$2*G29*AE29,$F$1*G29*AE29)),IF((F29/10000*G29*$M$2)&gt;F29*$M$1,F29*$M$1,(F29/10000*G29*$M$2)))</f>
        <v>27788.4615384615</v>
      </c>
      <c r="Q29" s="61" t="n">
        <f aca="false">MAX(I29,N29)</f>
        <v>53942.3076923077</v>
      </c>
      <c r="R29" s="61" t="n">
        <f aca="false">MIN(I29,N29)</f>
        <v>41682.6923076923</v>
      </c>
      <c r="S29" s="62" t="n">
        <f aca="false">F29/10000</f>
        <v>8.5</v>
      </c>
      <c r="T29" s="62" t="n">
        <f aca="false">ROUNDUP(S29,0)</f>
        <v>9</v>
      </c>
      <c r="U29" s="44" t="s">
        <v>40</v>
      </c>
      <c r="V29" s="44" t="n">
        <f aca="false">F29</f>
        <v>85000</v>
      </c>
      <c r="Y29" s="45" t="n">
        <v>7000</v>
      </c>
      <c r="AC29" s="46" t="s">
        <v>420</v>
      </c>
      <c r="AD29" s="47" t="n">
        <v>33294</v>
      </c>
      <c r="AE29" s="63" t="n">
        <f aca="false">ROUNDUP(DAYS360(AD29,$AE$3)/365,0)</f>
        <v>11</v>
      </c>
      <c r="AL29" s="43" t="n">
        <f aca="false">IF(AC29="N",V29,0)</f>
        <v>0</v>
      </c>
      <c r="AM29" s="43" t="n">
        <f aca="false">IF(AL29&gt;0,1,0)</f>
        <v>0</v>
      </c>
    </row>
    <row r="30" customFormat="false" ht="15" hidden="false" customHeight="false" outlineLevel="0" collapsed="false">
      <c r="A30" s="74"/>
      <c r="B30" s="43" t="s">
        <v>299</v>
      </c>
      <c r="D30" s="43" t="s">
        <v>300</v>
      </c>
      <c r="F30" s="48" t="n">
        <v>114645</v>
      </c>
      <c r="G30" s="48" t="n">
        <f aca="false">F30/52</f>
        <v>2204.71153846154</v>
      </c>
      <c r="H30" s="61" t="n">
        <f aca="false">IF(AC30="N",IF(F30&lt;$G$3,$F$3*G30*AE30,IF(F30&lt;$G$2,$F$2*G30*AE30,$F$1*G30*AE30)),0)</f>
        <v>105826.153846154</v>
      </c>
      <c r="I30" s="61" t="n">
        <f aca="false">IF(AC30="Y",(IF(F30&lt;$G$3,$F$3*G30*AE30,IF(F30&lt;$G$2,$F$2*G30*AE30,$F$1*G30*AE30))*$L$2),0)</f>
        <v>0</v>
      </c>
      <c r="J30" s="61"/>
      <c r="K30" s="61" t="n">
        <f aca="false">IF(AC30="N",(MIN((($F$3*G30*AE30+ROUNDUP((F30/10000),0)*G30)*2),F30)),0)</f>
        <v>105826.153846154</v>
      </c>
      <c r="L30" s="61" t="n">
        <f aca="false">IF(AC30="Y",(MIN((($F$3*G30*AE30+ROUNDUP((F30/10000),0)*G30)*2),F30))*$L$2,0)</f>
        <v>0</v>
      </c>
      <c r="M30" s="61" t="n">
        <f aca="false">IF(AC30="N",IF((F30/10000*G30*$M$2)&gt;F30*$M$1,F30*$M$1,(F30/10000*G30*$M$2)),0)</f>
        <v>50551.8308653846</v>
      </c>
      <c r="N30" s="61" t="n">
        <f aca="false">IF(AC30="Y",(IF((F30/10000*G30*$M$2)&gt;F30*$M$1,F30*$M$1,(F30/10000*G30*$M$2)))*$L$2,0)</f>
        <v>0</v>
      </c>
      <c r="O30" s="61" t="n">
        <f aca="false">MAX(IF(F30&lt;$G$3,$F$3*G30*AE30,IF(F30&lt;$G$2,$F$2*G30*AE30,$F$1*G30*AE30)),IF((F30/10000*G30*$M$2)&gt;F30*$M$1,F30*$M$1,(F30/10000*G30*$M$2)))</f>
        <v>105826.153846154</v>
      </c>
      <c r="P30" s="61" t="n">
        <f aca="false">MIN(IF(F30&lt;$G$3,$F$3*G30*AE30,IF(F30&lt;$G$2,$F$2*G30*AE30,$F$1*G30*AE30)),IF((F30/10000*G30*$M$2)&gt;F30*$M$1,F30*$M$1,(F30/10000*G30*$M$2)))</f>
        <v>50551.8308653846</v>
      </c>
      <c r="Q30" s="61" t="n">
        <f aca="false">MAX(I30,N30)</f>
        <v>0</v>
      </c>
      <c r="R30" s="61" t="n">
        <f aca="false">MIN(I30,N30)</f>
        <v>0</v>
      </c>
      <c r="S30" s="62" t="n">
        <f aca="false">F30/10000</f>
        <v>11.4645</v>
      </c>
      <c r="T30" s="62" t="n">
        <f aca="false">ROUNDUP(S30,0)</f>
        <v>12</v>
      </c>
      <c r="U30" s="44" t="s">
        <v>40</v>
      </c>
      <c r="V30" s="44" t="n">
        <f aca="false">F30</f>
        <v>114645</v>
      </c>
      <c r="Y30" s="45" t="n">
        <f aca="false">(W30+X30)</f>
        <v>0</v>
      </c>
      <c r="AC30" s="46" t="s">
        <v>419</v>
      </c>
      <c r="AD30" s="47" t="n">
        <v>32804</v>
      </c>
      <c r="AE30" s="63" t="n">
        <f aca="false">ROUNDUP(DAYS360(AD30,$AE$3)/365,0)</f>
        <v>12</v>
      </c>
      <c r="AF30" s="62" t="n">
        <f aca="false">(G30*AE30)+(G30*T30)</f>
        <v>52913.0769230769</v>
      </c>
      <c r="AG30" s="62" t="n">
        <f aca="false">26*G30</f>
        <v>57322.5</v>
      </c>
      <c r="AH30" s="62" t="n">
        <f aca="false">G30*52</f>
        <v>114645</v>
      </c>
      <c r="AI30" s="62" t="n">
        <f aca="false">AF30*2</f>
        <v>105826.153846154</v>
      </c>
      <c r="AJ30" s="62"/>
      <c r="AL30" s="43" t="n">
        <f aca="false">IF(AC30="N",V30,0)</f>
        <v>114645</v>
      </c>
      <c r="AM30" s="43" t="n">
        <f aca="false">IF(AL30&gt;0,1,0)</f>
        <v>1</v>
      </c>
    </row>
    <row r="31" customFormat="false" ht="15" hidden="false" customHeight="false" outlineLevel="0" collapsed="false">
      <c r="A31" s="74"/>
      <c r="B31" s="43" t="s">
        <v>91</v>
      </c>
      <c r="D31" s="43" t="s">
        <v>92</v>
      </c>
      <c r="F31" s="48" t="n">
        <v>200000</v>
      </c>
      <c r="G31" s="48" t="n">
        <f aca="false">F31/52</f>
        <v>3846.15384615385</v>
      </c>
      <c r="H31" s="61" t="n">
        <f aca="false">IF(AC31="N",IF(F31&lt;$G$3,$F$3*G31*AE31,IF(F31&lt;$G$2,$F$2*G31*AE31,$F$1*G31*AE31)),0)</f>
        <v>0</v>
      </c>
      <c r="I31" s="61" t="n">
        <f aca="false">IF(AC31="Y",(IF(F31&lt;$G$3,$F$3*G31*AE31,IF(F31&lt;$G$2,$F$2*G31*AE31,$F$1*G31*AE31))*$L$2),0)</f>
        <v>23076.9230769231</v>
      </c>
      <c r="J31" s="61"/>
      <c r="K31" s="61" t="n">
        <f aca="false">IF(AC31="N",(MIN((($F$3*G31*AE31+ROUNDUP((F31/10000),0)*G31)*2),F31)),0)</f>
        <v>0</v>
      </c>
      <c r="L31" s="61" t="n">
        <f aca="false">IF(AC31="Y",(MIN((($F$3*G31*AE31+ROUNDUP((F31/10000),0)*G31)*2),F31))*$L$2,0)</f>
        <v>242307.692307692</v>
      </c>
      <c r="M31" s="61" t="n">
        <f aca="false">IF(AC31="N",IF((F31/10000*G31*$M$2)&gt;F31*$M$1,F31*$M$1,(F31/10000*G31*$M$2)),0)</f>
        <v>0</v>
      </c>
      <c r="N31" s="61" t="n">
        <f aca="false">IF(AC31="Y",(IF((F31/10000*G31*$M$2)&gt;F31*$M$1,F31*$M$1,(F31/10000*G31*$M$2)))*$L$2,0)</f>
        <v>225000</v>
      </c>
      <c r="O31" s="61" t="n">
        <f aca="false">MAX(IF(F31&lt;$G$3,$F$3*G31*AE31,IF(F31&lt;$G$2,$F$2*G31*AE31,$F$1*G31*AE31)),IF((F31/10000*G31*$M$2)&gt;F31*$M$1,F31*$M$1,(F31/10000*G31*$M$2)))</f>
        <v>150000</v>
      </c>
      <c r="P31" s="61" t="n">
        <f aca="false">MIN(IF(F31&lt;$G$3,$F$3*G31*AE31,IF(F31&lt;$G$2,$F$2*G31*AE31,$F$1*G31*AE31)),IF((F31/10000*G31*$M$2)&gt;F31*$M$1,F31*$M$1,(F31/10000*G31*$M$2)))</f>
        <v>15384.6153846154</v>
      </c>
      <c r="Q31" s="61" t="n">
        <f aca="false">MAX(I31,N31)</f>
        <v>225000</v>
      </c>
      <c r="R31" s="61" t="n">
        <f aca="false">MIN(I31,N31)</f>
        <v>23076.9230769231</v>
      </c>
      <c r="S31" s="62" t="n">
        <f aca="false">F31/10000</f>
        <v>20</v>
      </c>
      <c r="T31" s="62" t="n">
        <f aca="false">ROUNDUP(S31,0)</f>
        <v>20</v>
      </c>
      <c r="U31" s="44" t="s">
        <v>40</v>
      </c>
      <c r="V31" s="44" t="n">
        <f aca="false">F31</f>
        <v>200000</v>
      </c>
      <c r="Y31" s="45" t="n">
        <f aca="false">(W31+X31)</f>
        <v>0</v>
      </c>
      <c r="AC31" s="46" t="s">
        <v>420</v>
      </c>
      <c r="AD31" s="47" t="n">
        <v>36850</v>
      </c>
      <c r="AE31" s="63" t="n">
        <f aca="false">ROUNDUP(DAYS360(AD31,$AE$3)/365,0)</f>
        <v>1</v>
      </c>
      <c r="AL31" s="43" t="n">
        <f aca="false">IF(AC31="N",V31,0)</f>
        <v>0</v>
      </c>
      <c r="AM31" s="43" t="n">
        <f aca="false">IF(AL31&gt;0,1,0)</f>
        <v>0</v>
      </c>
    </row>
    <row r="32" customFormat="false" ht="15" hidden="false" customHeight="false" outlineLevel="0" collapsed="false">
      <c r="A32" s="74"/>
      <c r="B32" s="43" t="s">
        <v>325</v>
      </c>
      <c r="D32" s="43" t="s">
        <v>326</v>
      </c>
      <c r="F32" s="48" t="n">
        <v>60000</v>
      </c>
      <c r="G32" s="48" t="n">
        <f aca="false">F32/52</f>
        <v>1153.84615384615</v>
      </c>
      <c r="H32" s="61" t="n">
        <f aca="false">IF(AC32="N",IF(F32&lt;$G$3,$F$3*G32*AE32,IF(F32&lt;$G$2,$F$2*G32*AE32,$F$1*G32*AE32)),0)</f>
        <v>30000</v>
      </c>
      <c r="I32" s="61" t="n">
        <f aca="false">IF(AC32="Y",(IF(F32&lt;$G$3,$F$3*G32*AE32,IF(F32&lt;$G$2,$F$2*G32*AE32,$F$1*G32*AE32))*$L$2),0)</f>
        <v>0</v>
      </c>
      <c r="J32" s="61"/>
      <c r="K32" s="61" t="n">
        <f aca="false">IF(AC32="N",(MIN((($F$3*G32*AE32+ROUNDUP((F32/10000),0)*G32)*2),F32)),0)</f>
        <v>43846.1538461538</v>
      </c>
      <c r="L32" s="61" t="n">
        <f aca="false">IF(AC32="Y",(MIN((($F$3*G32*AE32+ROUNDUP((F32/10000),0)*G32)*2),F32))*$L$2,0)</f>
        <v>0</v>
      </c>
      <c r="M32" s="61" t="n">
        <f aca="false">IF(AC32="N",IF((F32/10000*G32*$M$2)&gt;F32*$M$1,F32*$M$1,(F32/10000*G32*$M$2)),0)</f>
        <v>13846.1538461538</v>
      </c>
      <c r="N32" s="61" t="n">
        <f aca="false">IF(AC32="Y",(IF((F32/10000*G32*$M$2)&gt;F32*$M$1,F32*$M$1,(F32/10000*G32*$M$2)))*$L$2,0)</f>
        <v>0</v>
      </c>
      <c r="O32" s="61" t="n">
        <f aca="false">MAX(IF(F32&lt;$G$3,$F$3*G32*AE32,IF(F32&lt;$G$2,$F$2*G32*AE32,$F$1*G32*AE32)),IF((F32/10000*G32*$M$2)&gt;F32*$M$1,F32*$M$1,(F32/10000*G32*$M$2)))</f>
        <v>30000</v>
      </c>
      <c r="P32" s="61" t="n">
        <f aca="false">MIN(IF(F32&lt;$G$3,$F$3*G32*AE32,IF(F32&lt;$G$2,$F$2*G32*AE32,$F$1*G32*AE32)),IF((F32/10000*G32*$M$2)&gt;F32*$M$1,F32*$M$1,(F32/10000*G32*$M$2)))</f>
        <v>13846.1538461538</v>
      </c>
      <c r="Q32" s="61" t="n">
        <f aca="false">MAX(I32,N32)</f>
        <v>0</v>
      </c>
      <c r="R32" s="61" t="n">
        <f aca="false">MIN(I32,N32)</f>
        <v>0</v>
      </c>
      <c r="S32" s="62" t="n">
        <f aca="false">F32/10000</f>
        <v>6</v>
      </c>
      <c r="T32" s="62" t="n">
        <f aca="false">ROUNDUP(S32,0)</f>
        <v>6</v>
      </c>
      <c r="U32" s="44" t="s">
        <v>40</v>
      </c>
      <c r="V32" s="44" t="n">
        <f aca="false">F32</f>
        <v>60000</v>
      </c>
      <c r="Y32" s="45" t="n">
        <f aca="false">(W32+X32)</f>
        <v>0</v>
      </c>
      <c r="AC32" s="46" t="s">
        <v>419</v>
      </c>
      <c r="AD32" s="47" t="n">
        <v>32468</v>
      </c>
      <c r="AE32" s="63" t="n">
        <f aca="false">ROUNDUP(DAYS360(AD32,$AE$3)/365,0)</f>
        <v>13</v>
      </c>
      <c r="AF32" s="62" t="n">
        <f aca="false">(G32*AE32)+(G32*T32)</f>
        <v>21923.0769230769</v>
      </c>
      <c r="AG32" s="62" t="n">
        <f aca="false">26*G32</f>
        <v>30000</v>
      </c>
      <c r="AH32" s="62" t="n">
        <f aca="false">G32*52</f>
        <v>60000</v>
      </c>
      <c r="AI32" s="62" t="n">
        <f aca="false">AF32*2</f>
        <v>43846.1538461538</v>
      </c>
      <c r="AJ32" s="62"/>
      <c r="AL32" s="43" t="n">
        <f aca="false">IF(AC32="N",V32,0)</f>
        <v>60000</v>
      </c>
      <c r="AM32" s="43" t="n">
        <f aca="false">IF(AL32&gt;0,1,0)</f>
        <v>1</v>
      </c>
    </row>
    <row r="33" customFormat="false" ht="15" hidden="false" customHeight="false" outlineLevel="0" collapsed="false">
      <c r="A33" s="74"/>
      <c r="B33" s="43" t="s">
        <v>374</v>
      </c>
      <c r="D33" s="43" t="s">
        <v>375</v>
      </c>
      <c r="F33" s="82" t="n">
        <f aca="false">13.5*2080</f>
        <v>28080</v>
      </c>
      <c r="G33" s="48" t="n">
        <f aca="false">F33/52</f>
        <v>540</v>
      </c>
      <c r="H33" s="61" t="n">
        <f aca="false">IF(AC33="N",IF(F33&lt;$G$3,$F$3*G33*AE33,IF(F33&lt;$G$2,$F$2*G33*AE33,$F$1*G33*AE33)),0)</f>
        <v>1080</v>
      </c>
      <c r="I33" s="61" t="n">
        <f aca="false">IF(AC33="Y",(IF(F33&lt;$G$3,$F$3*G33*AE33,IF(F33&lt;$G$2,$F$2*G33*AE33,$F$1*G33*AE33))*$L$2),0)</f>
        <v>0</v>
      </c>
      <c r="J33" s="61"/>
      <c r="K33" s="61" t="n">
        <f aca="false">IF(AC33="N",(MIN((($F$3*G33*AE33+ROUNDUP((F33/10000),0)*G33)*2),F33)),0)</f>
        <v>5400</v>
      </c>
      <c r="L33" s="61" t="n">
        <f aca="false">IF(AC33="Y",(MIN((($F$3*G33*AE33+ROUNDUP((F33/10000),0)*G33)*2),F33))*$L$2,0)</f>
        <v>0</v>
      </c>
      <c r="M33" s="61" t="n">
        <f aca="false">IF(AC33="N",IF((F33/10000*G33*$M$2)&gt;F33*$M$1,F33*$M$1,(F33/10000*G33*$M$2)),0)</f>
        <v>3032.64</v>
      </c>
      <c r="N33" s="61" t="n">
        <f aca="false">IF(AC33="Y",(IF((F33/10000*G33*$M$2)&gt;F33*$M$1,F33*$M$1,(F33/10000*G33*$M$2)))*$L$2,0)</f>
        <v>0</v>
      </c>
      <c r="O33" s="61" t="n">
        <f aca="false">MAX(IF(F33&lt;$G$3,$F$3*G33*AE33,IF(F33&lt;$G$2,$F$2*G33*AE33,$F$1*G33*AE33)),IF((F33/10000*G33*$M$2)&gt;F33*$M$1,F33*$M$1,(F33/10000*G33*$M$2)))</f>
        <v>3032.64</v>
      </c>
      <c r="P33" s="61" t="n">
        <f aca="false">MIN(IF(F33&lt;$G$3,$F$3*G33*AE33,IF(F33&lt;$G$2,$F$2*G33*AE33,$F$1*G33*AE33)),IF((F33/10000*G33*$M$2)&gt;F33*$M$1,F33*$M$1,(F33/10000*G33*$M$2)))</f>
        <v>1080</v>
      </c>
      <c r="Q33" s="61" t="n">
        <f aca="false">MAX(I33,N33)</f>
        <v>0</v>
      </c>
      <c r="R33" s="61" t="n">
        <f aca="false">MIN(I33,N33)</f>
        <v>0</v>
      </c>
      <c r="S33" s="62" t="n">
        <f aca="false">F33/10000</f>
        <v>2.808</v>
      </c>
      <c r="T33" s="62" t="n">
        <f aca="false">ROUNDUP(S33,0)</f>
        <v>3</v>
      </c>
      <c r="U33" s="44" t="s">
        <v>40</v>
      </c>
      <c r="V33" s="44" t="n">
        <f aca="false">F33</f>
        <v>28080</v>
      </c>
      <c r="Y33" s="45" t="n">
        <f aca="false">(W33+X33)</f>
        <v>0</v>
      </c>
      <c r="AC33" s="46" t="s">
        <v>419</v>
      </c>
      <c r="AD33" s="47" t="n">
        <v>36381</v>
      </c>
      <c r="AE33" s="63" t="n">
        <f aca="false">ROUNDUP(DAYS360(AD33,$AE$3)/365,0)</f>
        <v>2</v>
      </c>
      <c r="AF33" s="62" t="n">
        <f aca="false">(G33*AE33)+(G33*T33)</f>
        <v>2700</v>
      </c>
      <c r="AG33" s="62" t="n">
        <f aca="false">26*G33</f>
        <v>14040</v>
      </c>
      <c r="AH33" s="62" t="n">
        <f aca="false">G33*52</f>
        <v>28080</v>
      </c>
      <c r="AI33" s="62" t="n">
        <f aca="false">AF33*2</f>
        <v>5400</v>
      </c>
      <c r="AJ33" s="62"/>
      <c r="AK33" s="43" t="s">
        <v>421</v>
      </c>
      <c r="AL33" s="43" t="n">
        <f aca="false">IF(AC33="N",V33,0)</f>
        <v>28080</v>
      </c>
      <c r="AM33" s="43" t="n">
        <f aca="false">IF(AL33&gt;0,1,0)</f>
        <v>1</v>
      </c>
    </row>
    <row r="34" customFormat="false" ht="15" hidden="false" customHeight="false" outlineLevel="0" collapsed="false">
      <c r="A34" s="74"/>
      <c r="B34" s="43" t="s">
        <v>345</v>
      </c>
      <c r="D34" s="43" t="s">
        <v>236</v>
      </c>
      <c r="F34" s="48" t="n">
        <v>45000</v>
      </c>
      <c r="G34" s="48" t="n">
        <f aca="false">F34/52</f>
        <v>865.384615384615</v>
      </c>
      <c r="H34" s="61" t="n">
        <f aca="false">IF(AC34="N",IF(F34&lt;$G$3,$F$3*G34*AE34,IF(F34&lt;$G$2,$F$2*G34*AE34,$F$1*G34*AE34)),0)</f>
        <v>6923.07692307692</v>
      </c>
      <c r="I34" s="61" t="n">
        <f aca="false">IF(AC34="Y",(IF(F34&lt;$G$3,$F$3*G34*AE34,IF(F34&lt;$G$2,$F$2*G34*AE34,$F$1*G34*AE34))*$L$2),0)</f>
        <v>0</v>
      </c>
      <c r="J34" s="61"/>
      <c r="K34" s="61" t="n">
        <f aca="false">IF(AC34="N",(MIN((($F$3*G34*AE34+ROUNDUP((F34/10000),0)*G34)*2),F34)),0)</f>
        <v>22500</v>
      </c>
      <c r="L34" s="61" t="n">
        <f aca="false">IF(AC34="Y",(MIN((($F$3*G34*AE34+ROUNDUP((F34/10000),0)*G34)*2),F34))*$L$2,0)</f>
        <v>0</v>
      </c>
      <c r="M34" s="61" t="n">
        <f aca="false">IF(AC34="N",IF((F34/10000*G34*$M$2)&gt;F34*$M$1,F34*$M$1,(F34/10000*G34*$M$2)),0)</f>
        <v>7788.46153846154</v>
      </c>
      <c r="N34" s="61" t="n">
        <f aca="false">IF(AC34="Y",(IF((F34/10000*G34*$M$2)&gt;F34*$M$1,F34*$M$1,(F34/10000*G34*$M$2)))*$L$2,0)</f>
        <v>0</v>
      </c>
      <c r="O34" s="61" t="n">
        <f aca="false">MAX(IF(F34&lt;$G$3,$F$3*G34*AE34,IF(F34&lt;$G$2,$F$2*G34*AE34,$F$1*G34*AE34)),IF((F34/10000*G34*$M$2)&gt;F34*$M$1,F34*$M$1,(F34/10000*G34*$M$2)))</f>
        <v>7788.46153846154</v>
      </c>
      <c r="P34" s="61" t="n">
        <f aca="false">MIN(IF(F34&lt;$G$3,$F$3*G34*AE34,IF(F34&lt;$G$2,$F$2*G34*AE34,$F$1*G34*AE34)),IF((F34/10000*G34*$M$2)&gt;F34*$M$1,F34*$M$1,(F34/10000*G34*$M$2)))</f>
        <v>6923.07692307692</v>
      </c>
      <c r="Q34" s="61" t="n">
        <f aca="false">MAX(I34,N34)</f>
        <v>0</v>
      </c>
      <c r="R34" s="61" t="n">
        <f aca="false">MIN(I34,N34)</f>
        <v>0</v>
      </c>
      <c r="S34" s="62" t="n">
        <f aca="false">F34/10000</f>
        <v>4.5</v>
      </c>
      <c r="T34" s="62" t="n">
        <f aca="false">ROUNDUP(S34,0)</f>
        <v>5</v>
      </c>
      <c r="U34" s="44" t="s">
        <v>40</v>
      </c>
      <c r="V34" s="44" t="n">
        <f aca="false">F34</f>
        <v>45000</v>
      </c>
      <c r="Y34" s="45" t="n">
        <f aca="false">(W34+X34)</f>
        <v>0</v>
      </c>
      <c r="AC34" s="46" t="s">
        <v>419</v>
      </c>
      <c r="AD34" s="47" t="n">
        <v>34249</v>
      </c>
      <c r="AE34" s="63" t="n">
        <f aca="false">ROUNDUP(DAYS360(AD34,$AE$3)/365,0)</f>
        <v>8</v>
      </c>
      <c r="AF34" s="62" t="n">
        <f aca="false">(G34*AE34)+(G34*T34)</f>
        <v>11250</v>
      </c>
      <c r="AG34" s="62" t="n">
        <f aca="false">26*G34</f>
        <v>22500</v>
      </c>
      <c r="AH34" s="62" t="n">
        <f aca="false">G34*52</f>
        <v>45000</v>
      </c>
      <c r="AI34" s="62" t="n">
        <f aca="false">AF34*2</f>
        <v>22500</v>
      </c>
      <c r="AJ34" s="62"/>
      <c r="AL34" s="43" t="n">
        <f aca="false">IF(AC34="N",V34,0)</f>
        <v>45000</v>
      </c>
      <c r="AM34" s="43" t="n">
        <f aca="false">IF(AL34&gt;0,1,0)</f>
        <v>1</v>
      </c>
    </row>
    <row r="35" customFormat="false" ht="15" hidden="false" customHeight="false" outlineLevel="0" collapsed="false">
      <c r="A35" s="74"/>
      <c r="B35" s="43" t="s">
        <v>332</v>
      </c>
      <c r="D35" s="43" t="s">
        <v>333</v>
      </c>
      <c r="F35" s="48" t="n">
        <v>54050</v>
      </c>
      <c r="G35" s="48" t="n">
        <f aca="false">F35/52</f>
        <v>1039.42307692308</v>
      </c>
      <c r="H35" s="61" t="n">
        <f aca="false">IF(AC35="N",IF(F35&lt;$G$3,$F$3*G35*AE35,IF(F35&lt;$G$2,$F$2*G35*AE35,$F$1*G35*AE35)),0)</f>
        <v>12473.0769230769</v>
      </c>
      <c r="I35" s="61" t="n">
        <f aca="false">IF(AC35="Y",(IF(F35&lt;$G$3,$F$3*G35*AE35,IF(F35&lt;$G$2,$F$2*G35*AE35,$F$1*G35*AE35))*$L$2),0)</f>
        <v>0</v>
      </c>
      <c r="J35" s="61"/>
      <c r="K35" s="61" t="n">
        <f aca="false">IF(AC35="N",(MIN((($F$3*G35*AE35+ROUNDUP((F35/10000),0)*G35)*2),F35)),0)</f>
        <v>24946.1538461538</v>
      </c>
      <c r="L35" s="61" t="n">
        <f aca="false">IF(AC35="Y",(MIN((($F$3*G35*AE35+ROUNDUP((F35/10000),0)*G35)*2),F35))*$L$2,0)</f>
        <v>0</v>
      </c>
      <c r="M35" s="61" t="n">
        <f aca="false">IF(AC35="N",IF((F35/10000*G35*$M$2)&gt;F35*$M$1,F35*$M$1,(F35/10000*G35*$M$2)),0)</f>
        <v>11236.1634615385</v>
      </c>
      <c r="N35" s="61" t="n">
        <f aca="false">IF(AC35="Y",(IF((F35/10000*G35*$M$2)&gt;F35*$M$1,F35*$M$1,(F35/10000*G35*$M$2)))*$L$2,0)</f>
        <v>0</v>
      </c>
      <c r="O35" s="61" t="n">
        <f aca="false">MAX(IF(F35&lt;$G$3,$F$3*G35*AE35,IF(F35&lt;$G$2,$F$2*G35*AE35,$F$1*G35*AE35)),IF((F35/10000*G35*$M$2)&gt;F35*$M$1,F35*$M$1,(F35/10000*G35*$M$2)))</f>
        <v>12473.0769230769</v>
      </c>
      <c r="P35" s="61" t="n">
        <f aca="false">MIN(IF(F35&lt;$G$3,$F$3*G35*AE35,IF(F35&lt;$G$2,$F$2*G35*AE35,$F$1*G35*AE35)),IF((F35/10000*G35*$M$2)&gt;F35*$M$1,F35*$M$1,(F35/10000*G35*$M$2)))</f>
        <v>11236.1634615385</v>
      </c>
      <c r="Q35" s="61" t="n">
        <f aca="false">MAX(I35,N35)</f>
        <v>0</v>
      </c>
      <c r="R35" s="61" t="n">
        <f aca="false">MIN(I35,N35)</f>
        <v>0</v>
      </c>
      <c r="S35" s="62" t="n">
        <f aca="false">F35/10000</f>
        <v>5.405</v>
      </c>
      <c r="T35" s="62" t="n">
        <f aca="false">ROUNDUP(S35,0)</f>
        <v>6</v>
      </c>
      <c r="U35" s="44" t="s">
        <v>40</v>
      </c>
      <c r="V35" s="44" t="n">
        <f aca="false">F35</f>
        <v>54050</v>
      </c>
      <c r="Y35" s="45" t="n">
        <f aca="false">(W35+X35)</f>
        <v>0</v>
      </c>
      <c r="AC35" s="46" t="s">
        <v>419</v>
      </c>
      <c r="AD35" s="47" t="n">
        <v>34953</v>
      </c>
      <c r="AE35" s="63" t="n">
        <f aca="false">ROUNDUP(DAYS360(AD35,$AE$3)/365,0)</f>
        <v>6</v>
      </c>
      <c r="AF35" s="62" t="n">
        <f aca="false">(G35*AE35)+(G35*T35)</f>
        <v>12473.0769230769</v>
      </c>
      <c r="AG35" s="62" t="n">
        <f aca="false">26*G35</f>
        <v>27025</v>
      </c>
      <c r="AH35" s="62" t="n">
        <f aca="false">G35*52</f>
        <v>54050</v>
      </c>
      <c r="AI35" s="62" t="n">
        <f aca="false">AF35*2</f>
        <v>24946.1538461538</v>
      </c>
      <c r="AJ35" s="62"/>
      <c r="AL35" s="43" t="n">
        <f aca="false">IF(AC35="N",V35,0)</f>
        <v>54050</v>
      </c>
      <c r="AM35" s="43" t="n">
        <f aca="false">IF(AL35&gt;0,1,0)</f>
        <v>1</v>
      </c>
    </row>
    <row r="36" customFormat="false" ht="15" hidden="false" customHeight="false" outlineLevel="0" collapsed="false">
      <c r="A36" s="74"/>
      <c r="B36" s="43" t="s">
        <v>338</v>
      </c>
      <c r="D36" s="43" t="s">
        <v>339</v>
      </c>
      <c r="F36" s="48" t="n">
        <v>51400</v>
      </c>
      <c r="G36" s="48" t="n">
        <f aca="false">F36/52</f>
        <v>988.461538461539</v>
      </c>
      <c r="H36" s="61" t="n">
        <f aca="false">IF(AC36="N",IF(F36&lt;$G$3,$F$3*G36*AE36,IF(F36&lt;$G$2,$F$2*G36*AE36,$F$1*G36*AE36)),0)</f>
        <v>27676.9230769231</v>
      </c>
      <c r="I36" s="61" t="n">
        <f aca="false">IF(AC36="Y",(IF(F36&lt;$G$3,$F$3*G36*AE36,IF(F36&lt;$G$2,$F$2*G36*AE36,$F$1*G36*AE36))*$L$2),0)</f>
        <v>0</v>
      </c>
      <c r="J36" s="61"/>
      <c r="K36" s="61" t="n">
        <f aca="false">IF(AC36="N",(MIN((($F$3*G36*AE36+ROUNDUP((F36/10000),0)*G36)*2),F36)),0)</f>
        <v>39538.4615384615</v>
      </c>
      <c r="L36" s="61" t="n">
        <f aca="false">IF(AC36="Y",(MIN((($F$3*G36*AE36+ROUNDUP((F36/10000),0)*G36)*2),F36))*$L$2,0)</f>
        <v>0</v>
      </c>
      <c r="M36" s="61" t="n">
        <f aca="false">IF(AC36="N",IF((F36/10000*G36*$M$2)&gt;F36*$M$1,F36*$M$1,(F36/10000*G36*$M$2)),0)</f>
        <v>10161.3846153846</v>
      </c>
      <c r="N36" s="61" t="n">
        <f aca="false">IF(AC36="Y",(IF((F36/10000*G36*$M$2)&gt;F36*$M$1,F36*$M$1,(F36/10000*G36*$M$2)))*$L$2,0)</f>
        <v>0</v>
      </c>
      <c r="O36" s="61" t="n">
        <f aca="false">MAX(IF(F36&lt;$G$3,$F$3*G36*AE36,IF(F36&lt;$G$2,$F$2*G36*AE36,$F$1*G36*AE36)),IF((F36/10000*G36*$M$2)&gt;F36*$M$1,F36*$M$1,(F36/10000*G36*$M$2)))</f>
        <v>27676.9230769231</v>
      </c>
      <c r="P36" s="61" t="n">
        <f aca="false">MIN(IF(F36&lt;$G$3,$F$3*G36*AE36,IF(F36&lt;$G$2,$F$2*G36*AE36,$F$1*G36*AE36)),IF((F36/10000*G36*$M$2)&gt;F36*$M$1,F36*$M$1,(F36/10000*G36*$M$2)))</f>
        <v>10161.3846153846</v>
      </c>
      <c r="Q36" s="61" t="n">
        <f aca="false">MAX(I36,N36)</f>
        <v>0</v>
      </c>
      <c r="R36" s="61" t="n">
        <f aca="false">MIN(I36,N36)</f>
        <v>0</v>
      </c>
      <c r="S36" s="62" t="n">
        <f aca="false">F36/10000</f>
        <v>5.14</v>
      </c>
      <c r="T36" s="62" t="n">
        <f aca="false">ROUNDUP(S36,0)</f>
        <v>6</v>
      </c>
      <c r="U36" s="44" t="s">
        <v>40</v>
      </c>
      <c r="V36" s="44" t="n">
        <f aca="false">F36</f>
        <v>51400</v>
      </c>
      <c r="Y36" s="45" t="n">
        <f aca="false">(W36+X36)</f>
        <v>0</v>
      </c>
      <c r="AC36" s="46" t="s">
        <v>419</v>
      </c>
      <c r="AD36" s="47" t="n">
        <v>31888</v>
      </c>
      <c r="AE36" s="63" t="n">
        <f aca="false">ROUNDUP(DAYS360(AD36,$AE$3)/365,0)</f>
        <v>14</v>
      </c>
      <c r="AF36" s="62" t="n">
        <f aca="false">(G36*AE36)+(G36*T36)</f>
        <v>19769.2307692308</v>
      </c>
      <c r="AG36" s="62" t="n">
        <f aca="false">26*G36</f>
        <v>25700</v>
      </c>
      <c r="AH36" s="62" t="n">
        <f aca="false">G36*52</f>
        <v>51400</v>
      </c>
      <c r="AI36" s="62" t="n">
        <f aca="false">AF36*2</f>
        <v>39538.4615384615</v>
      </c>
      <c r="AJ36" s="62"/>
      <c r="AL36" s="43" t="n">
        <f aca="false">IF(AC36="N",V36,0)</f>
        <v>51400</v>
      </c>
      <c r="AM36" s="43" t="n">
        <f aca="false">IF(AL36&gt;0,1,0)</f>
        <v>1</v>
      </c>
    </row>
    <row r="37" customFormat="false" ht="15" hidden="false" customHeight="false" outlineLevel="0" collapsed="false">
      <c r="A37" s="74"/>
      <c r="B37" s="43" t="s">
        <v>101</v>
      </c>
      <c r="D37" s="43" t="s">
        <v>70</v>
      </c>
      <c r="F37" s="48" t="n">
        <v>161840</v>
      </c>
      <c r="G37" s="48" t="n">
        <f aca="false">F37/52</f>
        <v>3112.30769230769</v>
      </c>
      <c r="H37" s="61" t="n">
        <f aca="false">IF(AC37="N",IF(F37&lt;$G$3,$F$3*G37*AE37,IF(F37&lt;$G$2,$F$2*G37*AE37,$F$1*G37*AE37)),0)</f>
        <v>0</v>
      </c>
      <c r="I37" s="61" t="n">
        <f aca="false">IF(AC37="Y",(IF(F37&lt;$G$3,$F$3*G37*AE37,IF(F37&lt;$G$2,$F$2*G37*AE37,$F$1*G37*AE37))*$L$2),0)</f>
        <v>410824.615384615</v>
      </c>
      <c r="J37" s="61"/>
      <c r="K37" s="61" t="n">
        <f aca="false">IF(AC37="N",(MIN((($F$3*G37*AE37+ROUNDUP((F37/10000),0)*G37)*2),F37)),0)</f>
        <v>0</v>
      </c>
      <c r="L37" s="61" t="n">
        <f aca="false">IF(AC37="Y",(MIN((($F$3*G37*AE37+ROUNDUP((F37/10000),0)*G37)*2),F37))*$L$2,0)</f>
        <v>242760</v>
      </c>
      <c r="M37" s="61" t="n">
        <f aca="false">IF(AC37="N",IF((F37/10000*G37*$M$2)&gt;F37*$M$1,F37*$M$1,(F37/10000*G37*$M$2)),0)</f>
        <v>0</v>
      </c>
      <c r="N37" s="61" t="n">
        <f aca="false">IF(AC37="Y",(IF((F37/10000*G37*$M$2)&gt;F37*$M$1,F37*$M$1,(F37/10000*G37*$M$2)))*$L$2,0)</f>
        <v>151108.763076923</v>
      </c>
      <c r="O37" s="61" t="n">
        <f aca="false">MAX(IF(F37&lt;$G$3,$F$3*G37*AE37,IF(F37&lt;$G$2,$F$2*G37*AE37,$F$1*G37*AE37)),IF((F37/10000*G37*$M$2)&gt;F37*$M$1,F37*$M$1,(F37/10000*G37*$M$2)))</f>
        <v>273883.076923077</v>
      </c>
      <c r="P37" s="61" t="n">
        <f aca="false">MIN(IF(F37&lt;$G$3,$F$3*G37*AE37,IF(F37&lt;$G$2,$F$2*G37*AE37,$F$1*G37*AE37)),IF((F37/10000*G37*$M$2)&gt;F37*$M$1,F37*$M$1,(F37/10000*G37*$M$2)))</f>
        <v>100739.175384615</v>
      </c>
      <c r="Q37" s="61" t="n">
        <f aca="false">MAX(I37,N37)</f>
        <v>410824.615384615</v>
      </c>
      <c r="R37" s="61" t="n">
        <f aca="false">MIN(I37,N37)</f>
        <v>151108.763076923</v>
      </c>
      <c r="S37" s="62" t="n">
        <f aca="false">F37/10000</f>
        <v>16.184</v>
      </c>
      <c r="T37" s="62" t="n">
        <f aca="false">ROUNDUP(S37,0)</f>
        <v>17</v>
      </c>
      <c r="U37" s="44" t="s">
        <v>40</v>
      </c>
      <c r="V37" s="44" t="n">
        <f aca="false">F37</f>
        <v>161840</v>
      </c>
      <c r="Y37" s="45" t="n">
        <v>38000</v>
      </c>
      <c r="AC37" s="46" t="s">
        <v>420</v>
      </c>
      <c r="AD37" s="47" t="n">
        <v>29115</v>
      </c>
      <c r="AE37" s="63" t="n">
        <f aca="false">ROUNDUP(DAYS360(AD37,$AE$3)/365,0)</f>
        <v>22</v>
      </c>
      <c r="AL37" s="43" t="n">
        <f aca="false">IF(AC37="N",V37,0)</f>
        <v>0</v>
      </c>
      <c r="AM37" s="43" t="n">
        <f aca="false">IF(AL37&gt;0,1,0)</f>
        <v>0</v>
      </c>
    </row>
    <row r="38" customFormat="false" ht="15" hidden="false" customHeight="false" outlineLevel="0" collapsed="false">
      <c r="A38" s="74"/>
      <c r="B38" s="43" t="s">
        <v>189</v>
      </c>
      <c r="D38" s="43" t="s">
        <v>190</v>
      </c>
      <c r="F38" s="48" t="n">
        <v>54000</v>
      </c>
      <c r="G38" s="48" t="n">
        <f aca="false">F38/52</f>
        <v>1038.46153846154</v>
      </c>
      <c r="H38" s="61" t="n">
        <f aca="false">IF(AC38="N",IF(F38&lt;$G$3,$F$3*G38*AE38,IF(F38&lt;$G$2,$F$2*G38*AE38,$F$1*G38*AE38)),0)</f>
        <v>0</v>
      </c>
      <c r="I38" s="61" t="n">
        <f aca="false">IF(AC38="Y",(IF(F38&lt;$G$3,$F$3*G38*AE38,IF(F38&lt;$G$2,$F$2*G38*AE38,$F$1*G38*AE38))*$L$2),0)</f>
        <v>6230.76923076923</v>
      </c>
      <c r="J38" s="61"/>
      <c r="K38" s="61" t="n">
        <f aca="false">IF(AC38="N",(MIN((($F$3*G38*AE38+ROUNDUP((F38/10000),0)*G38)*2),F38)),0)</f>
        <v>0</v>
      </c>
      <c r="L38" s="61" t="n">
        <f aca="false">IF(AC38="Y",(MIN((($F$3*G38*AE38+ROUNDUP((F38/10000),0)*G38)*2),F38))*$L$2,0)</f>
        <v>24923.0769230769</v>
      </c>
      <c r="M38" s="61" t="n">
        <f aca="false">IF(AC38="N",IF((F38/10000*G38*$M$2)&gt;F38*$M$1,F38*$M$1,(F38/10000*G38*$M$2)),0)</f>
        <v>0</v>
      </c>
      <c r="N38" s="61" t="n">
        <f aca="false">IF(AC38="Y",(IF((F38/10000*G38*$M$2)&gt;F38*$M$1,F38*$M$1,(F38/10000*G38*$M$2)))*$L$2,0)</f>
        <v>16823.0769230769</v>
      </c>
      <c r="O38" s="61" t="n">
        <f aca="false">MAX(IF(F38&lt;$G$3,$F$3*G38*AE38,IF(F38&lt;$G$2,$F$2*G38*AE38,$F$1*G38*AE38)),IF((F38/10000*G38*$M$2)&gt;F38*$M$1,F38*$M$1,(F38/10000*G38*$M$2)))</f>
        <v>11215.3846153846</v>
      </c>
      <c r="P38" s="61" t="n">
        <f aca="false">MIN(IF(F38&lt;$G$3,$F$3*G38*AE38,IF(F38&lt;$G$2,$F$2*G38*AE38,$F$1*G38*AE38)),IF((F38/10000*G38*$M$2)&gt;F38*$M$1,F38*$M$1,(F38/10000*G38*$M$2)))</f>
        <v>4153.84615384615</v>
      </c>
      <c r="Q38" s="61" t="n">
        <f aca="false">MAX(I38,N38)</f>
        <v>16823.0769230769</v>
      </c>
      <c r="R38" s="61" t="n">
        <f aca="false">MIN(I38,N38)</f>
        <v>6230.76923076923</v>
      </c>
      <c r="S38" s="62" t="n">
        <f aca="false">F38/10000</f>
        <v>5.4</v>
      </c>
      <c r="T38" s="62" t="n">
        <f aca="false">ROUNDUP(S38,0)</f>
        <v>6</v>
      </c>
      <c r="U38" s="44" t="s">
        <v>40</v>
      </c>
      <c r="V38" s="44" t="n">
        <f aca="false">F38</f>
        <v>54000</v>
      </c>
      <c r="Y38" s="45" t="n">
        <f aca="false">(W38+X38)</f>
        <v>0</v>
      </c>
      <c r="AC38" s="46" t="s">
        <v>420</v>
      </c>
      <c r="AD38" s="47" t="n">
        <v>36689</v>
      </c>
      <c r="AE38" s="63" t="n">
        <f aca="false">ROUNDUP(DAYS360(AD38,$AE$3)/365,0)</f>
        <v>2</v>
      </c>
      <c r="AL38" s="43" t="n">
        <f aca="false">IF(AC38="N",V38,0)</f>
        <v>0</v>
      </c>
      <c r="AM38" s="43" t="n">
        <f aca="false">IF(AL38&gt;0,1,0)</f>
        <v>0</v>
      </c>
    </row>
    <row r="39" customFormat="false" ht="15" hidden="false" customHeight="false" outlineLevel="0" collapsed="false">
      <c r="A39" s="74"/>
      <c r="B39" s="43" t="s">
        <v>343</v>
      </c>
      <c r="D39" s="43" t="s">
        <v>344</v>
      </c>
      <c r="F39" s="48" t="n">
        <v>45000</v>
      </c>
      <c r="G39" s="48" t="n">
        <f aca="false">F39/52</f>
        <v>865.384615384615</v>
      </c>
      <c r="H39" s="61" t="n">
        <f aca="false">IF(AC39="N",IF(F39&lt;$G$3,$F$3*G39*AE39,IF(F39&lt;$G$2,$F$2*G39*AE39,$F$1*G39*AE39)),0)</f>
        <v>4326.92307692308</v>
      </c>
      <c r="I39" s="61" t="n">
        <f aca="false">IF(AC39="Y",(IF(F39&lt;$G$3,$F$3*G39*AE39,IF(F39&lt;$G$2,$F$2*G39*AE39,$F$1*G39*AE39))*$L$2),0)</f>
        <v>0</v>
      </c>
      <c r="J39" s="61"/>
      <c r="K39" s="61" t="n">
        <f aca="false">IF(AC39="N",(MIN((($F$3*G39*AE39+ROUNDUP((F39/10000),0)*G39)*2),F39)),0)</f>
        <v>17307.6923076923</v>
      </c>
      <c r="L39" s="61" t="n">
        <f aca="false">IF(AC39="Y",(MIN((($F$3*G39*AE39+ROUNDUP((F39/10000),0)*G39)*2),F39))*$L$2,0)</f>
        <v>0</v>
      </c>
      <c r="M39" s="61" t="n">
        <f aca="false">IF(AC39="N",IF((F39/10000*G39*$M$2)&gt;F39*$M$1,F39*$M$1,(F39/10000*G39*$M$2)),0)</f>
        <v>7788.46153846154</v>
      </c>
      <c r="N39" s="61" t="n">
        <f aca="false">IF(AC39="Y",(IF((F39/10000*G39*$M$2)&gt;F39*$M$1,F39*$M$1,(F39/10000*G39*$M$2)))*$L$2,0)</f>
        <v>0</v>
      </c>
      <c r="O39" s="61" t="n">
        <f aca="false">MAX(IF(F39&lt;$G$3,$F$3*G39*AE39,IF(F39&lt;$G$2,$F$2*G39*AE39,$F$1*G39*AE39)),IF((F39/10000*G39*$M$2)&gt;F39*$M$1,F39*$M$1,(F39/10000*G39*$M$2)))</f>
        <v>7788.46153846154</v>
      </c>
      <c r="P39" s="61" t="n">
        <f aca="false">MIN(IF(F39&lt;$G$3,$F$3*G39*AE39,IF(F39&lt;$G$2,$F$2*G39*AE39,$F$1*G39*AE39)),IF((F39/10000*G39*$M$2)&gt;F39*$M$1,F39*$M$1,(F39/10000*G39*$M$2)))</f>
        <v>4326.92307692308</v>
      </c>
      <c r="Q39" s="61" t="n">
        <f aca="false">MAX(I39,N39)</f>
        <v>0</v>
      </c>
      <c r="R39" s="61" t="n">
        <f aca="false">MIN(I39,N39)</f>
        <v>0</v>
      </c>
      <c r="S39" s="62" t="n">
        <f aca="false">F39/10000</f>
        <v>4.5</v>
      </c>
      <c r="T39" s="62" t="n">
        <f aca="false">ROUNDUP(S39,0)</f>
        <v>5</v>
      </c>
      <c r="U39" s="44" t="s">
        <v>40</v>
      </c>
      <c r="V39" s="44" t="n">
        <f aca="false">F39</f>
        <v>45000</v>
      </c>
      <c r="Y39" s="45" t="n">
        <f aca="false">(W39+X39)</f>
        <v>0</v>
      </c>
      <c r="AC39" s="46" t="s">
        <v>419</v>
      </c>
      <c r="AD39" s="47" t="n">
        <v>35579</v>
      </c>
      <c r="AE39" s="63" t="n">
        <f aca="false">ROUNDUP(DAYS360(AD39,$AE$3)/365,0)</f>
        <v>5</v>
      </c>
      <c r="AF39" s="62" t="n">
        <f aca="false">(G39*AE39)+(G39*T39)</f>
        <v>8653.84615384615</v>
      </c>
      <c r="AG39" s="62" t="n">
        <f aca="false">26*G39</f>
        <v>22500</v>
      </c>
      <c r="AH39" s="62" t="n">
        <f aca="false">G39*52</f>
        <v>45000</v>
      </c>
      <c r="AI39" s="62" t="n">
        <f aca="false">AF39*2</f>
        <v>17307.6923076923</v>
      </c>
      <c r="AJ39" s="62"/>
      <c r="AL39" s="43" t="n">
        <f aca="false">IF(AC39="N",V39,0)</f>
        <v>45000</v>
      </c>
      <c r="AM39" s="43" t="n">
        <f aca="false">IF(AL39&gt;0,1,0)</f>
        <v>1</v>
      </c>
    </row>
    <row r="40" customFormat="false" ht="15" hidden="false" customHeight="false" outlineLevel="0" collapsed="false">
      <c r="A40" s="74"/>
      <c r="B40" s="43" t="s">
        <v>96</v>
      </c>
      <c r="D40" s="43" t="s">
        <v>97</v>
      </c>
      <c r="F40" s="48" t="n">
        <v>190000</v>
      </c>
      <c r="G40" s="48" t="n">
        <f aca="false">F40/52</f>
        <v>3653.84615384615</v>
      </c>
      <c r="H40" s="61" t="n">
        <f aca="false">IF(AC40="N",IF(F40&lt;$G$3,$F$3*G40*AE40,IF(F40&lt;$G$2,$F$2*G40*AE40,$F$1*G40*AE40)),0)</f>
        <v>0</v>
      </c>
      <c r="I40" s="61" t="n">
        <f aca="false">IF(AC40="Y",(IF(F40&lt;$G$3,$F$3*G40*AE40,IF(F40&lt;$G$2,$F$2*G40*AE40,$F$1*G40*AE40))*$L$2),0)</f>
        <v>43846.1538461538</v>
      </c>
      <c r="J40" s="61"/>
      <c r="K40" s="61" t="n">
        <f aca="false">IF(AC40="N",(MIN((($F$3*G40*AE40+ROUNDUP((F40/10000),0)*G40)*2),F40)),0)</f>
        <v>0</v>
      </c>
      <c r="L40" s="61" t="n">
        <f aca="false">IF(AC40="Y",(MIN((($F$3*G40*AE40+ROUNDUP((F40/10000),0)*G40)*2),F40))*$L$2,0)</f>
        <v>230192.307692308</v>
      </c>
      <c r="M40" s="61" t="n">
        <f aca="false">IF(AC40="N",IF((F40/10000*G40*$M$2)&gt;F40*$M$1,F40*$M$1,(F40/10000*G40*$M$2)),0)</f>
        <v>0</v>
      </c>
      <c r="N40" s="61" t="n">
        <f aca="false">IF(AC40="Y",(IF((F40/10000*G40*$M$2)&gt;F40*$M$1,F40*$M$1,(F40/10000*G40*$M$2)))*$L$2,0)</f>
        <v>208269.230769231</v>
      </c>
      <c r="O40" s="61" t="n">
        <f aca="false">MAX(IF(F40&lt;$G$3,$F$3*G40*AE40,IF(F40&lt;$G$2,$F$2*G40*AE40,$F$1*G40*AE40)),IF((F40/10000*G40*$M$2)&gt;F40*$M$1,F40*$M$1,(F40/10000*G40*$M$2)))</f>
        <v>138846.153846154</v>
      </c>
      <c r="P40" s="61" t="n">
        <f aca="false">MIN(IF(F40&lt;$G$3,$F$3*G40*AE40,IF(F40&lt;$G$2,$F$2*G40*AE40,$F$1*G40*AE40)),IF((F40/10000*G40*$M$2)&gt;F40*$M$1,F40*$M$1,(F40/10000*G40*$M$2)))</f>
        <v>29230.7692307692</v>
      </c>
      <c r="Q40" s="61" t="n">
        <f aca="false">MAX(I40,N40)</f>
        <v>208269.230769231</v>
      </c>
      <c r="R40" s="61" t="n">
        <f aca="false">MIN(I40,N40)</f>
        <v>43846.1538461538</v>
      </c>
      <c r="S40" s="62" t="n">
        <f aca="false">F40/10000</f>
        <v>19</v>
      </c>
      <c r="T40" s="62" t="n">
        <f aca="false">ROUNDUP(S40,0)</f>
        <v>19</v>
      </c>
      <c r="U40" s="44" t="s">
        <v>40</v>
      </c>
      <c r="V40" s="44" t="n">
        <f aca="false">F40</f>
        <v>190000</v>
      </c>
      <c r="Y40" s="45" t="n">
        <f aca="false">(W40+X40)</f>
        <v>0</v>
      </c>
      <c r="AC40" s="46" t="s">
        <v>420</v>
      </c>
      <c r="AD40" s="47" t="n">
        <v>36551</v>
      </c>
      <c r="AE40" s="63" t="n">
        <f aca="false">ROUNDUP(DAYS360(AD40,$AE$3)/365,0)</f>
        <v>2</v>
      </c>
      <c r="AL40" s="43" t="n">
        <f aca="false">IF(AC40="N",V40,0)</f>
        <v>0</v>
      </c>
      <c r="AM40" s="43" t="n">
        <f aca="false">IF(AL40&gt;0,1,0)</f>
        <v>0</v>
      </c>
    </row>
    <row r="41" customFormat="false" ht="15" hidden="false" customHeight="false" outlineLevel="0" collapsed="false">
      <c r="A41" s="74"/>
      <c r="B41" s="43" t="s">
        <v>318</v>
      </c>
      <c r="D41" s="43" t="s">
        <v>319</v>
      </c>
      <c r="F41" s="48" t="n">
        <v>70500</v>
      </c>
      <c r="G41" s="48" t="n">
        <f aca="false">F41/52</f>
        <v>1355.76923076923</v>
      </c>
      <c r="H41" s="61" t="n">
        <f aca="false">IF(AC41="N",IF(F41&lt;$G$3,$F$3*G41*AE41,IF(F41&lt;$G$2,$F$2*G41*AE41,$F$1*G41*AE41)),0)</f>
        <v>13557.6923076923</v>
      </c>
      <c r="I41" s="61" t="n">
        <f aca="false">IF(AC41="Y",(IF(F41&lt;$G$3,$F$3*G41*AE41,IF(F41&lt;$G$2,$F$2*G41*AE41,$F$1*G41*AE41))*$L$2),0)</f>
        <v>0</v>
      </c>
      <c r="J41" s="61"/>
      <c r="K41" s="61" t="n">
        <f aca="false">IF(AC41="N",(MIN((($F$3*G41*AE41+ROUNDUP((F41/10000),0)*G41)*2),F41)),0)</f>
        <v>35250</v>
      </c>
      <c r="L41" s="61" t="n">
        <f aca="false">IF(AC41="Y",(MIN((($F$3*G41*AE41+ROUNDUP((F41/10000),0)*G41)*2),F41))*$L$2,0)</f>
        <v>0</v>
      </c>
      <c r="M41" s="61" t="n">
        <f aca="false">IF(AC41="N",IF((F41/10000*G41*$M$2)&gt;F41*$M$1,F41*$M$1,(F41/10000*G41*$M$2)),0)</f>
        <v>19116.3461538462</v>
      </c>
      <c r="N41" s="61" t="n">
        <f aca="false">IF(AC41="Y",(IF((F41/10000*G41*$M$2)&gt;F41*$M$1,F41*$M$1,(F41/10000*G41*$M$2)))*$L$2,0)</f>
        <v>0</v>
      </c>
      <c r="O41" s="61" t="n">
        <f aca="false">MAX(IF(F41&lt;$G$3,$F$3*G41*AE41,IF(F41&lt;$G$2,$F$2*G41*AE41,$F$1*G41*AE41)),IF((F41/10000*G41*$M$2)&gt;F41*$M$1,F41*$M$1,(F41/10000*G41*$M$2)))</f>
        <v>19116.3461538462</v>
      </c>
      <c r="P41" s="61" t="n">
        <f aca="false">MIN(IF(F41&lt;$G$3,$F$3*G41*AE41,IF(F41&lt;$G$2,$F$2*G41*AE41,$F$1*G41*AE41)),IF((F41/10000*G41*$M$2)&gt;F41*$M$1,F41*$M$1,(F41/10000*G41*$M$2)))</f>
        <v>13557.6923076923</v>
      </c>
      <c r="Q41" s="61" t="n">
        <f aca="false">MAX(I41,N41)</f>
        <v>0</v>
      </c>
      <c r="R41" s="61" t="n">
        <f aca="false">MIN(I41,N41)</f>
        <v>0</v>
      </c>
      <c r="S41" s="62" t="n">
        <f aca="false">F41/10000</f>
        <v>7.05</v>
      </c>
      <c r="T41" s="62" t="n">
        <f aca="false">ROUNDUP(S41,0)</f>
        <v>8</v>
      </c>
      <c r="U41" s="44" t="s">
        <v>40</v>
      </c>
      <c r="V41" s="44" t="n">
        <f aca="false">F41</f>
        <v>70500</v>
      </c>
      <c r="Y41" s="45" t="n">
        <f aca="false">(W41+X41)</f>
        <v>0</v>
      </c>
      <c r="AC41" s="46" t="s">
        <v>419</v>
      </c>
      <c r="AD41" s="47" t="n">
        <v>35541</v>
      </c>
      <c r="AE41" s="63" t="n">
        <f aca="false">ROUNDUP(DAYS360(AD41,$AE$3)/365,0)</f>
        <v>5</v>
      </c>
      <c r="AF41" s="62" t="n">
        <f aca="false">(G41*AE41)+(G41*T41)</f>
        <v>17625</v>
      </c>
      <c r="AG41" s="62" t="n">
        <f aca="false">26*G41</f>
        <v>35250</v>
      </c>
      <c r="AH41" s="62" t="n">
        <f aca="false">G41*52</f>
        <v>70500</v>
      </c>
      <c r="AI41" s="62" t="n">
        <f aca="false">AF41*2</f>
        <v>35250</v>
      </c>
      <c r="AJ41" s="62"/>
      <c r="AL41" s="43" t="n">
        <f aca="false">IF(AC41="N",V41,0)</f>
        <v>70500</v>
      </c>
      <c r="AM41" s="43" t="n">
        <f aca="false">IF(AL41&gt;0,1,0)</f>
        <v>1</v>
      </c>
    </row>
    <row r="42" customFormat="false" ht="15.75" hidden="false" customHeight="false" outlineLevel="0" collapsed="false">
      <c r="A42" s="65"/>
      <c r="B42" s="66" t="s">
        <v>54</v>
      </c>
      <c r="C42" s="66"/>
      <c r="D42" s="66" t="s">
        <v>55</v>
      </c>
      <c r="E42" s="66"/>
      <c r="F42" s="67" t="n">
        <v>350000</v>
      </c>
      <c r="G42" s="67" t="n">
        <f aca="false">F42/52</f>
        <v>6730.76923076923</v>
      </c>
      <c r="H42" s="69"/>
      <c r="I42" s="69"/>
      <c r="J42" s="69"/>
      <c r="K42" s="69"/>
      <c r="L42" s="69"/>
      <c r="M42" s="69"/>
      <c r="N42" s="69"/>
      <c r="O42" s="61"/>
      <c r="P42" s="61"/>
      <c r="Q42" s="61"/>
      <c r="R42" s="61"/>
      <c r="S42" s="70" t="n">
        <f aca="false">F42/10000</f>
        <v>35</v>
      </c>
      <c r="T42" s="70" t="n">
        <f aca="false">ROUNDUP(S42,0)</f>
        <v>35</v>
      </c>
      <c r="U42" s="71" t="s">
        <v>40</v>
      </c>
      <c r="V42" s="71" t="n">
        <f aca="false">F42</f>
        <v>350000</v>
      </c>
      <c r="W42" s="72"/>
      <c r="X42" s="72"/>
      <c r="Y42" s="72" t="n">
        <v>500000</v>
      </c>
      <c r="Z42" s="73"/>
      <c r="AA42" s="73"/>
      <c r="AB42" s="73"/>
      <c r="AC42" s="73" t="s">
        <v>420</v>
      </c>
      <c r="AD42" s="59" t="n">
        <v>32077</v>
      </c>
      <c r="AE42" s="75" t="n">
        <f aca="false">ROUNDUP(DAYS360(AD42,$AE$3)/365,0)</f>
        <v>14</v>
      </c>
      <c r="AF42" s="73"/>
      <c r="AG42" s="73"/>
      <c r="AH42" s="73"/>
      <c r="AI42" s="73"/>
      <c r="AJ42" s="73"/>
      <c r="AK42" s="66"/>
      <c r="AL42" s="12" t="n">
        <f aca="false">IF(AC42="N",V42,0)</f>
        <v>0</v>
      </c>
      <c r="AM42" s="12" t="n">
        <f aca="false">IF(AL42&gt;0,1,0)</f>
        <v>0</v>
      </c>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c r="IW42" s="66"/>
    </row>
    <row r="43" customFormat="false" ht="15" hidden="false" customHeight="false" outlineLevel="0" collapsed="false">
      <c r="A43" s="74"/>
      <c r="B43" s="43" t="s">
        <v>183</v>
      </c>
      <c r="D43" s="43" t="s">
        <v>184</v>
      </c>
      <c r="F43" s="48" t="n">
        <v>55000</v>
      </c>
      <c r="G43" s="48" t="n">
        <f aca="false">F43/52</f>
        <v>1057.69230769231</v>
      </c>
      <c r="H43" s="61" t="n">
        <f aca="false">IF(AC43="N",IF(F43&lt;$G$3,$F$3*G43*AE43,IF(F43&lt;$G$2,$F$2*G43*AE43,$F$1*G43*AE43)),0)</f>
        <v>0</v>
      </c>
      <c r="I43" s="61" t="n">
        <f aca="false">IF(AC43="Y",(IF(F43&lt;$G$3,$F$3*G43*AE43,IF(F43&lt;$G$2,$F$2*G43*AE43,$F$1*G43*AE43))*$L$2),0)</f>
        <v>6346.15384615385</v>
      </c>
      <c r="J43" s="61"/>
      <c r="K43" s="61" t="n">
        <f aca="false">IF(AC43="N",(MIN((($F$3*G43*AE43+ROUNDUP((F43/10000),0)*G43)*2),F43)),0)</f>
        <v>0</v>
      </c>
      <c r="L43" s="61" t="n">
        <f aca="false">IF(AC43="Y",(MIN((($F$3*G43*AE43+ROUNDUP((F43/10000),0)*G43)*2),F43))*$L$2,0)</f>
        <v>25384.6153846154</v>
      </c>
      <c r="M43" s="61" t="n">
        <f aca="false">IF(AC43="N",IF((F43/10000*G43*$M$2)&gt;F43*$M$1,F43*$M$1,(F43/10000*G43*$M$2)),0)</f>
        <v>0</v>
      </c>
      <c r="N43" s="61" t="n">
        <f aca="false">IF(AC43="Y",(IF((F43/10000*G43*$M$2)&gt;F43*$M$1,F43*$M$1,(F43/10000*G43*$M$2)))*$L$2,0)</f>
        <v>17451.9230769231</v>
      </c>
      <c r="O43" s="61" t="n">
        <f aca="false">MAX(IF(F43&lt;$G$3,$F$3*G43*AE43,IF(F43&lt;$G$2,$F$2*G43*AE43,$F$1*G43*AE43)),IF((F43/10000*G43*$M$2)&gt;F43*$M$1,F43*$M$1,(F43/10000*G43*$M$2)))</f>
        <v>11634.6153846154</v>
      </c>
      <c r="P43" s="61" t="n">
        <f aca="false">MIN(IF(F43&lt;$G$3,$F$3*G43*AE43,IF(F43&lt;$G$2,$F$2*G43*AE43,$F$1*G43*AE43)),IF((F43/10000*G43*$M$2)&gt;F43*$M$1,F43*$M$1,(F43/10000*G43*$M$2)))</f>
        <v>4230.76923076923</v>
      </c>
      <c r="Q43" s="61" t="n">
        <f aca="false">MAX(I43,N43)</f>
        <v>17451.9230769231</v>
      </c>
      <c r="R43" s="61" t="n">
        <f aca="false">MIN(I43,N43)</f>
        <v>6346.15384615385</v>
      </c>
      <c r="S43" s="62" t="n">
        <f aca="false">F43/10000</f>
        <v>5.5</v>
      </c>
      <c r="T43" s="62" t="n">
        <f aca="false">ROUNDUP(S43,0)</f>
        <v>6</v>
      </c>
      <c r="U43" s="44" t="s">
        <v>40</v>
      </c>
      <c r="V43" s="44" t="n">
        <f aca="false">F43</f>
        <v>55000</v>
      </c>
      <c r="Y43" s="45" t="n">
        <f aca="false">(W43+X43)</f>
        <v>0</v>
      </c>
      <c r="AC43" s="46" t="s">
        <v>420</v>
      </c>
      <c r="AD43" s="47" t="n">
        <v>36549</v>
      </c>
      <c r="AE43" s="63" t="n">
        <f aca="false">ROUNDUP(DAYS360(AD43,$AE$3)/365,0)</f>
        <v>2</v>
      </c>
      <c r="AL43" s="43" t="n">
        <f aca="false">IF(AC43="N",V43,0)</f>
        <v>0</v>
      </c>
      <c r="AM43" s="43" t="n">
        <f aca="false">IF(AL43&gt;0,1,0)</f>
        <v>0</v>
      </c>
    </row>
    <row r="44" customFormat="false" ht="12.75" hidden="false" customHeight="false" outlineLevel="0" collapsed="false">
      <c r="H44" s="61"/>
      <c r="I44" s="61"/>
      <c r="J44" s="61"/>
      <c r="K44" s="61"/>
      <c r="L44" s="61"/>
      <c r="M44" s="61"/>
      <c r="N44" s="61"/>
      <c r="O44" s="61"/>
      <c r="P44" s="61"/>
      <c r="Q44" s="61"/>
      <c r="R44" s="61"/>
      <c r="AE44" s="63"/>
      <c r="AL44" s="43" t="n">
        <f aca="false">IF(AC44="N",V44,0)</f>
        <v>0</v>
      </c>
      <c r="AM44" s="43" t="n">
        <f aca="false">IF(AL44&gt;0,1,0)</f>
        <v>0</v>
      </c>
    </row>
    <row r="45" customFormat="false" ht="12.75" hidden="false" customHeight="false" outlineLevel="0" collapsed="false">
      <c r="H45" s="61"/>
      <c r="I45" s="61"/>
      <c r="J45" s="61"/>
      <c r="K45" s="61"/>
      <c r="L45" s="61"/>
      <c r="M45" s="61"/>
      <c r="N45" s="61"/>
      <c r="O45" s="61"/>
      <c r="P45" s="61"/>
      <c r="Q45" s="61"/>
      <c r="R45" s="61"/>
      <c r="AE45" s="63"/>
      <c r="AL45" s="43" t="n">
        <f aca="false">IF(AC45="N",V45,0)</f>
        <v>0</v>
      </c>
      <c r="AM45" s="43" t="n">
        <f aca="false">IF(AL45&gt;0,1,0)</f>
        <v>0</v>
      </c>
    </row>
    <row r="46" customFormat="false" ht="12.75" hidden="false" customHeight="false" outlineLevel="0" collapsed="false">
      <c r="H46" s="61"/>
      <c r="I46" s="61"/>
      <c r="J46" s="61"/>
      <c r="K46" s="61"/>
      <c r="L46" s="61"/>
      <c r="M46" s="61"/>
      <c r="N46" s="61"/>
      <c r="O46" s="61"/>
      <c r="P46" s="61"/>
      <c r="Q46" s="61"/>
      <c r="R46" s="61"/>
      <c r="AE46" s="63"/>
      <c r="AL46" s="43" t="n">
        <f aca="false">IF(AC46="N",V46,0)</f>
        <v>0</v>
      </c>
      <c r="AM46" s="43" t="n">
        <f aca="false">IF(AL46&gt;0,1,0)</f>
        <v>0</v>
      </c>
    </row>
    <row r="47" customFormat="false" ht="15.75" hidden="false" customHeight="false" outlineLevel="0" collapsed="false">
      <c r="B47" s="51" t="s">
        <v>47</v>
      </c>
      <c r="C47" s="51"/>
      <c r="D47" s="51"/>
      <c r="E47" s="51"/>
      <c r="F47" s="51"/>
      <c r="G47" s="51"/>
      <c r="H47" s="61"/>
      <c r="I47" s="61"/>
      <c r="J47" s="61"/>
      <c r="K47" s="61"/>
      <c r="L47" s="61"/>
      <c r="M47" s="61"/>
      <c r="N47" s="61"/>
      <c r="O47" s="61"/>
      <c r="P47" s="61"/>
      <c r="Q47" s="61"/>
      <c r="R47" s="61"/>
      <c r="S47" s="51"/>
      <c r="T47" s="51"/>
      <c r="U47" s="51"/>
      <c r="V47" s="51"/>
      <c r="W47" s="51"/>
      <c r="X47" s="51"/>
      <c r="Y47" s="51"/>
      <c r="Z47" s="51"/>
      <c r="AA47" s="51"/>
      <c r="AB47" s="51"/>
      <c r="AC47" s="51"/>
      <c r="AE47" s="63"/>
      <c r="AF47" s="51"/>
      <c r="AG47" s="51"/>
      <c r="AH47" s="51"/>
      <c r="AI47" s="51"/>
      <c r="AJ47" s="51"/>
      <c r="AK47" s="51"/>
      <c r="AL47" s="43" t="n">
        <f aca="false">IF(AC47="N",V47,0)</f>
        <v>0</v>
      </c>
      <c r="AM47" s="43" t="n">
        <f aca="false">IF(AL47&gt;0,1,0)</f>
        <v>0</v>
      </c>
    </row>
    <row r="48" customFormat="false" ht="43.5" hidden="false" customHeight="false" outlineLevel="0" collapsed="false">
      <c r="A48" s="83" t="s">
        <v>46</v>
      </c>
      <c r="H48" s="61"/>
      <c r="I48" s="61"/>
      <c r="J48" s="61"/>
      <c r="K48" s="61"/>
      <c r="L48" s="61"/>
      <c r="M48" s="61"/>
      <c r="N48" s="61"/>
      <c r="O48" s="61"/>
      <c r="P48" s="61"/>
      <c r="Q48" s="61"/>
      <c r="R48" s="61"/>
      <c r="AE48" s="63"/>
      <c r="AL48" s="43" t="n">
        <f aca="false">IF(AC48="N",V48,0)</f>
        <v>0</v>
      </c>
      <c r="AM48" s="43" t="n">
        <f aca="false">IF(AL48&gt;0,1,0)</f>
        <v>0</v>
      </c>
    </row>
    <row r="49" customFormat="false" ht="12.75" hidden="false" customHeight="false" outlineLevel="0" collapsed="false">
      <c r="A49" s="9"/>
      <c r="B49" s="66" t="s">
        <v>48</v>
      </c>
      <c r="C49" s="66"/>
      <c r="D49" s="66" t="s">
        <v>44</v>
      </c>
      <c r="E49" s="66"/>
      <c r="F49" s="67" t="n">
        <v>375000</v>
      </c>
      <c r="G49" s="67" t="n">
        <f aca="false">F49/52</f>
        <v>7211.53846153846</v>
      </c>
      <c r="H49" s="69"/>
      <c r="I49" s="69"/>
      <c r="J49" s="69"/>
      <c r="K49" s="69"/>
      <c r="L49" s="69"/>
      <c r="M49" s="69"/>
      <c r="N49" s="69"/>
      <c r="O49" s="69"/>
      <c r="P49" s="69"/>
      <c r="Q49" s="61" t="n">
        <f aca="false">MAX(I49,N49)</f>
        <v>0</v>
      </c>
      <c r="R49" s="61" t="n">
        <f aca="false">MIN(I49,N49)</f>
        <v>0</v>
      </c>
      <c r="S49" s="70" t="n">
        <f aca="false">F49/10000</f>
        <v>37.5</v>
      </c>
      <c r="T49" s="70" t="n">
        <f aca="false">ROUNDUP(S49,0)</f>
        <v>38</v>
      </c>
      <c r="U49" s="71" t="s">
        <v>40</v>
      </c>
      <c r="V49" s="71" t="n">
        <f aca="false">F49</f>
        <v>375000</v>
      </c>
      <c r="W49" s="72" t="n">
        <v>469365</v>
      </c>
      <c r="X49" s="72"/>
      <c r="Y49" s="72" t="n">
        <f aca="false">(W49+X49)</f>
        <v>469365</v>
      </c>
      <c r="Z49" s="73"/>
      <c r="AA49" s="73"/>
      <c r="AB49" s="73"/>
      <c r="AC49" s="73" t="s">
        <v>420</v>
      </c>
      <c r="AD49" s="47" t="n">
        <v>31138</v>
      </c>
      <c r="AE49" s="75" t="n">
        <f aca="false">ROUNDUP(DAYS360(AD49,$AE$3)/365,0)</f>
        <v>17</v>
      </c>
      <c r="AF49" s="73"/>
      <c r="AG49" s="73"/>
      <c r="AH49" s="73"/>
      <c r="AI49" s="73"/>
      <c r="AJ49" s="73"/>
      <c r="AK49" s="66"/>
      <c r="AL49" s="12" t="n">
        <f aca="false">IF(AC49="N",V49,0)</f>
        <v>0</v>
      </c>
      <c r="AM49" s="12" t="n">
        <f aca="false">IF(AL49&gt;0,1,0)</f>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c r="IW49" s="66"/>
    </row>
    <row r="50" customFormat="false" ht="12.75" hidden="false" customHeight="false" outlineLevel="0" collapsed="false">
      <c r="A50" s="46"/>
      <c r="B50" s="43" t="s">
        <v>360</v>
      </c>
      <c r="D50" s="43" t="s">
        <v>361</v>
      </c>
      <c r="F50" s="48" t="n">
        <v>35500</v>
      </c>
      <c r="G50" s="48" t="n">
        <f aca="false">F50/52</f>
        <v>682.692307692308</v>
      </c>
      <c r="H50" s="61" t="n">
        <f aca="false">IF(AC50="N",IF(F50&lt;$G$3,$F$3*G50*AE50,IF(F50&lt;$G$2,$F$2*G50*AE50,$F$1*G50*AE50)),0)</f>
        <v>2730.76923076923</v>
      </c>
      <c r="I50" s="61" t="n">
        <f aca="false">IF(AC50="Y",(IF(F50&lt;$G$3,$F$3*G50*AE50,IF(F50&lt;$G$2,$F$2*G50*AE50,$F$1*G50*AE50))*$L$2),0)</f>
        <v>0</v>
      </c>
      <c r="J50" s="61"/>
      <c r="K50" s="61" t="n">
        <f aca="false">IF(AC50="N",(MIN((($F$3*G50*AE50+ROUNDUP((F50/10000),0)*G50)*2),F50)),0)</f>
        <v>10923.0769230769</v>
      </c>
      <c r="L50" s="61" t="n">
        <f aca="false">IF(AC50="Y",(MIN((($F$3*G50*AE50+ROUNDUP((F50/10000),0)*G50)*2),F50))*$L$2,0)</f>
        <v>0</v>
      </c>
      <c r="M50" s="61" t="n">
        <f aca="false">IF(AC50="N",IF((F50/10000*G50*$M$2)&gt;F50*$M$1,F50*$M$1,(F50/10000*G50*$M$2)),0)</f>
        <v>4847.11538461539</v>
      </c>
      <c r="N50" s="61" t="n">
        <f aca="false">IF(AC50="Y",(IF((F50/10000*G50*$M$2)&gt;F50*$M$1,F50*$M$1,(F50/10000*G50*$M$2)))*$L$2,0)</f>
        <v>0</v>
      </c>
      <c r="O50" s="61" t="n">
        <f aca="false">MAX(IF(F50&lt;$G$3,$F$3*G50*AE50,IF(F50&lt;$G$2,$F$2*G50*AE50,$F$1*G50*AE50)),IF((F50/10000*G50*$M$2)&gt;F50*$M$1,F50*$M$1,(F50/10000*G50*$M$2)))</f>
        <v>4847.11538461539</v>
      </c>
      <c r="P50" s="61" t="n">
        <f aca="false">MIN(IF(F50&lt;$G$3,$F$3*G50*AE50,IF(F50&lt;$G$2,$F$2*G50*AE50,$F$1*G50*AE50)),IF((F50/10000*G50*$M$2)&gt;F50*$M$1,F50*$M$1,(F50/10000*G50*$M$2)))</f>
        <v>2730.76923076923</v>
      </c>
      <c r="Q50" s="61" t="n">
        <f aca="false">MAX(I50,N50)</f>
        <v>0</v>
      </c>
      <c r="R50" s="61" t="n">
        <f aca="false">MIN(I50,N50)</f>
        <v>0</v>
      </c>
      <c r="S50" s="62" t="n">
        <f aca="false">F50/10000</f>
        <v>3.55</v>
      </c>
      <c r="T50" s="62" t="n">
        <f aca="false">ROUNDUP(S50,0)</f>
        <v>4</v>
      </c>
      <c r="U50" s="44" t="s">
        <v>40</v>
      </c>
      <c r="V50" s="44" t="n">
        <f aca="false">F50</f>
        <v>35500</v>
      </c>
      <c r="Y50" s="45" t="n">
        <f aca="false">(W50+X50)</f>
        <v>0</v>
      </c>
      <c r="AC50" s="46" t="s">
        <v>419</v>
      </c>
      <c r="AD50" s="47" t="n">
        <v>35667</v>
      </c>
      <c r="AE50" s="63" t="n">
        <f aca="false">ROUNDUP(DAYS360(AD50,$AE$3)/365,0)</f>
        <v>4</v>
      </c>
      <c r="AF50" s="62" t="n">
        <f aca="false">(G50*AE50)+(G50*T50)</f>
        <v>5461.53846153846</v>
      </c>
      <c r="AG50" s="62" t="n">
        <f aca="false">26*G50</f>
        <v>17750</v>
      </c>
      <c r="AH50" s="62" t="n">
        <f aca="false">G50*52</f>
        <v>35500</v>
      </c>
      <c r="AI50" s="62" t="n">
        <f aca="false">AF50*2</f>
        <v>10923.0769230769</v>
      </c>
      <c r="AJ50" s="62"/>
      <c r="AL50" s="43" t="n">
        <f aca="false">IF(AC50="N",V50,0)</f>
        <v>35500</v>
      </c>
      <c r="AM50" s="43" t="n">
        <f aca="false">IF(AL50&gt;0,1,0)</f>
        <v>1</v>
      </c>
    </row>
    <row r="51" customFormat="false" ht="12.75" hidden="false" customHeight="false" outlineLevel="0" collapsed="false">
      <c r="A51" s="46"/>
      <c r="B51" s="43" t="s">
        <v>164</v>
      </c>
      <c r="D51" s="43" t="s">
        <v>165</v>
      </c>
      <c r="F51" s="48" t="n">
        <v>65000</v>
      </c>
      <c r="G51" s="48" t="n">
        <f aca="false">F51/52</f>
        <v>1250</v>
      </c>
      <c r="H51" s="61" t="n">
        <f aca="false">IF(AC51="N",IF(F51&lt;$G$3,$F$3*G51*AE51,IF(F51&lt;$G$2,$F$2*G51*AE51,$F$1*G51*AE51)),0)</f>
        <v>0</v>
      </c>
      <c r="I51" s="61" t="n">
        <f aca="false">IF(AC51="Y",(IF(F51&lt;$G$3,$F$3*G51*AE51,IF(F51&lt;$G$2,$F$2*G51*AE51,$F$1*G51*AE51))*$L$2),0)</f>
        <v>63750</v>
      </c>
      <c r="J51" s="61"/>
      <c r="K51" s="61" t="n">
        <f aca="false">IF(AC51="N",(MIN((($F$3*G51*AE51+ROUNDUP((F51/10000),0)*G51)*2),F51)),0)</f>
        <v>0</v>
      </c>
      <c r="L51" s="61" t="n">
        <f aca="false">IF(AC51="Y",(MIN((($F$3*G51*AE51+ROUNDUP((F51/10000),0)*G51)*2),F51))*$L$2,0)</f>
        <v>90000</v>
      </c>
      <c r="M51" s="61" t="n">
        <f aca="false">IF(AC51="N",IF((F51/10000*G51*$M$2)&gt;F51*$M$1,F51*$M$1,(F51/10000*G51*$M$2)),0)</f>
        <v>0</v>
      </c>
      <c r="N51" s="61" t="n">
        <f aca="false">IF(AC51="Y",(IF((F51/10000*G51*$M$2)&gt;F51*$M$1,F51*$M$1,(F51/10000*G51*$M$2)))*$L$2,0)</f>
        <v>24375</v>
      </c>
      <c r="O51" s="61" t="n">
        <f aca="false">MAX(IF(F51&lt;$G$3,$F$3*G51*AE51,IF(F51&lt;$G$2,$F$2*G51*AE51,$F$1*G51*AE51)),IF((F51/10000*G51*$M$2)&gt;F51*$M$1,F51*$M$1,(F51/10000*G51*$M$2)))</f>
        <v>42500</v>
      </c>
      <c r="P51" s="61" t="n">
        <f aca="false">MIN(IF(F51&lt;$G$3,$F$3*G51*AE51,IF(F51&lt;$G$2,$F$2*G51*AE51,$F$1*G51*AE51)),IF((F51/10000*G51*$M$2)&gt;F51*$M$1,F51*$M$1,(F51/10000*G51*$M$2)))</f>
        <v>16250</v>
      </c>
      <c r="Q51" s="61" t="n">
        <f aca="false">MAX(I51,N51)</f>
        <v>63750</v>
      </c>
      <c r="R51" s="61" t="n">
        <f aca="false">MIN(I51,N51)</f>
        <v>24375</v>
      </c>
      <c r="S51" s="62" t="n">
        <f aca="false">F51/10000</f>
        <v>6.5</v>
      </c>
      <c r="T51" s="62" t="n">
        <f aca="false">ROUNDUP(S51,0)</f>
        <v>7</v>
      </c>
      <c r="U51" s="44" t="s">
        <v>40</v>
      </c>
      <c r="V51" s="44" t="n">
        <f aca="false">F51</f>
        <v>65000</v>
      </c>
      <c r="W51" s="45" t="n">
        <v>27500</v>
      </c>
      <c r="Y51" s="45" t="n">
        <f aca="false">(W51+X51)</f>
        <v>27500</v>
      </c>
      <c r="AC51" s="46" t="s">
        <v>420</v>
      </c>
      <c r="AD51" s="84" t="n">
        <v>31126</v>
      </c>
      <c r="AE51" s="63" t="n">
        <f aca="false">ROUNDUP(DAYS360(AD51,$AE$3)/365,0)</f>
        <v>17</v>
      </c>
      <c r="AL51" s="43" t="n">
        <f aca="false">IF(AC51="N",V51,0)</f>
        <v>0</v>
      </c>
      <c r="AM51" s="43" t="n">
        <f aca="false">IF(AL51&gt;0,1,0)</f>
        <v>0</v>
      </c>
    </row>
    <row r="52" customFormat="false" ht="12.75" hidden="false" customHeight="false" outlineLevel="0" collapsed="false">
      <c r="H52" s="61"/>
      <c r="I52" s="61"/>
      <c r="J52" s="61"/>
      <c r="K52" s="61"/>
      <c r="L52" s="61"/>
      <c r="M52" s="61"/>
      <c r="N52" s="61"/>
      <c r="O52" s="61"/>
      <c r="P52" s="61"/>
      <c r="Q52" s="61"/>
      <c r="R52" s="61"/>
      <c r="AE52" s="63"/>
      <c r="AL52" s="43" t="n">
        <f aca="false">IF(AC52="N",V52,0)</f>
        <v>0</v>
      </c>
      <c r="AM52" s="43" t="n">
        <f aca="false">IF(AL52&gt;0,1,0)</f>
        <v>0</v>
      </c>
    </row>
    <row r="53" customFormat="false" ht="12.75" hidden="false" customHeight="false" outlineLevel="0" collapsed="false">
      <c r="H53" s="61"/>
      <c r="I53" s="61"/>
      <c r="J53" s="61"/>
      <c r="K53" s="61"/>
      <c r="L53" s="61"/>
      <c r="M53" s="61"/>
      <c r="N53" s="61"/>
      <c r="O53" s="61"/>
      <c r="P53" s="61"/>
      <c r="Q53" s="61"/>
      <c r="R53" s="61"/>
      <c r="AE53" s="63"/>
      <c r="AL53" s="43" t="n">
        <f aca="false">IF(AC53="N",V53,0)</f>
        <v>0</v>
      </c>
      <c r="AM53" s="43" t="n">
        <f aca="false">IF(AL53&gt;0,1,0)</f>
        <v>0</v>
      </c>
    </row>
    <row r="54" customFormat="false" ht="39" hidden="false" customHeight="false" outlineLevel="0" collapsed="false">
      <c r="A54" s="85" t="s">
        <v>151</v>
      </c>
      <c r="B54" s="43" t="s">
        <v>152</v>
      </c>
      <c r="D54" s="43" t="s">
        <v>153</v>
      </c>
      <c r="F54" s="48" t="n">
        <v>75000</v>
      </c>
      <c r="G54" s="48" t="n">
        <f aca="false">F54/52</f>
        <v>1442.30769230769</v>
      </c>
      <c r="H54" s="61" t="n">
        <f aca="false">IF(AC54="N",IF(F54&lt;$G$3,$F$3*G54*AE54,IF(F54&lt;$G$2,$F$2*G54*AE54,$F$1*G54*AE54)),0)</f>
        <v>0</v>
      </c>
      <c r="I54" s="61" t="n">
        <f aca="false">IF(AC54="Y",(IF(F54&lt;$G$3,$F$3*G54*AE54,IF(F54&lt;$G$2,$F$2*G54*AE54,$F$1*G54*AE54))*$L$2),0)</f>
        <v>8653.84615384615</v>
      </c>
      <c r="J54" s="61"/>
      <c r="K54" s="61" t="n">
        <f aca="false">IF(AC54="N",(MIN((($F$3*G54*AE54+ROUNDUP((F54/10000),0)*G54)*2),F54)),0)</f>
        <v>0</v>
      </c>
      <c r="L54" s="61" t="n">
        <f aca="false">IF(AC54="Y",(MIN((($F$3*G54*AE54+ROUNDUP((F54/10000),0)*G54)*2),F54))*$L$2,0)</f>
        <v>43269.2307692308</v>
      </c>
      <c r="M54" s="61" t="n">
        <f aca="false">IF(AC54="N",IF((F54/10000*G54*$M$2)&gt;F54*$M$1,F54*$M$1,(F54/10000*G54*$M$2)),0)</f>
        <v>0</v>
      </c>
      <c r="N54" s="61" t="n">
        <f aca="false">IF(AC54="Y",(IF((F54/10000*G54*$M$2)&gt;F54*$M$1,F54*$M$1,(F54/10000*G54*$M$2)))*$L$2,0)</f>
        <v>32451.9230769231</v>
      </c>
      <c r="O54" s="61" t="n">
        <f aca="false">MAX(IF(F54&lt;$G$3,$F$3*G54*AE54,IF(F54&lt;$G$2,$F$2*G54*AE54,$F$1*G54*AE54)),IF((F54/10000*G54*$M$2)&gt;F54*$M$1,F54*$M$1,(F54/10000*G54*$M$2)))</f>
        <v>21634.6153846154</v>
      </c>
      <c r="P54" s="61" t="n">
        <f aca="false">MIN(IF(F54&lt;$G$3,$F$3*G54*AE54,IF(F54&lt;$G$2,$F$2*G54*AE54,$F$1*G54*AE54)),IF((F54/10000*G54*$M$2)&gt;F54*$M$1,F54*$M$1,(F54/10000*G54*$M$2)))</f>
        <v>5769.23076923077</v>
      </c>
      <c r="Q54" s="61" t="n">
        <f aca="false">MAX(I54,N54)</f>
        <v>32451.9230769231</v>
      </c>
      <c r="R54" s="61" t="n">
        <f aca="false">MIN(I54,N54)</f>
        <v>8653.84615384615</v>
      </c>
      <c r="S54" s="62" t="n">
        <f aca="false">F54/10000</f>
        <v>7.5</v>
      </c>
      <c r="T54" s="62" t="n">
        <f aca="false">ROUNDUP(S54,0)</f>
        <v>8</v>
      </c>
      <c r="U54" s="44" t="s">
        <v>40</v>
      </c>
      <c r="V54" s="44" t="n">
        <f aca="false">F54</f>
        <v>75000</v>
      </c>
      <c r="Y54" s="45" t="n">
        <f aca="false">(W54+X54)</f>
        <v>0</v>
      </c>
      <c r="AC54" s="46" t="s">
        <v>420</v>
      </c>
      <c r="AD54" s="84" t="n">
        <v>36332</v>
      </c>
      <c r="AE54" s="63" t="n">
        <f aca="false">ROUNDUP(DAYS360(AD54,$AE$3)/365,0)</f>
        <v>2</v>
      </c>
      <c r="AL54" s="43" t="n">
        <f aca="false">IF(AC54="N",V54,0)</f>
        <v>0</v>
      </c>
      <c r="AM54" s="43" t="n">
        <f aca="false">IF(AL54&gt;0,1,0)</f>
        <v>0</v>
      </c>
    </row>
    <row r="55" customFormat="false" ht="12.75" hidden="false" customHeight="false" outlineLevel="0" collapsed="false">
      <c r="A55" s="86"/>
      <c r="B55" s="43" t="s">
        <v>155</v>
      </c>
      <c r="D55" s="43" t="s">
        <v>136</v>
      </c>
      <c r="F55" s="48" t="n">
        <v>72000</v>
      </c>
      <c r="G55" s="48" t="n">
        <f aca="false">F55/52</f>
        <v>1384.61538461538</v>
      </c>
      <c r="H55" s="61" t="n">
        <f aca="false">IF(AC55="N",IF(F55&lt;$G$3,$F$3*G55*AE55,IF(F55&lt;$G$2,$F$2*G55*AE55,$F$1*G55*AE55)),0)</f>
        <v>0</v>
      </c>
      <c r="I55" s="61" t="n">
        <f aca="false">IF(AC55="Y",(IF(F55&lt;$G$3,$F$3*G55*AE55,IF(F55&lt;$G$2,$F$2*G55*AE55,$F$1*G55*AE55))*$L$2),0)</f>
        <v>8307.69230769231</v>
      </c>
      <c r="J55" s="61"/>
      <c r="K55" s="61" t="n">
        <f aca="false">IF(AC55="N",(MIN((($F$3*G55*AE55+ROUNDUP((F55/10000),0)*G55)*2),F55)),0)</f>
        <v>0</v>
      </c>
      <c r="L55" s="61" t="n">
        <f aca="false">IF(AC55="Y",(MIN((($F$3*G55*AE55+ROUNDUP((F55/10000),0)*G55)*2),F55))*$L$2,0)</f>
        <v>41538.4615384615</v>
      </c>
      <c r="M55" s="61" t="n">
        <f aca="false">IF(AC55="N",IF((F55/10000*G55*$M$2)&gt;F55*$M$1,F55*$M$1,(F55/10000*G55*$M$2)),0)</f>
        <v>0</v>
      </c>
      <c r="N55" s="61" t="n">
        <f aca="false">IF(AC55="Y",(IF((F55/10000*G55*$M$2)&gt;F55*$M$1,F55*$M$1,(F55/10000*G55*$M$2)))*$L$2,0)</f>
        <v>29907.6923076923</v>
      </c>
      <c r="O55" s="61" t="n">
        <f aca="false">MAX(IF(F55&lt;$G$3,$F$3*G55*AE55,IF(F55&lt;$G$2,$F$2*G55*AE55,$F$1*G55*AE55)),IF((F55/10000*G55*$M$2)&gt;F55*$M$1,F55*$M$1,(F55/10000*G55*$M$2)))</f>
        <v>19938.4615384615</v>
      </c>
      <c r="P55" s="61" t="n">
        <f aca="false">MIN(IF(F55&lt;$G$3,$F$3*G55*AE55,IF(F55&lt;$G$2,$F$2*G55*AE55,$F$1*G55*AE55)),IF((F55/10000*G55*$M$2)&gt;F55*$M$1,F55*$M$1,(F55/10000*G55*$M$2)))</f>
        <v>5538.46153846154</v>
      </c>
      <c r="Q55" s="61" t="n">
        <f aca="false">MAX(I55,N55)</f>
        <v>29907.6923076923</v>
      </c>
      <c r="R55" s="61" t="n">
        <f aca="false">MIN(I55,N55)</f>
        <v>8307.69230769231</v>
      </c>
      <c r="S55" s="62" t="n">
        <f aca="false">F55/10000</f>
        <v>7.2</v>
      </c>
      <c r="T55" s="62" t="n">
        <f aca="false">ROUNDUP(S55,0)</f>
        <v>8</v>
      </c>
      <c r="U55" s="44" t="s">
        <v>40</v>
      </c>
      <c r="V55" s="44" t="n">
        <f aca="false">F55</f>
        <v>72000</v>
      </c>
      <c r="Y55" s="45" t="n">
        <f aca="false">(W55+X55)</f>
        <v>0</v>
      </c>
      <c r="AC55" s="46" t="s">
        <v>420</v>
      </c>
      <c r="AD55" s="84" t="n">
        <v>36535</v>
      </c>
      <c r="AE55" s="63" t="n">
        <f aca="false">ROUNDUP(DAYS360(AD55,$AE$3)/365,0)</f>
        <v>2</v>
      </c>
      <c r="AL55" s="43" t="n">
        <f aca="false">IF(AC55="N",V55,0)</f>
        <v>0</v>
      </c>
      <c r="AM55" s="43" t="n">
        <f aca="false">IF(AL55&gt;0,1,0)</f>
        <v>0</v>
      </c>
    </row>
    <row r="56" customFormat="false" ht="12.75" hidden="false" customHeight="false" outlineLevel="0" collapsed="false">
      <c r="A56" s="86"/>
      <c r="B56" s="43" t="s">
        <v>162</v>
      </c>
      <c r="D56" s="43" t="s">
        <v>163</v>
      </c>
      <c r="F56" s="48" t="n">
        <v>67000</v>
      </c>
      <c r="G56" s="48" t="n">
        <f aca="false">F56/52</f>
        <v>1288.46153846154</v>
      </c>
      <c r="H56" s="61" t="n">
        <f aca="false">IF(AC56="N",IF(F56&lt;$G$3,$F$3*G56*AE56,IF(F56&lt;$G$2,$F$2*G56*AE56,$F$1*G56*AE56)),0)</f>
        <v>0</v>
      </c>
      <c r="I56" s="61" t="n">
        <f aca="false">IF(AC56="Y",(IF(F56&lt;$G$3,$F$3*G56*AE56,IF(F56&lt;$G$2,$F$2*G56*AE56,$F$1*G56*AE56))*$L$2),0)</f>
        <v>7730.76923076923</v>
      </c>
      <c r="J56" s="61"/>
      <c r="K56" s="61" t="n">
        <f aca="false">IF(AC56="N",(MIN((($F$3*G56*AE56+ROUNDUP((F56/10000),0)*G56)*2),F56)),0)</f>
        <v>0</v>
      </c>
      <c r="L56" s="61" t="n">
        <f aca="false">IF(AC56="Y",(MIN((($F$3*G56*AE56+ROUNDUP((F56/10000),0)*G56)*2),F56))*$L$2,0)</f>
        <v>34788.4615384615</v>
      </c>
      <c r="M56" s="61" t="n">
        <f aca="false">IF(AC56="N",IF((F56/10000*G56*$M$2)&gt;F56*$M$1,F56*$M$1,(F56/10000*G56*$M$2)),0)</f>
        <v>0</v>
      </c>
      <c r="N56" s="61" t="n">
        <f aca="false">IF(AC56="Y",(IF((F56/10000*G56*$M$2)&gt;F56*$M$1,F56*$M$1,(F56/10000*G56*$M$2)))*$L$2,0)</f>
        <v>25898.0769230769</v>
      </c>
      <c r="O56" s="61" t="n">
        <f aca="false">MAX(IF(F56&lt;$G$3,$F$3*G56*AE56,IF(F56&lt;$G$2,$F$2*G56*AE56,$F$1*G56*AE56)),IF((F56/10000*G56*$M$2)&gt;F56*$M$1,F56*$M$1,(F56/10000*G56*$M$2)))</f>
        <v>17265.3846153846</v>
      </c>
      <c r="P56" s="61" t="n">
        <f aca="false">MIN(IF(F56&lt;$G$3,$F$3*G56*AE56,IF(F56&lt;$G$2,$F$2*G56*AE56,$F$1*G56*AE56)),IF((F56/10000*G56*$M$2)&gt;F56*$M$1,F56*$M$1,(F56/10000*G56*$M$2)))</f>
        <v>5153.84615384615</v>
      </c>
      <c r="Q56" s="61" t="n">
        <f aca="false">MAX(I56,N56)</f>
        <v>25898.0769230769</v>
      </c>
      <c r="R56" s="61" t="n">
        <f aca="false">MIN(I56,N56)</f>
        <v>7730.76923076923</v>
      </c>
      <c r="S56" s="62" t="n">
        <f aca="false">F56/10000</f>
        <v>6.7</v>
      </c>
      <c r="T56" s="62" t="n">
        <f aca="false">ROUNDUP(S56,0)</f>
        <v>7</v>
      </c>
      <c r="U56" s="44" t="s">
        <v>40</v>
      </c>
      <c r="V56" s="44" t="n">
        <f aca="false">F56</f>
        <v>67000</v>
      </c>
      <c r="Y56" s="45" t="n">
        <f aca="false">(W56+X56)</f>
        <v>0</v>
      </c>
      <c r="AC56" s="46" t="s">
        <v>420</v>
      </c>
      <c r="AD56" s="84" t="n">
        <v>36560</v>
      </c>
      <c r="AE56" s="63" t="n">
        <f aca="false">ROUNDUP(DAYS360(AD56,$AE$3)/365,0)</f>
        <v>2</v>
      </c>
      <c r="AL56" s="43" t="n">
        <f aca="false">IF(AC56="N",V56,0)</f>
        <v>0</v>
      </c>
      <c r="AM56" s="43" t="n">
        <f aca="false">IF(AL56&gt;0,1,0)</f>
        <v>0</v>
      </c>
    </row>
    <row r="57" customFormat="false" ht="12.75" hidden="false" customHeight="false" outlineLevel="0" collapsed="false">
      <c r="A57" s="86"/>
      <c r="B57" s="43" t="s">
        <v>234</v>
      </c>
      <c r="D57" s="43" t="s">
        <v>210</v>
      </c>
      <c r="F57" s="48" t="n">
        <v>35360</v>
      </c>
      <c r="G57" s="48" t="n">
        <f aca="false">F57/52</f>
        <v>680</v>
      </c>
      <c r="H57" s="61" t="n">
        <f aca="false">IF(AC57="N",IF(F57&lt;$G$3,$F$3*G57*AE57,IF(F57&lt;$G$2,$F$2*G57*AE57,$F$1*G57*AE57)),0)</f>
        <v>0</v>
      </c>
      <c r="I57" s="61" t="n">
        <f aca="false">IF(AC57="Y",(IF(F57&lt;$G$3,$F$3*G57*AE57,IF(F57&lt;$G$2,$F$2*G57*AE57,$F$1*G57*AE57))*$L$2),0)</f>
        <v>2040</v>
      </c>
      <c r="J57" s="61"/>
      <c r="K57" s="61" t="n">
        <f aca="false">IF(AC57="N",(MIN((($F$3*G57*AE57+ROUNDUP((F57/10000),0)*G57)*2),F57)),0)</f>
        <v>0</v>
      </c>
      <c r="L57" s="61" t="n">
        <f aca="false">IF(AC57="Y",(MIN((($F$3*G57*AE57+ROUNDUP((F57/10000),0)*G57)*2),F57))*$L$2,0)</f>
        <v>12240</v>
      </c>
      <c r="M57" s="61" t="n">
        <f aca="false">IF(AC57="N",IF((F57/10000*G57*$M$2)&gt;F57*$M$1,F57*$M$1,(F57/10000*G57*$M$2)),0)</f>
        <v>0</v>
      </c>
      <c r="N57" s="61" t="n">
        <f aca="false">IF(AC57="Y",(IF((F57/10000*G57*$M$2)&gt;F57*$M$1,F57*$M$1,(F57/10000*G57*$M$2)))*$L$2,0)</f>
        <v>7213.44</v>
      </c>
      <c r="O57" s="61" t="n">
        <f aca="false">MAX(IF(F57&lt;$G$3,$F$3*G57*AE57,IF(F57&lt;$G$2,$F$2*G57*AE57,$F$1*G57*AE57)),IF((F57/10000*G57*$M$2)&gt;F57*$M$1,F57*$M$1,(F57/10000*G57*$M$2)))</f>
        <v>4808.96</v>
      </c>
      <c r="P57" s="61" t="n">
        <f aca="false">MIN(IF(F57&lt;$G$3,$F$3*G57*AE57,IF(F57&lt;$G$2,$F$2*G57*AE57,$F$1*G57*AE57)),IF((F57/10000*G57*$M$2)&gt;F57*$M$1,F57*$M$1,(F57/10000*G57*$M$2)))</f>
        <v>1360</v>
      </c>
      <c r="Q57" s="61" t="n">
        <f aca="false">MAX(I57,N57)</f>
        <v>7213.44</v>
      </c>
      <c r="R57" s="61" t="n">
        <f aca="false">MIN(I57,N57)</f>
        <v>2040</v>
      </c>
      <c r="S57" s="62" t="n">
        <f aca="false">F57/10000</f>
        <v>3.536</v>
      </c>
      <c r="T57" s="62" t="n">
        <f aca="false">ROUNDUP(S57,0)</f>
        <v>4</v>
      </c>
      <c r="U57" s="44" t="s">
        <v>40</v>
      </c>
      <c r="V57" s="44" t="n">
        <f aca="false">F57</f>
        <v>35360</v>
      </c>
      <c r="Y57" s="45" t="n">
        <f aca="false">(W57+X57)</f>
        <v>0</v>
      </c>
      <c r="AC57" s="46" t="s">
        <v>420</v>
      </c>
      <c r="AD57" s="84" t="n">
        <v>36556</v>
      </c>
      <c r="AE57" s="63" t="n">
        <f aca="false">ROUNDUP(DAYS360(AD57,$AE$3)/365,0)</f>
        <v>2</v>
      </c>
      <c r="AL57" s="43" t="n">
        <f aca="false">IF(AC57="N",V57,0)</f>
        <v>0</v>
      </c>
      <c r="AM57" s="43" t="n">
        <f aca="false">IF(AL57&gt;0,1,0)</f>
        <v>0</v>
      </c>
    </row>
    <row r="58" customFormat="false" ht="12.75" hidden="false" customHeight="false" outlineLevel="0" collapsed="false">
      <c r="A58" s="86"/>
      <c r="B58" s="43" t="s">
        <v>243</v>
      </c>
      <c r="D58" s="43" t="s">
        <v>216</v>
      </c>
      <c r="F58" s="48" t="n">
        <v>31200</v>
      </c>
      <c r="G58" s="48" t="n">
        <f aca="false">F58/52</f>
        <v>600</v>
      </c>
      <c r="H58" s="61" t="n">
        <f aca="false">IF(AC58="N",IF(F58&lt;$G$3,$F$3*G58*AE58,IF(F58&lt;$G$2,$F$2*G58*AE58,$F$1*G58*AE58)),0)</f>
        <v>0</v>
      </c>
      <c r="I58" s="61" t="n">
        <f aca="false">IF(AC58="Y",(IF(F58&lt;$G$3,$F$3*G58*AE58,IF(F58&lt;$G$2,$F$2*G58*AE58,$F$1*G58*AE58))*$L$2),0)</f>
        <v>1800</v>
      </c>
      <c r="J58" s="61"/>
      <c r="K58" s="61" t="n">
        <f aca="false">IF(AC58="N",(MIN((($F$3*G58*AE58+ROUNDUP((F58/10000),0)*G58)*2),F58)),0)</f>
        <v>0</v>
      </c>
      <c r="L58" s="61" t="n">
        <f aca="false">IF(AC58="Y",(MIN((($F$3*G58*AE58+ROUNDUP((F58/10000),0)*G58)*2),F58))*$L$2,0)</f>
        <v>10800</v>
      </c>
      <c r="M58" s="61" t="n">
        <f aca="false">IF(AC58="N",IF((F58/10000*G58*$M$2)&gt;F58*$M$1,F58*$M$1,(F58/10000*G58*$M$2)),0)</f>
        <v>0</v>
      </c>
      <c r="N58" s="61" t="n">
        <f aca="false">IF(AC58="Y",(IF((F58/10000*G58*$M$2)&gt;F58*$M$1,F58*$M$1,(F58/10000*G58*$M$2)))*$L$2,0)</f>
        <v>5616</v>
      </c>
      <c r="O58" s="61" t="n">
        <f aca="false">MAX(IF(F58&lt;$G$3,$F$3*G58*AE58,IF(F58&lt;$G$2,$F$2*G58*AE58,$F$1*G58*AE58)),IF((F58/10000*G58*$M$2)&gt;F58*$M$1,F58*$M$1,(F58/10000*G58*$M$2)))</f>
        <v>3744</v>
      </c>
      <c r="P58" s="61" t="n">
        <f aca="false">MIN(IF(F58&lt;$G$3,$F$3*G58*AE58,IF(F58&lt;$G$2,$F$2*G58*AE58,$F$1*G58*AE58)),IF((F58/10000*G58*$M$2)&gt;F58*$M$1,F58*$M$1,(F58/10000*G58*$M$2)))</f>
        <v>1200</v>
      </c>
      <c r="Q58" s="61" t="n">
        <f aca="false">MAX(I58,N58)</f>
        <v>5616</v>
      </c>
      <c r="R58" s="61" t="n">
        <f aca="false">MIN(I58,N58)</f>
        <v>1800</v>
      </c>
      <c r="S58" s="62" t="n">
        <f aca="false">F58/10000</f>
        <v>3.12</v>
      </c>
      <c r="T58" s="62" t="n">
        <f aca="false">ROUNDUP(S58,0)</f>
        <v>4</v>
      </c>
      <c r="U58" s="44" t="s">
        <v>40</v>
      </c>
      <c r="V58" s="44" t="n">
        <f aca="false">F58</f>
        <v>31200</v>
      </c>
      <c r="Y58" s="45" t="n">
        <f aca="false">(W58+X58)</f>
        <v>0</v>
      </c>
      <c r="AC58" s="46" t="s">
        <v>420</v>
      </c>
      <c r="AD58" s="84" t="n">
        <v>36612</v>
      </c>
      <c r="AE58" s="63" t="n">
        <f aca="false">ROUNDUP(DAYS360(AD58,$AE$3)/365,0)</f>
        <v>2</v>
      </c>
      <c r="AL58" s="43" t="n">
        <f aca="false">IF(AC58="N",V58,0)</f>
        <v>0</v>
      </c>
      <c r="AM58" s="43" t="n">
        <f aca="false">IF(AL58&gt;0,1,0)</f>
        <v>0</v>
      </c>
    </row>
    <row r="59" customFormat="false" ht="12.75" hidden="false" customHeight="false" outlineLevel="0" collapsed="false">
      <c r="A59" s="86"/>
      <c r="B59" s="43" t="s">
        <v>242</v>
      </c>
      <c r="D59" s="43" t="s">
        <v>216</v>
      </c>
      <c r="F59" s="48" t="n">
        <v>31200</v>
      </c>
      <c r="G59" s="48" t="n">
        <f aca="false">F59/52</f>
        <v>600</v>
      </c>
      <c r="H59" s="61" t="n">
        <f aca="false">IF(AC59="N",IF(F59&lt;$G$3,$F$3*G59*AE59,IF(F59&lt;$G$2,$F$2*G59*AE59,$F$1*G59*AE59)),0)</f>
        <v>0</v>
      </c>
      <c r="I59" s="61" t="n">
        <f aca="false">IF(AC59="Y",(IF(F59&lt;$G$3,$F$3*G59*AE59,IF(F59&lt;$G$2,$F$2*G59*AE59,$F$1*G59*AE59))*$L$2),0)</f>
        <v>1800</v>
      </c>
      <c r="J59" s="61"/>
      <c r="K59" s="61" t="n">
        <f aca="false">IF(AC59="N",(MIN((($F$3*G59*AE59+ROUNDUP((F59/10000),0)*G59)*2),F59)),0)</f>
        <v>0</v>
      </c>
      <c r="L59" s="61" t="n">
        <f aca="false">IF(AC59="Y",(MIN((($F$3*G59*AE59+ROUNDUP((F59/10000),0)*G59)*2),F59))*$L$2,0)</f>
        <v>10800</v>
      </c>
      <c r="M59" s="61" t="n">
        <f aca="false">IF(AC59="N",IF((F59/10000*G59*$M$2)&gt;F59*$M$1,F59*$M$1,(F59/10000*G59*$M$2)),0)</f>
        <v>0</v>
      </c>
      <c r="N59" s="61" t="n">
        <f aca="false">IF(AC59="Y",(IF((F59/10000*G59*$M$2)&gt;F59*$M$1,F59*$M$1,(F59/10000*G59*$M$2)))*$L$2,0)</f>
        <v>5616</v>
      </c>
      <c r="O59" s="61" t="n">
        <f aca="false">MAX(IF(F59&lt;$G$3,$F$3*G59*AE59,IF(F59&lt;$G$2,$F$2*G59*AE59,$F$1*G59*AE59)),IF((F59/10000*G59*$M$2)&gt;F59*$M$1,F59*$M$1,(F59/10000*G59*$M$2)))</f>
        <v>3744</v>
      </c>
      <c r="P59" s="61" t="n">
        <f aca="false">MIN(IF(F59&lt;$G$3,$F$3*G59*AE59,IF(F59&lt;$G$2,$F$2*G59*AE59,$F$1*G59*AE59)),IF((F59/10000*G59*$M$2)&gt;F59*$M$1,F59*$M$1,(F59/10000*G59*$M$2)))</f>
        <v>1200</v>
      </c>
      <c r="Q59" s="61" t="n">
        <f aca="false">MAX(I59,N59)</f>
        <v>5616</v>
      </c>
      <c r="R59" s="61" t="n">
        <f aca="false">MIN(I59,N59)</f>
        <v>1800</v>
      </c>
      <c r="S59" s="62" t="n">
        <f aca="false">F59/10000</f>
        <v>3.12</v>
      </c>
      <c r="T59" s="62" t="n">
        <f aca="false">ROUNDUP(S59,0)</f>
        <v>4</v>
      </c>
      <c r="U59" s="44" t="s">
        <v>40</v>
      </c>
      <c r="V59" s="44" t="n">
        <f aca="false">F59</f>
        <v>31200</v>
      </c>
      <c r="Y59" s="45" t="n">
        <f aca="false">(W59+X59)</f>
        <v>0</v>
      </c>
      <c r="AC59" s="46" t="s">
        <v>420</v>
      </c>
      <c r="AD59" s="84" t="n">
        <v>36612</v>
      </c>
      <c r="AE59" s="63" t="n">
        <f aca="false">ROUNDUP(DAYS360(AD59,$AE$3)/365,0)</f>
        <v>2</v>
      </c>
      <c r="AL59" s="43" t="n">
        <f aca="false">IF(AC59="N",V59,0)</f>
        <v>0</v>
      </c>
      <c r="AM59" s="43" t="n">
        <f aca="false">IF(AL59&gt;0,1,0)</f>
        <v>0</v>
      </c>
    </row>
    <row r="60" customFormat="false" ht="12.75" hidden="false" customHeight="false" outlineLevel="0" collapsed="false">
      <c r="A60" s="86"/>
      <c r="B60" s="43" t="s">
        <v>241</v>
      </c>
      <c r="D60" s="43" t="s">
        <v>216</v>
      </c>
      <c r="F60" s="48" t="n">
        <v>31200</v>
      </c>
      <c r="G60" s="48" t="n">
        <f aca="false">F60/52</f>
        <v>600</v>
      </c>
      <c r="H60" s="61" t="n">
        <f aca="false">IF(AC60="N",IF(F60&lt;$G$3,$F$3*G60*AE60,IF(F60&lt;$G$2,$F$2*G60*AE60,$F$1*G60*AE60)),0)</f>
        <v>0</v>
      </c>
      <c r="I60" s="61" t="n">
        <f aca="false">IF(AC60="Y",(IF(F60&lt;$G$3,$F$3*G60*AE60,IF(F60&lt;$G$2,$F$2*G60*AE60,$F$1*G60*AE60))*$L$2),0)</f>
        <v>1800</v>
      </c>
      <c r="J60" s="61"/>
      <c r="K60" s="61" t="n">
        <f aca="false">IF(AC60="N",(MIN((($F$3*G60*AE60+ROUNDUP((F60/10000),0)*G60)*2),F60)),0)</f>
        <v>0</v>
      </c>
      <c r="L60" s="61" t="n">
        <f aca="false">IF(AC60="Y",(MIN((($F$3*G60*AE60+ROUNDUP((F60/10000),0)*G60)*2),F60))*$L$2,0)</f>
        <v>10800</v>
      </c>
      <c r="M60" s="61" t="n">
        <f aca="false">IF(AC60="N",IF((F60/10000*G60*$M$2)&gt;F60*$M$1,F60*$M$1,(F60/10000*G60*$M$2)),0)</f>
        <v>0</v>
      </c>
      <c r="N60" s="61" t="n">
        <f aca="false">IF(AC60="Y",(IF((F60/10000*G60*$M$2)&gt;F60*$M$1,F60*$M$1,(F60/10000*G60*$M$2)))*$L$2,0)</f>
        <v>5616</v>
      </c>
      <c r="O60" s="61" t="n">
        <f aca="false">MAX(IF(F60&lt;$G$3,$F$3*G60*AE60,IF(F60&lt;$G$2,$F$2*G60*AE60,$F$1*G60*AE60)),IF((F60/10000*G60*$M$2)&gt;F60*$M$1,F60*$M$1,(F60/10000*G60*$M$2)))</f>
        <v>3744</v>
      </c>
      <c r="P60" s="61" t="n">
        <f aca="false">MIN(IF(F60&lt;$G$3,$F$3*G60*AE60,IF(F60&lt;$G$2,$F$2*G60*AE60,$F$1*G60*AE60)),IF((F60/10000*G60*$M$2)&gt;F60*$M$1,F60*$M$1,(F60/10000*G60*$M$2)))</f>
        <v>1200</v>
      </c>
      <c r="Q60" s="61" t="n">
        <f aca="false">MAX(I60,N60)</f>
        <v>5616</v>
      </c>
      <c r="R60" s="61" t="n">
        <f aca="false">MIN(I60,N60)</f>
        <v>1800</v>
      </c>
      <c r="S60" s="62" t="n">
        <f aca="false">F60/10000</f>
        <v>3.12</v>
      </c>
      <c r="T60" s="62" t="n">
        <f aca="false">ROUNDUP(S60,0)</f>
        <v>4</v>
      </c>
      <c r="U60" s="44" t="s">
        <v>40</v>
      </c>
      <c r="V60" s="44" t="n">
        <f aca="false">F60</f>
        <v>31200</v>
      </c>
      <c r="Y60" s="45" t="n">
        <f aca="false">(W60+X60)</f>
        <v>0</v>
      </c>
      <c r="AC60" s="46" t="s">
        <v>420</v>
      </c>
      <c r="AD60" s="84" t="n">
        <v>36612</v>
      </c>
      <c r="AE60" s="63" t="n">
        <f aca="false">ROUNDUP(DAYS360(AD60,$AE$3)/365,0)</f>
        <v>2</v>
      </c>
      <c r="AL60" s="43" t="n">
        <f aca="false">IF(AC60="N",V60,0)</f>
        <v>0</v>
      </c>
      <c r="AM60" s="43" t="n">
        <f aca="false">IF(AL60&gt;0,1,0)</f>
        <v>0</v>
      </c>
    </row>
    <row r="61" customFormat="false" ht="12.75" hidden="false" customHeight="false" outlineLevel="0" collapsed="false">
      <c r="A61" s="86"/>
      <c r="B61" s="43" t="s">
        <v>240</v>
      </c>
      <c r="D61" s="43" t="s">
        <v>216</v>
      </c>
      <c r="F61" s="48" t="n">
        <v>31200</v>
      </c>
      <c r="G61" s="48" t="n">
        <f aca="false">F61/52</f>
        <v>600</v>
      </c>
      <c r="H61" s="61" t="n">
        <f aca="false">IF(AC61="N",IF(F61&lt;$G$3,$F$3*G61*AE61,IF(F61&lt;$G$2,$F$2*G61*AE61,$F$1*G61*AE61)),0)</f>
        <v>0</v>
      </c>
      <c r="I61" s="61" t="n">
        <f aca="false">IF(AC61="Y",(IF(F61&lt;$G$3,$F$3*G61*AE61,IF(F61&lt;$G$2,$F$2*G61*AE61,$F$1*G61*AE61))*$L$2),0)</f>
        <v>1800</v>
      </c>
      <c r="J61" s="61"/>
      <c r="K61" s="61" t="n">
        <f aca="false">IF(AC61="N",(MIN((($F$3*G61*AE61+ROUNDUP((F61/10000),0)*G61)*2),F61)),0)</f>
        <v>0</v>
      </c>
      <c r="L61" s="61" t="n">
        <f aca="false">IF(AC61="Y",(MIN((($F$3*G61*AE61+ROUNDUP((F61/10000),0)*G61)*2),F61))*$L$2,0)</f>
        <v>10800</v>
      </c>
      <c r="M61" s="61" t="n">
        <f aca="false">IF(AC61="N",IF((F61/10000*G61*$M$2)&gt;F61*$M$1,F61*$M$1,(F61/10000*G61*$M$2)),0)</f>
        <v>0</v>
      </c>
      <c r="N61" s="61" t="n">
        <f aca="false">IF(AC61="Y",(IF((F61/10000*G61*$M$2)&gt;F61*$M$1,F61*$M$1,(F61/10000*G61*$M$2)))*$L$2,0)</f>
        <v>5616</v>
      </c>
      <c r="O61" s="61" t="n">
        <f aca="false">MAX(IF(F61&lt;$G$3,$F$3*G61*AE61,IF(F61&lt;$G$2,$F$2*G61*AE61,$F$1*G61*AE61)),IF((F61/10000*G61*$M$2)&gt;F61*$M$1,F61*$M$1,(F61/10000*G61*$M$2)))</f>
        <v>3744</v>
      </c>
      <c r="P61" s="61" t="n">
        <f aca="false">MIN(IF(F61&lt;$G$3,$F$3*G61*AE61,IF(F61&lt;$G$2,$F$2*G61*AE61,$F$1*G61*AE61)),IF((F61/10000*G61*$M$2)&gt;F61*$M$1,F61*$M$1,(F61/10000*G61*$M$2)))</f>
        <v>1200</v>
      </c>
      <c r="Q61" s="61" t="n">
        <f aca="false">MAX(I61,N61)</f>
        <v>5616</v>
      </c>
      <c r="R61" s="61" t="n">
        <f aca="false">MIN(I61,N61)</f>
        <v>1800</v>
      </c>
      <c r="S61" s="62" t="n">
        <f aca="false">F61/10000</f>
        <v>3.12</v>
      </c>
      <c r="T61" s="62" t="n">
        <f aca="false">ROUNDUP(S61,0)</f>
        <v>4</v>
      </c>
      <c r="U61" s="44" t="s">
        <v>40</v>
      </c>
      <c r="V61" s="44" t="n">
        <f aca="false">F61</f>
        <v>31200</v>
      </c>
      <c r="Y61" s="45" t="n">
        <f aca="false">(W61+X61)</f>
        <v>0</v>
      </c>
      <c r="AC61" s="46" t="s">
        <v>420</v>
      </c>
      <c r="AD61" s="84" t="n">
        <v>36612</v>
      </c>
      <c r="AE61" s="63" t="n">
        <f aca="false">ROUNDUP(DAYS360(AD61,$AE$3)/365,0)</f>
        <v>2</v>
      </c>
      <c r="AL61" s="43" t="n">
        <f aca="false">IF(AC61="N",V61,0)</f>
        <v>0</v>
      </c>
      <c r="AM61" s="43" t="n">
        <f aca="false">IF(AL61&gt;0,1,0)</f>
        <v>0</v>
      </c>
    </row>
    <row r="62" customFormat="false" ht="12.75" hidden="false" customHeight="false" outlineLevel="0" collapsed="false">
      <c r="A62" s="86"/>
      <c r="B62" s="43" t="s">
        <v>239</v>
      </c>
      <c r="D62" s="43" t="s">
        <v>216</v>
      </c>
      <c r="F62" s="48" t="n">
        <v>31200</v>
      </c>
      <c r="G62" s="48" t="n">
        <f aca="false">F62/52</f>
        <v>600</v>
      </c>
      <c r="H62" s="61" t="n">
        <f aca="false">IF(AC62="N",IF(F62&lt;$G$3,$F$3*G62*AE62,IF(F62&lt;$G$2,$F$2*G62*AE62,$F$1*G62*AE62)),0)</f>
        <v>0</v>
      </c>
      <c r="I62" s="61" t="n">
        <f aca="false">IF(AC62="Y",(IF(F62&lt;$G$3,$F$3*G62*AE62,IF(F62&lt;$G$2,$F$2*G62*AE62,$F$1*G62*AE62))*$L$2),0)</f>
        <v>1800</v>
      </c>
      <c r="J62" s="61"/>
      <c r="K62" s="61" t="n">
        <f aca="false">IF(AC62="N",(MIN((($F$3*G62*AE62+ROUNDUP((F62/10000),0)*G62)*2),F62)),0)</f>
        <v>0</v>
      </c>
      <c r="L62" s="61" t="n">
        <f aca="false">IF(AC62="Y",(MIN((($F$3*G62*AE62+ROUNDUP((F62/10000),0)*G62)*2),F62))*$L$2,0)</f>
        <v>10800</v>
      </c>
      <c r="M62" s="61" t="n">
        <f aca="false">IF(AC62="N",IF((F62/10000*G62*$M$2)&gt;F62*$M$1,F62*$M$1,(F62/10000*G62*$M$2)),0)</f>
        <v>0</v>
      </c>
      <c r="N62" s="61" t="n">
        <f aca="false">IF(AC62="Y",(IF((F62/10000*G62*$M$2)&gt;F62*$M$1,F62*$M$1,(F62/10000*G62*$M$2)))*$L$2,0)</f>
        <v>5616</v>
      </c>
      <c r="O62" s="61" t="n">
        <f aca="false">MAX(IF(F62&lt;$G$3,$F$3*G62*AE62,IF(F62&lt;$G$2,$F$2*G62*AE62,$F$1*G62*AE62)),IF((F62/10000*G62*$M$2)&gt;F62*$M$1,F62*$M$1,(F62/10000*G62*$M$2)))</f>
        <v>3744</v>
      </c>
      <c r="P62" s="61" t="n">
        <f aca="false">MIN(IF(F62&lt;$G$3,$F$3*G62*AE62,IF(F62&lt;$G$2,$F$2*G62*AE62,$F$1*G62*AE62)),IF((F62/10000*G62*$M$2)&gt;F62*$M$1,F62*$M$1,(F62/10000*G62*$M$2)))</f>
        <v>1200</v>
      </c>
      <c r="Q62" s="61" t="n">
        <f aca="false">MAX(I62,N62)</f>
        <v>5616</v>
      </c>
      <c r="R62" s="61" t="n">
        <f aca="false">MIN(I62,N62)</f>
        <v>1800</v>
      </c>
      <c r="S62" s="62" t="n">
        <f aca="false">F62/10000</f>
        <v>3.12</v>
      </c>
      <c r="T62" s="62" t="n">
        <f aca="false">ROUNDUP(S62,0)</f>
        <v>4</v>
      </c>
      <c r="U62" s="44" t="s">
        <v>40</v>
      </c>
      <c r="V62" s="44" t="n">
        <f aca="false">F62</f>
        <v>31200</v>
      </c>
      <c r="Y62" s="45" t="n">
        <f aca="false">(W62+X62)</f>
        <v>0</v>
      </c>
      <c r="AC62" s="46" t="s">
        <v>420</v>
      </c>
      <c r="AD62" s="84" t="n">
        <v>36612</v>
      </c>
      <c r="AE62" s="63" t="n">
        <f aca="false">ROUNDUP(DAYS360(AD62,$AE$3)/365,0)</f>
        <v>2</v>
      </c>
      <c r="AL62" s="43" t="n">
        <f aca="false">IF(AC62="N",V62,0)</f>
        <v>0</v>
      </c>
      <c r="AM62" s="43" t="n">
        <f aca="false">IF(AL62&gt;0,1,0)</f>
        <v>0</v>
      </c>
    </row>
    <row r="63" customFormat="false" ht="12.75" hidden="false" customHeight="false" outlineLevel="0" collapsed="false">
      <c r="A63" s="86"/>
      <c r="B63" s="43" t="s">
        <v>233</v>
      </c>
      <c r="D63" s="43" t="s">
        <v>210</v>
      </c>
      <c r="F63" s="48" t="n">
        <v>35360</v>
      </c>
      <c r="G63" s="48" t="n">
        <f aca="false">F63/52</f>
        <v>680</v>
      </c>
      <c r="H63" s="61" t="n">
        <f aca="false">IF(AC63="N",IF(F63&lt;$G$3,$F$3*G63*AE63,IF(F63&lt;$G$2,$F$2*G63*AE63,$F$1*G63*AE63)),0)</f>
        <v>0</v>
      </c>
      <c r="I63" s="61" t="n">
        <f aca="false">IF(AC63="Y",(IF(F63&lt;$G$3,$F$3*G63*AE63,IF(F63&lt;$G$2,$F$2*G63*AE63,$F$1*G63*AE63))*$L$2),0)</f>
        <v>2040</v>
      </c>
      <c r="J63" s="61"/>
      <c r="K63" s="61" t="n">
        <f aca="false">IF(AC63="N",(MIN((($F$3*G63*AE63+ROUNDUP((F63/10000),0)*G63)*2),F63)),0)</f>
        <v>0</v>
      </c>
      <c r="L63" s="61" t="n">
        <f aca="false">IF(AC63="Y",(MIN((($F$3*G63*AE63+ROUNDUP((F63/10000),0)*G63)*2),F63))*$L$2,0)</f>
        <v>12240</v>
      </c>
      <c r="M63" s="61" t="n">
        <f aca="false">IF(AC63="N",IF((F63/10000*G63*$M$2)&gt;F63*$M$1,F63*$M$1,(F63/10000*G63*$M$2)),0)</f>
        <v>0</v>
      </c>
      <c r="N63" s="61" t="n">
        <f aca="false">IF(AC63="Y",(IF((F63/10000*G63*$M$2)&gt;F63*$M$1,F63*$M$1,(F63/10000*G63*$M$2)))*$L$2,0)</f>
        <v>7213.44</v>
      </c>
      <c r="O63" s="61" t="n">
        <f aca="false">MAX(IF(F63&lt;$G$3,$F$3*G63*AE63,IF(F63&lt;$G$2,$F$2*G63*AE63,$F$1*G63*AE63)),IF((F63/10000*G63*$M$2)&gt;F63*$M$1,F63*$M$1,(F63/10000*G63*$M$2)))</f>
        <v>4808.96</v>
      </c>
      <c r="P63" s="61" t="n">
        <f aca="false">MIN(IF(F63&lt;$G$3,$F$3*G63*AE63,IF(F63&lt;$G$2,$F$2*G63*AE63,$F$1*G63*AE63)),IF((F63/10000*G63*$M$2)&gt;F63*$M$1,F63*$M$1,(F63/10000*G63*$M$2)))</f>
        <v>1360</v>
      </c>
      <c r="Q63" s="61" t="n">
        <f aca="false">MAX(I63,N63)</f>
        <v>7213.44</v>
      </c>
      <c r="R63" s="61" t="n">
        <f aca="false">MIN(I63,N63)</f>
        <v>2040</v>
      </c>
      <c r="S63" s="62" t="n">
        <f aca="false">F63/10000</f>
        <v>3.536</v>
      </c>
      <c r="T63" s="62" t="n">
        <f aca="false">ROUNDUP(S63,0)</f>
        <v>4</v>
      </c>
      <c r="U63" s="44" t="s">
        <v>40</v>
      </c>
      <c r="V63" s="44" t="n">
        <f aca="false">F63</f>
        <v>35360</v>
      </c>
      <c r="Y63" s="45" t="n">
        <f aca="false">(W63+X63)</f>
        <v>0</v>
      </c>
      <c r="AC63" s="46" t="s">
        <v>420</v>
      </c>
      <c r="AD63" s="84" t="n">
        <v>36615</v>
      </c>
      <c r="AE63" s="63" t="n">
        <f aca="false">ROUNDUP(DAYS360(AD63,$AE$3)/365,0)</f>
        <v>2</v>
      </c>
      <c r="AL63" s="43" t="n">
        <f aca="false">IF(AC63="N",V63,0)</f>
        <v>0</v>
      </c>
      <c r="AM63" s="43" t="n">
        <f aca="false">IF(AL63&gt;0,1,0)</f>
        <v>0</v>
      </c>
    </row>
    <row r="64" customFormat="false" ht="12.75" hidden="false" customHeight="false" outlineLevel="0" collapsed="false">
      <c r="A64" s="86"/>
      <c r="B64" s="43" t="s">
        <v>238</v>
      </c>
      <c r="D64" s="43" t="s">
        <v>216</v>
      </c>
      <c r="F64" s="48" t="n">
        <v>31200</v>
      </c>
      <c r="G64" s="48" t="n">
        <f aca="false">F64/52</f>
        <v>600</v>
      </c>
      <c r="H64" s="61" t="n">
        <f aca="false">IF(AC64="N",IF(F64&lt;$G$3,$F$3*G64*AE64,IF(F64&lt;$G$2,$F$2*G64*AE64,$F$1*G64*AE64)),0)</f>
        <v>0</v>
      </c>
      <c r="I64" s="61" t="n">
        <f aca="false">IF(AC64="Y",(IF(F64&lt;$G$3,$F$3*G64*AE64,IF(F64&lt;$G$2,$F$2*G64*AE64,$F$1*G64*AE64))*$L$2),0)</f>
        <v>1800</v>
      </c>
      <c r="J64" s="61"/>
      <c r="K64" s="61" t="n">
        <f aca="false">IF(AC64="N",(MIN((($F$3*G64*AE64+ROUNDUP((F64/10000),0)*G64)*2),F64)),0)</f>
        <v>0</v>
      </c>
      <c r="L64" s="61" t="n">
        <f aca="false">IF(AC64="Y",(MIN((($F$3*G64*AE64+ROUNDUP((F64/10000),0)*G64)*2),F64))*$L$2,0)</f>
        <v>10800</v>
      </c>
      <c r="M64" s="61" t="n">
        <f aca="false">IF(AC64="N",IF((F64/10000*G64*$M$2)&gt;F64*$M$1,F64*$M$1,(F64/10000*G64*$M$2)),0)</f>
        <v>0</v>
      </c>
      <c r="N64" s="61" t="n">
        <f aca="false">IF(AC64="Y",(IF((F64/10000*G64*$M$2)&gt;F64*$M$1,F64*$M$1,(F64/10000*G64*$M$2)))*$L$2,0)</f>
        <v>5616</v>
      </c>
      <c r="O64" s="61" t="n">
        <f aca="false">MAX(IF(F64&lt;$G$3,$F$3*G64*AE64,IF(F64&lt;$G$2,$F$2*G64*AE64,$F$1*G64*AE64)),IF((F64/10000*G64*$M$2)&gt;F64*$M$1,F64*$M$1,(F64/10000*G64*$M$2)))</f>
        <v>3744</v>
      </c>
      <c r="P64" s="61" t="n">
        <f aca="false">MIN(IF(F64&lt;$G$3,$F$3*G64*AE64,IF(F64&lt;$G$2,$F$2*G64*AE64,$F$1*G64*AE64)),IF((F64/10000*G64*$M$2)&gt;F64*$M$1,F64*$M$1,(F64/10000*G64*$M$2)))</f>
        <v>1200</v>
      </c>
      <c r="Q64" s="61" t="n">
        <f aca="false">MAX(I64,N64)</f>
        <v>5616</v>
      </c>
      <c r="R64" s="61" t="n">
        <f aca="false">MIN(I64,N64)</f>
        <v>1800</v>
      </c>
      <c r="S64" s="62" t="n">
        <f aca="false">F64/10000</f>
        <v>3.12</v>
      </c>
      <c r="T64" s="62" t="n">
        <f aca="false">ROUNDUP(S64,0)</f>
        <v>4</v>
      </c>
      <c r="U64" s="44" t="s">
        <v>40</v>
      </c>
      <c r="V64" s="44" t="n">
        <f aca="false">F64</f>
        <v>31200</v>
      </c>
      <c r="Y64" s="45" t="n">
        <f aca="false">(W64+X64)</f>
        <v>0</v>
      </c>
      <c r="AC64" s="46" t="s">
        <v>420</v>
      </c>
      <c r="AD64" s="84" t="n">
        <v>36612</v>
      </c>
      <c r="AE64" s="63" t="n">
        <f aca="false">ROUNDUP(DAYS360(AD64,$AE$3)/365,0)</f>
        <v>2</v>
      </c>
      <c r="AL64" s="43" t="n">
        <f aca="false">IF(AC64="N",V64,0)</f>
        <v>0</v>
      </c>
      <c r="AM64" s="43" t="n">
        <f aca="false">IF(AL64&gt;0,1,0)</f>
        <v>0</v>
      </c>
    </row>
    <row r="65" customFormat="false" ht="12.75" hidden="false" customHeight="false" outlineLevel="0" collapsed="false">
      <c r="H65" s="61"/>
      <c r="I65" s="61"/>
      <c r="J65" s="61"/>
      <c r="K65" s="61"/>
      <c r="L65" s="61"/>
      <c r="M65" s="61"/>
      <c r="N65" s="61"/>
      <c r="O65" s="61"/>
      <c r="P65" s="61"/>
      <c r="Q65" s="61"/>
      <c r="R65" s="61"/>
      <c r="AE65" s="63"/>
      <c r="AL65" s="43" t="n">
        <f aca="false">IF(AC65="N",V65,0)</f>
        <v>0</v>
      </c>
      <c r="AM65" s="43" t="n">
        <f aca="false">IF(AL65&gt;0,1,0)</f>
        <v>0</v>
      </c>
    </row>
    <row r="66" customFormat="false" ht="12.75" hidden="false" customHeight="false" outlineLevel="0" collapsed="false">
      <c r="H66" s="61"/>
      <c r="I66" s="61"/>
      <c r="J66" s="61"/>
      <c r="K66" s="61"/>
      <c r="L66" s="61"/>
      <c r="M66" s="61"/>
      <c r="N66" s="61"/>
      <c r="O66" s="61"/>
      <c r="P66" s="61"/>
      <c r="Q66" s="61"/>
      <c r="R66" s="61"/>
      <c r="AE66" s="63"/>
      <c r="AL66" s="43" t="n">
        <f aca="false">IF(AC66="N",V66,0)</f>
        <v>0</v>
      </c>
      <c r="AM66" s="43" t="n">
        <f aca="false">IF(AL66&gt;0,1,0)</f>
        <v>0</v>
      </c>
    </row>
    <row r="67" customFormat="false" ht="56.25" hidden="false" customHeight="false" outlineLevel="0" collapsed="false">
      <c r="A67" s="83" t="s">
        <v>116</v>
      </c>
      <c r="B67" s="43" t="s">
        <v>117</v>
      </c>
      <c r="D67" s="43" t="s">
        <v>118</v>
      </c>
      <c r="F67" s="48" t="n">
        <v>105000</v>
      </c>
      <c r="G67" s="48" t="n">
        <f aca="false">F67/52</f>
        <v>2019.23076923077</v>
      </c>
      <c r="H67" s="61" t="n">
        <f aca="false">IF(AC67="N",IF(F67&lt;$G$3,$F$3*G67*AE67,IF(F67&lt;$G$2,$F$2*G67*AE67,$F$1*G67*AE67)),0)</f>
        <v>0</v>
      </c>
      <c r="I67" s="61" t="n">
        <f aca="false">IF(AC67="Y",(IF(F67&lt;$G$3,$F$3*G67*AE67,IF(F67&lt;$G$2,$F$2*G67*AE67,$F$1*G67*AE67))*$L$2),0)</f>
        <v>315000</v>
      </c>
      <c r="J67" s="61"/>
      <c r="K67" s="61" t="n">
        <f aca="false">IF(AC67="N",(MIN((($F$3*G67*AE67+ROUNDUP((F67/10000),0)*G67)*2),F67)),0)</f>
        <v>0</v>
      </c>
      <c r="L67" s="61" t="n">
        <f aca="false">IF(AC67="Y",(MIN((($F$3*G67*AE67+ROUNDUP((F67/10000),0)*G67)*2),F67))*$L$2,0)</f>
        <v>157500</v>
      </c>
      <c r="M67" s="61" t="n">
        <f aca="false">IF(AC67="N",IF((F67/10000*G67*$M$2)&gt;F67*$M$1,F67*$M$1,(F67/10000*G67*$M$2)),0)</f>
        <v>0</v>
      </c>
      <c r="N67" s="61" t="n">
        <f aca="false">IF(AC67="Y",(IF((F67/10000*G67*$M$2)&gt;F67*$M$1,F67*$M$1,(F67/10000*G67*$M$2)))*$L$2,0)</f>
        <v>63605.7692307692</v>
      </c>
      <c r="O67" s="61" t="n">
        <f aca="false">MAX(IF(F67&lt;$G$3,$F$3*G67*AE67,IF(F67&lt;$G$2,$F$2*G67*AE67,$F$1*G67*AE67)),IF((F67/10000*G67*$M$2)&gt;F67*$M$1,F67*$M$1,(F67/10000*G67*$M$2)))</f>
        <v>210000</v>
      </c>
      <c r="P67" s="61" t="n">
        <f aca="false">MIN(IF(F67&lt;$G$3,$F$3*G67*AE67,IF(F67&lt;$G$2,$F$2*G67*AE67,$F$1*G67*AE67)),IF((F67/10000*G67*$M$2)&gt;F67*$M$1,F67*$M$1,(F67/10000*G67*$M$2)))</f>
        <v>42403.8461538462</v>
      </c>
      <c r="Q67" s="61" t="n">
        <f aca="false">MAX(I67,N67)</f>
        <v>315000</v>
      </c>
      <c r="R67" s="61" t="n">
        <f aca="false">MIN(I67,N67)</f>
        <v>63605.7692307692</v>
      </c>
      <c r="S67" s="62" t="n">
        <f aca="false">F67/10000</f>
        <v>10.5</v>
      </c>
      <c r="T67" s="62" t="n">
        <f aca="false">ROUNDUP(S67,0)</f>
        <v>11</v>
      </c>
      <c r="U67" s="44" t="s">
        <v>40</v>
      </c>
      <c r="V67" s="44" t="n">
        <f aca="false">F67</f>
        <v>105000</v>
      </c>
      <c r="W67" s="45" t="n">
        <v>40000</v>
      </c>
      <c r="Y67" s="45" t="n">
        <f aca="false">(W67+X67)</f>
        <v>40000</v>
      </c>
      <c r="AC67" s="46" t="s">
        <v>420</v>
      </c>
      <c r="AD67" s="84" t="n">
        <v>27485</v>
      </c>
      <c r="AE67" s="63" t="n">
        <f aca="false">ROUNDUP(DAYS360(AD67,$AE$3)/365,0)</f>
        <v>26</v>
      </c>
      <c r="AL67" s="43" t="n">
        <f aca="false">IF(AC67="N",V67,0)</f>
        <v>0</v>
      </c>
      <c r="AM67" s="43" t="n">
        <f aca="false">IF(AL67&gt;0,1,0)</f>
        <v>0</v>
      </c>
    </row>
    <row r="68" customFormat="false" ht="12.75" hidden="false" customHeight="false" outlineLevel="0" collapsed="false">
      <c r="A68" s="83"/>
      <c r="B68" s="43" t="s">
        <v>197</v>
      </c>
      <c r="D68" s="43" t="s">
        <v>198</v>
      </c>
      <c r="F68" s="48" t="n">
        <v>50290</v>
      </c>
      <c r="G68" s="48" t="n">
        <f aca="false">F68/52</f>
        <v>967.115384615385</v>
      </c>
      <c r="H68" s="61" t="n">
        <f aca="false">IF(AC68="N",IF(F68&lt;$G$3,$F$3*G68*AE68,IF(F68&lt;$G$2,$F$2*G68*AE68,$F$1*G68*AE68)),0)</f>
        <v>0</v>
      </c>
      <c r="I68" s="61" t="n">
        <f aca="false">IF(AC68="Y",(IF(F68&lt;$G$3,$F$3*G68*AE68,IF(F68&lt;$G$2,$F$2*G68*AE68,$F$1*G68*AE68))*$L$2),0)</f>
        <v>11605.3846153846</v>
      </c>
      <c r="J68" s="61"/>
      <c r="K68" s="61" t="n">
        <f aca="false">IF(AC68="N",(MIN((($F$3*G68*AE68+ROUNDUP((F68/10000),0)*G68)*2),F68)),0)</f>
        <v>0</v>
      </c>
      <c r="L68" s="61" t="n">
        <f aca="false">IF(AC68="Y",(MIN((($F$3*G68*AE68+ROUNDUP((F68/10000),0)*G68)*2),F68))*$L$2,0)</f>
        <v>29013.4615384615</v>
      </c>
      <c r="M68" s="61" t="n">
        <f aca="false">IF(AC68="N",IF((F68/10000*G68*$M$2)&gt;F68*$M$1,F68*$M$1,(F68/10000*G68*$M$2)),0)</f>
        <v>0</v>
      </c>
      <c r="N68" s="61" t="n">
        <f aca="false">IF(AC68="Y",(IF((F68/10000*G68*$M$2)&gt;F68*$M$1,F68*$M$1,(F68/10000*G68*$M$2)))*$L$2,0)</f>
        <v>14590.8698076923</v>
      </c>
      <c r="O68" s="61" t="n">
        <f aca="false">MAX(IF(F68&lt;$G$3,$F$3*G68*AE68,IF(F68&lt;$G$2,$F$2*G68*AE68,$F$1*G68*AE68)),IF((F68/10000*G68*$M$2)&gt;F68*$M$1,F68*$M$1,(F68/10000*G68*$M$2)))</f>
        <v>9727.24653846154</v>
      </c>
      <c r="P68" s="61" t="n">
        <f aca="false">MIN(IF(F68&lt;$G$3,$F$3*G68*AE68,IF(F68&lt;$G$2,$F$2*G68*AE68,$F$1*G68*AE68)),IF((F68/10000*G68*$M$2)&gt;F68*$M$1,F68*$M$1,(F68/10000*G68*$M$2)))</f>
        <v>7736.92307692308</v>
      </c>
      <c r="Q68" s="61" t="n">
        <f aca="false">MAX(I68,N68)</f>
        <v>14590.8698076923</v>
      </c>
      <c r="R68" s="61" t="n">
        <f aca="false">MIN(I68,N68)</f>
        <v>11605.3846153846</v>
      </c>
      <c r="S68" s="62" t="n">
        <f aca="false">F68/10000</f>
        <v>5.029</v>
      </c>
      <c r="T68" s="62" t="n">
        <f aca="false">ROUNDUP(S68,0)</f>
        <v>6</v>
      </c>
      <c r="U68" s="44" t="s">
        <v>40</v>
      </c>
      <c r="V68" s="44" t="n">
        <f aca="false">F68</f>
        <v>50290</v>
      </c>
      <c r="Y68" s="45" t="n">
        <f aca="false">(W68+X68)</f>
        <v>0</v>
      </c>
      <c r="AC68" s="46" t="s">
        <v>420</v>
      </c>
      <c r="AD68" s="84" t="n">
        <v>35702</v>
      </c>
      <c r="AE68" s="63" t="n">
        <f aca="false">ROUNDUP(DAYS360(AD68,$AE$3)/365,0)</f>
        <v>4</v>
      </c>
      <c r="AL68" s="43" t="n">
        <f aca="false">IF(AC68="N",V68,0)</f>
        <v>0</v>
      </c>
      <c r="AM68" s="43" t="n">
        <f aca="false">IF(AL68&gt;0,1,0)</f>
        <v>0</v>
      </c>
    </row>
    <row r="69" customFormat="false" ht="12.75" hidden="false" customHeight="false" outlineLevel="0" collapsed="false">
      <c r="A69" s="83"/>
      <c r="B69" s="43" t="s">
        <v>213</v>
      </c>
      <c r="D69" s="43" t="s">
        <v>210</v>
      </c>
      <c r="F69" s="48" t="n">
        <v>45261</v>
      </c>
      <c r="G69" s="48" t="n">
        <f aca="false">F69/52</f>
        <v>870.403846153846</v>
      </c>
      <c r="H69" s="61" t="n">
        <f aca="false">IF(AC69="N",IF(F69&lt;$G$3,$F$3*G69*AE69,IF(F69&lt;$G$2,$F$2*G69*AE69,$F$1*G69*AE69)),0)</f>
        <v>0</v>
      </c>
      <c r="I69" s="61" t="n">
        <f aca="false">IF(AC69="Y",(IF(F69&lt;$G$3,$F$3*G69*AE69,IF(F69&lt;$G$2,$F$2*G69*AE69,$F$1*G69*AE69))*$L$2),0)</f>
        <v>16972.875</v>
      </c>
      <c r="J69" s="61"/>
      <c r="K69" s="61" t="n">
        <f aca="false">IF(AC69="N",(MIN((($F$3*G69*AE69+ROUNDUP((F69/10000),0)*G69)*2),F69)),0)</f>
        <v>0</v>
      </c>
      <c r="L69" s="61" t="n">
        <f aca="false">IF(AC69="Y",(MIN((($F$3*G69*AE69+ROUNDUP((F69/10000),0)*G69)*2),F69))*$L$2,0)</f>
        <v>47001.8076923077</v>
      </c>
      <c r="M69" s="61" t="n">
        <f aca="false">IF(AC69="N",IF((F69/10000*G69*$M$2)&gt;F69*$M$1,F69*$M$1,(F69/10000*G69*$M$2)),0)</f>
        <v>0</v>
      </c>
      <c r="N69" s="61" t="n">
        <f aca="false">IF(AC69="Y",(IF((F69/10000*G69*$M$2)&gt;F69*$M$1,F69*$M$1,(F69/10000*G69*$M$2)))*$L$2,0)</f>
        <v>11818.6045442308</v>
      </c>
      <c r="O69" s="61" t="n">
        <f aca="false">MAX(IF(F69&lt;$G$3,$F$3*G69*AE69,IF(F69&lt;$G$2,$F$2*G69*AE69,$F$1*G69*AE69)),IF((F69/10000*G69*$M$2)&gt;F69*$M$1,F69*$M$1,(F69/10000*G69*$M$2)))</f>
        <v>11315.25</v>
      </c>
      <c r="P69" s="61" t="n">
        <f aca="false">MIN(IF(F69&lt;$G$3,$F$3*G69*AE69,IF(F69&lt;$G$2,$F$2*G69*AE69,$F$1*G69*AE69)),IF((F69/10000*G69*$M$2)&gt;F69*$M$1,F69*$M$1,(F69/10000*G69*$M$2)))</f>
        <v>7879.06969615385</v>
      </c>
      <c r="Q69" s="61" t="n">
        <f aca="false">MAX(I69,N69)</f>
        <v>16972.875</v>
      </c>
      <c r="R69" s="61" t="n">
        <f aca="false">MIN(I69,N69)</f>
        <v>11818.6045442308</v>
      </c>
      <c r="S69" s="62" t="n">
        <f aca="false">F69/10000</f>
        <v>4.5261</v>
      </c>
      <c r="T69" s="62" t="n">
        <f aca="false">ROUNDUP(S69,0)</f>
        <v>5</v>
      </c>
      <c r="U69" s="44" t="s">
        <v>40</v>
      </c>
      <c r="V69" s="44" t="n">
        <f aca="false">F69</f>
        <v>45261</v>
      </c>
      <c r="Y69" s="45" t="n">
        <f aca="false">(W69+X69)</f>
        <v>0</v>
      </c>
      <c r="AC69" s="46" t="s">
        <v>420</v>
      </c>
      <c r="AD69" s="84" t="n">
        <v>32482</v>
      </c>
      <c r="AE69" s="63" t="n">
        <f aca="false">ROUNDUP(DAYS360(AD69,$AE$3)/365,0)</f>
        <v>13</v>
      </c>
      <c r="AL69" s="43" t="n">
        <f aca="false">IF(AC69="N",V69,0)</f>
        <v>0</v>
      </c>
      <c r="AM69" s="43" t="n">
        <f aca="false">IF(AL69&gt;0,1,0)</f>
        <v>0</v>
      </c>
    </row>
    <row r="70" customFormat="false" ht="12.75" hidden="false" customHeight="false" outlineLevel="0" collapsed="false">
      <c r="A70" s="83"/>
      <c r="B70" s="43" t="s">
        <v>212</v>
      </c>
      <c r="D70" s="43" t="s">
        <v>210</v>
      </c>
      <c r="F70" s="48" t="n">
        <v>45261</v>
      </c>
      <c r="G70" s="48" t="n">
        <f aca="false">F70/52</f>
        <v>870.403846153846</v>
      </c>
      <c r="H70" s="61" t="n">
        <f aca="false">IF(AC70="N",IF(F70&lt;$G$3,$F$3*G70*AE70,IF(F70&lt;$G$2,$F$2*G70*AE70,$F$1*G70*AE70)),0)</f>
        <v>0</v>
      </c>
      <c r="I70" s="61" t="n">
        <f aca="false">IF(AC70="Y",(IF(F70&lt;$G$3,$F$3*G70*AE70,IF(F70&lt;$G$2,$F$2*G70*AE70,$F$1*G70*AE70))*$L$2),0)</f>
        <v>33945.75</v>
      </c>
      <c r="J70" s="61"/>
      <c r="K70" s="61" t="n">
        <f aca="false">IF(AC70="N",(MIN((($F$3*G70*AE70+ROUNDUP((F70/10000),0)*G70)*2),F70)),0)</f>
        <v>0</v>
      </c>
      <c r="L70" s="61" t="n">
        <f aca="false">IF(AC70="Y",(MIN((($F$3*G70*AE70+ROUNDUP((F70/10000),0)*G70)*2),F70))*$L$2,0)</f>
        <v>67891.5</v>
      </c>
      <c r="M70" s="61" t="n">
        <f aca="false">IF(AC70="N",IF((F70/10000*G70*$M$2)&gt;F70*$M$1,F70*$M$1,(F70/10000*G70*$M$2)),0)</f>
        <v>0</v>
      </c>
      <c r="N70" s="61" t="n">
        <f aca="false">IF(AC70="Y",(IF((F70/10000*G70*$M$2)&gt;F70*$M$1,F70*$M$1,(F70/10000*G70*$M$2)))*$L$2,0)</f>
        <v>11818.6045442308</v>
      </c>
      <c r="O70" s="61" t="n">
        <f aca="false">MAX(IF(F70&lt;$G$3,$F$3*G70*AE70,IF(F70&lt;$G$2,$F$2*G70*AE70,$F$1*G70*AE70)),IF((F70/10000*G70*$M$2)&gt;F70*$M$1,F70*$M$1,(F70/10000*G70*$M$2)))</f>
        <v>22630.5</v>
      </c>
      <c r="P70" s="61" t="n">
        <f aca="false">MIN(IF(F70&lt;$G$3,$F$3*G70*AE70,IF(F70&lt;$G$2,$F$2*G70*AE70,$F$1*G70*AE70)),IF((F70/10000*G70*$M$2)&gt;F70*$M$1,F70*$M$1,(F70/10000*G70*$M$2)))</f>
        <v>7879.06969615385</v>
      </c>
      <c r="Q70" s="61" t="n">
        <f aca="false">MAX(I70,N70)</f>
        <v>33945.75</v>
      </c>
      <c r="R70" s="61" t="n">
        <f aca="false">MIN(I70,N70)</f>
        <v>11818.6045442308</v>
      </c>
      <c r="S70" s="62" t="n">
        <f aca="false">F70/10000</f>
        <v>4.5261</v>
      </c>
      <c r="T70" s="62" t="n">
        <f aca="false">ROUNDUP(S70,0)</f>
        <v>5</v>
      </c>
      <c r="U70" s="44" t="s">
        <v>40</v>
      </c>
      <c r="V70" s="44" t="n">
        <f aca="false">F70</f>
        <v>45261</v>
      </c>
      <c r="Y70" s="45" t="n">
        <f aca="false">(W70+X70)</f>
        <v>0</v>
      </c>
      <c r="AC70" s="46" t="s">
        <v>420</v>
      </c>
      <c r="AD70" s="84" t="n">
        <v>27540</v>
      </c>
      <c r="AE70" s="63" t="n">
        <f aca="false">ROUNDUP(DAYS360(AD70,$AE$3)/365,0)</f>
        <v>26</v>
      </c>
      <c r="AL70" s="43" t="n">
        <f aca="false">IF(AC70="N",V70,0)</f>
        <v>0</v>
      </c>
      <c r="AM70" s="43" t="n">
        <f aca="false">IF(AL70&gt;0,1,0)</f>
        <v>0</v>
      </c>
    </row>
    <row r="71" customFormat="false" ht="12.75" hidden="false" customHeight="false" outlineLevel="0" collapsed="false">
      <c r="A71" s="83"/>
      <c r="B71" s="43" t="s">
        <v>195</v>
      </c>
      <c r="D71" s="43" t="s">
        <v>196</v>
      </c>
      <c r="F71" s="48" t="n">
        <v>50290</v>
      </c>
      <c r="G71" s="48" t="n">
        <f aca="false">F71/52</f>
        <v>967.115384615385</v>
      </c>
      <c r="H71" s="61" t="n">
        <f aca="false">IF(AC71="N",IF(F71&lt;$G$3,$F$3*G71*AE71,IF(F71&lt;$G$2,$F$2*G71*AE71,$F$1*G71*AE71)),0)</f>
        <v>0</v>
      </c>
      <c r="I71" s="61" t="n">
        <f aca="false">IF(AC71="Y",(IF(F71&lt;$G$3,$F$3*G71*AE71,IF(F71&lt;$G$2,$F$2*G71*AE71,$F$1*G71*AE71))*$L$2),0)</f>
        <v>69632.3076923077</v>
      </c>
      <c r="J71" s="61"/>
      <c r="K71" s="61" t="n">
        <f aca="false">IF(AC71="N",(MIN((($F$3*G71*AE71+ROUNDUP((F71/10000),0)*G71)*2),F71)),0)</f>
        <v>0</v>
      </c>
      <c r="L71" s="61" t="n">
        <f aca="false">IF(AC71="Y",(MIN((($F$3*G71*AE71+ROUNDUP((F71/10000),0)*G71)*2),F71))*$L$2,0)</f>
        <v>75435</v>
      </c>
      <c r="M71" s="61" t="n">
        <f aca="false">IF(AC71="N",IF((F71/10000*G71*$M$2)&gt;F71*$M$1,F71*$M$1,(F71/10000*G71*$M$2)),0)</f>
        <v>0</v>
      </c>
      <c r="N71" s="61" t="n">
        <f aca="false">IF(AC71="Y",(IF((F71/10000*G71*$M$2)&gt;F71*$M$1,F71*$M$1,(F71/10000*G71*$M$2)))*$L$2,0)</f>
        <v>14590.8698076923</v>
      </c>
      <c r="O71" s="61" t="n">
        <f aca="false">MAX(IF(F71&lt;$G$3,$F$3*G71*AE71,IF(F71&lt;$G$2,$F$2*G71*AE71,$F$1*G71*AE71)),IF((F71/10000*G71*$M$2)&gt;F71*$M$1,F71*$M$1,(F71/10000*G71*$M$2)))</f>
        <v>46421.5384615385</v>
      </c>
      <c r="P71" s="61" t="n">
        <f aca="false">MIN(IF(F71&lt;$G$3,$F$3*G71*AE71,IF(F71&lt;$G$2,$F$2*G71*AE71,$F$1*G71*AE71)),IF((F71/10000*G71*$M$2)&gt;F71*$M$1,F71*$M$1,(F71/10000*G71*$M$2)))</f>
        <v>9727.24653846154</v>
      </c>
      <c r="Q71" s="61" t="n">
        <f aca="false">MAX(I71,N71)</f>
        <v>69632.3076923077</v>
      </c>
      <c r="R71" s="61" t="n">
        <f aca="false">MIN(I71,N71)</f>
        <v>14590.8698076923</v>
      </c>
      <c r="S71" s="62" t="n">
        <f aca="false">F71/10000</f>
        <v>5.029</v>
      </c>
      <c r="T71" s="62" t="n">
        <f aca="false">ROUNDUP(S71,0)</f>
        <v>6</v>
      </c>
      <c r="U71" s="44" t="s">
        <v>40</v>
      </c>
      <c r="V71" s="44" t="n">
        <f aca="false">F71</f>
        <v>50290</v>
      </c>
      <c r="Y71" s="45" t="n">
        <f aca="false">(W71+X71)</f>
        <v>0</v>
      </c>
      <c r="AC71" s="46" t="s">
        <v>420</v>
      </c>
      <c r="AD71" s="84" t="n">
        <v>28233</v>
      </c>
      <c r="AE71" s="63" t="n">
        <f aca="false">ROUNDUP(DAYS360(AD71,$AE$3)/365,0)</f>
        <v>24</v>
      </c>
      <c r="AL71" s="43" t="n">
        <f aca="false">IF(AC71="N",V71,0)</f>
        <v>0</v>
      </c>
      <c r="AM71" s="43" t="n">
        <f aca="false">IF(AL71&gt;0,1,0)</f>
        <v>0</v>
      </c>
    </row>
    <row r="72" customFormat="false" ht="12.75" hidden="false" customHeight="false" outlineLevel="0" collapsed="false">
      <c r="A72" s="83"/>
      <c r="B72" s="43" t="s">
        <v>220</v>
      </c>
      <c r="D72" s="43" t="s">
        <v>216</v>
      </c>
      <c r="F72" s="48" t="n">
        <v>44054</v>
      </c>
      <c r="G72" s="48" t="n">
        <f aca="false">F72/52</f>
        <v>847.192307692308</v>
      </c>
      <c r="H72" s="61" t="n">
        <f aca="false">IF(AC72="N",IF(F72&lt;$G$3,$F$3*G72*AE72,IF(F72&lt;$G$2,$F$2*G72*AE72,$F$1*G72*AE72)),0)</f>
        <v>0</v>
      </c>
      <c r="I72" s="61" t="n">
        <f aca="false">IF(AC72="Y",(IF(F72&lt;$G$3,$F$3*G72*AE72,IF(F72&lt;$G$2,$F$2*G72*AE72,$F$1*G72*AE72))*$L$2),0)</f>
        <v>2541.57692307692</v>
      </c>
      <c r="J72" s="61"/>
      <c r="K72" s="61" t="n">
        <f aca="false">IF(AC72="N",(MIN((($F$3*G72*AE72+ROUNDUP((F72/10000),0)*G72)*2),F72)),0)</f>
        <v>0</v>
      </c>
      <c r="L72" s="61" t="n">
        <f aca="false">IF(AC72="Y",(MIN((($F$3*G72*AE72+ROUNDUP((F72/10000),0)*G72)*2),F72))*$L$2,0)</f>
        <v>17791.0384615385</v>
      </c>
      <c r="M72" s="61" t="n">
        <f aca="false">IF(AC72="N",IF((F72/10000*G72*$M$2)&gt;F72*$M$1,F72*$M$1,(F72/10000*G72*$M$2)),0)</f>
        <v>0</v>
      </c>
      <c r="N72" s="61" t="n">
        <f aca="false">IF(AC72="Y",(IF((F72/10000*G72*$M$2)&gt;F72*$M$1,F72*$M$1,(F72/10000*G72*$M$2)))*$L$2,0)</f>
        <v>11196.6629769231</v>
      </c>
      <c r="O72" s="61" t="n">
        <f aca="false">MAX(IF(F72&lt;$G$3,$F$3*G72*AE72,IF(F72&lt;$G$2,$F$2*G72*AE72,$F$1*G72*AE72)),IF((F72/10000*G72*$M$2)&gt;F72*$M$1,F72*$M$1,(F72/10000*G72*$M$2)))</f>
        <v>7464.44198461539</v>
      </c>
      <c r="P72" s="61" t="n">
        <f aca="false">MIN(IF(F72&lt;$G$3,$F$3*G72*AE72,IF(F72&lt;$G$2,$F$2*G72*AE72,$F$1*G72*AE72)),IF((F72/10000*G72*$M$2)&gt;F72*$M$1,F72*$M$1,(F72/10000*G72*$M$2)))</f>
        <v>1694.38461538462</v>
      </c>
      <c r="Q72" s="61" t="n">
        <f aca="false">MAX(I72,N72)</f>
        <v>11196.6629769231</v>
      </c>
      <c r="R72" s="61" t="n">
        <f aca="false">MIN(I72,N72)</f>
        <v>2541.57692307692</v>
      </c>
      <c r="S72" s="62" t="n">
        <f aca="false">F72/10000</f>
        <v>4.4054</v>
      </c>
      <c r="T72" s="62" t="n">
        <f aca="false">ROUNDUP(S72,0)</f>
        <v>5</v>
      </c>
      <c r="U72" s="44" t="s">
        <v>40</v>
      </c>
      <c r="V72" s="44" t="n">
        <f aca="false">F72</f>
        <v>44054</v>
      </c>
      <c r="Y72" s="45" t="n">
        <f aca="false">(W72+X72)</f>
        <v>0</v>
      </c>
      <c r="AC72" s="46" t="s">
        <v>420</v>
      </c>
      <c r="AD72" s="84" t="n">
        <v>36549</v>
      </c>
      <c r="AE72" s="63" t="n">
        <f aca="false">ROUNDUP(DAYS360(AD72,$AE$3)/365,0)</f>
        <v>2</v>
      </c>
      <c r="AL72" s="43" t="n">
        <f aca="false">IF(AC72="N",V72,0)</f>
        <v>0</v>
      </c>
      <c r="AM72" s="43" t="n">
        <f aca="false">IF(AL72&gt;0,1,0)</f>
        <v>0</v>
      </c>
    </row>
    <row r="73" customFormat="false" ht="12.75" hidden="false" customHeight="false" outlineLevel="0" collapsed="false">
      <c r="A73" s="83"/>
      <c r="B73" s="43" t="s">
        <v>144</v>
      </c>
      <c r="D73" s="43" t="s">
        <v>136</v>
      </c>
      <c r="F73" s="48" t="n">
        <v>78217</v>
      </c>
      <c r="G73" s="48" t="n">
        <f aca="false">F73/52</f>
        <v>1504.17307692308</v>
      </c>
      <c r="H73" s="61" t="n">
        <f aca="false">IF(AC73="N",IF(F73&lt;$G$3,$F$3*G73*AE73,IF(F73&lt;$G$2,$F$2*G73*AE73,$F$1*G73*AE73)),0)</f>
        <v>0</v>
      </c>
      <c r="I73" s="61" t="n">
        <f aca="false">IF(AC73="Y",(IF(F73&lt;$G$3,$F$3*G73*AE73,IF(F73&lt;$G$2,$F$2*G73*AE73,$F$1*G73*AE73))*$L$2),0)</f>
        <v>117325.5</v>
      </c>
      <c r="J73" s="61"/>
      <c r="K73" s="61" t="n">
        <f aca="false">IF(AC73="N",(MIN((($F$3*G73*AE73+ROUNDUP((F73/10000),0)*G73)*2),F73)),0)</f>
        <v>0</v>
      </c>
      <c r="L73" s="61" t="n">
        <f aca="false">IF(AC73="Y",(MIN((($F$3*G73*AE73+ROUNDUP((F73/10000),0)*G73)*2),F73))*$L$2,0)</f>
        <v>117325.5</v>
      </c>
      <c r="M73" s="61" t="n">
        <f aca="false">IF(AC73="N",IF((F73/10000*G73*$M$2)&gt;F73*$M$1,F73*$M$1,(F73/10000*G73*$M$2)),0)</f>
        <v>0</v>
      </c>
      <c r="N73" s="61" t="n">
        <f aca="false">IF(AC73="Y",(IF((F73/10000*G73*$M$2)&gt;F73*$M$1,F73*$M$1,(F73/10000*G73*$M$2)))*$L$2,0)</f>
        <v>35295.5716673077</v>
      </c>
      <c r="O73" s="61" t="n">
        <f aca="false">MAX(IF(F73&lt;$G$3,$F$3*G73*AE73,IF(F73&lt;$G$2,$F$2*G73*AE73,$F$1*G73*AE73)),IF((F73/10000*G73*$M$2)&gt;F73*$M$1,F73*$M$1,(F73/10000*G73*$M$2)))</f>
        <v>78217</v>
      </c>
      <c r="P73" s="61" t="n">
        <f aca="false">MIN(IF(F73&lt;$G$3,$F$3*G73*AE73,IF(F73&lt;$G$2,$F$2*G73*AE73,$F$1*G73*AE73)),IF((F73/10000*G73*$M$2)&gt;F73*$M$1,F73*$M$1,(F73/10000*G73*$M$2)))</f>
        <v>23530.3811115385</v>
      </c>
      <c r="Q73" s="61" t="n">
        <f aca="false">MAX(I73,N73)</f>
        <v>117325.5</v>
      </c>
      <c r="R73" s="61" t="n">
        <f aca="false">MIN(I73,N73)</f>
        <v>35295.5716673077</v>
      </c>
      <c r="S73" s="62" t="n">
        <f aca="false">F73/10000</f>
        <v>7.8217</v>
      </c>
      <c r="T73" s="62" t="n">
        <f aca="false">ROUNDUP(S73,0)</f>
        <v>8</v>
      </c>
      <c r="U73" s="44" t="s">
        <v>40</v>
      </c>
      <c r="V73" s="44" t="n">
        <f aca="false">F73</f>
        <v>78217</v>
      </c>
      <c r="Y73" s="45" t="n">
        <f aca="false">(W73+X73)</f>
        <v>0</v>
      </c>
      <c r="AC73" s="46" t="s">
        <v>420</v>
      </c>
      <c r="AD73" s="84" t="n">
        <v>27530</v>
      </c>
      <c r="AE73" s="63" t="n">
        <f aca="false">ROUNDUP(DAYS360(AD73,$AE$3)/365,0)</f>
        <v>26</v>
      </c>
      <c r="AL73" s="43" t="n">
        <f aca="false">IF(AC73="N",V73,0)</f>
        <v>0</v>
      </c>
      <c r="AM73" s="43" t="n">
        <f aca="false">IF(AL73&gt;0,1,0)</f>
        <v>0</v>
      </c>
    </row>
    <row r="74" customFormat="false" ht="12.75" hidden="false" customHeight="false" outlineLevel="0" collapsed="false">
      <c r="A74" s="83"/>
      <c r="B74" s="43" t="s">
        <v>186</v>
      </c>
      <c r="D74" s="43" t="s">
        <v>187</v>
      </c>
      <c r="F74" s="48" t="n">
        <v>54955</v>
      </c>
      <c r="G74" s="48" t="n">
        <f aca="false">F74/52</f>
        <v>1056.82692307692</v>
      </c>
      <c r="H74" s="61" t="n">
        <f aca="false">IF(AC74="N",IF(F74&lt;$G$3,$F$3*G74*AE74,IF(F74&lt;$G$2,$F$2*G74*AE74,$F$1*G74*AE74)),0)</f>
        <v>0</v>
      </c>
      <c r="I74" s="61" t="n">
        <f aca="false">IF(AC74="Y",(IF(F74&lt;$G$3,$F$3*G74*AE74,IF(F74&lt;$G$2,$F$2*G74*AE74,$F$1*G74*AE74))*$L$2),0)</f>
        <v>34875.2884615385</v>
      </c>
      <c r="J74" s="61"/>
      <c r="K74" s="61" t="n">
        <f aca="false">IF(AC74="N",(MIN((($F$3*G74*AE74+ROUNDUP((F74/10000),0)*G74)*2),F74)),0)</f>
        <v>0</v>
      </c>
      <c r="L74" s="61" t="n">
        <f aca="false">IF(AC74="Y",(MIN((($F$3*G74*AE74+ROUNDUP((F74/10000),0)*G74)*2),F74))*$L$2,0)</f>
        <v>53898.1730769231</v>
      </c>
      <c r="M74" s="61" t="n">
        <f aca="false">IF(AC74="N",IF((F74/10000*G74*$M$2)&gt;F74*$M$1,F74*$M$1,(F74/10000*G74*$M$2)),0)</f>
        <v>0</v>
      </c>
      <c r="N74" s="61" t="n">
        <f aca="false">IF(AC74="Y",(IF((F74/10000*G74*$M$2)&gt;F74*$M$1,F74*$M$1,(F74/10000*G74*$M$2)))*$L$2,0)</f>
        <v>17423.3770673077</v>
      </c>
      <c r="O74" s="61" t="n">
        <f aca="false">MAX(IF(F74&lt;$G$3,$F$3*G74*AE74,IF(F74&lt;$G$2,$F$2*G74*AE74,$F$1*G74*AE74)),IF((F74/10000*G74*$M$2)&gt;F74*$M$1,F74*$M$1,(F74/10000*G74*$M$2)))</f>
        <v>23250.1923076923</v>
      </c>
      <c r="P74" s="61" t="n">
        <f aca="false">MIN(IF(F74&lt;$G$3,$F$3*G74*AE74,IF(F74&lt;$G$2,$F$2*G74*AE74,$F$1*G74*AE74)),IF((F74/10000*G74*$M$2)&gt;F74*$M$1,F74*$M$1,(F74/10000*G74*$M$2)))</f>
        <v>11615.5847115385</v>
      </c>
      <c r="Q74" s="61" t="n">
        <f aca="false">MAX(I74,N74)</f>
        <v>34875.2884615385</v>
      </c>
      <c r="R74" s="61" t="n">
        <f aca="false">MIN(I74,N74)</f>
        <v>17423.3770673077</v>
      </c>
      <c r="S74" s="62" t="n">
        <f aca="false">F74/10000</f>
        <v>5.4955</v>
      </c>
      <c r="T74" s="62" t="n">
        <f aca="false">ROUNDUP(S74,0)</f>
        <v>6</v>
      </c>
      <c r="U74" s="44" t="s">
        <v>40</v>
      </c>
      <c r="V74" s="44" t="n">
        <f aca="false">F74</f>
        <v>54955</v>
      </c>
      <c r="Y74" s="45" t="n">
        <f aca="false">(W74+X74)</f>
        <v>0</v>
      </c>
      <c r="AC74" s="46" t="s">
        <v>420</v>
      </c>
      <c r="AD74" s="84" t="n">
        <v>33161</v>
      </c>
      <c r="AE74" s="63" t="n">
        <f aca="false">ROUNDUP(DAYS360(AD74,$AE$3)/365,0)</f>
        <v>11</v>
      </c>
      <c r="AL74" s="43" t="n">
        <f aca="false">IF(AC74="N",V74,0)</f>
        <v>0</v>
      </c>
      <c r="AM74" s="43" t="n">
        <f aca="false">IF(AL74&gt;0,1,0)</f>
        <v>0</v>
      </c>
    </row>
    <row r="75" customFormat="false" ht="12.75" hidden="false" customHeight="false" outlineLevel="0" collapsed="false">
      <c r="A75" s="83"/>
      <c r="B75" s="43" t="s">
        <v>211</v>
      </c>
      <c r="D75" s="43" t="s">
        <v>210</v>
      </c>
      <c r="F75" s="48" t="n">
        <v>45261</v>
      </c>
      <c r="G75" s="48" t="n">
        <f aca="false">F75/52</f>
        <v>870.403846153846</v>
      </c>
      <c r="H75" s="61" t="n">
        <f aca="false">IF(AC75="N",IF(F75&lt;$G$3,$F$3*G75*AE75,IF(F75&lt;$G$2,$F$2*G75*AE75,$F$1*G75*AE75)),0)</f>
        <v>0</v>
      </c>
      <c r="I75" s="61" t="n">
        <f aca="false">IF(AC75="Y",(IF(F75&lt;$G$3,$F$3*G75*AE75,IF(F75&lt;$G$2,$F$2*G75*AE75,$F$1*G75*AE75))*$L$2),0)</f>
        <v>15667.2692307692</v>
      </c>
      <c r="J75" s="61"/>
      <c r="K75" s="61" t="n">
        <f aca="false">IF(AC75="N",(MIN((($F$3*G75*AE75+ROUNDUP((F75/10000),0)*G75)*2),F75)),0)</f>
        <v>0</v>
      </c>
      <c r="L75" s="61" t="n">
        <f aca="false">IF(AC75="Y",(MIN((($F$3*G75*AE75+ROUNDUP((F75/10000),0)*G75)*2),F75))*$L$2,0)</f>
        <v>44390.5961538462</v>
      </c>
      <c r="M75" s="61" t="n">
        <f aca="false">IF(AC75="N",IF((F75/10000*G75*$M$2)&gt;F75*$M$1,F75*$M$1,(F75/10000*G75*$M$2)),0)</f>
        <v>0</v>
      </c>
      <c r="N75" s="61" t="n">
        <f aca="false">IF(AC75="Y",(IF((F75/10000*G75*$M$2)&gt;F75*$M$1,F75*$M$1,(F75/10000*G75*$M$2)))*$L$2,0)</f>
        <v>11818.6045442308</v>
      </c>
      <c r="O75" s="61" t="n">
        <f aca="false">MAX(IF(F75&lt;$G$3,$F$3*G75*AE75,IF(F75&lt;$G$2,$F$2*G75*AE75,$F$1*G75*AE75)),IF((F75/10000*G75*$M$2)&gt;F75*$M$1,F75*$M$1,(F75/10000*G75*$M$2)))</f>
        <v>10444.8461538462</v>
      </c>
      <c r="P75" s="61" t="n">
        <f aca="false">MIN(IF(F75&lt;$G$3,$F$3*G75*AE75,IF(F75&lt;$G$2,$F$2*G75*AE75,$F$1*G75*AE75)),IF((F75/10000*G75*$M$2)&gt;F75*$M$1,F75*$M$1,(F75/10000*G75*$M$2)))</f>
        <v>7879.06969615385</v>
      </c>
      <c r="Q75" s="61" t="n">
        <f aca="false">MAX(I75,N75)</f>
        <v>15667.2692307692</v>
      </c>
      <c r="R75" s="61" t="n">
        <f aca="false">MIN(I75,N75)</f>
        <v>11818.6045442308</v>
      </c>
      <c r="S75" s="62" t="n">
        <f aca="false">F75/10000</f>
        <v>4.5261</v>
      </c>
      <c r="T75" s="62" t="n">
        <f aca="false">ROUNDUP(S75,0)</f>
        <v>5</v>
      </c>
      <c r="U75" s="44" t="s">
        <v>40</v>
      </c>
      <c r="V75" s="44" t="n">
        <f aca="false">F75</f>
        <v>45261</v>
      </c>
      <c r="Y75" s="45" t="n">
        <f aca="false">(W75+X75)</f>
        <v>0</v>
      </c>
      <c r="AC75" s="46" t="s">
        <v>420</v>
      </c>
      <c r="AD75" s="84" t="n">
        <v>32720</v>
      </c>
      <c r="AE75" s="63" t="n">
        <f aca="false">ROUNDUP(DAYS360(AD75,$AE$3)/365,0)</f>
        <v>12</v>
      </c>
      <c r="AL75" s="43" t="n">
        <f aca="false">IF(AC75="N",V75,0)</f>
        <v>0</v>
      </c>
      <c r="AM75" s="43" t="n">
        <f aca="false">IF(AL75&gt;0,1,0)</f>
        <v>0</v>
      </c>
    </row>
    <row r="76" customFormat="false" ht="12.75" hidden="false" customHeight="false" outlineLevel="0" collapsed="false">
      <c r="A76" s="83"/>
      <c r="B76" s="43" t="s">
        <v>219</v>
      </c>
      <c r="D76" s="43" t="s">
        <v>216</v>
      </c>
      <c r="F76" s="48" t="n">
        <v>44054</v>
      </c>
      <c r="G76" s="48" t="n">
        <f aca="false">F76/52</f>
        <v>847.192307692308</v>
      </c>
      <c r="H76" s="61" t="n">
        <f aca="false">IF(AC76="N",IF(F76&lt;$G$3,$F$3*G76*AE76,IF(F76&lt;$G$2,$F$2*G76*AE76,$F$1*G76*AE76)),0)</f>
        <v>0</v>
      </c>
      <c r="I76" s="61" t="n">
        <f aca="false">IF(AC76="Y",(IF(F76&lt;$G$3,$F$3*G76*AE76,IF(F76&lt;$G$2,$F$2*G76*AE76,$F$1*G76*AE76))*$L$2),0)</f>
        <v>5083.15384615385</v>
      </c>
      <c r="J76" s="61"/>
      <c r="K76" s="61" t="n">
        <f aca="false">IF(AC76="N",(MIN((($F$3*G76*AE76+ROUNDUP((F76/10000),0)*G76)*2),F76)),0)</f>
        <v>0</v>
      </c>
      <c r="L76" s="61" t="n">
        <f aca="false">IF(AC76="Y",(MIN((($F$3*G76*AE76+ROUNDUP((F76/10000),0)*G76)*2),F76))*$L$2,0)</f>
        <v>22874.1923076923</v>
      </c>
      <c r="M76" s="61" t="n">
        <f aca="false">IF(AC76="N",IF((F76/10000*G76*$M$2)&gt;F76*$M$1,F76*$M$1,(F76/10000*G76*$M$2)),0)</f>
        <v>0</v>
      </c>
      <c r="N76" s="61" t="n">
        <f aca="false">IF(AC76="Y",(IF((F76/10000*G76*$M$2)&gt;F76*$M$1,F76*$M$1,(F76/10000*G76*$M$2)))*$L$2,0)</f>
        <v>11196.6629769231</v>
      </c>
      <c r="O76" s="61" t="n">
        <f aca="false">MAX(IF(F76&lt;$G$3,$F$3*G76*AE76,IF(F76&lt;$G$2,$F$2*G76*AE76,$F$1*G76*AE76)),IF((F76/10000*G76*$M$2)&gt;F76*$M$1,F76*$M$1,(F76/10000*G76*$M$2)))</f>
        <v>7464.44198461539</v>
      </c>
      <c r="P76" s="61" t="n">
        <f aca="false">MIN(IF(F76&lt;$G$3,$F$3*G76*AE76,IF(F76&lt;$G$2,$F$2*G76*AE76,$F$1*G76*AE76)),IF((F76/10000*G76*$M$2)&gt;F76*$M$1,F76*$M$1,(F76/10000*G76*$M$2)))</f>
        <v>3388.76923076923</v>
      </c>
      <c r="Q76" s="61" t="n">
        <f aca="false">MAX(I76,N76)</f>
        <v>11196.6629769231</v>
      </c>
      <c r="R76" s="61" t="n">
        <f aca="false">MIN(I76,N76)</f>
        <v>5083.15384615385</v>
      </c>
      <c r="S76" s="62" t="n">
        <f aca="false">F76/10000</f>
        <v>4.4054</v>
      </c>
      <c r="T76" s="62" t="n">
        <f aca="false">ROUNDUP(S76,0)</f>
        <v>5</v>
      </c>
      <c r="U76" s="44" t="s">
        <v>40</v>
      </c>
      <c r="V76" s="44" t="n">
        <f aca="false">F76</f>
        <v>44054</v>
      </c>
      <c r="Y76" s="45" t="n">
        <f aca="false">(W76+X76)</f>
        <v>0</v>
      </c>
      <c r="AC76" s="46" t="s">
        <v>420</v>
      </c>
      <c r="AD76" s="84" t="n">
        <v>35702</v>
      </c>
      <c r="AE76" s="63" t="n">
        <f aca="false">ROUNDUP(DAYS360(AD76,$AE$3)/365,0)</f>
        <v>4</v>
      </c>
      <c r="AL76" s="43" t="n">
        <f aca="false">IF(AC76="N",V76,0)</f>
        <v>0</v>
      </c>
      <c r="AM76" s="43" t="n">
        <f aca="false">IF(AL76&gt;0,1,0)</f>
        <v>0</v>
      </c>
    </row>
    <row r="77" customFormat="false" ht="12.75" hidden="false" customHeight="false" outlineLevel="0" collapsed="false">
      <c r="A77" s="83"/>
      <c r="B77" s="43" t="s">
        <v>218</v>
      </c>
      <c r="D77" s="43" t="s">
        <v>216</v>
      </c>
      <c r="F77" s="48" t="n">
        <v>44054</v>
      </c>
      <c r="G77" s="48" t="n">
        <f aca="false">F77/52</f>
        <v>847.192307692308</v>
      </c>
      <c r="H77" s="61" t="n">
        <f aca="false">IF(AC77="N",IF(F77&lt;$G$3,$F$3*G77*AE77,IF(F77&lt;$G$2,$F$2*G77*AE77,$F$1*G77*AE77)),0)</f>
        <v>0</v>
      </c>
      <c r="I77" s="61" t="n">
        <f aca="false">IF(AC77="Y",(IF(F77&lt;$G$3,$F$3*G77*AE77,IF(F77&lt;$G$2,$F$2*G77*AE77,$F$1*G77*AE77))*$L$2),0)</f>
        <v>6353.94230769231</v>
      </c>
      <c r="J77" s="61"/>
      <c r="K77" s="61" t="n">
        <f aca="false">IF(AC77="N",(MIN((($F$3*G77*AE77+ROUNDUP((F77/10000),0)*G77)*2),F77)),0)</f>
        <v>0</v>
      </c>
      <c r="L77" s="61" t="n">
        <f aca="false">IF(AC77="Y",(MIN((($F$3*G77*AE77+ROUNDUP((F77/10000),0)*G77)*2),F77))*$L$2,0)</f>
        <v>25415.7692307692</v>
      </c>
      <c r="M77" s="61" t="n">
        <f aca="false">IF(AC77="N",IF((F77/10000*G77*$M$2)&gt;F77*$M$1,F77*$M$1,(F77/10000*G77*$M$2)),0)</f>
        <v>0</v>
      </c>
      <c r="N77" s="61" t="n">
        <f aca="false">IF(AC77="Y",(IF((F77/10000*G77*$M$2)&gt;F77*$M$1,F77*$M$1,(F77/10000*G77*$M$2)))*$L$2,0)</f>
        <v>11196.6629769231</v>
      </c>
      <c r="O77" s="61" t="n">
        <f aca="false">MAX(IF(F77&lt;$G$3,$F$3*G77*AE77,IF(F77&lt;$G$2,$F$2*G77*AE77,$F$1*G77*AE77)),IF((F77/10000*G77*$M$2)&gt;F77*$M$1,F77*$M$1,(F77/10000*G77*$M$2)))</f>
        <v>7464.44198461539</v>
      </c>
      <c r="P77" s="61" t="n">
        <f aca="false">MIN(IF(F77&lt;$G$3,$F$3*G77*AE77,IF(F77&lt;$G$2,$F$2*G77*AE77,$F$1*G77*AE77)),IF((F77/10000*G77*$M$2)&gt;F77*$M$1,F77*$M$1,(F77/10000*G77*$M$2)))</f>
        <v>4235.96153846154</v>
      </c>
      <c r="Q77" s="61" t="n">
        <f aca="false">MAX(I77,N77)</f>
        <v>11196.6629769231</v>
      </c>
      <c r="R77" s="61" t="n">
        <f aca="false">MIN(I77,N77)</f>
        <v>6353.94230769231</v>
      </c>
      <c r="S77" s="62" t="n">
        <f aca="false">F77/10000</f>
        <v>4.4054</v>
      </c>
      <c r="T77" s="62" t="n">
        <f aca="false">ROUNDUP(S77,0)</f>
        <v>5</v>
      </c>
      <c r="U77" s="44" t="s">
        <v>40</v>
      </c>
      <c r="V77" s="44" t="n">
        <f aca="false">F77</f>
        <v>44054</v>
      </c>
      <c r="Y77" s="45" t="n">
        <f aca="false">(W77+X77)</f>
        <v>0</v>
      </c>
      <c r="AC77" s="46" t="s">
        <v>420</v>
      </c>
      <c r="AD77" s="84" t="n">
        <v>35303</v>
      </c>
      <c r="AE77" s="63" t="n">
        <f aca="false">ROUNDUP(DAYS360(AD77,$AE$3)/365,0)</f>
        <v>5</v>
      </c>
      <c r="AL77" s="43" t="n">
        <f aca="false">IF(AC77="N",V77,0)</f>
        <v>0</v>
      </c>
      <c r="AM77" s="43" t="n">
        <f aca="false">IF(AL77&gt;0,1,0)</f>
        <v>0</v>
      </c>
    </row>
    <row r="78" customFormat="false" ht="12.75" hidden="false" customHeight="false" outlineLevel="0" collapsed="false">
      <c r="A78" s="83"/>
      <c r="B78" s="43" t="s">
        <v>203</v>
      </c>
      <c r="D78" s="43" t="s">
        <v>204</v>
      </c>
      <c r="F78" s="48" t="n">
        <v>47570</v>
      </c>
      <c r="G78" s="48" t="n">
        <f aca="false">F78/52</f>
        <v>914.807692307692</v>
      </c>
      <c r="H78" s="61" t="n">
        <f aca="false">IF(AC78="N",IF(F78&lt;$G$3,$F$3*G78*AE78,IF(F78&lt;$G$2,$F$2*G78*AE78,$F$1*G78*AE78)),0)</f>
        <v>0</v>
      </c>
      <c r="I78" s="61" t="n">
        <f aca="false">IF(AC78="Y",(IF(F78&lt;$G$3,$F$3*G78*AE78,IF(F78&lt;$G$2,$F$2*G78*AE78,$F$1*G78*AE78))*$L$2),0)</f>
        <v>20583.1730769231</v>
      </c>
      <c r="J78" s="61"/>
      <c r="K78" s="61" t="n">
        <f aca="false">IF(AC78="N",(MIN((($F$3*G78*AE78+ROUNDUP((F78/10000),0)*G78)*2),F78)),0)</f>
        <v>0</v>
      </c>
      <c r="L78" s="61" t="n">
        <f aca="false">IF(AC78="Y",(MIN((($F$3*G78*AE78+ROUNDUP((F78/10000),0)*G78)*2),F78))*$L$2,0)</f>
        <v>54888.4615384615</v>
      </c>
      <c r="M78" s="61" t="n">
        <f aca="false">IF(AC78="N",IF((F78/10000*G78*$M$2)&gt;F78*$M$1,F78*$M$1,(F78/10000*G78*$M$2)),0)</f>
        <v>0</v>
      </c>
      <c r="N78" s="61" t="n">
        <f aca="false">IF(AC78="Y",(IF((F78/10000*G78*$M$2)&gt;F78*$M$1,F78*$M$1,(F78/10000*G78*$M$2)))*$L$2,0)</f>
        <v>13055.2205769231</v>
      </c>
      <c r="O78" s="61" t="n">
        <f aca="false">MAX(IF(F78&lt;$G$3,$F$3*G78*AE78,IF(F78&lt;$G$2,$F$2*G78*AE78,$F$1*G78*AE78)),IF((F78/10000*G78*$M$2)&gt;F78*$M$1,F78*$M$1,(F78/10000*G78*$M$2)))</f>
        <v>13722.1153846154</v>
      </c>
      <c r="P78" s="61" t="n">
        <f aca="false">MIN(IF(F78&lt;$G$3,$F$3*G78*AE78,IF(F78&lt;$G$2,$F$2*G78*AE78,$F$1*G78*AE78)),IF((F78/10000*G78*$M$2)&gt;F78*$M$1,F78*$M$1,(F78/10000*G78*$M$2)))</f>
        <v>8703.48038461538</v>
      </c>
      <c r="Q78" s="61" t="n">
        <f aca="false">MAX(I78,N78)</f>
        <v>20583.1730769231</v>
      </c>
      <c r="R78" s="61" t="n">
        <f aca="false">MIN(I78,N78)</f>
        <v>13055.2205769231</v>
      </c>
      <c r="S78" s="62" t="n">
        <f aca="false">F78/10000</f>
        <v>4.757</v>
      </c>
      <c r="T78" s="62" t="n">
        <f aca="false">ROUNDUP(S78,0)</f>
        <v>5</v>
      </c>
      <c r="U78" s="44" t="s">
        <v>40</v>
      </c>
      <c r="V78" s="44" t="n">
        <f aca="false">F78</f>
        <v>47570</v>
      </c>
      <c r="Y78" s="45" t="n">
        <f aca="false">(W78+X78)</f>
        <v>0</v>
      </c>
      <c r="AC78" s="46" t="s">
        <v>420</v>
      </c>
      <c r="AD78" s="84" t="n">
        <v>31873</v>
      </c>
      <c r="AE78" s="63" t="n">
        <f aca="false">ROUNDUP(DAYS360(AD78,$AE$3)/365,0)</f>
        <v>15</v>
      </c>
      <c r="AL78" s="43" t="n">
        <f aca="false">IF(AC78="N",V78,0)</f>
        <v>0</v>
      </c>
      <c r="AM78" s="43" t="n">
        <f aca="false">IF(AL78&gt;0,1,0)</f>
        <v>0</v>
      </c>
    </row>
    <row r="79" customFormat="false" ht="12.75" hidden="false" customHeight="false" outlineLevel="0" collapsed="false">
      <c r="A79" s="83"/>
      <c r="B79" s="43" t="s">
        <v>217</v>
      </c>
      <c r="D79" s="43" t="s">
        <v>216</v>
      </c>
      <c r="F79" s="48" t="n">
        <v>44054</v>
      </c>
      <c r="G79" s="48" t="n">
        <f aca="false">F79/52</f>
        <v>847.192307692308</v>
      </c>
      <c r="H79" s="61" t="n">
        <f aca="false">IF(AC79="N",IF(F79&lt;$G$3,$F$3*G79*AE79,IF(F79&lt;$G$2,$F$2*G79*AE79,$F$1*G79*AE79)),0)</f>
        <v>0</v>
      </c>
      <c r="I79" s="61" t="n">
        <f aca="false">IF(AC79="Y",(IF(F79&lt;$G$3,$F$3*G79*AE79,IF(F79&lt;$G$2,$F$2*G79*AE79,$F$1*G79*AE79))*$L$2),0)</f>
        <v>13978.6730769231</v>
      </c>
      <c r="J79" s="61"/>
      <c r="K79" s="61" t="n">
        <f aca="false">IF(AC79="N",(MIN((($F$3*G79*AE79+ROUNDUP((F79/10000),0)*G79)*2),F79)),0)</f>
        <v>0</v>
      </c>
      <c r="L79" s="61" t="n">
        <f aca="false">IF(AC79="Y",(MIN((($F$3*G79*AE79+ROUNDUP((F79/10000),0)*G79)*2),F79))*$L$2,0)</f>
        <v>40665.2307692308</v>
      </c>
      <c r="M79" s="61" t="n">
        <f aca="false">IF(AC79="N",IF((F79/10000*G79*$M$2)&gt;F79*$M$1,F79*$M$1,(F79/10000*G79*$M$2)),0)</f>
        <v>0</v>
      </c>
      <c r="N79" s="61" t="n">
        <f aca="false">IF(AC79="Y",(IF((F79/10000*G79*$M$2)&gt;F79*$M$1,F79*$M$1,(F79/10000*G79*$M$2)))*$L$2,0)</f>
        <v>11196.6629769231</v>
      </c>
      <c r="O79" s="61" t="n">
        <f aca="false">MAX(IF(F79&lt;$G$3,$F$3*G79*AE79,IF(F79&lt;$G$2,$F$2*G79*AE79,$F$1*G79*AE79)),IF((F79/10000*G79*$M$2)&gt;F79*$M$1,F79*$M$1,(F79/10000*G79*$M$2)))</f>
        <v>9319.11538461539</v>
      </c>
      <c r="P79" s="61" t="n">
        <f aca="false">MIN(IF(F79&lt;$G$3,$F$3*G79*AE79,IF(F79&lt;$G$2,$F$2*G79*AE79,$F$1*G79*AE79)),IF((F79/10000*G79*$M$2)&gt;F79*$M$1,F79*$M$1,(F79/10000*G79*$M$2)))</f>
        <v>7464.44198461539</v>
      </c>
      <c r="Q79" s="61" t="n">
        <f aca="false">MAX(I79,N79)</f>
        <v>13978.6730769231</v>
      </c>
      <c r="R79" s="61" t="n">
        <f aca="false">MIN(I79,N79)</f>
        <v>11196.6629769231</v>
      </c>
      <c r="S79" s="62" t="n">
        <f aca="false">F79/10000</f>
        <v>4.4054</v>
      </c>
      <c r="T79" s="62" t="n">
        <f aca="false">ROUNDUP(S79,0)</f>
        <v>5</v>
      </c>
      <c r="U79" s="44" t="s">
        <v>40</v>
      </c>
      <c r="V79" s="44" t="n">
        <f aca="false">F79</f>
        <v>44054</v>
      </c>
      <c r="Y79" s="45" t="n">
        <f aca="false">(W79+X79)</f>
        <v>0</v>
      </c>
      <c r="AC79" s="46" t="s">
        <v>420</v>
      </c>
      <c r="AD79" s="84" t="n">
        <v>33028</v>
      </c>
      <c r="AE79" s="63" t="n">
        <f aca="false">ROUNDUP(DAYS360(AD79,$AE$3)/365,0)</f>
        <v>11</v>
      </c>
      <c r="AL79" s="43" t="n">
        <f aca="false">IF(AC79="N",V79,0)</f>
        <v>0</v>
      </c>
      <c r="AM79" s="43" t="n">
        <f aca="false">IF(AL79&gt;0,1,0)</f>
        <v>0</v>
      </c>
    </row>
    <row r="80" customFormat="false" ht="12.75" hidden="false" customHeight="false" outlineLevel="0" collapsed="false">
      <c r="A80" s="83"/>
      <c r="B80" s="43" t="s">
        <v>215</v>
      </c>
      <c r="D80" s="43" t="s">
        <v>216</v>
      </c>
      <c r="F80" s="48" t="n">
        <v>44054</v>
      </c>
      <c r="G80" s="48" t="n">
        <f aca="false">F80/52</f>
        <v>847.192307692308</v>
      </c>
      <c r="H80" s="61" t="n">
        <f aca="false">IF(AC80="N",IF(F80&lt;$G$3,$F$3*G80*AE80,IF(F80&lt;$G$2,$F$2*G80*AE80,$F$1*G80*AE80)),0)</f>
        <v>0</v>
      </c>
      <c r="I80" s="61" t="n">
        <f aca="false">IF(AC80="Y",(IF(F80&lt;$G$3,$F$3*G80*AE80,IF(F80&lt;$G$2,$F$2*G80*AE80,$F$1*G80*AE80))*$L$2),0)</f>
        <v>2541.57692307692</v>
      </c>
      <c r="J80" s="61"/>
      <c r="K80" s="61" t="n">
        <f aca="false">IF(AC80="N",(MIN((($F$3*G80*AE80+ROUNDUP((F80/10000),0)*G80)*2),F80)),0)</f>
        <v>0</v>
      </c>
      <c r="L80" s="61" t="n">
        <f aca="false">IF(AC80="Y",(MIN((($F$3*G80*AE80+ROUNDUP((F80/10000),0)*G80)*2),F80))*$L$2,0)</f>
        <v>17791.0384615385</v>
      </c>
      <c r="M80" s="61" t="n">
        <f aca="false">IF(AC80="N",IF((F80/10000*G80*$M$2)&gt;F80*$M$1,F80*$M$1,(F80/10000*G80*$M$2)),0)</f>
        <v>0</v>
      </c>
      <c r="N80" s="61" t="n">
        <f aca="false">IF(AC80="Y",(IF((F80/10000*G80*$M$2)&gt;F80*$M$1,F80*$M$1,(F80/10000*G80*$M$2)))*$L$2,0)</f>
        <v>11196.6629769231</v>
      </c>
      <c r="O80" s="61" t="n">
        <f aca="false">MAX(IF(F80&lt;$G$3,$F$3*G80*AE80,IF(F80&lt;$G$2,$F$2*G80*AE80,$F$1*G80*AE80)),IF((F80/10000*G80*$M$2)&gt;F80*$M$1,F80*$M$1,(F80/10000*G80*$M$2)))</f>
        <v>7464.44198461539</v>
      </c>
      <c r="P80" s="61" t="n">
        <f aca="false">MIN(IF(F80&lt;$G$3,$F$3*G80*AE80,IF(F80&lt;$G$2,$F$2*G80*AE80,$F$1*G80*AE80)),IF((F80/10000*G80*$M$2)&gt;F80*$M$1,F80*$M$1,(F80/10000*G80*$M$2)))</f>
        <v>1694.38461538462</v>
      </c>
      <c r="Q80" s="61" t="n">
        <f aca="false">MAX(I80,N80)</f>
        <v>11196.6629769231</v>
      </c>
      <c r="R80" s="61" t="n">
        <f aca="false">MIN(I80,N80)</f>
        <v>2541.57692307692</v>
      </c>
      <c r="S80" s="62" t="n">
        <f aca="false">F80/10000</f>
        <v>4.4054</v>
      </c>
      <c r="T80" s="62" t="n">
        <f aca="false">ROUNDUP(S80,0)</f>
        <v>5</v>
      </c>
      <c r="U80" s="44" t="s">
        <v>40</v>
      </c>
      <c r="V80" s="44" t="n">
        <f aca="false">F80</f>
        <v>44054</v>
      </c>
      <c r="Y80" s="45" t="n">
        <f aca="false">(W80+X80)</f>
        <v>0</v>
      </c>
      <c r="AC80" s="46" t="s">
        <v>420</v>
      </c>
      <c r="AD80" s="84" t="n">
        <v>36661</v>
      </c>
      <c r="AE80" s="63" t="n">
        <f aca="false">ROUNDUP(DAYS360(AD80,$AE$3)/365,0)</f>
        <v>2</v>
      </c>
      <c r="AL80" s="43" t="n">
        <f aca="false">IF(AC80="N",V80,0)</f>
        <v>0</v>
      </c>
      <c r="AM80" s="43" t="n">
        <f aca="false">IF(AL80&gt;0,1,0)</f>
        <v>0</v>
      </c>
    </row>
    <row r="81" customFormat="false" ht="12.75" hidden="false" customHeight="false" outlineLevel="0" collapsed="false">
      <c r="A81" s="83"/>
      <c r="B81" s="43" t="s">
        <v>209</v>
      </c>
      <c r="D81" s="43" t="s">
        <v>210</v>
      </c>
      <c r="F81" s="48" t="n">
        <v>45261</v>
      </c>
      <c r="G81" s="48" t="n">
        <f aca="false">F81/52</f>
        <v>870.403846153846</v>
      </c>
      <c r="H81" s="61" t="n">
        <f aca="false">IF(AC81="N",IF(F81&lt;$G$3,$F$3*G81*AE81,IF(F81&lt;$G$2,$F$2*G81*AE81,$F$1*G81*AE81)),0)</f>
        <v>0</v>
      </c>
      <c r="I81" s="61" t="n">
        <f aca="false">IF(AC81="Y",(IF(F81&lt;$G$3,$F$3*G81*AE81,IF(F81&lt;$G$2,$F$2*G81*AE81,$F$1*G81*AE81))*$L$2),0)</f>
        <v>18278.4807692308</v>
      </c>
      <c r="J81" s="61"/>
      <c r="K81" s="61" t="n">
        <f aca="false">IF(AC81="N",(MIN((($F$3*G81*AE81+ROUNDUP((F81/10000),0)*G81)*2),F81)),0)</f>
        <v>0</v>
      </c>
      <c r="L81" s="61" t="n">
        <f aca="false">IF(AC81="Y",(MIN((($F$3*G81*AE81+ROUNDUP((F81/10000),0)*G81)*2),F81))*$L$2,0)</f>
        <v>49613.0192307692</v>
      </c>
      <c r="M81" s="61" t="n">
        <f aca="false">IF(AC81="N",IF((F81/10000*G81*$M$2)&gt;F81*$M$1,F81*$M$1,(F81/10000*G81*$M$2)),0)</f>
        <v>0</v>
      </c>
      <c r="N81" s="61" t="n">
        <f aca="false">IF(AC81="Y",(IF((F81/10000*G81*$M$2)&gt;F81*$M$1,F81*$M$1,(F81/10000*G81*$M$2)))*$L$2,0)</f>
        <v>11818.6045442308</v>
      </c>
      <c r="O81" s="61" t="n">
        <f aca="false">MAX(IF(F81&lt;$G$3,$F$3*G81*AE81,IF(F81&lt;$G$2,$F$2*G81*AE81,$F$1*G81*AE81)),IF((F81/10000*G81*$M$2)&gt;F81*$M$1,F81*$M$1,(F81/10000*G81*$M$2)))</f>
        <v>12185.6538461538</v>
      </c>
      <c r="P81" s="61" t="n">
        <f aca="false">MIN(IF(F81&lt;$G$3,$F$3*G81*AE81,IF(F81&lt;$G$2,$F$2*G81*AE81,$F$1*G81*AE81)),IF((F81/10000*G81*$M$2)&gt;F81*$M$1,F81*$M$1,(F81/10000*G81*$M$2)))</f>
        <v>7879.06969615385</v>
      </c>
      <c r="Q81" s="61" t="n">
        <f aca="false">MAX(I81,N81)</f>
        <v>18278.4807692308</v>
      </c>
      <c r="R81" s="61" t="n">
        <f aca="false">MIN(I81,N81)</f>
        <v>11818.6045442308</v>
      </c>
      <c r="S81" s="62" t="n">
        <f aca="false">F81/10000</f>
        <v>4.5261</v>
      </c>
      <c r="T81" s="62" t="n">
        <f aca="false">ROUNDUP(S81,0)</f>
        <v>5</v>
      </c>
      <c r="U81" s="44" t="s">
        <v>40</v>
      </c>
      <c r="V81" s="44" t="n">
        <f aca="false">F81</f>
        <v>45261</v>
      </c>
      <c r="Y81" s="45" t="n">
        <f aca="false">(W81+X81)</f>
        <v>0</v>
      </c>
      <c r="AC81" s="46" t="s">
        <v>420</v>
      </c>
      <c r="AD81" s="84" t="n">
        <v>32237</v>
      </c>
      <c r="AE81" s="63" t="n">
        <f aca="false">ROUNDUP(DAYS360(AD81,$AE$3)/365,0)</f>
        <v>14</v>
      </c>
      <c r="AL81" s="43" t="n">
        <f aca="false">IF(AC81="N",V81,0)</f>
        <v>0</v>
      </c>
      <c r="AM81" s="43" t="n">
        <f aca="false">IF(AL81&gt;0,1,0)</f>
        <v>0</v>
      </c>
    </row>
    <row r="82" customFormat="false" ht="12.75" hidden="false" customHeight="false" outlineLevel="0" collapsed="false">
      <c r="H82" s="61"/>
      <c r="I82" s="61"/>
      <c r="J82" s="61"/>
      <c r="K82" s="61"/>
      <c r="L82" s="61"/>
      <c r="M82" s="61"/>
      <c r="N82" s="61"/>
      <c r="O82" s="61"/>
      <c r="P82" s="61"/>
      <c r="Q82" s="61"/>
      <c r="R82" s="61"/>
      <c r="AE82" s="63"/>
      <c r="AL82" s="43" t="n">
        <f aca="false">IF(AC82="N",V82,0)</f>
        <v>0</v>
      </c>
      <c r="AM82" s="43" t="n">
        <f aca="false">IF(AL82&gt;0,1,0)</f>
        <v>0</v>
      </c>
    </row>
    <row r="83" customFormat="false" ht="59.25" hidden="false" customHeight="false" outlineLevel="0" collapsed="false">
      <c r="A83" s="83" t="s">
        <v>180</v>
      </c>
      <c r="H83" s="61"/>
      <c r="I83" s="61"/>
      <c r="J83" s="61"/>
      <c r="K83" s="61"/>
      <c r="L83" s="61"/>
      <c r="M83" s="61"/>
      <c r="N83" s="61"/>
      <c r="O83" s="61"/>
      <c r="P83" s="61"/>
      <c r="Q83" s="61"/>
      <c r="R83" s="61"/>
      <c r="Z83" s="8"/>
      <c r="AA83" s="8"/>
      <c r="AB83" s="8"/>
      <c r="AE83" s="63"/>
      <c r="AL83" s="43" t="n">
        <f aca="false">IF(AC83="N",V83,0)</f>
        <v>0</v>
      </c>
      <c r="AM83" s="43" t="n">
        <f aca="false">IF(AL83&gt;0,1,0)</f>
        <v>0</v>
      </c>
    </row>
    <row r="84" customFormat="false" ht="12.75" hidden="false" customHeight="false" outlineLevel="0" collapsed="false">
      <c r="A84" s="83"/>
      <c r="B84" s="43" t="s">
        <v>181</v>
      </c>
      <c r="D84" s="43" t="s">
        <v>182</v>
      </c>
      <c r="F84" s="48" t="n">
        <v>55000</v>
      </c>
      <c r="G84" s="48" t="n">
        <f aca="false">F84/52</f>
        <v>1057.69230769231</v>
      </c>
      <c r="H84" s="61" t="n">
        <f aca="false">IF(AC84="N",IF(F84&lt;$G$3,$F$3*G84*AE84,IF(F84&lt;$G$2,$F$2*G84*AE84,$F$1*G84*AE84)),0)</f>
        <v>0</v>
      </c>
      <c r="I84" s="61" t="n">
        <f aca="false">IF(AC84="Y",(IF(F84&lt;$G$3,$F$3*G84*AE84,IF(F84&lt;$G$2,$F$2*G84*AE84,$F$1*G84*AE84))*$L$2),0)</f>
        <v>38076.9230769231</v>
      </c>
      <c r="J84" s="61"/>
      <c r="K84" s="61" t="n">
        <f aca="false">IF(AC84="N",(MIN((($F$3*G84*AE84+ROUNDUP((F84/10000),0)*G84)*2),F84)),0)</f>
        <v>0</v>
      </c>
      <c r="L84" s="61" t="n">
        <f aca="false">IF(AC84="Y",(MIN((($F$3*G84*AE84+ROUNDUP((F84/10000),0)*G84)*2),F84))*$L$2,0)</f>
        <v>57115.3846153846</v>
      </c>
      <c r="M84" s="61" t="n">
        <f aca="false">IF(AC84="N",IF((F84/10000*G84*$M$2)&gt;F84*$M$1,F84*$M$1,(F84/10000*G84*$M$2)),0)</f>
        <v>0</v>
      </c>
      <c r="N84" s="61" t="n">
        <f aca="false">IF(AC84="Y",(IF((F84/10000*G84*$M$2)&gt;F84*$M$1,F84*$M$1,(F84/10000*G84*$M$2)))*$L$2,0)</f>
        <v>17451.9230769231</v>
      </c>
      <c r="O84" s="61" t="n">
        <f aca="false">MAX(IF(F84&lt;$G$3,$F$3*G84*AE84,IF(F84&lt;$G$2,$F$2*G84*AE84,$F$1*G84*AE84)),IF((F84/10000*G84*$M$2)&gt;F84*$M$1,F84*$M$1,(F84/10000*G84*$M$2)))</f>
        <v>25384.6153846154</v>
      </c>
      <c r="P84" s="61" t="n">
        <f aca="false">MIN(IF(F84&lt;$G$3,$F$3*G84*AE84,IF(F84&lt;$G$2,$F$2*G84*AE84,$F$1*G84*AE84)),IF((F84/10000*G84*$M$2)&gt;F84*$M$1,F84*$M$1,(F84/10000*G84*$M$2)))</f>
        <v>11634.6153846154</v>
      </c>
      <c r="Q84" s="61" t="n">
        <f aca="false">MAX(I84,N84)</f>
        <v>38076.9230769231</v>
      </c>
      <c r="R84" s="61" t="n">
        <f aca="false">MIN(I84,N84)</f>
        <v>17451.9230769231</v>
      </c>
      <c r="S84" s="62" t="n">
        <f aca="false">F84/10000</f>
        <v>5.5</v>
      </c>
      <c r="T84" s="62" t="n">
        <f aca="false">ROUNDUP(S84,0)</f>
        <v>6</v>
      </c>
      <c r="U84" s="44" t="s">
        <v>40</v>
      </c>
      <c r="V84" s="44" t="n">
        <f aca="false">F84</f>
        <v>55000</v>
      </c>
      <c r="W84" s="45" t="n">
        <v>5000</v>
      </c>
      <c r="Y84" s="45" t="n">
        <v>5000</v>
      </c>
      <c r="AC84" s="46" t="s">
        <v>420</v>
      </c>
      <c r="AD84" s="84" t="n">
        <v>32965</v>
      </c>
      <c r="AE84" s="63" t="n">
        <f aca="false">ROUNDUP(DAYS360(AD84,$AE$3)/365,0)</f>
        <v>12</v>
      </c>
      <c r="AL84" s="43" t="n">
        <f aca="false">IF(AC84="N",V84,0)</f>
        <v>0</v>
      </c>
      <c r="AM84" s="43" t="n">
        <f aca="false">IF(AL84&gt;0,1,0)</f>
        <v>0</v>
      </c>
    </row>
    <row r="85" customFormat="false" ht="12.75" hidden="false" customHeight="false" outlineLevel="0" collapsed="false">
      <c r="A85" s="83"/>
      <c r="B85" s="43" t="s">
        <v>230</v>
      </c>
      <c r="D85" s="43" t="s">
        <v>231</v>
      </c>
      <c r="F85" s="48" t="n">
        <v>40000</v>
      </c>
      <c r="G85" s="48" t="n">
        <f aca="false">F85/52</f>
        <v>769.230769230769</v>
      </c>
      <c r="H85" s="61" t="n">
        <f aca="false">IF(AC85="N",IF(F85&lt;$G$3,$F$3*G85*AE85,IF(F85&lt;$G$2,$F$2*G85*AE85,$F$1*G85*AE85)),0)</f>
        <v>0</v>
      </c>
      <c r="I85" s="61" t="n">
        <f aca="false">IF(AC85="Y",(IF(F85&lt;$G$3,$F$3*G85*AE85,IF(F85&lt;$G$2,$F$2*G85*AE85,$F$1*G85*AE85))*$L$2),0)</f>
        <v>5769.23076923077</v>
      </c>
      <c r="J85" s="61"/>
      <c r="K85" s="61" t="n">
        <f aca="false">IF(AC85="N",(MIN((($F$3*G85*AE85+ROUNDUP((F85/10000),0)*G85)*2),F85)),0)</f>
        <v>0</v>
      </c>
      <c r="L85" s="61" t="n">
        <f aca="false">IF(AC85="Y",(MIN((($F$3*G85*AE85+ROUNDUP((F85/10000),0)*G85)*2),F85))*$L$2,0)</f>
        <v>20769.2307692308</v>
      </c>
      <c r="M85" s="61" t="n">
        <f aca="false">IF(AC85="N",IF((F85/10000*G85*$M$2)&gt;F85*$M$1,F85*$M$1,(F85/10000*G85*$M$2)),0)</f>
        <v>0</v>
      </c>
      <c r="N85" s="61" t="n">
        <f aca="false">IF(AC85="Y",(IF((F85/10000*G85*$M$2)&gt;F85*$M$1,F85*$M$1,(F85/10000*G85*$M$2)))*$L$2,0)</f>
        <v>9230.76923076923</v>
      </c>
      <c r="O85" s="61" t="n">
        <f aca="false">MAX(IF(F85&lt;$G$3,$F$3*G85*AE85,IF(F85&lt;$G$2,$F$2*G85*AE85,$F$1*G85*AE85)),IF((F85/10000*G85*$M$2)&gt;F85*$M$1,F85*$M$1,(F85/10000*G85*$M$2)))</f>
        <v>6153.84615384615</v>
      </c>
      <c r="P85" s="61" t="n">
        <f aca="false">MIN(IF(F85&lt;$G$3,$F$3*G85*AE85,IF(F85&lt;$G$2,$F$2*G85*AE85,$F$1*G85*AE85)),IF((F85/10000*G85*$M$2)&gt;F85*$M$1,F85*$M$1,(F85/10000*G85*$M$2)))</f>
        <v>3846.15384615385</v>
      </c>
      <c r="Q85" s="61" t="n">
        <f aca="false">MAX(I85,N85)</f>
        <v>9230.76923076923</v>
      </c>
      <c r="R85" s="61" t="n">
        <f aca="false">MIN(I85,N85)</f>
        <v>5769.23076923077</v>
      </c>
      <c r="S85" s="62" t="n">
        <f aca="false">F85/10000</f>
        <v>4</v>
      </c>
      <c r="T85" s="62" t="n">
        <f aca="false">ROUNDUP(S85,0)</f>
        <v>4</v>
      </c>
      <c r="U85" s="44" t="s">
        <v>40</v>
      </c>
      <c r="V85" s="44" t="n">
        <f aca="false">F85</f>
        <v>40000</v>
      </c>
      <c r="W85" s="45" t="n">
        <v>40000</v>
      </c>
      <c r="Y85" s="45" t="n">
        <v>40000</v>
      </c>
      <c r="AC85" s="46" t="s">
        <v>420</v>
      </c>
      <c r="AD85" s="84" t="n">
        <v>35261</v>
      </c>
      <c r="AE85" s="63" t="n">
        <f aca="false">ROUNDUP(DAYS360(AD85,$AE$3)/365,0)</f>
        <v>5</v>
      </c>
      <c r="AL85" s="43" t="n">
        <f aca="false">IF(AC85="N",V85,0)</f>
        <v>0</v>
      </c>
      <c r="AM85" s="43" t="n">
        <f aca="false">IF(AL85&gt;0,1,0)</f>
        <v>0</v>
      </c>
    </row>
    <row r="86" customFormat="false" ht="12.75" hidden="false" customHeight="false" outlineLevel="0" collapsed="false">
      <c r="A86" s="83"/>
      <c r="H86" s="61"/>
      <c r="I86" s="61"/>
      <c r="J86" s="61"/>
      <c r="K86" s="61"/>
      <c r="L86" s="61"/>
      <c r="M86" s="61"/>
      <c r="N86" s="61"/>
      <c r="O86" s="61"/>
      <c r="P86" s="61"/>
      <c r="Q86" s="61"/>
      <c r="R86" s="61"/>
      <c r="AE86" s="63"/>
      <c r="AL86" s="43" t="n">
        <f aca="false">IF(AC86="N",V86,0)</f>
        <v>0</v>
      </c>
      <c r="AM86" s="43" t="n">
        <f aca="false">IF(AL86&gt;0,1,0)</f>
        <v>0</v>
      </c>
    </row>
    <row r="87" customFormat="false" ht="12.75" hidden="false" customHeight="false" outlineLevel="0" collapsed="false">
      <c r="A87" s="46"/>
      <c r="H87" s="61"/>
      <c r="I87" s="61"/>
      <c r="J87" s="61"/>
      <c r="K87" s="61"/>
      <c r="L87" s="61"/>
      <c r="M87" s="61"/>
      <c r="N87" s="61"/>
      <c r="O87" s="61"/>
      <c r="P87" s="61"/>
      <c r="Q87" s="61"/>
      <c r="R87" s="61"/>
      <c r="AE87" s="63"/>
      <c r="AL87" s="43" t="n">
        <f aca="false">IF(AC87="N",V87,0)</f>
        <v>0</v>
      </c>
      <c r="AM87" s="43" t="n">
        <f aca="false">IF(AL87&gt;0,1,0)</f>
        <v>0</v>
      </c>
    </row>
    <row r="88" customFormat="false" ht="13.5" hidden="false" customHeight="true" outlineLevel="0" collapsed="false">
      <c r="A88" s="46"/>
      <c r="H88" s="61"/>
      <c r="I88" s="61"/>
      <c r="J88" s="61"/>
      <c r="K88" s="61"/>
      <c r="L88" s="61"/>
      <c r="M88" s="61"/>
      <c r="N88" s="61"/>
      <c r="O88" s="61"/>
      <c r="P88" s="61"/>
      <c r="Q88" s="61"/>
      <c r="R88" s="61"/>
      <c r="AE88" s="63"/>
      <c r="AL88" s="43" t="n">
        <f aca="false">IF(AC88="N",V88,0)</f>
        <v>0</v>
      </c>
      <c r="AM88" s="43" t="n">
        <f aca="false">IF(AL88&gt;0,1,0)</f>
        <v>0</v>
      </c>
    </row>
    <row r="89" customFormat="false" ht="12.75" hidden="false" customHeight="false" outlineLevel="0" collapsed="false">
      <c r="H89" s="61"/>
      <c r="I89" s="61"/>
      <c r="J89" s="61"/>
      <c r="K89" s="61"/>
      <c r="L89" s="61"/>
      <c r="M89" s="61"/>
      <c r="N89" s="61"/>
      <c r="O89" s="61"/>
      <c r="P89" s="61"/>
      <c r="Q89" s="61"/>
      <c r="R89" s="61"/>
      <c r="AE89" s="63"/>
      <c r="AL89" s="43" t="n">
        <f aca="false">IF(AC89="N",V89,0)</f>
        <v>0</v>
      </c>
      <c r="AM89" s="43" t="n">
        <f aca="false">IF(AL89&gt;0,1,0)</f>
        <v>0</v>
      </c>
    </row>
    <row r="90" customFormat="false" ht="15.75" hidden="false" customHeight="false" outlineLevel="0" collapsed="false">
      <c r="B90" s="51" t="s">
        <v>42</v>
      </c>
      <c r="C90" s="51"/>
      <c r="D90" s="51"/>
      <c r="E90" s="51"/>
      <c r="F90" s="51"/>
      <c r="G90" s="51"/>
      <c r="H90" s="61"/>
      <c r="I90" s="61"/>
      <c r="J90" s="61"/>
      <c r="K90" s="61"/>
      <c r="L90" s="61"/>
      <c r="M90" s="61"/>
      <c r="N90" s="61"/>
      <c r="O90" s="61"/>
      <c r="P90" s="61"/>
      <c r="Q90" s="61"/>
      <c r="R90" s="61"/>
      <c r="S90" s="51"/>
      <c r="T90" s="51"/>
      <c r="U90" s="51"/>
      <c r="V90" s="51"/>
      <c r="W90" s="51"/>
      <c r="X90" s="51"/>
      <c r="Y90" s="51"/>
      <c r="Z90" s="51"/>
      <c r="AA90" s="51"/>
      <c r="AB90" s="51"/>
      <c r="AC90" s="51"/>
      <c r="AE90" s="63"/>
      <c r="AF90" s="51"/>
      <c r="AG90" s="51"/>
      <c r="AH90" s="51"/>
      <c r="AI90" s="51"/>
      <c r="AJ90" s="51"/>
      <c r="AK90" s="51"/>
      <c r="AL90" s="43" t="n">
        <f aca="false">IF(AC90="N",V90,0)</f>
        <v>0</v>
      </c>
      <c r="AM90" s="43" t="n">
        <f aca="false">IF(AL90&gt;0,1,0)</f>
        <v>0</v>
      </c>
    </row>
    <row r="91" customFormat="false" ht="12.75" hidden="false" customHeight="false" outlineLevel="0" collapsed="false">
      <c r="H91" s="61"/>
      <c r="I91" s="61"/>
      <c r="J91" s="61"/>
      <c r="K91" s="61"/>
      <c r="L91" s="61"/>
      <c r="M91" s="61"/>
      <c r="N91" s="61"/>
      <c r="O91" s="61"/>
      <c r="P91" s="61"/>
      <c r="Q91" s="61"/>
      <c r="R91" s="61"/>
      <c r="AE91" s="63"/>
      <c r="AL91" s="43" t="n">
        <f aca="false">IF(AC91="N",V91,0)</f>
        <v>0</v>
      </c>
      <c r="AM91" s="43" t="n">
        <f aca="false">IF(AL91&gt;0,1,0)</f>
        <v>0</v>
      </c>
    </row>
    <row r="92" customFormat="false" ht="36.75" hidden="false" customHeight="false" outlineLevel="0" collapsed="false">
      <c r="A92" s="83" t="s">
        <v>41</v>
      </c>
      <c r="B92" s="43" t="s">
        <v>93</v>
      </c>
      <c r="D92" s="43" t="s">
        <v>94</v>
      </c>
      <c r="F92" s="48" t="n">
        <v>200000</v>
      </c>
      <c r="G92" s="48" t="n">
        <f aca="false">F92/52</f>
        <v>3846.15384615385</v>
      </c>
      <c r="H92" s="61" t="n">
        <f aca="false">IF(AC92="N",IF(F92&lt;$G$3,$F$3*G92*AE92,IF(F92&lt;$G$2,$F$2*G92*AE92,$F$1*G92*AE92)),0)</f>
        <v>0</v>
      </c>
      <c r="I92" s="61" t="n">
        <f aca="false">IF(AC92="Y",(IF(F92&lt;$G$3,$F$3*G92*AE92,IF(F92&lt;$G$2,$F$2*G92*AE92,$F$1*G92*AE92))*$L$2),0)</f>
        <v>23076.9230769231</v>
      </c>
      <c r="J92" s="61"/>
      <c r="K92" s="61" t="n">
        <f aca="false">IF(AC92="N",(MIN((($F$3*G92*AE92+ROUNDUP((F92/10000),0)*G92)*2),F92)),0)</f>
        <v>0</v>
      </c>
      <c r="L92" s="61" t="n">
        <f aca="false">IF(AC92="Y",(MIN((($F$3*G92*AE92+ROUNDUP((F92/10000),0)*G92)*2),F92))*$L$2,0)</f>
        <v>242307.692307692</v>
      </c>
      <c r="M92" s="61" t="n">
        <f aca="false">IF(AC92="N",IF((F92/10000*G92*$M$2)&gt;F92*$M$1,F92*$M$1,(F92/10000*G92*$M$2)),0)</f>
        <v>0</v>
      </c>
      <c r="N92" s="61" t="n">
        <f aca="false">IF(AC92="Y",(IF((F92/10000*G92*$M$2)&gt;F92*$M$1,F92*$M$1,(F92/10000*G92*$M$2)))*$L$2,0)</f>
        <v>225000</v>
      </c>
      <c r="O92" s="61" t="n">
        <f aca="false">MAX(IF(F92&lt;$G$3,$F$3*G92*AE92,IF(F92&lt;$G$2,$F$2*G92*AE92,$F$1*G92*AE92)),IF((F92/10000*G92*$M$2)&gt;F92*$M$1,F92*$M$1,(F92/10000*G92*$M$2)))</f>
        <v>150000</v>
      </c>
      <c r="P92" s="61" t="n">
        <f aca="false">MIN(IF(F92&lt;$G$3,$F$3*G92*AE92,IF(F92&lt;$G$2,$F$2*G92*AE92,$F$1*G92*AE92)),IF((F92/10000*G92*$M$2)&gt;F92*$M$1,F92*$M$1,(F92/10000*G92*$M$2)))</f>
        <v>15384.6153846154</v>
      </c>
      <c r="Q92" s="61" t="n">
        <f aca="false">MAX(I92,N92)</f>
        <v>225000</v>
      </c>
      <c r="R92" s="61" t="n">
        <f aca="false">MIN(I92,N92)</f>
        <v>23076.9230769231</v>
      </c>
      <c r="S92" s="62" t="n">
        <f aca="false">F92/10000</f>
        <v>20</v>
      </c>
      <c r="T92" s="62" t="n">
        <f aca="false">ROUNDUP(S92,0)</f>
        <v>20</v>
      </c>
      <c r="U92" s="44" t="s">
        <v>40</v>
      </c>
      <c r="V92" s="44" t="n">
        <f aca="false">F92</f>
        <v>200000</v>
      </c>
      <c r="Y92" s="45" t="n">
        <f aca="false">(W92+X92)</f>
        <v>0</v>
      </c>
      <c r="AC92" s="46" t="s">
        <v>420</v>
      </c>
      <c r="AD92" s="47" t="n">
        <v>36717</v>
      </c>
      <c r="AE92" s="63" t="n">
        <f aca="false">ROUNDUP(DAYS360(AD92,$AE$3)/365,0)</f>
        <v>1</v>
      </c>
      <c r="AL92" s="43" t="n">
        <f aca="false">IF(AC92="N",V92,0)</f>
        <v>0</v>
      </c>
      <c r="AM92" s="43" t="n">
        <f aca="false">IF(AL92&gt;0,1,0)</f>
        <v>0</v>
      </c>
    </row>
    <row r="93" customFormat="false" ht="12.75" hidden="false" customHeight="false" outlineLevel="0" collapsed="false">
      <c r="A93" s="83"/>
      <c r="B93" s="43" t="s">
        <v>100</v>
      </c>
      <c r="D93" s="43" t="s">
        <v>72</v>
      </c>
      <c r="F93" s="48" t="n">
        <v>176000</v>
      </c>
      <c r="G93" s="48" t="n">
        <f aca="false">F93/52</f>
        <v>3384.61538461538</v>
      </c>
      <c r="H93" s="61" t="n">
        <f aca="false">IF(AC93="N",IF(F93&lt;$G$3,$F$3*G93*AE93,IF(F93&lt;$G$2,$F$2*G93*AE93,$F$1*G93*AE93)),0)</f>
        <v>0</v>
      </c>
      <c r="I93" s="61" t="n">
        <f aca="false">IF(AC93="Y",(IF(F93&lt;$G$3,$F$3*G93*AE93,IF(F93&lt;$G$2,$F$2*G93*AE93,$F$1*G93*AE93))*$L$2),0)</f>
        <v>243692.307692308</v>
      </c>
      <c r="J93" s="61"/>
      <c r="K93" s="61" t="n">
        <f aca="false">IF(AC93="N",(MIN((($F$3*G93*AE93+ROUNDUP((F93/10000),0)*G93)*2),F93)),0)</f>
        <v>0</v>
      </c>
      <c r="L93" s="61" t="n">
        <f aca="false">IF(AC93="Y",(MIN((($F$3*G93*AE93+ROUNDUP((F93/10000),0)*G93)*2),F93))*$L$2,0)</f>
        <v>264000</v>
      </c>
      <c r="M93" s="61" t="n">
        <f aca="false">IF(AC93="N",IF((F93/10000*G93*$M$2)&gt;F93*$M$1,F93*$M$1,(F93/10000*G93*$M$2)),0)</f>
        <v>0</v>
      </c>
      <c r="N93" s="61" t="n">
        <f aca="false">IF(AC93="Y",(IF((F93/10000*G93*$M$2)&gt;F93*$M$1,F93*$M$1,(F93/10000*G93*$M$2)))*$L$2,0)</f>
        <v>178707.692307692</v>
      </c>
      <c r="O93" s="61" t="n">
        <f aca="false">MAX(IF(F93&lt;$G$3,$F$3*G93*AE93,IF(F93&lt;$G$2,$F$2*G93*AE93,$F$1*G93*AE93)),IF((F93/10000*G93*$M$2)&gt;F93*$M$1,F93*$M$1,(F93/10000*G93*$M$2)))</f>
        <v>162461.538461538</v>
      </c>
      <c r="P93" s="61" t="n">
        <f aca="false">MIN(IF(F93&lt;$G$3,$F$3*G93*AE93,IF(F93&lt;$G$2,$F$2*G93*AE93,$F$1*G93*AE93)),IF((F93/10000*G93*$M$2)&gt;F93*$M$1,F93*$M$1,(F93/10000*G93*$M$2)))</f>
        <v>119138.461538462</v>
      </c>
      <c r="Q93" s="61" t="n">
        <f aca="false">MAX(I93,N93)</f>
        <v>243692.307692308</v>
      </c>
      <c r="R93" s="61" t="n">
        <f aca="false">MIN(I93,N93)</f>
        <v>178707.692307692</v>
      </c>
      <c r="S93" s="62" t="n">
        <f aca="false">F93/10000</f>
        <v>17.6</v>
      </c>
      <c r="T93" s="62" t="n">
        <f aca="false">ROUNDUP(S93,0)</f>
        <v>18</v>
      </c>
      <c r="U93" s="44" t="s">
        <v>40</v>
      </c>
      <c r="V93" s="44" t="n">
        <f aca="false">F93</f>
        <v>176000</v>
      </c>
      <c r="W93" s="45" t="n">
        <v>90000</v>
      </c>
      <c r="Y93" s="45" t="n">
        <f aca="false">(W93+X93)</f>
        <v>90000</v>
      </c>
      <c r="AC93" s="46" t="s">
        <v>420</v>
      </c>
      <c r="AD93" s="47" t="n">
        <v>32874</v>
      </c>
      <c r="AE93" s="63" t="n">
        <f aca="false">ROUNDUP(DAYS360(AD93,$AE$3)/365,0)</f>
        <v>12</v>
      </c>
      <c r="AL93" s="43" t="n">
        <f aca="false">IF(AC93="N",V93,0)</f>
        <v>0</v>
      </c>
      <c r="AM93" s="43" t="n">
        <f aca="false">IF(AL93&gt;0,1,0)</f>
        <v>0</v>
      </c>
    </row>
    <row r="94" customFormat="false" ht="12.75" hidden="false" customHeight="false" outlineLevel="0" collapsed="false">
      <c r="A94" s="83"/>
      <c r="B94" s="43" t="s">
        <v>111</v>
      </c>
      <c r="D94" s="43" t="s">
        <v>112</v>
      </c>
      <c r="F94" s="48" t="n">
        <v>106920</v>
      </c>
      <c r="G94" s="48" t="n">
        <f aca="false">F94/52</f>
        <v>2056.15384615385</v>
      </c>
      <c r="H94" s="61" t="n">
        <f aca="false">IF(AC94="N",IF(F94&lt;$G$3,$F$3*G94*AE94,IF(F94&lt;$G$2,$F$2*G94*AE94,$F$1*G94*AE94)),0)</f>
        <v>0</v>
      </c>
      <c r="I94" s="61" t="n">
        <f aca="false">IF(AC94="Y",(IF(F94&lt;$G$3,$F$3*G94*AE94,IF(F94&lt;$G$2,$F$2*G94*AE94,$F$1*G94*AE94))*$L$2),0)</f>
        <v>172716.923076923</v>
      </c>
      <c r="J94" s="61"/>
      <c r="K94" s="61" t="n">
        <f aca="false">IF(AC94="N",(MIN((($F$3*G94*AE94+ROUNDUP((F94/10000),0)*G94)*2),F94)),0)</f>
        <v>0</v>
      </c>
      <c r="L94" s="61" t="n">
        <f aca="false">IF(AC94="Y",(MIN((($F$3*G94*AE94+ROUNDUP((F94/10000),0)*G94)*2),F94))*$L$2,0)</f>
        <v>154211.538461538</v>
      </c>
      <c r="M94" s="61" t="n">
        <f aca="false">IF(AC94="N",IF((F94/10000*G94*$M$2)&gt;F94*$M$1,F94*$M$1,(F94/10000*G94*$M$2)),0)</f>
        <v>0</v>
      </c>
      <c r="N94" s="61" t="n">
        <f aca="false">IF(AC94="Y",(IF((F94/10000*G94*$M$2)&gt;F94*$M$1,F94*$M$1,(F94/10000*G94*$M$2)))*$L$2,0)</f>
        <v>65953.1907692308</v>
      </c>
      <c r="O94" s="61" t="n">
        <f aca="false">MAX(IF(F94&lt;$G$3,$F$3*G94*AE94,IF(F94&lt;$G$2,$F$2*G94*AE94,$F$1*G94*AE94)),IF((F94/10000*G94*$M$2)&gt;F94*$M$1,F94*$M$1,(F94/10000*G94*$M$2)))</f>
        <v>115144.615384615</v>
      </c>
      <c r="P94" s="61" t="n">
        <f aca="false">MIN(IF(F94&lt;$G$3,$F$3*G94*AE94,IF(F94&lt;$G$2,$F$2*G94*AE94,$F$1*G94*AE94)),IF((F94/10000*G94*$M$2)&gt;F94*$M$1,F94*$M$1,(F94/10000*G94*$M$2)))</f>
        <v>43968.7938461539</v>
      </c>
      <c r="Q94" s="61" t="n">
        <f aca="false">MAX(I94,N94)</f>
        <v>172716.923076923</v>
      </c>
      <c r="R94" s="61" t="n">
        <f aca="false">MIN(I94,N94)</f>
        <v>65953.1907692308</v>
      </c>
      <c r="S94" s="62" t="n">
        <f aca="false">F94/10000</f>
        <v>10.692</v>
      </c>
      <c r="T94" s="62" t="n">
        <f aca="false">ROUNDUP(S94,0)</f>
        <v>11</v>
      </c>
      <c r="U94" s="44" t="s">
        <v>40</v>
      </c>
      <c r="V94" s="44" t="n">
        <f aca="false">F94</f>
        <v>106920</v>
      </c>
      <c r="W94" s="45" t="n">
        <v>80000</v>
      </c>
      <c r="Y94" s="45" t="n">
        <f aca="false">(W94+X94)</f>
        <v>80000</v>
      </c>
      <c r="AC94" s="46" t="s">
        <v>420</v>
      </c>
      <c r="AD94" s="47" t="n">
        <v>31915</v>
      </c>
      <c r="AE94" s="63" t="n">
        <f aca="false">ROUNDUP(DAYS360(AD94,$AE$3)/365,0)</f>
        <v>14</v>
      </c>
      <c r="AL94" s="43" t="n">
        <f aca="false">IF(AC94="N",V94,0)</f>
        <v>0</v>
      </c>
      <c r="AM94" s="43" t="n">
        <f aca="false">IF(AL94&gt;0,1,0)</f>
        <v>0</v>
      </c>
    </row>
    <row r="95" customFormat="false" ht="12.75" hidden="false" customHeight="false" outlineLevel="0" collapsed="false">
      <c r="A95" s="87"/>
      <c r="B95" s="76" t="s">
        <v>71</v>
      </c>
      <c r="C95" s="76"/>
      <c r="D95" s="76" t="s">
        <v>72</v>
      </c>
      <c r="E95" s="76"/>
      <c r="F95" s="77" t="n">
        <v>351325</v>
      </c>
      <c r="G95" s="77" t="n">
        <f aca="false">F95/52</f>
        <v>6756.25</v>
      </c>
      <c r="H95" s="88" t="n">
        <f aca="false">IF(AC95="N",IF(F95&lt;$G$3,$F$3*G95*AE95,IF(F95&lt;$G$2,$F$2*G95*AE95,$F$1*G95*AE95)),0)</f>
        <v>0</v>
      </c>
      <c r="I95" s="88" t="n">
        <f aca="false">IF(AC95="Y",(IF(F95&lt;$G$3,$F$3*G95*AE95,IF(F95&lt;$G$2,$F$2*G95*AE95,$F$1*G95*AE95))*$L$2),0)</f>
        <v>486450</v>
      </c>
      <c r="J95" s="88"/>
      <c r="K95" s="61" t="n">
        <f aca="false">IF(AC95="N",(MIN((($F$3*G95*AE95+ROUNDUP((F95/10000),0)*G95)*2),F95)),0)</f>
        <v>0</v>
      </c>
      <c r="L95" s="61" t="n">
        <f aca="false">IF(AC95="Y",(MIN((($F$3*G95*AE95+ROUNDUP((F95/10000),0)*G95)*2),F95))*$L$2,0)</f>
        <v>526987.5</v>
      </c>
      <c r="M95" s="88" t="n">
        <f aca="false">IF(AC95="N",IF((F95/10000*G95*$M$2)&gt;F95*$M$1,F95*$M$1,(F95/10000*G95*$M$2)),0)</f>
        <v>0</v>
      </c>
      <c r="N95" s="88" t="n">
        <f aca="false">IF(AC95="Y",(IF((F95/10000*G95*$M$2)&gt;F95*$M$1,F95*$M$1,(F95/10000*G95*$M$2)))*$L$2,0)</f>
        <v>395240.625</v>
      </c>
      <c r="O95" s="61" t="n">
        <f aca="false">MAX(IF(F95&lt;$G$3,$F$3*G95*AE95,IF(F95&lt;$G$2,$F$2*G95*AE95,$F$1*G95*AE95)),IF((F95/10000*G95*$M$2)&gt;F95*$M$1,F95*$M$1,(F95/10000*G95*$M$2)))</f>
        <v>324300</v>
      </c>
      <c r="P95" s="61" t="n">
        <f aca="false">MIN(IF(F95&lt;$G$3,$F$3*G95*AE95,IF(F95&lt;$G$2,$F$2*G95*AE95,$F$1*G95*AE95)),IF((F95/10000*G95*$M$2)&gt;F95*$M$1,F95*$M$1,(F95/10000*G95*$M$2)))</f>
        <v>263493.75</v>
      </c>
      <c r="Q95" s="61" t="n">
        <f aca="false">MAX(I95,N95)</f>
        <v>486450</v>
      </c>
      <c r="R95" s="61" t="n">
        <f aca="false">MIN(I95,N95)</f>
        <v>395240.625</v>
      </c>
      <c r="S95" s="78" t="n">
        <f aca="false">F95/10000</f>
        <v>35.1325</v>
      </c>
      <c r="T95" s="78" t="n">
        <f aca="false">ROUNDUP(S95,0)</f>
        <v>36</v>
      </c>
      <c r="U95" s="79" t="s">
        <v>40</v>
      </c>
      <c r="V95" s="79" t="n">
        <f aca="false">F95</f>
        <v>351325</v>
      </c>
      <c r="W95" s="80" t="n">
        <v>505000</v>
      </c>
      <c r="X95" s="80"/>
      <c r="Y95" s="80" t="n">
        <f aca="false">(W95+X95)</f>
        <v>505000</v>
      </c>
      <c r="Z95" s="81"/>
      <c r="AA95" s="81"/>
      <c r="AB95" s="81"/>
      <c r="AC95" s="81" t="s">
        <v>420</v>
      </c>
      <c r="AD95" s="84" t="n">
        <v>32933</v>
      </c>
      <c r="AE95" s="89" t="n">
        <f aca="false">ROUNDUP(DAYS360(AD95,$AE$3)/365,0)</f>
        <v>12</v>
      </c>
      <c r="AF95" s="81"/>
      <c r="AG95" s="81"/>
      <c r="AH95" s="81"/>
      <c r="AI95" s="81"/>
      <c r="AJ95" s="81"/>
      <c r="AK95" s="76"/>
      <c r="AL95" s="10" t="n">
        <f aca="false">IF(AC95="N",V95,0)</f>
        <v>0</v>
      </c>
      <c r="AM95" s="10" t="n">
        <f aca="false">IF(AL95&gt;0,1,0)</f>
        <v>0</v>
      </c>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c r="IV95" s="76"/>
      <c r="IW95" s="76"/>
    </row>
    <row r="96" customFormat="false" ht="12.75" hidden="false" customHeight="false" outlineLevel="0" collapsed="false">
      <c r="A96" s="83"/>
      <c r="B96" s="43" t="s">
        <v>367</v>
      </c>
      <c r="D96" s="43" t="s">
        <v>368</v>
      </c>
      <c r="F96" s="48" t="n">
        <v>32400</v>
      </c>
      <c r="G96" s="48" t="n">
        <f aca="false">F96/52</f>
        <v>623.076923076923</v>
      </c>
      <c r="H96" s="61" t="n">
        <f aca="false">IF(AC96="N",IF(F96&lt;$G$3,$F$3*G96*AE96,IF(F96&lt;$G$2,$F$2*G96*AE96,$F$1*G96*AE96)),0)</f>
        <v>1246.15384615385</v>
      </c>
      <c r="I96" s="61" t="n">
        <f aca="false">IF(AC96="Y",(IF(F96&lt;$G$3,$F$3*G96*AE96,IF(F96&lt;$G$2,$F$2*G96*AE96,$F$1*G96*AE96))*$L$2),0)</f>
        <v>0</v>
      </c>
      <c r="J96" s="61"/>
      <c r="K96" s="61" t="n">
        <f aca="false">IF(AC96="N",(MIN((($F$3*G96*AE96+ROUNDUP((F96/10000),0)*G96)*2),F96)),0)</f>
        <v>7476.92307692308</v>
      </c>
      <c r="L96" s="61" t="n">
        <f aca="false">IF(AC96="Y",(MIN((($F$3*G96*AE96+ROUNDUP((F96/10000),0)*G96)*2),F96))*$L$2,0)</f>
        <v>0</v>
      </c>
      <c r="M96" s="61" t="n">
        <f aca="false">IF(AC96="N",IF((F96/10000*G96*$M$2)&gt;F96*$M$1,F96*$M$1,(F96/10000*G96*$M$2)),0)</f>
        <v>4037.53846153846</v>
      </c>
      <c r="N96" s="61" t="n">
        <f aca="false">IF(AC96="Y",(IF((F96/10000*G96*$M$2)&gt;F96*$M$1,F96*$M$1,(F96/10000*G96*$M$2)))*$L$2,0)</f>
        <v>0</v>
      </c>
      <c r="O96" s="61" t="n">
        <f aca="false">MAX(IF(F96&lt;$G$3,$F$3*G96*AE96,IF(F96&lt;$G$2,$F$2*G96*AE96,$F$1*G96*AE96)),IF((F96/10000*G96*$M$2)&gt;F96*$M$1,F96*$M$1,(F96/10000*G96*$M$2)))</f>
        <v>4037.53846153846</v>
      </c>
      <c r="P96" s="61" t="n">
        <f aca="false">MIN(IF(F96&lt;$G$3,$F$3*G96*AE96,IF(F96&lt;$G$2,$F$2*G96*AE96,$F$1*G96*AE96)),IF((F96/10000*G96*$M$2)&gt;F96*$M$1,F96*$M$1,(F96/10000*G96*$M$2)))</f>
        <v>1246.15384615385</v>
      </c>
      <c r="Q96" s="61" t="n">
        <f aca="false">MAX(I96,N96)</f>
        <v>0</v>
      </c>
      <c r="R96" s="61" t="n">
        <f aca="false">MIN(I96,N96)</f>
        <v>0</v>
      </c>
      <c r="S96" s="62" t="n">
        <f aca="false">F96/10000</f>
        <v>3.24</v>
      </c>
      <c r="T96" s="62" t="n">
        <f aca="false">ROUNDUP(S96,0)</f>
        <v>4</v>
      </c>
      <c r="U96" s="44" t="s">
        <v>40</v>
      </c>
      <c r="V96" s="44" t="n">
        <f aca="false">F96</f>
        <v>32400</v>
      </c>
      <c r="Y96" s="45" t="n">
        <f aca="false">(W96+X96)</f>
        <v>0</v>
      </c>
      <c r="AC96" s="46" t="s">
        <v>419</v>
      </c>
      <c r="AD96" s="47" t="n">
        <v>36402</v>
      </c>
      <c r="AE96" s="63" t="n">
        <f aca="false">ROUNDUP(DAYS360(AD96,$AE$3)/365,0)</f>
        <v>2</v>
      </c>
      <c r="AF96" s="62" t="n">
        <f aca="false">(G96*AE96)+(G96*T96)</f>
        <v>3738.46153846154</v>
      </c>
      <c r="AG96" s="62" t="n">
        <f aca="false">26*G96</f>
        <v>16200</v>
      </c>
      <c r="AH96" s="62" t="n">
        <f aca="false">G96*52</f>
        <v>32400</v>
      </c>
      <c r="AI96" s="62" t="n">
        <f aca="false">AF96*2</f>
        <v>7476.92307692308</v>
      </c>
      <c r="AJ96" s="62"/>
      <c r="AL96" s="43" t="n">
        <f aca="false">IF(AC96="N",V96,0)</f>
        <v>32400</v>
      </c>
      <c r="AM96" s="43" t="n">
        <f aca="false">IF(AL96&gt;0,1,0)</f>
        <v>1</v>
      </c>
    </row>
    <row r="97" customFormat="false" ht="12.75" hidden="false" customHeight="false" outlineLevel="0" collapsed="false">
      <c r="A97" s="83"/>
      <c r="B97" s="43" t="s">
        <v>135</v>
      </c>
      <c r="D97" s="43" t="s">
        <v>136</v>
      </c>
      <c r="F97" s="48" t="n">
        <v>81648</v>
      </c>
      <c r="G97" s="48" t="n">
        <f aca="false">F97/52</f>
        <v>1570.15384615385</v>
      </c>
      <c r="H97" s="61" t="n">
        <f aca="false">IF(AC97="N",IF(F97&lt;$G$3,$F$3*G97*AE97,IF(F97&lt;$G$2,$F$2*G97*AE97,$F$1*G97*AE97)),0)</f>
        <v>0</v>
      </c>
      <c r="I97" s="61" t="n">
        <f aca="false">IF(AC97="Y",(IF(F97&lt;$G$3,$F$3*G97*AE97,IF(F97&lt;$G$2,$F$2*G97*AE97,$F$1*G97*AE97))*$L$2),0)</f>
        <v>61236</v>
      </c>
      <c r="J97" s="61"/>
      <c r="K97" s="61" t="n">
        <f aca="false">IF(AC97="N",(MIN((($F$3*G97*AE97+ROUNDUP((F97/10000),0)*G97)*2),F97)),0)</f>
        <v>0</v>
      </c>
      <c r="L97" s="61" t="n">
        <f aca="false">IF(AC97="Y",(MIN((($F$3*G97*AE97+ROUNDUP((F97/10000),0)*G97)*2),F97))*$L$2,0)</f>
        <v>103630.153846154</v>
      </c>
      <c r="M97" s="61" t="n">
        <f aca="false">IF(AC97="N",IF((F97/10000*G97*$M$2)&gt;F97*$M$1,F97*$M$1,(F97/10000*G97*$M$2)),0)</f>
        <v>0</v>
      </c>
      <c r="N97" s="61" t="n">
        <f aca="false">IF(AC97="Y",(IF((F97/10000*G97*$M$2)&gt;F97*$M$1,F97*$M$1,(F97/10000*G97*$M$2)))*$L$2,0)</f>
        <v>38459.9763692308</v>
      </c>
      <c r="O97" s="61" t="n">
        <f aca="false">MAX(IF(F97&lt;$G$3,$F$3*G97*AE97,IF(F97&lt;$G$2,$F$2*G97*AE97,$F$1*G97*AE97)),IF((F97/10000*G97*$M$2)&gt;F97*$M$1,F97*$M$1,(F97/10000*G97*$M$2)))</f>
        <v>40824</v>
      </c>
      <c r="P97" s="61" t="n">
        <f aca="false">MIN(IF(F97&lt;$G$3,$F$3*G97*AE97,IF(F97&lt;$G$2,$F$2*G97*AE97,$F$1*G97*AE97)),IF((F97/10000*G97*$M$2)&gt;F97*$M$1,F97*$M$1,(F97/10000*G97*$M$2)))</f>
        <v>25639.9842461538</v>
      </c>
      <c r="Q97" s="61" t="n">
        <f aca="false">MAX(I97,N97)</f>
        <v>61236</v>
      </c>
      <c r="R97" s="61" t="n">
        <f aca="false">MIN(I97,N97)</f>
        <v>38459.9763692308</v>
      </c>
      <c r="S97" s="62" t="n">
        <f aca="false">F97/10000</f>
        <v>8.1648</v>
      </c>
      <c r="T97" s="62" t="n">
        <f aca="false">ROUNDUP(S97,0)</f>
        <v>9</v>
      </c>
      <c r="U97" s="44" t="s">
        <v>40</v>
      </c>
      <c r="V97" s="44" t="n">
        <f aca="false">F97</f>
        <v>81648</v>
      </c>
      <c r="W97" s="45" t="n">
        <v>12000</v>
      </c>
      <c r="Y97" s="45" t="n">
        <v>12000</v>
      </c>
      <c r="AC97" s="46" t="s">
        <v>420</v>
      </c>
      <c r="AD97" s="47" t="n">
        <v>32272</v>
      </c>
      <c r="AE97" s="63" t="n">
        <f aca="false">ROUNDUP(DAYS360(AD97,$AE$3)/365,0)</f>
        <v>13</v>
      </c>
      <c r="AL97" s="43" t="n">
        <f aca="false">IF(AC97="N",V97,0)</f>
        <v>0</v>
      </c>
      <c r="AM97" s="43" t="n">
        <f aca="false">IF(AL97&gt;0,1,0)</f>
        <v>0</v>
      </c>
    </row>
    <row r="98" customFormat="false" ht="12.75" hidden="false" customHeight="false" outlineLevel="0" collapsed="false">
      <c r="A98" s="83"/>
      <c r="B98" s="66" t="s">
        <v>43</v>
      </c>
      <c r="C98" s="66"/>
      <c r="D98" s="66" t="s">
        <v>44</v>
      </c>
      <c r="E98" s="66"/>
      <c r="F98" s="67" t="n">
        <v>450000</v>
      </c>
      <c r="G98" s="67" t="n">
        <f aca="false">F98/52</f>
        <v>8653.84615384615</v>
      </c>
      <c r="H98" s="69"/>
      <c r="I98" s="69"/>
      <c r="J98" s="69"/>
      <c r="K98" s="61"/>
      <c r="L98" s="61"/>
      <c r="M98" s="69"/>
      <c r="N98" s="69"/>
      <c r="O98" s="69"/>
      <c r="P98" s="69"/>
      <c r="Q98" s="61" t="n">
        <f aca="false">MAX(I98,N98)</f>
        <v>0</v>
      </c>
      <c r="R98" s="61" t="n">
        <f aca="false">MIN(I98,N98)</f>
        <v>0</v>
      </c>
      <c r="S98" s="70" t="n">
        <f aca="false">F98/10000</f>
        <v>45</v>
      </c>
      <c r="T98" s="70" t="n">
        <f aca="false">ROUNDUP(S98,0)</f>
        <v>45</v>
      </c>
      <c r="U98" s="71" t="s">
        <v>40</v>
      </c>
      <c r="V98" s="71" t="n">
        <f aca="false">F98</f>
        <v>450000</v>
      </c>
      <c r="W98" s="72" t="n">
        <v>505000</v>
      </c>
      <c r="X98" s="72"/>
      <c r="Y98" s="72" t="n">
        <f aca="false">(W98+X98)</f>
        <v>505000</v>
      </c>
      <c r="Z98" s="73"/>
      <c r="AA98" s="73"/>
      <c r="AB98" s="73"/>
      <c r="AC98" s="73" t="s">
        <v>420</v>
      </c>
      <c r="AD98" s="59" t="n">
        <v>31826</v>
      </c>
      <c r="AE98" s="75" t="n">
        <f aca="false">ROUNDUP(DAYS360(AD98,$AE$3)/365,0)</f>
        <v>15</v>
      </c>
      <c r="AF98" s="73"/>
      <c r="AG98" s="73"/>
      <c r="AH98" s="73"/>
      <c r="AI98" s="73"/>
      <c r="AJ98" s="73"/>
      <c r="AK98" s="66"/>
      <c r="AL98" s="12" t="n">
        <f aca="false">IF(AC98="N",V98,0)</f>
        <v>0</v>
      </c>
      <c r="AM98" s="12" t="n">
        <f aca="false">IF(AL98&gt;0,1,0)</f>
        <v>0</v>
      </c>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c r="EO98" s="66"/>
      <c r="EP98" s="66"/>
      <c r="EQ98" s="66"/>
      <c r="ER98" s="66"/>
      <c r="ES98" s="66"/>
      <c r="ET98" s="66"/>
      <c r="EU98" s="66"/>
      <c r="EV98" s="66"/>
      <c r="EW98" s="66"/>
      <c r="EX98" s="66"/>
      <c r="EY98" s="66"/>
      <c r="EZ98" s="66"/>
      <c r="FA98" s="66"/>
      <c r="FB98" s="66"/>
      <c r="FC98" s="66"/>
      <c r="FD98" s="66"/>
      <c r="FE98" s="66"/>
      <c r="FF98" s="66"/>
      <c r="FG98" s="66"/>
      <c r="FH98" s="66"/>
      <c r="FI98" s="66"/>
      <c r="FJ98" s="66"/>
      <c r="FK98" s="66"/>
      <c r="FL98" s="66"/>
      <c r="FM98" s="66"/>
      <c r="FN98" s="66"/>
      <c r="FO98" s="66"/>
      <c r="FP98" s="66"/>
      <c r="FQ98" s="66"/>
      <c r="FR98" s="66"/>
      <c r="FS98" s="66"/>
      <c r="FT98" s="66"/>
      <c r="FU98" s="66"/>
      <c r="FV98" s="66"/>
      <c r="FW98" s="66"/>
      <c r="FX98" s="66"/>
      <c r="FY98" s="66"/>
      <c r="FZ98" s="66"/>
      <c r="GA98" s="66"/>
      <c r="GB98" s="66"/>
      <c r="GC98" s="66"/>
      <c r="GD98" s="66"/>
      <c r="GE98" s="66"/>
      <c r="GF98" s="66"/>
      <c r="GG98" s="66"/>
      <c r="GH98" s="66"/>
      <c r="GI98" s="66"/>
      <c r="GJ98" s="66"/>
      <c r="GK98" s="66"/>
      <c r="GL98" s="66"/>
      <c r="GM98" s="66"/>
      <c r="GN98" s="66"/>
      <c r="GO98" s="66"/>
      <c r="GP98" s="66"/>
      <c r="GQ98" s="66"/>
      <c r="GR98" s="66"/>
      <c r="GS98" s="66"/>
      <c r="GT98" s="66"/>
      <c r="GU98" s="66"/>
      <c r="GV98" s="66"/>
      <c r="GW98" s="66"/>
      <c r="GX98" s="66"/>
      <c r="GY98" s="66"/>
      <c r="GZ98" s="66"/>
      <c r="HA98" s="66"/>
      <c r="HB98" s="66"/>
      <c r="HC98" s="66"/>
      <c r="HD98" s="66"/>
      <c r="HE98" s="66"/>
      <c r="HF98" s="66"/>
      <c r="HG98" s="66"/>
      <c r="HH98" s="66"/>
      <c r="HI98" s="66"/>
      <c r="HJ98" s="66"/>
      <c r="HK98" s="66"/>
      <c r="HL98" s="66"/>
      <c r="HM98" s="66"/>
      <c r="HN98" s="66"/>
      <c r="HO98" s="66"/>
      <c r="HP98" s="66"/>
      <c r="HQ98" s="66"/>
      <c r="HR98" s="66"/>
      <c r="HS98" s="66"/>
      <c r="HT98" s="66"/>
      <c r="HU98" s="66"/>
      <c r="HV98" s="66"/>
      <c r="HW98" s="66"/>
      <c r="HX98" s="66"/>
      <c r="HY98" s="66"/>
      <c r="HZ98" s="66"/>
      <c r="IA98" s="66"/>
      <c r="IB98" s="66"/>
      <c r="IC98" s="66"/>
      <c r="ID98" s="66"/>
      <c r="IE98" s="66"/>
      <c r="IF98" s="66"/>
      <c r="IG98" s="66"/>
      <c r="IH98" s="66"/>
      <c r="II98" s="66"/>
      <c r="IJ98" s="66"/>
      <c r="IK98" s="66"/>
      <c r="IL98" s="66"/>
      <c r="IM98" s="66"/>
      <c r="IN98" s="66"/>
      <c r="IO98" s="66"/>
      <c r="IP98" s="66"/>
      <c r="IQ98" s="66"/>
      <c r="IR98" s="66"/>
      <c r="IS98" s="66"/>
      <c r="IT98" s="66"/>
      <c r="IU98" s="66"/>
      <c r="IV98" s="66"/>
      <c r="IW98" s="66"/>
    </row>
    <row r="99" customFormat="false" ht="12.75" hidden="false" customHeight="false" outlineLevel="0" collapsed="false">
      <c r="A99" s="83"/>
      <c r="B99" s="43" t="s">
        <v>309</v>
      </c>
      <c r="D99" s="43" t="s">
        <v>310</v>
      </c>
      <c r="F99" s="48" t="n">
        <v>86400</v>
      </c>
      <c r="G99" s="48" t="n">
        <f aca="false">F99/52</f>
        <v>1661.53846153846</v>
      </c>
      <c r="H99" s="61" t="n">
        <f aca="false">IF(AC99="N",IF(F99&lt;$G$3,$F$3*G99*AE99,IF(F99&lt;$G$2,$F$2*G99*AE99,$F$1*G99*AE99)),0)</f>
        <v>46523.0769230769</v>
      </c>
      <c r="I99" s="61" t="n">
        <f aca="false">IF(AC99="Y",(IF(F99&lt;$G$3,$F$3*G99*AE99,IF(F99&lt;$G$2,$F$2*G99*AE99,$F$1*G99*AE99))*$L$2),0)</f>
        <v>0</v>
      </c>
      <c r="J99" s="61"/>
      <c r="K99" s="61" t="n">
        <f aca="false">IF(AC99="N",(MIN((($F$3*G99*AE99+ROUNDUP((F99/10000),0)*G99)*2),F99)),0)</f>
        <v>76430.7692307692</v>
      </c>
      <c r="L99" s="61" t="n">
        <f aca="false">IF(AC99="Y",(MIN((($F$3*G99*AE99+ROUNDUP((F99/10000),0)*G99)*2),F99))*$L$2,0)</f>
        <v>0</v>
      </c>
      <c r="M99" s="61" t="n">
        <f aca="false">IF(AC99="N",IF((F99/10000*G99*$M$2)&gt;F99*$M$1,F99*$M$1,(F99/10000*G99*$M$2)),0)</f>
        <v>28711.3846153846</v>
      </c>
      <c r="N99" s="61" t="n">
        <f aca="false">IF(AC99="Y",(IF((F99/10000*G99*$M$2)&gt;F99*$M$1,F99*$M$1,(F99/10000*G99*$M$2)))*$L$2,0)</f>
        <v>0</v>
      </c>
      <c r="O99" s="61" t="n">
        <f aca="false">MAX(IF(F99&lt;$G$3,$F$3*G99*AE99,IF(F99&lt;$G$2,$F$2*G99*AE99,$F$1*G99*AE99)),IF((F99/10000*G99*$M$2)&gt;F99*$M$1,F99*$M$1,(F99/10000*G99*$M$2)))</f>
        <v>46523.0769230769</v>
      </c>
      <c r="P99" s="61" t="n">
        <f aca="false">MIN(IF(F99&lt;$G$3,$F$3*G99*AE99,IF(F99&lt;$G$2,$F$2*G99*AE99,$F$1*G99*AE99)),IF((F99/10000*G99*$M$2)&gt;F99*$M$1,F99*$M$1,(F99/10000*G99*$M$2)))</f>
        <v>28711.3846153846</v>
      </c>
      <c r="Q99" s="61" t="n">
        <f aca="false">MAX(I99,N99)</f>
        <v>0</v>
      </c>
      <c r="R99" s="61" t="n">
        <f aca="false">MIN(I99,N99)</f>
        <v>0</v>
      </c>
      <c r="S99" s="62" t="n">
        <f aca="false">F99/10000</f>
        <v>8.64</v>
      </c>
      <c r="T99" s="62" t="n">
        <f aca="false">ROUNDUP(S99,0)</f>
        <v>9</v>
      </c>
      <c r="U99" s="44" t="s">
        <v>40</v>
      </c>
      <c r="V99" s="44" t="n">
        <f aca="false">F99</f>
        <v>86400</v>
      </c>
      <c r="Y99" s="45" t="n">
        <f aca="false">(W99+X99)</f>
        <v>0</v>
      </c>
      <c r="AC99" s="46" t="s">
        <v>419</v>
      </c>
      <c r="AD99" s="47" t="n">
        <v>32223</v>
      </c>
      <c r="AE99" s="63" t="n">
        <f aca="false">ROUNDUP(DAYS360(AD99,$AE$3)/365,0)</f>
        <v>14</v>
      </c>
      <c r="AF99" s="62" t="n">
        <f aca="false">(G99*AE99)+(G99*T99)</f>
        <v>38215.3846153846</v>
      </c>
      <c r="AG99" s="62" t="n">
        <f aca="false">26*G99</f>
        <v>43200</v>
      </c>
      <c r="AH99" s="62" t="n">
        <f aca="false">G99*52</f>
        <v>86400</v>
      </c>
      <c r="AI99" s="62" t="n">
        <f aca="false">AF99*2</f>
        <v>76430.7692307692</v>
      </c>
      <c r="AJ99" s="62"/>
      <c r="AL99" s="43" t="n">
        <f aca="false">IF(AC99="N",V99,0)</f>
        <v>86400</v>
      </c>
      <c r="AM99" s="43" t="n">
        <f aca="false">IF(AL99&gt;0,1,0)</f>
        <v>1</v>
      </c>
    </row>
    <row r="100" customFormat="false" ht="12.75" hidden="false" customHeight="false" outlineLevel="0" collapsed="false">
      <c r="A100" s="83"/>
      <c r="B100" s="43" t="s">
        <v>329</v>
      </c>
      <c r="D100" s="43" t="s">
        <v>226</v>
      </c>
      <c r="F100" s="48" t="n">
        <v>58320</v>
      </c>
      <c r="G100" s="48" t="n">
        <f aca="false">F100/52</f>
        <v>1121.53846153846</v>
      </c>
      <c r="H100" s="61" t="n">
        <f aca="false">IF(AC100="N",IF(F100&lt;$G$3,$F$3*G100*AE100,IF(F100&lt;$G$2,$F$2*G100*AE100,$F$1*G100*AE100)),0)</f>
        <v>22430.7692307692</v>
      </c>
      <c r="I100" s="61" t="n">
        <f aca="false">IF(AC100="Y",(IF(F100&lt;$G$3,$F$3*G100*AE100,IF(F100&lt;$G$2,$F$2*G100*AE100,$F$1*G100*AE100))*$L$2),0)</f>
        <v>0</v>
      </c>
      <c r="J100" s="61"/>
      <c r="K100" s="61" t="n">
        <f aca="false">IF(AC100="N",(MIN((($F$3*G100*AE100+ROUNDUP((F100/10000),0)*G100)*2),F100)),0)</f>
        <v>35889.2307692308</v>
      </c>
      <c r="L100" s="61" t="n">
        <f aca="false">IF(AC100="Y",(MIN((($F$3*G100*AE100+ROUNDUP((F100/10000),0)*G100)*2),F100))*$L$2,0)</f>
        <v>0</v>
      </c>
      <c r="M100" s="61" t="n">
        <f aca="false">IF(AC100="N",IF((F100/10000*G100*$M$2)&gt;F100*$M$1,F100*$M$1,(F100/10000*G100*$M$2)),0)</f>
        <v>13081.6246153846</v>
      </c>
      <c r="N100" s="61" t="n">
        <f aca="false">IF(AC100="Y",(IF((F100/10000*G100*$M$2)&gt;F100*$M$1,F100*$M$1,(F100/10000*G100*$M$2)))*$L$2,0)</f>
        <v>0</v>
      </c>
      <c r="O100" s="61" t="n">
        <f aca="false">MAX(IF(F100&lt;$G$3,$F$3*G100*AE100,IF(F100&lt;$G$2,$F$2*G100*AE100,$F$1*G100*AE100)),IF((F100/10000*G100*$M$2)&gt;F100*$M$1,F100*$M$1,(F100/10000*G100*$M$2)))</f>
        <v>22430.7692307692</v>
      </c>
      <c r="P100" s="61" t="n">
        <f aca="false">MIN(IF(F100&lt;$G$3,$F$3*G100*AE100,IF(F100&lt;$G$2,$F$2*G100*AE100,$F$1*G100*AE100)),IF((F100/10000*G100*$M$2)&gt;F100*$M$1,F100*$M$1,(F100/10000*G100*$M$2)))</f>
        <v>13081.6246153846</v>
      </c>
      <c r="Q100" s="61" t="n">
        <f aca="false">MAX(I100,N100)</f>
        <v>0</v>
      </c>
      <c r="R100" s="61" t="n">
        <f aca="false">MIN(I100,N100)</f>
        <v>0</v>
      </c>
      <c r="S100" s="62" t="n">
        <f aca="false">F100/10000</f>
        <v>5.832</v>
      </c>
      <c r="T100" s="62" t="n">
        <f aca="false">ROUNDUP(S100,0)</f>
        <v>6</v>
      </c>
      <c r="U100" s="44" t="s">
        <v>40</v>
      </c>
      <c r="V100" s="44" t="n">
        <f aca="false">F100</f>
        <v>58320</v>
      </c>
      <c r="Y100" s="45" t="n">
        <f aca="false">(W100+X100)</f>
        <v>0</v>
      </c>
      <c r="AC100" s="46" t="s">
        <v>419</v>
      </c>
      <c r="AD100" s="47" t="n">
        <v>33735</v>
      </c>
      <c r="AE100" s="63" t="n">
        <f aca="false">ROUNDUP(DAYS360(AD100,$AE$3)/365,0)</f>
        <v>10</v>
      </c>
      <c r="AF100" s="62" t="n">
        <f aca="false">(G100*AE100)+(G100*T100)</f>
        <v>17944.6153846154</v>
      </c>
      <c r="AG100" s="62" t="n">
        <f aca="false">26*G100</f>
        <v>29160</v>
      </c>
      <c r="AH100" s="62" t="n">
        <f aca="false">G100*52</f>
        <v>58320</v>
      </c>
      <c r="AI100" s="62" t="n">
        <f aca="false">AF100*2</f>
        <v>35889.2307692308</v>
      </c>
      <c r="AJ100" s="62"/>
      <c r="AL100" s="43" t="n">
        <f aca="false">IF(AC100="N",V100,0)</f>
        <v>58320</v>
      </c>
      <c r="AM100" s="43" t="n">
        <f aca="false">IF(AL100&gt;0,1,0)</f>
        <v>1</v>
      </c>
    </row>
    <row r="101" customFormat="false" ht="12.75" hidden="false" customHeight="false" outlineLevel="0" collapsed="false">
      <c r="A101" s="83"/>
      <c r="B101" s="43" t="s">
        <v>306</v>
      </c>
      <c r="D101" s="43" t="s">
        <v>122</v>
      </c>
      <c r="F101" s="48" t="n">
        <v>93312</v>
      </c>
      <c r="G101" s="48" t="n">
        <f aca="false">F101/52</f>
        <v>1794.46153846154</v>
      </c>
      <c r="H101" s="61" t="n">
        <f aca="false">IF(AC101="N",IF(F101&lt;$G$3,$F$3*G101*AE101,IF(F101&lt;$G$2,$F$2*G101*AE101,$F$1*G101*AE101)),0)</f>
        <v>53833.8461538462</v>
      </c>
      <c r="I101" s="61" t="n">
        <f aca="false">IF(AC101="Y",(IF(F101&lt;$G$3,$F$3*G101*AE101,IF(F101&lt;$G$2,$F$2*G101*AE101,$F$1*G101*AE101))*$L$2),0)</f>
        <v>0</v>
      </c>
      <c r="J101" s="61"/>
      <c r="K101" s="61" t="n">
        <f aca="false">IF(AC101="N",(MIN((($F$3*G101*AE101+ROUNDUP((F101/10000),0)*G101)*2),F101)),0)</f>
        <v>89723.0769230769</v>
      </c>
      <c r="L101" s="61" t="n">
        <f aca="false">IF(AC101="Y",(MIN((($F$3*G101*AE101+ROUNDUP((F101/10000),0)*G101)*2),F101))*$L$2,0)</f>
        <v>0</v>
      </c>
      <c r="M101" s="61" t="n">
        <f aca="false">IF(AC101="N",IF((F101/10000*G101*$M$2)&gt;F101*$M$1,F101*$M$1,(F101/10000*G101*$M$2)),0)</f>
        <v>33488.9590153846</v>
      </c>
      <c r="N101" s="61" t="n">
        <f aca="false">IF(AC101="Y",(IF((F101/10000*G101*$M$2)&gt;F101*$M$1,F101*$M$1,(F101/10000*G101*$M$2)))*$L$2,0)</f>
        <v>0</v>
      </c>
      <c r="O101" s="61" t="n">
        <f aca="false">MAX(IF(F101&lt;$G$3,$F$3*G101*AE101,IF(F101&lt;$G$2,$F$2*G101*AE101,$F$1*G101*AE101)),IF((F101/10000*G101*$M$2)&gt;F101*$M$1,F101*$M$1,(F101/10000*G101*$M$2)))</f>
        <v>53833.8461538462</v>
      </c>
      <c r="P101" s="61" t="n">
        <f aca="false">MIN(IF(F101&lt;$G$3,$F$3*G101*AE101,IF(F101&lt;$G$2,$F$2*G101*AE101,$F$1*G101*AE101)),IF((F101/10000*G101*$M$2)&gt;F101*$M$1,F101*$M$1,(F101/10000*G101*$M$2)))</f>
        <v>33488.9590153846</v>
      </c>
      <c r="Q101" s="61" t="n">
        <f aca="false">MAX(I101,N101)</f>
        <v>0</v>
      </c>
      <c r="R101" s="61" t="n">
        <f aca="false">MIN(I101,N101)</f>
        <v>0</v>
      </c>
      <c r="S101" s="62" t="n">
        <f aca="false">F101/10000</f>
        <v>9.3312</v>
      </c>
      <c r="T101" s="62" t="n">
        <f aca="false">ROUNDUP(S101,0)</f>
        <v>10</v>
      </c>
      <c r="U101" s="44" t="s">
        <v>40</v>
      </c>
      <c r="V101" s="44" t="n">
        <f aca="false">F101</f>
        <v>93312</v>
      </c>
      <c r="Y101" s="45" t="n">
        <f aca="false">(W101+X101)</f>
        <v>0</v>
      </c>
      <c r="AC101" s="46" t="s">
        <v>419</v>
      </c>
      <c r="AD101" s="47" t="n">
        <v>31523</v>
      </c>
      <c r="AE101" s="63" t="n">
        <f aca="false">ROUNDUP(DAYS360(AD101,$AE$3)/365,0)</f>
        <v>15</v>
      </c>
      <c r="AF101" s="62" t="n">
        <f aca="false">(G101*AE101)+(G101*T101)</f>
        <v>44861.5384615385</v>
      </c>
      <c r="AG101" s="62" t="n">
        <f aca="false">26*G101</f>
        <v>46656</v>
      </c>
      <c r="AH101" s="62" t="n">
        <f aca="false">G101*52</f>
        <v>93312</v>
      </c>
      <c r="AI101" s="62" t="n">
        <f aca="false">AF101*2</f>
        <v>89723.0769230769</v>
      </c>
      <c r="AJ101" s="62"/>
      <c r="AL101" s="43" t="n">
        <f aca="false">IF(AC101="N",V101,0)</f>
        <v>93312</v>
      </c>
      <c r="AM101" s="43" t="n">
        <f aca="false">IF(AL101&gt;0,1,0)</f>
        <v>1</v>
      </c>
    </row>
    <row r="102" customFormat="false" ht="12.75" hidden="false" customHeight="false" outlineLevel="0" collapsed="false">
      <c r="A102" s="83"/>
      <c r="B102" s="43" t="s">
        <v>327</v>
      </c>
      <c r="D102" s="43" t="s">
        <v>328</v>
      </c>
      <c r="F102" s="48" t="n">
        <v>58320</v>
      </c>
      <c r="G102" s="48" t="n">
        <f aca="false">F102/52</f>
        <v>1121.53846153846</v>
      </c>
      <c r="H102" s="61" t="n">
        <f aca="false">IF(AC102="N",IF(F102&lt;$G$3,$F$3*G102*AE102,IF(F102&lt;$G$2,$F$2*G102*AE102,$F$1*G102*AE102)),0)</f>
        <v>24673.8461538462</v>
      </c>
      <c r="I102" s="61" t="n">
        <f aca="false">IF(AC102="Y",(IF(F102&lt;$G$3,$F$3*G102*AE102,IF(F102&lt;$G$2,$F$2*G102*AE102,$F$1*G102*AE102))*$L$2),0)</f>
        <v>0</v>
      </c>
      <c r="J102" s="61"/>
      <c r="K102" s="61" t="n">
        <f aca="false">IF(AC102="N",(MIN((($F$3*G102*AE102+ROUNDUP((F102/10000),0)*G102)*2),F102)),0)</f>
        <v>38132.3076923077</v>
      </c>
      <c r="L102" s="61" t="n">
        <f aca="false">IF(AC102="Y",(MIN((($F$3*G102*AE102+ROUNDUP((F102/10000),0)*G102)*2),F102))*$L$2,0)</f>
        <v>0</v>
      </c>
      <c r="M102" s="61" t="n">
        <f aca="false">IF(AC102="N",IF((F102/10000*G102*$M$2)&gt;F102*$M$1,F102*$M$1,(F102/10000*G102*$M$2)),0)</f>
        <v>13081.6246153846</v>
      </c>
      <c r="N102" s="61" t="n">
        <f aca="false">IF(AC102="Y",(IF((F102/10000*G102*$M$2)&gt;F102*$M$1,F102*$M$1,(F102/10000*G102*$M$2)))*$L$2,0)</f>
        <v>0</v>
      </c>
      <c r="O102" s="61" t="n">
        <f aca="false">MAX(IF(F102&lt;$G$3,$F$3*G102*AE102,IF(F102&lt;$G$2,$F$2*G102*AE102,$F$1*G102*AE102)),IF((F102/10000*G102*$M$2)&gt;F102*$M$1,F102*$M$1,(F102/10000*G102*$M$2)))</f>
        <v>24673.8461538462</v>
      </c>
      <c r="P102" s="61" t="n">
        <f aca="false">MIN(IF(F102&lt;$G$3,$F$3*G102*AE102,IF(F102&lt;$G$2,$F$2*G102*AE102,$F$1*G102*AE102)),IF((F102/10000*G102*$M$2)&gt;F102*$M$1,F102*$M$1,(F102/10000*G102*$M$2)))</f>
        <v>13081.6246153846</v>
      </c>
      <c r="Q102" s="61" t="n">
        <f aca="false">MAX(I102,N102)</f>
        <v>0</v>
      </c>
      <c r="R102" s="61" t="n">
        <f aca="false">MIN(I102,N102)</f>
        <v>0</v>
      </c>
      <c r="S102" s="62" t="n">
        <f aca="false">F102/10000</f>
        <v>5.832</v>
      </c>
      <c r="T102" s="62" t="n">
        <f aca="false">ROUNDUP(S102,0)</f>
        <v>6</v>
      </c>
      <c r="U102" s="44" t="s">
        <v>40</v>
      </c>
      <c r="V102" s="44" t="n">
        <f aca="false">F102</f>
        <v>58320</v>
      </c>
      <c r="Y102" s="45" t="n">
        <f aca="false">(W102+X102)</f>
        <v>0</v>
      </c>
      <c r="AC102" s="46" t="s">
        <v>419</v>
      </c>
      <c r="AD102" s="47" t="n">
        <v>33133</v>
      </c>
      <c r="AE102" s="63" t="n">
        <f aca="false">ROUNDUP(DAYS360(AD102,$AE$3)/365,0)</f>
        <v>11</v>
      </c>
      <c r="AF102" s="62" t="n">
        <f aca="false">(G102*AE102)+(G102*T102)</f>
        <v>19066.1538461538</v>
      </c>
      <c r="AG102" s="62" t="n">
        <f aca="false">26*G102</f>
        <v>29160</v>
      </c>
      <c r="AH102" s="62" t="n">
        <f aca="false">G102*52</f>
        <v>58320</v>
      </c>
      <c r="AI102" s="62" t="n">
        <f aca="false">AF102*2</f>
        <v>38132.3076923077</v>
      </c>
      <c r="AJ102" s="62"/>
      <c r="AL102" s="43" t="n">
        <f aca="false">IF(AC102="N",V102,0)</f>
        <v>58320</v>
      </c>
      <c r="AM102" s="43" t="n">
        <f aca="false">IF(AL102&gt;0,1,0)</f>
        <v>1</v>
      </c>
    </row>
    <row r="103" customFormat="false" ht="12.75" hidden="false" customHeight="false" outlineLevel="0" collapsed="false">
      <c r="A103" s="83"/>
      <c r="B103" s="43" t="s">
        <v>373</v>
      </c>
      <c r="D103" s="43" t="s">
        <v>236</v>
      </c>
      <c r="F103" s="48" t="n">
        <v>28080</v>
      </c>
      <c r="G103" s="48" t="n">
        <f aca="false">F103/52</f>
        <v>540</v>
      </c>
      <c r="H103" s="61" t="n">
        <f aca="false">IF(AC103="N",IF(F103&lt;$G$3,$F$3*G103*AE103,IF(F103&lt;$G$2,$F$2*G103*AE103,$F$1*G103*AE103)),0)</f>
        <v>1080</v>
      </c>
      <c r="I103" s="61" t="n">
        <f aca="false">IF(AC103="Y",(IF(F103&lt;$G$3,$F$3*G103*AE103,IF(F103&lt;$G$2,$F$2*G103*AE103,$F$1*G103*AE103))*$L$2),0)</f>
        <v>0</v>
      </c>
      <c r="J103" s="61"/>
      <c r="K103" s="61" t="n">
        <f aca="false">IF(AC103="N",(MIN((($F$3*G103*AE103+ROUNDUP((F103/10000),0)*G103)*2),F103)),0)</f>
        <v>5400</v>
      </c>
      <c r="L103" s="61" t="n">
        <f aca="false">IF(AC103="Y",(MIN((($F$3*G103*AE103+ROUNDUP((F103/10000),0)*G103)*2),F103))*$L$2,0)</f>
        <v>0</v>
      </c>
      <c r="M103" s="61" t="n">
        <f aca="false">IF(AC103="N",IF((F103/10000*G103*$M$2)&gt;F103*$M$1,F103*$M$1,(F103/10000*G103*$M$2)),0)</f>
        <v>3032.64</v>
      </c>
      <c r="N103" s="61" t="n">
        <f aca="false">IF(AC103="Y",(IF((F103/10000*G103*$M$2)&gt;F103*$M$1,F103*$M$1,(F103/10000*G103*$M$2)))*$L$2,0)</f>
        <v>0</v>
      </c>
      <c r="O103" s="61" t="n">
        <f aca="false">MAX(IF(F103&lt;$G$3,$F$3*G103*AE103,IF(F103&lt;$G$2,$F$2*G103*AE103,$F$1*G103*AE103)),IF((F103/10000*G103*$M$2)&gt;F103*$M$1,F103*$M$1,(F103/10000*G103*$M$2)))</f>
        <v>3032.64</v>
      </c>
      <c r="P103" s="61" t="n">
        <f aca="false">MIN(IF(F103&lt;$G$3,$F$3*G103*AE103,IF(F103&lt;$G$2,$F$2*G103*AE103,$F$1*G103*AE103)),IF((F103/10000*G103*$M$2)&gt;F103*$M$1,F103*$M$1,(F103/10000*G103*$M$2)))</f>
        <v>1080</v>
      </c>
      <c r="Q103" s="61" t="n">
        <f aca="false">MAX(I103,N103)</f>
        <v>0</v>
      </c>
      <c r="R103" s="61" t="n">
        <f aca="false">MIN(I103,N103)</f>
        <v>0</v>
      </c>
      <c r="S103" s="62" t="n">
        <f aca="false">F103/10000</f>
        <v>2.808</v>
      </c>
      <c r="T103" s="62" t="n">
        <f aca="false">ROUNDUP(S103,0)</f>
        <v>3</v>
      </c>
      <c r="U103" s="44" t="s">
        <v>40</v>
      </c>
      <c r="V103" s="44" t="n">
        <f aca="false">F103</f>
        <v>28080</v>
      </c>
      <c r="Y103" s="45" t="n">
        <f aca="false">(W103+X103)</f>
        <v>0</v>
      </c>
      <c r="AC103" s="46" t="s">
        <v>419</v>
      </c>
      <c r="AD103" s="47" t="n">
        <v>36347</v>
      </c>
      <c r="AE103" s="63" t="n">
        <f aca="false">ROUNDUP(DAYS360(AD103,$AE$3)/365,0)</f>
        <v>2</v>
      </c>
      <c r="AF103" s="62" t="n">
        <f aca="false">(G103*AE103)+(G103*T103)</f>
        <v>2700</v>
      </c>
      <c r="AG103" s="62" t="n">
        <f aca="false">26*G103</f>
        <v>14040</v>
      </c>
      <c r="AH103" s="62" t="n">
        <f aca="false">G103*52</f>
        <v>28080</v>
      </c>
      <c r="AI103" s="62" t="n">
        <f aca="false">AF103*2</f>
        <v>5400</v>
      </c>
      <c r="AJ103" s="62"/>
      <c r="AL103" s="43" t="n">
        <f aca="false">IF(AC103="N",V103,0)</f>
        <v>28080</v>
      </c>
      <c r="AM103" s="43" t="n">
        <f aca="false">IF(AL103&gt;0,1,0)</f>
        <v>1</v>
      </c>
    </row>
    <row r="104" customFormat="false" ht="12.75" hidden="false" customHeight="false" outlineLevel="0" collapsed="false">
      <c r="A104" s="83"/>
      <c r="B104" s="43" t="s">
        <v>148</v>
      </c>
      <c r="D104" s="43" t="s">
        <v>149</v>
      </c>
      <c r="F104" s="48" t="n">
        <v>75819</v>
      </c>
      <c r="G104" s="48" t="n">
        <f aca="false">F104/52</f>
        <v>1458.05769230769</v>
      </c>
      <c r="H104" s="61" t="n">
        <f aca="false">IF(AC104="N",IF(F104&lt;$G$3,$F$3*G104*AE104,IF(F104&lt;$G$2,$F$2*G104*AE104,$F$1*G104*AE104)),0)</f>
        <v>0</v>
      </c>
      <c r="I104" s="61" t="n">
        <f aca="false">IF(AC104="Y",(IF(F104&lt;$G$3,$F$3*G104*AE104,IF(F104&lt;$G$2,$F$2*G104*AE104,$F$1*G104*AE104))*$L$2),0)</f>
        <v>21870.8653846154</v>
      </c>
      <c r="J104" s="61"/>
      <c r="K104" s="61" t="n">
        <f aca="false">IF(AC104="N",(MIN((($F$3*G104*AE104+ROUNDUP((F104/10000),0)*G104)*2),F104)),0)</f>
        <v>0</v>
      </c>
      <c r="L104" s="61" t="n">
        <f aca="false">IF(AC104="Y",(MIN((($F$3*G104*AE104+ROUNDUP((F104/10000),0)*G104)*2),F104))*$L$2,0)</f>
        <v>56864.25</v>
      </c>
      <c r="M104" s="61" t="n">
        <f aca="false">IF(AC104="N",IF((F104/10000*G104*$M$2)&gt;F104*$M$1,F104*$M$1,(F104/10000*G104*$M$2)),0)</f>
        <v>0</v>
      </c>
      <c r="N104" s="61" t="n">
        <f aca="false">IF(AC104="Y",(IF((F104/10000*G104*$M$2)&gt;F104*$M$1,F104*$M$1,(F104/10000*G104*$M$2)))*$L$2,0)</f>
        <v>33164.5428519231</v>
      </c>
      <c r="O104" s="61" t="n">
        <f aca="false">MAX(IF(F104&lt;$G$3,$F$3*G104*AE104,IF(F104&lt;$G$2,$F$2*G104*AE104,$F$1*G104*AE104)),IF((F104/10000*G104*$M$2)&gt;F104*$M$1,F104*$M$1,(F104/10000*G104*$M$2)))</f>
        <v>22109.6952346154</v>
      </c>
      <c r="P104" s="61" t="n">
        <f aca="false">MIN(IF(F104&lt;$G$3,$F$3*G104*AE104,IF(F104&lt;$G$2,$F$2*G104*AE104,$F$1*G104*AE104)),IF((F104/10000*G104*$M$2)&gt;F104*$M$1,F104*$M$1,(F104/10000*G104*$M$2)))</f>
        <v>14580.5769230769</v>
      </c>
      <c r="Q104" s="61" t="n">
        <f aca="false">MAX(I104,N104)</f>
        <v>33164.5428519231</v>
      </c>
      <c r="R104" s="61" t="n">
        <f aca="false">MIN(I104,N104)</f>
        <v>21870.8653846154</v>
      </c>
      <c r="S104" s="62" t="n">
        <f aca="false">F104/10000</f>
        <v>7.5819</v>
      </c>
      <c r="T104" s="62" t="n">
        <f aca="false">ROUNDUP(S104,0)</f>
        <v>8</v>
      </c>
      <c r="U104" s="44" t="s">
        <v>40</v>
      </c>
      <c r="V104" s="44" t="n">
        <f aca="false">F104</f>
        <v>75819</v>
      </c>
      <c r="W104" s="45" t="n">
        <v>10000</v>
      </c>
      <c r="Y104" s="45" t="n">
        <v>10000</v>
      </c>
      <c r="AC104" s="46" t="s">
        <v>420</v>
      </c>
      <c r="AD104" s="47" t="n">
        <v>35548</v>
      </c>
      <c r="AE104" s="63" t="n">
        <f aca="false">ROUNDUP(DAYS360(AD104,$AE$3)/365,0)</f>
        <v>5</v>
      </c>
      <c r="AL104" s="43" t="n">
        <f aca="false">IF(AC104="N",V104,0)</f>
        <v>0</v>
      </c>
      <c r="AM104" s="43" t="n">
        <f aca="false">IF(AL104&gt;0,1,0)</f>
        <v>0</v>
      </c>
    </row>
    <row r="105" customFormat="false" ht="12.75" hidden="false" customHeight="false" outlineLevel="0" collapsed="false">
      <c r="A105" s="83"/>
      <c r="B105" s="43" t="s">
        <v>354</v>
      </c>
      <c r="D105" s="43" t="s">
        <v>355</v>
      </c>
      <c r="F105" s="48" t="n">
        <v>39917</v>
      </c>
      <c r="G105" s="48" t="n">
        <f aca="false">F105/52</f>
        <v>767.634615384615</v>
      </c>
      <c r="H105" s="61" t="n">
        <f aca="false">IF(AC105="N",IF(F105&lt;$G$3,$F$3*G105*AE105,IF(F105&lt;$G$2,$F$2*G105*AE105,$F$1*G105*AE105)),0)</f>
        <v>5373.44230769231</v>
      </c>
      <c r="I105" s="61" t="n">
        <f aca="false">IF(AC105="Y",(IF(F105&lt;$G$3,$F$3*G105*AE105,IF(F105&lt;$G$2,$F$2*G105*AE105,$F$1*G105*AE105))*$L$2),0)</f>
        <v>0</v>
      </c>
      <c r="J105" s="61"/>
      <c r="K105" s="61" t="n">
        <f aca="false">IF(AC105="N",(MIN((($F$3*G105*AE105+ROUNDUP((F105/10000),0)*G105)*2),F105)),0)</f>
        <v>16887.9615384615</v>
      </c>
      <c r="L105" s="61" t="n">
        <f aca="false">IF(AC105="Y",(MIN((($F$3*G105*AE105+ROUNDUP((F105/10000),0)*G105)*2),F105))*$L$2,0)</f>
        <v>0</v>
      </c>
      <c r="M105" s="61" t="n">
        <f aca="false">IF(AC105="N",IF((F105/10000*G105*$M$2)&gt;F105*$M$1,F105*$M$1,(F105/10000*G105*$M$2)),0)</f>
        <v>6128.33418846154</v>
      </c>
      <c r="N105" s="61" t="n">
        <f aca="false">IF(AC105="Y",(IF((F105/10000*G105*$M$2)&gt;F105*$M$1,F105*$M$1,(F105/10000*G105*$M$2)))*$L$2,0)</f>
        <v>0</v>
      </c>
      <c r="O105" s="61" t="n">
        <f aca="false">MAX(IF(F105&lt;$G$3,$F$3*G105*AE105,IF(F105&lt;$G$2,$F$2*G105*AE105,$F$1*G105*AE105)),IF((F105/10000*G105*$M$2)&gt;F105*$M$1,F105*$M$1,(F105/10000*G105*$M$2)))</f>
        <v>6128.33418846154</v>
      </c>
      <c r="P105" s="61" t="n">
        <f aca="false">MIN(IF(F105&lt;$G$3,$F$3*G105*AE105,IF(F105&lt;$G$2,$F$2*G105*AE105,$F$1*G105*AE105)),IF((F105/10000*G105*$M$2)&gt;F105*$M$1,F105*$M$1,(F105/10000*G105*$M$2)))</f>
        <v>5373.44230769231</v>
      </c>
      <c r="Q105" s="61" t="n">
        <f aca="false">MAX(I105,N105)</f>
        <v>0</v>
      </c>
      <c r="R105" s="61" t="n">
        <f aca="false">MIN(I105,N105)</f>
        <v>0</v>
      </c>
      <c r="S105" s="62" t="n">
        <f aca="false">F105/10000</f>
        <v>3.9917</v>
      </c>
      <c r="T105" s="62" t="n">
        <f aca="false">ROUNDUP(S105,0)</f>
        <v>4</v>
      </c>
      <c r="U105" s="44" t="s">
        <v>40</v>
      </c>
      <c r="V105" s="44" t="n">
        <f aca="false">F105</f>
        <v>39917</v>
      </c>
      <c r="Y105" s="45" t="n">
        <f aca="false">(W105+X105)</f>
        <v>0</v>
      </c>
      <c r="AC105" s="46" t="s">
        <v>419</v>
      </c>
      <c r="AD105" s="47" t="n">
        <v>34745</v>
      </c>
      <c r="AE105" s="63" t="n">
        <f aca="false">ROUNDUP(DAYS360(AD105,$AE$3)/365,0)</f>
        <v>7</v>
      </c>
      <c r="AF105" s="62" t="n">
        <f aca="false">(G105*AE105)+(G105*T105)</f>
        <v>8443.98076923077</v>
      </c>
      <c r="AG105" s="62" t="n">
        <f aca="false">26*G105</f>
        <v>19958.5</v>
      </c>
      <c r="AH105" s="62" t="n">
        <f aca="false">G105*52</f>
        <v>39917</v>
      </c>
      <c r="AI105" s="62" t="n">
        <f aca="false">AF105*2</f>
        <v>16887.9615384615</v>
      </c>
      <c r="AJ105" s="62"/>
      <c r="AL105" s="43" t="n">
        <f aca="false">IF(AC105="N",V105,0)</f>
        <v>39917</v>
      </c>
      <c r="AM105" s="43" t="n">
        <f aca="false">IF(AL105&gt;0,1,0)</f>
        <v>1</v>
      </c>
    </row>
    <row r="106" customFormat="false" ht="12.75" hidden="false" customHeight="false" outlineLevel="0" collapsed="false">
      <c r="H106" s="61"/>
      <c r="I106" s="61"/>
      <c r="J106" s="61"/>
      <c r="K106" s="61"/>
      <c r="L106" s="61"/>
      <c r="M106" s="61"/>
      <c r="N106" s="61"/>
      <c r="O106" s="61"/>
      <c r="P106" s="61"/>
      <c r="Q106" s="61"/>
      <c r="R106" s="61"/>
      <c r="AE106" s="63"/>
      <c r="AL106" s="43" t="n">
        <f aca="false">IF(AC106="N",V106,0)</f>
        <v>0</v>
      </c>
      <c r="AM106" s="43" t="n">
        <f aca="false">IF(AL106&gt;0,1,0)</f>
        <v>0</v>
      </c>
    </row>
    <row r="107" customFormat="false" ht="12.75" hidden="false" customHeight="false" outlineLevel="0" collapsed="false">
      <c r="H107" s="61"/>
      <c r="I107" s="61"/>
      <c r="J107" s="61"/>
      <c r="K107" s="61"/>
      <c r="L107" s="61"/>
      <c r="M107" s="61"/>
      <c r="N107" s="61"/>
      <c r="O107" s="61"/>
      <c r="P107" s="61"/>
      <c r="Q107" s="61"/>
      <c r="R107" s="61"/>
      <c r="AE107" s="63"/>
      <c r="AL107" s="43" t="n">
        <f aca="false">IF(AC107="N",V107,0)</f>
        <v>0</v>
      </c>
      <c r="AM107" s="43" t="n">
        <f aca="false">IF(AL107&gt;0,1,0)</f>
        <v>0</v>
      </c>
    </row>
    <row r="108" customFormat="false" ht="13.5" hidden="false" customHeight="true" outlineLevel="0" collapsed="false">
      <c r="B108" s="51" t="s">
        <v>422</v>
      </c>
      <c r="C108" s="51"/>
      <c r="D108" s="51"/>
      <c r="E108" s="51"/>
      <c r="F108" s="51"/>
      <c r="G108" s="51"/>
      <c r="H108" s="61"/>
      <c r="I108" s="61"/>
      <c r="J108" s="61"/>
      <c r="K108" s="61"/>
      <c r="L108" s="61"/>
      <c r="M108" s="61"/>
      <c r="N108" s="61"/>
      <c r="O108" s="61"/>
      <c r="P108" s="61"/>
      <c r="Q108" s="61"/>
      <c r="R108" s="61"/>
      <c r="S108" s="51"/>
      <c r="T108" s="51"/>
      <c r="U108" s="51"/>
      <c r="V108" s="51"/>
      <c r="W108" s="51"/>
      <c r="X108" s="51"/>
      <c r="Y108" s="51"/>
      <c r="Z108" s="51"/>
      <c r="AA108" s="51"/>
      <c r="AB108" s="51"/>
      <c r="AC108" s="51"/>
      <c r="AE108" s="63"/>
      <c r="AF108" s="51"/>
      <c r="AG108" s="51"/>
      <c r="AH108" s="51"/>
      <c r="AI108" s="51"/>
      <c r="AJ108" s="51"/>
      <c r="AK108" s="51"/>
      <c r="AL108" s="43" t="n">
        <f aca="false">IF(AC108="N",V108,0)</f>
        <v>0</v>
      </c>
      <c r="AM108" s="43" t="n">
        <f aca="false">IF(AL108&gt;0,1,0)</f>
        <v>0</v>
      </c>
    </row>
    <row r="109" customFormat="false" ht="12.75" hidden="false" customHeight="false" outlineLevel="0" collapsed="false">
      <c r="H109" s="61"/>
      <c r="I109" s="61"/>
      <c r="J109" s="61"/>
      <c r="K109" s="61"/>
      <c r="L109" s="61"/>
      <c r="M109" s="61"/>
      <c r="N109" s="61"/>
      <c r="O109" s="61"/>
      <c r="P109" s="61"/>
      <c r="Q109" s="61"/>
      <c r="R109" s="61"/>
      <c r="AE109" s="63"/>
      <c r="AL109" s="43" t="n">
        <f aca="false">IF(AC109="N",V109,0)</f>
        <v>0</v>
      </c>
      <c r="AM109" s="43" t="n">
        <f aca="false">IF(AL109&gt;0,1,0)</f>
        <v>0</v>
      </c>
    </row>
    <row r="110" customFormat="false" ht="43.5" hidden="false" customHeight="false" outlineLevel="0" collapsed="false">
      <c r="A110" s="83" t="s">
        <v>46</v>
      </c>
      <c r="B110" s="12" t="s">
        <v>389</v>
      </c>
      <c r="H110" s="61" t="n">
        <f aca="false">IF(AC110="N",IF(F110&lt;$G$3,$F$3*G110*AE110,IF(F110&lt;$G$2,$F$2*G110*AE110,$F$1*G110*AE110)),0)</f>
        <v>0</v>
      </c>
      <c r="I110" s="61" t="n">
        <f aca="false">IF(AC110="Y",(IF(F110&lt;$G$3,$F$3*G110*AE110,IF(F110&lt;$G$2,$F$2*G110*AE110,$F$1*G110*AE110))*$L$2),0)</f>
        <v>0</v>
      </c>
      <c r="J110" s="61"/>
      <c r="K110" s="61"/>
      <c r="L110" s="61"/>
      <c r="M110" s="61" t="n">
        <f aca="false">IF(AC110="N",IF((F110/10000*G110*$M$2)&gt;F110*$M$1,F110*$M$1,(F110/10000*G110*$M$2)),0)</f>
        <v>0</v>
      </c>
      <c r="N110" s="61" t="n">
        <f aca="false">IF(AC110="Y",(IF((F110/10000*G110*$M$2)&gt;F110*$M$1,F110*$M$1,(F110/10000*G110*$M$2)))*$L$2,0)</f>
        <v>0</v>
      </c>
      <c r="O110" s="61"/>
      <c r="P110" s="61"/>
      <c r="Q110" s="61"/>
      <c r="R110" s="61"/>
      <c r="AE110" s="63"/>
      <c r="AL110" s="43" t="n">
        <f aca="false">IF(AC110="N",V110,0)</f>
        <v>0</v>
      </c>
      <c r="AM110" s="43" t="n">
        <f aca="false">IF(AL110&gt;0,1,0)</f>
        <v>0</v>
      </c>
    </row>
    <row r="111" customFormat="false" ht="12.75" hidden="false" customHeight="false" outlineLevel="0" collapsed="false">
      <c r="A111" s="46"/>
      <c r="B111" s="43" t="s">
        <v>121</v>
      </c>
      <c r="D111" s="43" t="s">
        <v>122</v>
      </c>
      <c r="F111" s="48" t="n">
        <v>100000</v>
      </c>
      <c r="G111" s="48" t="n">
        <f aca="false">F111/52</f>
        <v>1923.07692307692</v>
      </c>
      <c r="H111" s="61" t="n">
        <f aca="false">IF(AC111="N",IF(F111&lt;$G$3,$F$3*G111*AE111,IF(F111&lt;$G$2,$F$2*G111*AE111,$F$1*G111*AE111)),0)</f>
        <v>0</v>
      </c>
      <c r="I111" s="61" t="n">
        <f aca="false">IF(AC111="Y",(IF(F111&lt;$G$3,$F$3*G111*AE111,IF(F111&lt;$G$2,$F$2*G111*AE111,$F$1*G111*AE111))*$L$2),0)</f>
        <v>69230.7692307692</v>
      </c>
      <c r="J111" s="61"/>
      <c r="K111" s="61" t="n">
        <f aca="false">IF(AC111="N",(MIN((($F$3*G111*AE111+ROUNDUP((F111/10000),0)*G111)*2),F111)),0)</f>
        <v>0</v>
      </c>
      <c r="L111" s="61" t="n">
        <f aca="false">IF(AC111="Y",(MIN((($F$3*G111*AE111+ROUNDUP((F111/10000),0)*G111)*2),F111))*$L$2,0)</f>
        <v>92307.6923076923</v>
      </c>
      <c r="M111" s="61" t="n">
        <f aca="false">IF(AC111="N",IF((F111/10000*G111*$M$2)&gt;F111*$M$1,F111*$M$1,(F111/10000*G111*$M$2)),0)</f>
        <v>0</v>
      </c>
      <c r="N111" s="61" t="n">
        <f aca="false">IF(AC111="Y",(IF((F111/10000*G111*$M$2)&gt;F111*$M$1,F111*$M$1,(F111/10000*G111*$M$2)))*$L$2,0)</f>
        <v>57692.3076923077</v>
      </c>
      <c r="O111" s="61" t="n">
        <f aca="false">MAX(IF(F111&lt;$G$3,$F$3*G111*AE111,IF(F111&lt;$G$2,$F$2*G111*AE111,$F$1*G111*AE111)),IF((F111/10000*G111*$M$2)&gt;F111*$M$1,F111*$M$1,(F111/10000*G111*$M$2)))</f>
        <v>46153.8461538462</v>
      </c>
      <c r="P111" s="61" t="n">
        <f aca="false">MIN(IF(F111&lt;$G$3,$F$3*G111*AE111,IF(F111&lt;$G$2,$F$2*G111*AE111,$F$1*G111*AE111)),IF((F111/10000*G111*$M$2)&gt;F111*$M$1,F111*$M$1,(F111/10000*G111*$M$2)))</f>
        <v>38461.5384615385</v>
      </c>
      <c r="Q111" s="61" t="n">
        <f aca="false">MAX(I111,N111)</f>
        <v>69230.7692307692</v>
      </c>
      <c r="R111" s="61" t="n">
        <f aca="false">MIN(I111,N111)</f>
        <v>57692.3076923077</v>
      </c>
      <c r="S111" s="62" t="n">
        <f aca="false">F111/10000</f>
        <v>10</v>
      </c>
      <c r="T111" s="62" t="n">
        <f aca="false">ROUNDUP(S111,0)</f>
        <v>10</v>
      </c>
      <c r="U111" s="44" t="s">
        <v>40</v>
      </c>
      <c r="V111" s="44" t="n">
        <f aca="false">F111</f>
        <v>100000</v>
      </c>
      <c r="W111" s="45" t="n">
        <v>20000</v>
      </c>
      <c r="Y111" s="45" t="n">
        <v>20000</v>
      </c>
      <c r="AC111" s="46" t="s">
        <v>420</v>
      </c>
      <c r="AD111" s="47" t="n">
        <v>35004</v>
      </c>
      <c r="AE111" s="63" t="n">
        <f aca="false">ROUNDUP(DAYS360(AD111,$AE$3)/365,0)</f>
        <v>6</v>
      </c>
      <c r="AL111" s="43" t="n">
        <f aca="false">IF(AC111="N",V111,0)</f>
        <v>0</v>
      </c>
      <c r="AM111" s="43" t="n">
        <f aca="false">IF(AL111&gt;0,1,0)</f>
        <v>0</v>
      </c>
    </row>
    <row r="112" customFormat="false" ht="12.75" hidden="false" customHeight="false" outlineLevel="0" collapsed="false">
      <c r="A112" s="46"/>
      <c r="B112" s="43" t="s">
        <v>225</v>
      </c>
      <c r="D112" s="43" t="s">
        <v>226</v>
      </c>
      <c r="F112" s="48" t="n">
        <v>42000</v>
      </c>
      <c r="G112" s="48" t="n">
        <f aca="false">F112/52</f>
        <v>807.692307692308</v>
      </c>
      <c r="H112" s="61" t="n">
        <f aca="false">IF(AC112="N",IF(F112&lt;$G$3,$F$3*G112*AE112,IF(F112&lt;$G$2,$F$2*G112*AE112,$F$1*G112*AE112)),0)</f>
        <v>0</v>
      </c>
      <c r="I112" s="61" t="n">
        <f aca="false">IF(AC112="Y",(IF(F112&lt;$G$3,$F$3*G112*AE112,IF(F112&lt;$G$2,$F$2*G112*AE112,$F$1*G112*AE112))*$L$2),0)</f>
        <v>3634.61538461538</v>
      </c>
      <c r="J112" s="61"/>
      <c r="K112" s="61" t="n">
        <f aca="false">IF(AC112="N",(MIN((($F$3*G112*AE112+ROUNDUP((F112/10000),0)*G112)*2),F112)),0)</f>
        <v>0</v>
      </c>
      <c r="L112" s="61" t="n">
        <f aca="false">IF(AC112="Y",(MIN((($F$3*G112*AE112+ROUNDUP((F112/10000),0)*G112)*2),F112))*$L$2,0)</f>
        <v>19384.6153846154</v>
      </c>
      <c r="M112" s="61" t="n">
        <f aca="false">IF(AC112="N",IF((F112/10000*G112*$M$2)&gt;F112*$M$1,F112*$M$1,(F112/10000*G112*$M$2)),0)</f>
        <v>0</v>
      </c>
      <c r="N112" s="61" t="n">
        <f aca="false">IF(AC112="Y",(IF((F112/10000*G112*$M$2)&gt;F112*$M$1,F112*$M$1,(F112/10000*G112*$M$2)))*$L$2,0)</f>
        <v>10176.9230769231</v>
      </c>
      <c r="O112" s="61" t="n">
        <f aca="false">MAX(IF(F112&lt;$G$3,$F$3*G112*AE112,IF(F112&lt;$G$2,$F$2*G112*AE112,$F$1*G112*AE112)),IF((F112/10000*G112*$M$2)&gt;F112*$M$1,F112*$M$1,(F112/10000*G112*$M$2)))</f>
        <v>6784.61538461539</v>
      </c>
      <c r="P112" s="61" t="n">
        <f aca="false">MIN(IF(F112&lt;$G$3,$F$3*G112*AE112,IF(F112&lt;$G$2,$F$2*G112*AE112,$F$1*G112*AE112)),IF((F112/10000*G112*$M$2)&gt;F112*$M$1,F112*$M$1,(F112/10000*G112*$M$2)))</f>
        <v>2423.07692307692</v>
      </c>
      <c r="Q112" s="61" t="n">
        <f aca="false">MAX(I112,N112)</f>
        <v>10176.9230769231</v>
      </c>
      <c r="R112" s="61" t="n">
        <f aca="false">MIN(I112,N112)</f>
        <v>3634.61538461538</v>
      </c>
      <c r="S112" s="62" t="n">
        <f aca="false">F112/10000</f>
        <v>4.2</v>
      </c>
      <c r="T112" s="62" t="n">
        <f aca="false">ROUNDUP(S112,0)</f>
        <v>5</v>
      </c>
      <c r="U112" s="44" t="s">
        <v>40</v>
      </c>
      <c r="V112" s="44" t="n">
        <f aca="false">F112</f>
        <v>42000</v>
      </c>
      <c r="W112" s="45" t="n">
        <v>4000</v>
      </c>
      <c r="Y112" s="45" t="n">
        <v>4000</v>
      </c>
      <c r="AC112" s="46" t="s">
        <v>420</v>
      </c>
      <c r="AD112" s="47" t="n">
        <v>36008</v>
      </c>
      <c r="AE112" s="63" t="n">
        <f aca="false">ROUNDUP(DAYS360(AD112,$AE$3)/365,0)</f>
        <v>3</v>
      </c>
      <c r="AL112" s="43" t="n">
        <f aca="false">IF(AC112="N",V112,0)</f>
        <v>0</v>
      </c>
      <c r="AM112" s="43" t="n">
        <f aca="false">IF(AL112&gt;0,1,0)</f>
        <v>0</v>
      </c>
    </row>
    <row r="113" customFormat="false" ht="12.75" hidden="false" customHeight="false" outlineLevel="0" collapsed="false">
      <c r="A113" s="46"/>
      <c r="H113" s="61"/>
      <c r="I113" s="61"/>
      <c r="J113" s="61"/>
      <c r="K113" s="61"/>
      <c r="L113" s="61"/>
      <c r="M113" s="61"/>
      <c r="N113" s="61"/>
      <c r="O113" s="61"/>
      <c r="P113" s="61"/>
      <c r="Q113" s="61"/>
      <c r="R113" s="61"/>
      <c r="AE113" s="63"/>
      <c r="AL113" s="43" t="n">
        <f aca="false">IF(AC113="N",V113,0)</f>
        <v>0</v>
      </c>
      <c r="AM113" s="43" t="n">
        <f aca="false">IF(AL113&gt;0,1,0)</f>
        <v>0</v>
      </c>
    </row>
    <row r="114" customFormat="false" ht="12.75" hidden="false" customHeight="false" outlineLevel="0" collapsed="false">
      <c r="A114" s="46"/>
      <c r="B114" s="12" t="s">
        <v>88</v>
      </c>
      <c r="H114" s="61"/>
      <c r="I114" s="61"/>
      <c r="J114" s="61"/>
      <c r="K114" s="61"/>
      <c r="L114" s="61"/>
      <c r="M114" s="61"/>
      <c r="N114" s="61"/>
      <c r="O114" s="61"/>
      <c r="P114" s="61"/>
      <c r="Q114" s="61"/>
      <c r="R114" s="61"/>
      <c r="AE114" s="63"/>
      <c r="AL114" s="43" t="n">
        <f aca="false">IF(AC114="N",V114,0)</f>
        <v>0</v>
      </c>
      <c r="AM114" s="43" t="n">
        <f aca="false">IF(AL114&gt;0,1,0)</f>
        <v>0</v>
      </c>
    </row>
    <row r="115" customFormat="false" ht="12.75" hidden="false" customHeight="false" outlineLevel="0" collapsed="false">
      <c r="A115" s="46"/>
      <c r="B115" s="76" t="s">
        <v>89</v>
      </c>
      <c r="C115" s="76"/>
      <c r="D115" s="76" t="s">
        <v>90</v>
      </c>
      <c r="E115" s="76"/>
      <c r="F115" s="77" t="n">
        <v>200000</v>
      </c>
      <c r="G115" s="77" t="n">
        <f aca="false">F115/52</f>
        <v>3846.15384615385</v>
      </c>
      <c r="H115" s="61" t="n">
        <f aca="false">IF(AC115="N",IF(F115&lt;$G$3,$F$3*G115*AE115,IF(F115&lt;$G$2,$F$2*G115*AE115,$F$1*G115*AE115)),0)</f>
        <v>0</v>
      </c>
      <c r="I115" s="61" t="n">
        <f aca="false">IF(AC115="Y",(IF(F115&lt;$G$3,$F$3*G115*AE115,IF(F115&lt;$G$2,$F$2*G115*AE115,$F$1*G115*AE115))*$L$2),0)</f>
        <v>161538.461538462</v>
      </c>
      <c r="J115" s="61"/>
      <c r="K115" s="61" t="n">
        <f aca="false">IF(AC115="N",(MIN((($F$3*G115*AE115+ROUNDUP((F115/10000),0)*G115)*2),F115)),0)</f>
        <v>0</v>
      </c>
      <c r="L115" s="61" t="n">
        <f aca="false">IF(AC115="Y",(MIN((($F$3*G115*AE115+ROUNDUP((F115/10000),0)*G115)*2),F115))*$L$2,0)</f>
        <v>300000</v>
      </c>
      <c r="M115" s="61" t="n">
        <f aca="false">IF(AC115="N",IF((F115/10000*G115*$M$2)&gt;F115*$M$1,F115*$M$1,(F115/10000*G115*$M$2)),0)</f>
        <v>0</v>
      </c>
      <c r="N115" s="61" t="n">
        <f aca="false">IF(AC115="Y",(IF((F115/10000*G115*$M$2)&gt;F115*$M$1,F115*$M$1,(F115/10000*G115*$M$2)))*$L$2,0)</f>
        <v>225000</v>
      </c>
      <c r="O115" s="61" t="n">
        <f aca="false">MAX(IF(F115&lt;$G$3,$F$3*G115*AE115,IF(F115&lt;$G$2,$F$2*G115*AE115,$F$1*G115*AE115)),IF((F115/10000*G115*$M$2)&gt;F115*$M$1,F115*$M$1,(F115/10000*G115*$M$2)))</f>
        <v>150000</v>
      </c>
      <c r="P115" s="61" t="n">
        <f aca="false">MIN(IF(F115&lt;$G$3,$F$3*G115*AE115,IF(F115&lt;$G$2,$F$2*G115*AE115,$F$1*G115*AE115)),IF((F115/10000*G115*$M$2)&gt;F115*$M$1,F115*$M$1,(F115/10000*G115*$M$2)))</f>
        <v>107692.307692308</v>
      </c>
      <c r="Q115" s="61" t="n">
        <f aca="false">MAX(I115,N115)</f>
        <v>225000</v>
      </c>
      <c r="R115" s="61" t="n">
        <f aca="false">MIN(I115,N115)</f>
        <v>161538.461538462</v>
      </c>
      <c r="S115" s="78" t="n">
        <f aca="false">F115/10000</f>
        <v>20</v>
      </c>
      <c r="T115" s="78" t="n">
        <f aca="false">ROUNDUP(S115,0)</f>
        <v>20</v>
      </c>
      <c r="U115" s="79" t="s">
        <v>40</v>
      </c>
      <c r="V115" s="79" t="n">
        <f aca="false">F115</f>
        <v>200000</v>
      </c>
      <c r="W115" s="80" t="n">
        <v>1144365</v>
      </c>
      <c r="X115" s="80"/>
      <c r="Y115" s="80" t="n">
        <f aca="false">(W115+X115)</f>
        <v>1144365</v>
      </c>
      <c r="Z115" s="81"/>
      <c r="AA115" s="81"/>
      <c r="AB115" s="81"/>
      <c r="AC115" s="81" t="s">
        <v>420</v>
      </c>
      <c r="AD115" s="47" t="n">
        <v>34807</v>
      </c>
      <c r="AE115" s="63" t="n">
        <f aca="false">ROUNDUP(DAYS360(AD115,$AE$3)/365,0)</f>
        <v>7</v>
      </c>
      <c r="AF115" s="81"/>
      <c r="AG115" s="81"/>
      <c r="AH115" s="81"/>
      <c r="AI115" s="81"/>
      <c r="AJ115" s="81"/>
      <c r="AK115" s="76"/>
      <c r="AL115" s="43" t="n">
        <f aca="false">IF(AC115="N",V115,0)</f>
        <v>0</v>
      </c>
      <c r="AM115" s="43" t="n">
        <f aca="false">IF(AL115&gt;0,1,0)</f>
        <v>0</v>
      </c>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6"/>
      <c r="DX115" s="76"/>
      <c r="DY115" s="76"/>
      <c r="DZ115" s="76"/>
      <c r="EA115" s="76"/>
      <c r="EB115" s="76"/>
      <c r="EC115" s="76"/>
      <c r="ED115" s="76"/>
      <c r="EE115" s="76"/>
      <c r="EF115" s="76"/>
      <c r="EG115" s="76"/>
      <c r="EH115" s="76"/>
      <c r="EI115" s="76"/>
      <c r="EJ115" s="76"/>
      <c r="EK115" s="76"/>
      <c r="EL115" s="76"/>
      <c r="EM115" s="76"/>
      <c r="EN115" s="76"/>
      <c r="EO115" s="76"/>
      <c r="EP115" s="76"/>
      <c r="EQ115" s="76"/>
      <c r="ER115" s="76"/>
      <c r="ES115" s="76"/>
      <c r="ET115" s="76"/>
      <c r="EU115" s="76"/>
      <c r="EV115" s="76"/>
      <c r="EW115" s="76"/>
      <c r="EX115" s="76"/>
      <c r="EY115" s="76"/>
      <c r="EZ115" s="76"/>
      <c r="FA115" s="76"/>
      <c r="FB115" s="76"/>
      <c r="FC115" s="76"/>
      <c r="FD115" s="76"/>
      <c r="FE115" s="76"/>
      <c r="FF115" s="76"/>
      <c r="FG115" s="76"/>
      <c r="FH115" s="76"/>
      <c r="FI115" s="76"/>
      <c r="FJ115" s="76"/>
      <c r="FK115" s="76"/>
      <c r="FL115" s="76"/>
      <c r="FM115" s="76"/>
      <c r="FN115" s="76"/>
      <c r="FO115" s="76"/>
      <c r="FP115" s="76"/>
      <c r="FQ115" s="76"/>
      <c r="FR115" s="76"/>
      <c r="FS115" s="76"/>
      <c r="FT115" s="76"/>
      <c r="FU115" s="76"/>
      <c r="FV115" s="76"/>
      <c r="FW115" s="76"/>
      <c r="FX115" s="76"/>
      <c r="FY115" s="76"/>
      <c r="FZ115" s="76"/>
      <c r="GA115" s="76"/>
      <c r="GB115" s="76"/>
      <c r="GC115" s="76"/>
      <c r="GD115" s="76"/>
      <c r="GE115" s="76"/>
      <c r="GF115" s="76"/>
      <c r="GG115" s="76"/>
      <c r="GH115" s="76"/>
      <c r="GI115" s="76"/>
      <c r="GJ115" s="76"/>
      <c r="GK115" s="76"/>
      <c r="GL115" s="76"/>
      <c r="GM115" s="76"/>
      <c r="GN115" s="76"/>
      <c r="GO115" s="76"/>
      <c r="GP115" s="76"/>
      <c r="GQ115" s="76"/>
      <c r="GR115" s="76"/>
      <c r="GS115" s="76"/>
      <c r="GT115" s="76"/>
      <c r="GU115" s="76"/>
      <c r="GV115" s="76"/>
      <c r="GW115" s="76"/>
      <c r="GX115" s="76"/>
      <c r="GY115" s="76"/>
      <c r="GZ115" s="76"/>
      <c r="HA115" s="76"/>
      <c r="HB115" s="76"/>
      <c r="HC115" s="76"/>
      <c r="HD115" s="76"/>
      <c r="HE115" s="76"/>
      <c r="HF115" s="76"/>
      <c r="HG115" s="76"/>
      <c r="HH115" s="76"/>
      <c r="HI115" s="76"/>
      <c r="HJ115" s="76"/>
      <c r="HK115" s="76"/>
      <c r="HL115" s="76"/>
      <c r="HM115" s="76"/>
      <c r="HN115" s="76"/>
      <c r="HO115" s="76"/>
      <c r="HP115" s="76"/>
      <c r="HQ115" s="76"/>
      <c r="HR115" s="76"/>
      <c r="HS115" s="76"/>
      <c r="HT115" s="76"/>
      <c r="HU115" s="76"/>
      <c r="HV115" s="76"/>
      <c r="HW115" s="76"/>
      <c r="HX115" s="76"/>
      <c r="HY115" s="76"/>
      <c r="HZ115" s="76"/>
      <c r="IA115" s="76"/>
      <c r="IB115" s="76"/>
      <c r="IC115" s="76"/>
      <c r="ID115" s="76"/>
      <c r="IE115" s="76"/>
      <c r="IF115" s="76"/>
      <c r="IG115" s="76"/>
      <c r="IH115" s="76"/>
      <c r="II115" s="76"/>
      <c r="IJ115" s="76"/>
      <c r="IK115" s="76"/>
      <c r="IL115" s="76"/>
      <c r="IM115" s="76"/>
      <c r="IN115" s="76"/>
      <c r="IO115" s="76"/>
      <c r="IP115" s="76"/>
      <c r="IQ115" s="76"/>
      <c r="IR115" s="76"/>
      <c r="IS115" s="76"/>
      <c r="IT115" s="76"/>
      <c r="IU115" s="76"/>
      <c r="IV115" s="76"/>
      <c r="IW115" s="76"/>
    </row>
    <row r="116" customFormat="false" ht="12.75" hidden="false" customHeight="false" outlineLevel="0" collapsed="false">
      <c r="A116" s="46"/>
      <c r="B116" s="43" t="s">
        <v>171</v>
      </c>
      <c r="D116" s="43" t="s">
        <v>172</v>
      </c>
      <c r="F116" s="48" t="n">
        <v>62000</v>
      </c>
      <c r="G116" s="48" t="n">
        <f aca="false">F116/52</f>
        <v>1192.30769230769</v>
      </c>
      <c r="H116" s="61" t="n">
        <f aca="false">IF(AC116="N",IF(F116&lt;$G$3,$F$3*G116*AE116,IF(F116&lt;$G$2,$F$2*G116*AE116,$F$1*G116*AE116)),0)</f>
        <v>0</v>
      </c>
      <c r="I116" s="61" t="n">
        <f aca="false">IF(AC116="Y",(IF(F116&lt;$G$3,$F$3*G116*AE116,IF(F116&lt;$G$2,$F$2*G116*AE116,$F$1*G116*AE116))*$L$2),0)</f>
        <v>10730.7692307692</v>
      </c>
      <c r="J116" s="61"/>
      <c r="K116" s="61" t="n">
        <f aca="false">IF(AC116="N",(MIN((($F$3*G116*AE116+ROUNDUP((F116/10000),0)*G116)*2),F116)),0)</f>
        <v>0</v>
      </c>
      <c r="L116" s="61" t="n">
        <f aca="false">IF(AC116="Y",(MIN((($F$3*G116*AE116+ROUNDUP((F116/10000),0)*G116)*2),F116))*$L$2,0)</f>
        <v>35769.2307692308</v>
      </c>
      <c r="M116" s="61" t="n">
        <f aca="false">IF(AC116="N",IF((F116/10000*G116*$M$2)&gt;F116*$M$1,F116*$M$1,(F116/10000*G116*$M$2)),0)</f>
        <v>0</v>
      </c>
      <c r="N116" s="61" t="n">
        <f aca="false">IF(AC116="Y",(IF((F116/10000*G116*$M$2)&gt;F116*$M$1,F116*$M$1,(F116/10000*G116*$M$2)))*$L$2,0)</f>
        <v>22176.9230769231</v>
      </c>
      <c r="O116" s="61" t="n">
        <f aca="false">MAX(IF(F116&lt;$G$3,$F$3*G116*AE116,IF(F116&lt;$G$2,$F$2*G116*AE116,$F$1*G116*AE116)),IF((F116/10000*G116*$M$2)&gt;F116*$M$1,F116*$M$1,(F116/10000*G116*$M$2)))</f>
        <v>14784.6153846154</v>
      </c>
      <c r="P116" s="61" t="n">
        <f aca="false">MIN(IF(F116&lt;$G$3,$F$3*G116*AE116,IF(F116&lt;$G$2,$F$2*G116*AE116,$F$1*G116*AE116)),IF((F116/10000*G116*$M$2)&gt;F116*$M$1,F116*$M$1,(F116/10000*G116*$M$2)))</f>
        <v>7153.84615384615</v>
      </c>
      <c r="Q116" s="61" t="n">
        <f aca="false">MAX(I116,N116)</f>
        <v>22176.9230769231</v>
      </c>
      <c r="R116" s="61" t="n">
        <f aca="false">MIN(I116,N116)</f>
        <v>10730.7692307692</v>
      </c>
      <c r="S116" s="62" t="n">
        <f aca="false">F116/10000</f>
        <v>6.2</v>
      </c>
      <c r="T116" s="62" t="n">
        <f aca="false">ROUNDUP(S116,0)</f>
        <v>7</v>
      </c>
      <c r="U116" s="44" t="s">
        <v>40</v>
      </c>
      <c r="V116" s="44" t="n">
        <f aca="false">F116</f>
        <v>62000</v>
      </c>
      <c r="Y116" s="45" t="n">
        <v>20000</v>
      </c>
      <c r="AC116" s="46" t="s">
        <v>420</v>
      </c>
      <c r="AD116" s="47" t="n">
        <v>36136</v>
      </c>
      <c r="AE116" s="63" t="n">
        <f aca="false">ROUNDUP(DAYS360(AD116,$AE$3)/365,0)</f>
        <v>3</v>
      </c>
      <c r="AL116" s="43" t="n">
        <f aca="false">IF(AC116="N",V116,0)</f>
        <v>0</v>
      </c>
      <c r="AM116" s="43" t="n">
        <f aca="false">IF(AL116&gt;0,1,0)</f>
        <v>0</v>
      </c>
    </row>
    <row r="117" customFormat="false" ht="12.75" hidden="false" customHeight="false" outlineLevel="0" collapsed="false">
      <c r="H117" s="61"/>
      <c r="I117" s="61"/>
      <c r="J117" s="61"/>
      <c r="K117" s="61"/>
      <c r="L117" s="61"/>
      <c r="M117" s="61"/>
      <c r="N117" s="61"/>
      <c r="O117" s="61"/>
      <c r="P117" s="61"/>
      <c r="Q117" s="61"/>
      <c r="R117" s="61"/>
      <c r="AE117" s="63"/>
      <c r="AL117" s="43" t="n">
        <f aca="false">IF(AC117="N",V117,0)</f>
        <v>0</v>
      </c>
      <c r="AM117" s="43" t="n">
        <f aca="false">IF(AL117&gt;0,1,0)</f>
        <v>0</v>
      </c>
    </row>
    <row r="118" customFormat="false" ht="12.75" hidden="false" customHeight="false" outlineLevel="0" collapsed="false">
      <c r="H118" s="61"/>
      <c r="I118" s="61"/>
      <c r="J118" s="61"/>
      <c r="K118" s="61"/>
      <c r="L118" s="61"/>
      <c r="M118" s="61"/>
      <c r="N118" s="61"/>
      <c r="O118" s="61"/>
      <c r="P118" s="61"/>
      <c r="Q118" s="61"/>
      <c r="R118" s="61"/>
      <c r="AE118" s="63"/>
      <c r="AL118" s="43" t="n">
        <f aca="false">IF(AC118="N",V118,0)</f>
        <v>0</v>
      </c>
      <c r="AM118" s="43" t="n">
        <f aca="false">IF(AL118&gt;0,1,0)</f>
        <v>0</v>
      </c>
    </row>
    <row r="119" customFormat="false" ht="15.75" hidden="false" customHeight="false" outlineLevel="0" collapsed="false">
      <c r="B119" s="51" t="s">
        <v>423</v>
      </c>
      <c r="C119" s="51"/>
      <c r="D119" s="51"/>
      <c r="E119" s="51"/>
      <c r="F119" s="51"/>
      <c r="G119" s="51"/>
      <c r="H119" s="61"/>
      <c r="I119" s="61"/>
      <c r="J119" s="61"/>
      <c r="K119" s="61"/>
      <c r="L119" s="61"/>
      <c r="M119" s="61"/>
      <c r="N119" s="61"/>
      <c r="O119" s="61"/>
      <c r="P119" s="61"/>
      <c r="Q119" s="61"/>
      <c r="R119" s="61"/>
      <c r="S119" s="51"/>
      <c r="T119" s="51"/>
      <c r="U119" s="51"/>
      <c r="V119" s="51"/>
      <c r="W119" s="51"/>
      <c r="X119" s="51"/>
      <c r="Y119" s="51"/>
      <c r="Z119" s="51"/>
      <c r="AA119" s="51"/>
      <c r="AB119" s="51"/>
      <c r="AC119" s="51"/>
      <c r="AE119" s="63"/>
      <c r="AF119" s="51"/>
      <c r="AG119" s="51"/>
      <c r="AH119" s="51"/>
      <c r="AI119" s="51"/>
      <c r="AJ119" s="51"/>
      <c r="AK119" s="51"/>
      <c r="AL119" s="43" t="n">
        <f aca="false">IF(AC119="N",V119,0)</f>
        <v>0</v>
      </c>
      <c r="AM119" s="43" t="n">
        <f aca="false">IF(AL119&gt;0,1,0)</f>
        <v>0</v>
      </c>
    </row>
    <row r="120" customFormat="false" ht="12.75" hidden="false" customHeight="false" outlineLevel="0" collapsed="false">
      <c r="H120" s="61"/>
      <c r="I120" s="61"/>
      <c r="J120" s="61"/>
      <c r="K120" s="61"/>
      <c r="L120" s="61"/>
      <c r="M120" s="61"/>
      <c r="N120" s="61"/>
      <c r="O120" s="61"/>
      <c r="P120" s="61"/>
      <c r="Q120" s="61"/>
      <c r="R120" s="61"/>
      <c r="AE120" s="63"/>
      <c r="AL120" s="43" t="n">
        <f aca="false">IF(AC120="N",V120,0)</f>
        <v>0</v>
      </c>
      <c r="AM120" s="43" t="n">
        <f aca="false">IF(AL120&gt;0,1,0)</f>
        <v>0</v>
      </c>
    </row>
    <row r="121" customFormat="false" ht="24.75" hidden="false" customHeight="false" outlineLevel="0" collapsed="false">
      <c r="A121" s="83" t="s">
        <v>424</v>
      </c>
      <c r="B121" s="43" t="s">
        <v>214</v>
      </c>
      <c r="F121" s="48" t="n">
        <v>44619</v>
      </c>
      <c r="G121" s="48" t="n">
        <f aca="false">F121/52</f>
        <v>858.057692307692</v>
      </c>
      <c r="H121" s="61" t="n">
        <f aca="false">IF(AC121="N",IF(F121&lt;$G$3,$F$3*G121*AE121,IF(F121&lt;$G$2,$F$2*G121*AE121,$F$1*G121*AE121)),0)</f>
        <v>0</v>
      </c>
      <c r="I121" s="61" t="n">
        <f aca="false">IF(AC121="Y",(IF(F121&lt;$G$3,$F$3*G121*AE121,IF(F121&lt;$G$2,$F$2*G121*AE121,$F$1*G121*AE121))*$L$2),0)</f>
        <v>2574.17307692308</v>
      </c>
      <c r="J121" s="61"/>
      <c r="K121" s="61" t="n">
        <f aca="false">IF(AC121="N",(MIN((($F$3*G121*AE121+ROUNDUP((F121/10000),0)*G121)*2),F121)),0)</f>
        <v>0</v>
      </c>
      <c r="L121" s="61" t="n">
        <f aca="false">IF(AC121="Y",(MIN((($F$3*G121*AE121+ROUNDUP((F121/10000),0)*G121)*2),F121))*$L$2,0)</f>
        <v>18019.2115384615</v>
      </c>
      <c r="M121" s="61" t="n">
        <f aca="false">IF(AC121="N",IF((F121/10000*G121*$M$2)&gt;F121*$M$1,F121*$M$1,(F121/10000*G121*$M$2)),0)</f>
        <v>0</v>
      </c>
      <c r="N121" s="61" t="n">
        <f aca="false">IF(AC121="Y",(IF((F121/10000*G121*$M$2)&gt;F121*$M$1,F121*$M$1,(F121/10000*G121*$M$2)))*$L$2,0)</f>
        <v>11485.7028519231</v>
      </c>
      <c r="O121" s="61" t="n">
        <f aca="false">MAX(IF(F121&lt;$G$3,$F$3*G121*AE121,IF(F121&lt;$G$2,$F$2*G121*AE121,$F$1*G121*AE121)),IF((F121/10000*G121*$M$2)&gt;F121*$M$1,F121*$M$1,(F121/10000*G121*$M$2)))</f>
        <v>7657.13523461538</v>
      </c>
      <c r="P121" s="61" t="n">
        <f aca="false">MIN(IF(F121&lt;$G$3,$F$3*G121*AE121,IF(F121&lt;$G$2,$F$2*G121*AE121,$F$1*G121*AE121)),IF((F121/10000*G121*$M$2)&gt;F121*$M$1,F121*$M$1,(F121/10000*G121*$M$2)))</f>
        <v>1716.11538461538</v>
      </c>
      <c r="Q121" s="61" t="n">
        <f aca="false">MAX(I121,N121)</f>
        <v>11485.7028519231</v>
      </c>
      <c r="R121" s="61" t="n">
        <f aca="false">MIN(I121,N121)</f>
        <v>2574.17307692308</v>
      </c>
      <c r="S121" s="62" t="n">
        <f aca="false">F121/10000</f>
        <v>4.4619</v>
      </c>
      <c r="T121" s="62" t="n">
        <f aca="false">ROUNDUP(S121,0)</f>
        <v>5</v>
      </c>
      <c r="U121" s="44" t="s">
        <v>40</v>
      </c>
      <c r="V121" s="44" t="n">
        <f aca="false">F121</f>
        <v>44619</v>
      </c>
      <c r="Y121" s="45" t="n">
        <f aca="false">(W121+X121)</f>
        <v>0</v>
      </c>
      <c r="AC121" s="46" t="s">
        <v>420</v>
      </c>
      <c r="AD121" s="47" t="n">
        <v>36381</v>
      </c>
      <c r="AE121" s="63" t="n">
        <f aca="false">ROUNDUP(DAYS360(AD121,$AE$3)/365,0)</f>
        <v>2</v>
      </c>
      <c r="AL121" s="43" t="n">
        <f aca="false">IF(AC121="N",V121,0)</f>
        <v>0</v>
      </c>
      <c r="AM121" s="43" t="n">
        <f aca="false">IF(AL121&gt;0,1,0)</f>
        <v>0</v>
      </c>
    </row>
    <row r="122" customFormat="false" ht="12.75" hidden="false" customHeight="false" outlineLevel="0" collapsed="false">
      <c r="A122" s="83"/>
      <c r="B122" s="43" t="s">
        <v>113</v>
      </c>
      <c r="F122" s="48" t="n">
        <v>106500</v>
      </c>
      <c r="G122" s="48" t="n">
        <f aca="false">F122/52</f>
        <v>2048.07692307692</v>
      </c>
      <c r="H122" s="61" t="n">
        <f aca="false">IF(AC122="N",IF(F122&lt;$G$3,$F$3*G122*AE122,IF(F122&lt;$G$2,$F$2*G122*AE122,$F$1*G122*AE122)),0)</f>
        <v>0</v>
      </c>
      <c r="I122" s="61" t="n">
        <f aca="false">IF(AC122="Y",(IF(F122&lt;$G$3,$F$3*G122*AE122,IF(F122&lt;$G$2,$F$2*G122*AE122,$F$1*G122*AE122))*$L$2),0)</f>
        <v>36865.3846153846</v>
      </c>
      <c r="J122" s="61"/>
      <c r="K122" s="61" t="n">
        <f aca="false">IF(AC122="N",(MIN((($F$3*G122*AE122+ROUNDUP((F122/10000),0)*G122)*2),F122)),0)</f>
        <v>0</v>
      </c>
      <c r="L122" s="61" t="n">
        <f aca="false">IF(AC122="Y",(MIN((($F$3*G122*AE122+ROUNDUP((F122/10000),0)*G122)*2),F122))*$L$2,0)</f>
        <v>86019.2307692308</v>
      </c>
      <c r="M122" s="61" t="n">
        <f aca="false">IF(AC122="N",IF((F122/10000*G122*$M$2)&gt;F122*$M$1,F122*$M$1,(F122/10000*G122*$M$2)),0)</f>
        <v>0</v>
      </c>
      <c r="N122" s="61" t="n">
        <f aca="false">IF(AC122="Y",(IF((F122/10000*G122*$M$2)&gt;F122*$M$1,F122*$M$1,(F122/10000*G122*$M$2)))*$L$2,0)</f>
        <v>65436.0576923077</v>
      </c>
      <c r="O122" s="61" t="n">
        <f aca="false">MAX(IF(F122&lt;$G$3,$F$3*G122*AE122,IF(F122&lt;$G$2,$F$2*G122*AE122,$F$1*G122*AE122)),IF((F122/10000*G122*$M$2)&gt;F122*$M$1,F122*$M$1,(F122/10000*G122*$M$2)))</f>
        <v>43624.0384615385</v>
      </c>
      <c r="P122" s="61" t="n">
        <f aca="false">MIN(IF(F122&lt;$G$3,$F$3*G122*AE122,IF(F122&lt;$G$2,$F$2*G122*AE122,$F$1*G122*AE122)),IF((F122/10000*G122*$M$2)&gt;F122*$M$1,F122*$M$1,(F122/10000*G122*$M$2)))</f>
        <v>24576.9230769231</v>
      </c>
      <c r="Q122" s="61" t="n">
        <f aca="false">MAX(I122,N122)</f>
        <v>65436.0576923077</v>
      </c>
      <c r="R122" s="61" t="n">
        <f aca="false">MIN(I122,N122)</f>
        <v>36865.3846153846</v>
      </c>
      <c r="S122" s="62" t="n">
        <f aca="false">F122/10000</f>
        <v>10.65</v>
      </c>
      <c r="T122" s="62" t="n">
        <f aca="false">ROUNDUP(S122,0)</f>
        <v>11</v>
      </c>
      <c r="U122" s="44" t="s">
        <v>40</v>
      </c>
      <c r="V122" s="44" t="n">
        <f aca="false">F122</f>
        <v>106500</v>
      </c>
      <c r="W122" s="45" t="n">
        <v>50000</v>
      </c>
      <c r="Y122" s="45" t="n">
        <f aca="false">(W122+X122)</f>
        <v>50000</v>
      </c>
      <c r="AB122" s="46" t="n">
        <v>47350</v>
      </c>
      <c r="AC122" s="46" t="s">
        <v>420</v>
      </c>
      <c r="AD122" s="47" t="n">
        <v>36175</v>
      </c>
      <c r="AE122" s="63" t="n">
        <f aca="false">ROUNDUP(DAYS360(AD122,$AE$3)/365,0)</f>
        <v>3</v>
      </c>
      <c r="AL122" s="43" t="n">
        <f aca="false">IF(AC122="N",V122,0)</f>
        <v>0</v>
      </c>
      <c r="AM122" s="43" t="n">
        <f aca="false">IF(AL122&gt;0,1,0)</f>
        <v>0</v>
      </c>
    </row>
    <row r="123" customFormat="false" ht="12.75" hidden="false" customHeight="false" outlineLevel="0" collapsed="false">
      <c r="A123" s="83"/>
      <c r="B123" s="43" t="s">
        <v>87</v>
      </c>
      <c r="F123" s="48" t="n">
        <v>213000</v>
      </c>
      <c r="G123" s="48" t="n">
        <f aca="false">F123/52</f>
        <v>4096.15384615385</v>
      </c>
      <c r="H123" s="61" t="n">
        <f aca="false">IF(AC123="N",IF(F123&lt;$G$3,$F$3*G123*AE123,IF(F123&lt;$G$2,$F$2*G123*AE123,$F$1*G123*AE123)),0)</f>
        <v>0</v>
      </c>
      <c r="I123" s="61" t="n">
        <f aca="false">IF(AC123="Y",(IF(F123&lt;$G$3,$F$3*G123*AE123,IF(F123&lt;$G$2,$F$2*G123*AE123,$F$1*G123*AE123))*$L$2),0)</f>
        <v>73730.7692307692</v>
      </c>
      <c r="J123" s="61"/>
      <c r="K123" s="61" t="n">
        <f aca="false">IF(AC123="N",(MIN((($F$3*G123*AE123+ROUNDUP((F123/10000),0)*G123)*2),F123)),0)</f>
        <v>0</v>
      </c>
      <c r="L123" s="61" t="n">
        <f aca="false">IF(AC123="Y",(MIN((($F$3*G123*AE123+ROUNDUP((F123/10000),0)*G123)*2),F123))*$L$2,0)</f>
        <v>307211.538461538</v>
      </c>
      <c r="M123" s="61" t="n">
        <f aca="false">IF(AC123="N",IF((F123/10000*G123*$M$2)&gt;F123*$M$1,F123*$M$1,(F123/10000*G123*$M$2)),0)</f>
        <v>0</v>
      </c>
      <c r="N123" s="61" t="n">
        <f aca="false">IF(AC123="Y",(IF((F123/10000*G123*$M$2)&gt;F123*$M$1,F123*$M$1,(F123/10000*G123*$M$2)))*$L$2,0)</f>
        <v>239625</v>
      </c>
      <c r="O123" s="61" t="n">
        <f aca="false">MAX(IF(F123&lt;$G$3,$F$3*G123*AE123,IF(F123&lt;$G$2,$F$2*G123*AE123,$F$1*G123*AE123)),IF((F123/10000*G123*$M$2)&gt;F123*$M$1,F123*$M$1,(F123/10000*G123*$M$2)))</f>
        <v>159750</v>
      </c>
      <c r="P123" s="61" t="n">
        <f aca="false">MIN(IF(F123&lt;$G$3,$F$3*G123*AE123,IF(F123&lt;$G$2,$F$2*G123*AE123,$F$1*G123*AE123)),IF((F123/10000*G123*$M$2)&gt;F123*$M$1,F123*$M$1,(F123/10000*G123*$M$2)))</f>
        <v>49153.8461538462</v>
      </c>
      <c r="Q123" s="61" t="n">
        <f aca="false">MAX(I123,N123)</f>
        <v>239625</v>
      </c>
      <c r="R123" s="61" t="n">
        <f aca="false">MIN(I123,N123)</f>
        <v>73730.7692307692</v>
      </c>
      <c r="S123" s="62" t="n">
        <f aca="false">F123/10000</f>
        <v>21.3</v>
      </c>
      <c r="T123" s="62" t="n">
        <f aca="false">ROUNDUP(S123,0)</f>
        <v>22</v>
      </c>
      <c r="U123" s="44" t="s">
        <v>40</v>
      </c>
      <c r="V123" s="44" t="n">
        <f aca="false">F123</f>
        <v>213000</v>
      </c>
      <c r="W123" s="45" t="n">
        <v>70000</v>
      </c>
      <c r="X123" s="45" t="n">
        <v>35050</v>
      </c>
      <c r="Y123" s="45" t="n">
        <f aca="false">(W123+X123)</f>
        <v>105050</v>
      </c>
      <c r="AA123" s="46" t="n">
        <v>35050</v>
      </c>
      <c r="AB123" s="46" t="n">
        <v>160990</v>
      </c>
      <c r="AC123" s="46" t="s">
        <v>420</v>
      </c>
      <c r="AD123" s="47" t="n">
        <v>36326</v>
      </c>
      <c r="AE123" s="63" t="n">
        <f aca="false">ROUNDUP(DAYS360(AD123,$AE$3)/365,0)</f>
        <v>3</v>
      </c>
      <c r="AL123" s="43" t="n">
        <f aca="false">IF(AC123="N",V123,0)</f>
        <v>0</v>
      </c>
      <c r="AM123" s="43" t="n">
        <f aca="false">IF(AL123&gt;0,1,0)</f>
        <v>0</v>
      </c>
    </row>
    <row r="124" customFormat="false" ht="12.75" hidden="false" customHeight="false" outlineLevel="0" collapsed="false">
      <c r="D124" s="8"/>
      <c r="H124" s="61"/>
      <c r="I124" s="61"/>
      <c r="J124" s="61"/>
      <c r="K124" s="61"/>
      <c r="L124" s="61"/>
      <c r="M124" s="61"/>
      <c r="N124" s="61"/>
      <c r="O124" s="61"/>
      <c r="P124" s="61"/>
      <c r="Q124" s="61"/>
      <c r="R124" s="61"/>
      <c r="AE124" s="63"/>
      <c r="AL124" s="43" t="n">
        <f aca="false">IF(AC124="N",V124,0)</f>
        <v>0</v>
      </c>
      <c r="AM124" s="43" t="n">
        <f aca="false">IF(AL124&gt;0,1,0)</f>
        <v>0</v>
      </c>
    </row>
    <row r="125" customFormat="false" ht="12.75" hidden="false" customHeight="false" outlineLevel="0" collapsed="false">
      <c r="H125" s="61"/>
      <c r="I125" s="61"/>
      <c r="J125" s="61"/>
      <c r="K125" s="61"/>
      <c r="L125" s="61"/>
      <c r="M125" s="61"/>
      <c r="N125" s="61"/>
      <c r="O125" s="61"/>
      <c r="P125" s="61"/>
      <c r="Q125" s="61"/>
      <c r="R125" s="61"/>
      <c r="AE125" s="63"/>
      <c r="AL125" s="43" t="n">
        <f aca="false">IF(AC125="N",V125,0)</f>
        <v>0</v>
      </c>
      <c r="AM125" s="43" t="n">
        <f aca="false">IF(AL125&gt;0,1,0)</f>
        <v>0</v>
      </c>
    </row>
    <row r="126" customFormat="false" ht="39" hidden="false" customHeight="false" outlineLevel="0" collapsed="false">
      <c r="A126" s="83" t="s">
        <v>140</v>
      </c>
      <c r="B126" s="43" t="s">
        <v>141</v>
      </c>
      <c r="F126" s="48" t="n">
        <v>79981</v>
      </c>
      <c r="G126" s="48" t="n">
        <f aca="false">F126/52</f>
        <v>1538.09615384615</v>
      </c>
      <c r="H126" s="61" t="n">
        <f aca="false">IF(AC126="N",IF(F126&lt;$G$3,$F$3*G126*AE126,IF(F126&lt;$G$2,$F$2*G126*AE126,$F$1*G126*AE126)),0)</f>
        <v>0</v>
      </c>
      <c r="I126" s="61" t="n">
        <f aca="false">IF(AC126="Y",(IF(F126&lt;$G$3,$F$3*G126*AE126,IF(F126&lt;$G$2,$F$2*G126*AE126,$F$1*G126*AE126))*$L$2),0)</f>
        <v>18457.1538461538</v>
      </c>
      <c r="J126" s="61"/>
      <c r="K126" s="61" t="n">
        <f aca="false">IF(AC126="N",(MIN((($F$3*G126*AE126+ROUNDUP((F126/10000),0)*G126)*2),F126)),0)</f>
        <v>0</v>
      </c>
      <c r="L126" s="61" t="n">
        <f aca="false">IF(AC126="Y",(MIN((($F$3*G126*AE126+ROUNDUP((F126/10000),0)*G126)*2),F126))*$L$2,0)</f>
        <v>55371.4615384615</v>
      </c>
      <c r="M126" s="61" t="n">
        <f aca="false">IF(AC126="N",IF((F126/10000*G126*$M$2)&gt;F126*$M$1,F126*$M$1,(F126/10000*G126*$M$2)),0)</f>
        <v>0</v>
      </c>
      <c r="N126" s="61" t="n">
        <f aca="false">IF(AC126="Y",(IF((F126/10000*G126*$M$2)&gt;F126*$M$1,F126*$M$1,(F126/10000*G126*$M$2)))*$L$2,0)</f>
        <v>36905.5405442308</v>
      </c>
      <c r="O126" s="61" t="n">
        <f aca="false">MAX(IF(F126&lt;$G$3,$F$3*G126*AE126,IF(F126&lt;$G$2,$F$2*G126*AE126,$F$1*G126*AE126)),IF((F126/10000*G126*$M$2)&gt;F126*$M$1,F126*$M$1,(F126/10000*G126*$M$2)))</f>
        <v>24603.6936961538</v>
      </c>
      <c r="P126" s="61" t="n">
        <f aca="false">MIN(IF(F126&lt;$G$3,$F$3*G126*AE126,IF(F126&lt;$G$2,$F$2*G126*AE126,$F$1*G126*AE126)),IF((F126/10000*G126*$M$2)&gt;F126*$M$1,F126*$M$1,(F126/10000*G126*$M$2)))</f>
        <v>12304.7692307692</v>
      </c>
      <c r="Q126" s="61" t="n">
        <f aca="false">MAX(I126,N126)</f>
        <v>36905.5405442308</v>
      </c>
      <c r="R126" s="61" t="n">
        <f aca="false">MIN(I126,N126)</f>
        <v>18457.1538461538</v>
      </c>
      <c r="S126" s="62" t="n">
        <f aca="false">F126/10000</f>
        <v>7.9981</v>
      </c>
      <c r="T126" s="62" t="n">
        <f aca="false">ROUNDUP(S126,0)</f>
        <v>8</v>
      </c>
      <c r="U126" s="44" t="s">
        <v>40</v>
      </c>
      <c r="V126" s="44" t="n">
        <f aca="false">F126</f>
        <v>79981</v>
      </c>
      <c r="W126" s="45" t="n">
        <v>35000</v>
      </c>
      <c r="Y126" s="45" t="n">
        <f aca="false">(W126+X126)</f>
        <v>35000</v>
      </c>
      <c r="AB126" s="46" t="n">
        <v>28410</v>
      </c>
      <c r="AC126" s="46" t="s">
        <v>420</v>
      </c>
      <c r="AD126" s="47" t="n">
        <v>35947</v>
      </c>
      <c r="AE126" s="63" t="n">
        <f aca="false">ROUNDUP(DAYS360(AD126,$AE$3)/365,0)</f>
        <v>4</v>
      </c>
      <c r="AL126" s="43" t="n">
        <f aca="false">IF(AC126="N",V126,0)</f>
        <v>0</v>
      </c>
      <c r="AM126" s="43" t="n">
        <f aca="false">IF(AL126&gt;0,1,0)</f>
        <v>0</v>
      </c>
    </row>
    <row r="127" customFormat="false" ht="12.75" hidden="false" customHeight="false" outlineLevel="0" collapsed="false">
      <c r="A127" s="83"/>
      <c r="B127" s="43" t="s">
        <v>232</v>
      </c>
      <c r="F127" s="48" t="n">
        <v>39737</v>
      </c>
      <c r="G127" s="48" t="n">
        <f aca="false">F127/52</f>
        <v>764.173076923077</v>
      </c>
      <c r="H127" s="61" t="n">
        <f aca="false">IF(AC127="N",IF(F127&lt;$G$3,$F$3*G127*AE127,IF(F127&lt;$G$2,$F$2*G127*AE127,$F$1*G127*AE127)),0)</f>
        <v>0</v>
      </c>
      <c r="I127" s="61" t="n">
        <f aca="false">IF(AC127="Y",(IF(F127&lt;$G$3,$F$3*G127*AE127,IF(F127&lt;$G$2,$F$2*G127*AE127,$F$1*G127*AE127))*$L$2),0)</f>
        <v>6877.55769230769</v>
      </c>
      <c r="J127" s="61"/>
      <c r="K127" s="61" t="n">
        <f aca="false">IF(AC127="N",(MIN((($F$3*G127*AE127+ROUNDUP((F127/10000),0)*G127)*2),F127)),0)</f>
        <v>0</v>
      </c>
      <c r="L127" s="61" t="n">
        <f aca="false">IF(AC127="Y",(MIN((($F$3*G127*AE127+ROUNDUP((F127/10000),0)*G127)*2),F127))*$L$2,0)</f>
        <v>22925.1923076923</v>
      </c>
      <c r="M127" s="61" t="n">
        <f aca="false">IF(AC127="N",IF((F127/10000*G127*$M$2)&gt;F127*$M$1,F127*$M$1,(F127/10000*G127*$M$2)),0)</f>
        <v>0</v>
      </c>
      <c r="N127" s="61" t="n">
        <f aca="false">IF(AC127="Y",(IF((F127/10000*G127*$M$2)&gt;F127*$M$1,F127*$M$1,(F127/10000*G127*$M$2)))*$L$2,0)</f>
        <v>9109.78366730769</v>
      </c>
      <c r="O127" s="61" t="n">
        <f aca="false">MAX(IF(F127&lt;$G$3,$F$3*G127*AE127,IF(F127&lt;$G$2,$F$2*G127*AE127,$F$1*G127*AE127)),IF((F127/10000*G127*$M$2)&gt;F127*$M$1,F127*$M$1,(F127/10000*G127*$M$2)))</f>
        <v>6073.18911153846</v>
      </c>
      <c r="P127" s="61" t="n">
        <f aca="false">MIN(IF(F127&lt;$G$3,$F$3*G127*AE127,IF(F127&lt;$G$2,$F$2*G127*AE127,$F$1*G127*AE127)),IF((F127/10000*G127*$M$2)&gt;F127*$M$1,F127*$M$1,(F127/10000*G127*$M$2)))</f>
        <v>4585.03846153846</v>
      </c>
      <c r="Q127" s="61" t="n">
        <f aca="false">MAX(I127,N127)</f>
        <v>9109.78366730769</v>
      </c>
      <c r="R127" s="61" t="n">
        <f aca="false">MIN(I127,N127)</f>
        <v>6877.55769230769</v>
      </c>
      <c r="S127" s="62" t="n">
        <f aca="false">F127/10000</f>
        <v>3.9737</v>
      </c>
      <c r="T127" s="62" t="n">
        <f aca="false">ROUNDUP(S127,0)</f>
        <v>4</v>
      </c>
      <c r="U127" s="44" t="s">
        <v>40</v>
      </c>
      <c r="V127" s="44" t="n">
        <f aca="false">F127</f>
        <v>39737</v>
      </c>
      <c r="Y127" s="45" t="n">
        <f aca="false">(W127+X127)</f>
        <v>0</v>
      </c>
      <c r="AC127" s="46" t="s">
        <v>420</v>
      </c>
      <c r="AD127" s="47" t="n">
        <v>35086</v>
      </c>
      <c r="AE127" s="63" t="n">
        <f aca="false">ROUNDUP(DAYS360(AD127,$AE$3)/365,0)</f>
        <v>6</v>
      </c>
      <c r="AL127" s="43" t="n">
        <f aca="false">IF(AC127="N",V127,0)</f>
        <v>0</v>
      </c>
      <c r="AM127" s="43" t="n">
        <f aca="false">IF(AL127&gt;0,1,0)</f>
        <v>0</v>
      </c>
    </row>
    <row r="128" customFormat="false" ht="12.75" hidden="false" customHeight="false" outlineLevel="0" collapsed="false">
      <c r="A128" s="83"/>
      <c r="B128" s="43" t="s">
        <v>229</v>
      </c>
      <c r="F128" s="48" t="n">
        <v>40987</v>
      </c>
      <c r="G128" s="48" t="n">
        <f aca="false">F128/52</f>
        <v>788.211538461539</v>
      </c>
      <c r="H128" s="61" t="n">
        <f aca="false">IF(AC128="N",IF(F128&lt;$G$3,$F$3*G128*AE128,IF(F128&lt;$G$2,$F$2*G128*AE128,$F$1*G128*AE128)),0)</f>
        <v>0</v>
      </c>
      <c r="I128" s="61" t="n">
        <f aca="false">IF(AC128="Y",(IF(F128&lt;$G$3,$F$3*G128*AE128,IF(F128&lt;$G$2,$F$2*G128*AE128,$F$1*G128*AE128))*$L$2),0)</f>
        <v>7093.90384615385</v>
      </c>
      <c r="J128" s="61"/>
      <c r="K128" s="61" t="n">
        <f aca="false">IF(AC128="N",(MIN((($F$3*G128*AE128+ROUNDUP((F128/10000),0)*G128)*2),F128)),0)</f>
        <v>0</v>
      </c>
      <c r="L128" s="61" t="n">
        <f aca="false">IF(AC128="Y",(MIN((($F$3*G128*AE128+ROUNDUP((F128/10000),0)*G128)*2),F128))*$L$2,0)</f>
        <v>26010.9807692308</v>
      </c>
      <c r="M128" s="61" t="n">
        <f aca="false">IF(AC128="N",IF((F128/10000*G128*$M$2)&gt;F128*$M$1,F128*$M$1,(F128/10000*G128*$M$2)),0)</f>
        <v>0</v>
      </c>
      <c r="N128" s="61" t="n">
        <f aca="false">IF(AC128="Y",(IF((F128/10000*G128*$M$2)&gt;F128*$M$1,F128*$M$1,(F128/10000*G128*$M$2)))*$L$2,0)</f>
        <v>9691.92789807692</v>
      </c>
      <c r="O128" s="61" t="n">
        <f aca="false">MAX(IF(F128&lt;$G$3,$F$3*G128*AE128,IF(F128&lt;$G$2,$F$2*G128*AE128,$F$1*G128*AE128)),IF((F128/10000*G128*$M$2)&gt;F128*$M$1,F128*$M$1,(F128/10000*G128*$M$2)))</f>
        <v>6461.28526538462</v>
      </c>
      <c r="P128" s="61" t="n">
        <f aca="false">MIN(IF(F128&lt;$G$3,$F$3*G128*AE128,IF(F128&lt;$G$2,$F$2*G128*AE128,$F$1*G128*AE128)),IF((F128/10000*G128*$M$2)&gt;F128*$M$1,F128*$M$1,(F128/10000*G128*$M$2)))</f>
        <v>4729.26923076923</v>
      </c>
      <c r="Q128" s="61" t="n">
        <f aca="false">MAX(I128,N128)</f>
        <v>9691.92789807692</v>
      </c>
      <c r="R128" s="61" t="n">
        <f aca="false">MIN(I128,N128)</f>
        <v>7093.90384615385</v>
      </c>
      <c r="S128" s="62" t="n">
        <f aca="false">F128/10000</f>
        <v>4.0987</v>
      </c>
      <c r="T128" s="62" t="n">
        <f aca="false">ROUNDUP(S128,0)</f>
        <v>5</v>
      </c>
      <c r="U128" s="44" t="s">
        <v>40</v>
      </c>
      <c r="V128" s="44" t="n">
        <f aca="false">F128</f>
        <v>40987</v>
      </c>
      <c r="Y128" s="45" t="n">
        <f aca="false">(W128+X128)</f>
        <v>0</v>
      </c>
      <c r="AC128" s="46" t="s">
        <v>420</v>
      </c>
      <c r="AD128" s="59" t="n">
        <v>35065</v>
      </c>
      <c r="AE128" s="63" t="n">
        <f aca="false">ROUNDUP(DAYS360(AD128,$AE$3)/365,0)</f>
        <v>6</v>
      </c>
      <c r="AL128" s="43" t="n">
        <f aca="false">IF(AC128="N",V128,0)</f>
        <v>0</v>
      </c>
      <c r="AM128" s="43" t="n">
        <f aca="false">IF(AL128&gt;0,1,0)</f>
        <v>0</v>
      </c>
    </row>
    <row r="129" customFormat="false" ht="12.75" hidden="false" customHeight="false" outlineLevel="0" collapsed="false">
      <c r="A129" s="83"/>
      <c r="B129" s="43" t="s">
        <v>224</v>
      </c>
      <c r="F129" s="48" t="n">
        <v>42987</v>
      </c>
      <c r="G129" s="48" t="n">
        <f aca="false">F129/52</f>
        <v>826.673076923077</v>
      </c>
      <c r="H129" s="61" t="n">
        <f aca="false">IF(AC129="N",IF(F129&lt;$G$3,$F$3*G129*AE129,IF(F129&lt;$G$2,$F$2*G129*AE129,$F$1*G129*AE129)),0)</f>
        <v>0</v>
      </c>
      <c r="I129" s="61" t="n">
        <f aca="false">IF(AC129="Y",(IF(F129&lt;$G$3,$F$3*G129*AE129,IF(F129&lt;$G$2,$F$2*G129*AE129,$F$1*G129*AE129))*$L$2),0)</f>
        <v>7440.05769230769</v>
      </c>
      <c r="J129" s="61"/>
      <c r="K129" s="61" t="n">
        <f aca="false">IF(AC129="N",(MIN((($F$3*G129*AE129+ROUNDUP((F129/10000),0)*G129)*2),F129)),0)</f>
        <v>0</v>
      </c>
      <c r="L129" s="61" t="n">
        <f aca="false">IF(AC129="Y",(MIN((($F$3*G129*AE129+ROUNDUP((F129/10000),0)*G129)*2),F129))*$L$2,0)</f>
        <v>27280.2115384615</v>
      </c>
      <c r="M129" s="61" t="n">
        <f aca="false">IF(AC129="N",IF((F129/10000*G129*$M$2)&gt;F129*$M$1,F129*$M$1,(F129/10000*G129*$M$2)),0)</f>
        <v>0</v>
      </c>
      <c r="N129" s="61" t="n">
        <f aca="false">IF(AC129="Y",(IF((F129/10000*G129*$M$2)&gt;F129*$M$1,F129*$M$1,(F129/10000*G129*$M$2)))*$L$2,0)</f>
        <v>10660.8586673077</v>
      </c>
      <c r="O129" s="61" t="n">
        <f aca="false">MAX(IF(F129&lt;$G$3,$F$3*G129*AE129,IF(F129&lt;$G$2,$F$2*G129*AE129,$F$1*G129*AE129)),IF((F129/10000*G129*$M$2)&gt;F129*$M$1,F129*$M$1,(F129/10000*G129*$M$2)))</f>
        <v>7107.23911153846</v>
      </c>
      <c r="P129" s="61" t="n">
        <f aca="false">MIN(IF(F129&lt;$G$3,$F$3*G129*AE129,IF(F129&lt;$G$2,$F$2*G129*AE129,$F$1*G129*AE129)),IF((F129/10000*G129*$M$2)&gt;F129*$M$1,F129*$M$1,(F129/10000*G129*$M$2)))</f>
        <v>4960.03846153846</v>
      </c>
      <c r="Q129" s="61" t="n">
        <f aca="false">MAX(I129,N129)</f>
        <v>10660.8586673077</v>
      </c>
      <c r="R129" s="61" t="n">
        <f aca="false">MIN(I129,N129)</f>
        <v>7440.05769230769</v>
      </c>
      <c r="S129" s="62" t="n">
        <f aca="false">F129/10000</f>
        <v>4.2987</v>
      </c>
      <c r="T129" s="62" t="n">
        <f aca="false">ROUNDUP(S129,0)</f>
        <v>5</v>
      </c>
      <c r="U129" s="44" t="s">
        <v>40</v>
      </c>
      <c r="V129" s="44" t="n">
        <f aca="false">F129</f>
        <v>42987</v>
      </c>
      <c r="Y129" s="45" t="n">
        <f aca="false">(W129+X129)</f>
        <v>0</v>
      </c>
      <c r="AC129" s="46" t="s">
        <v>420</v>
      </c>
      <c r="AD129" s="59" t="n">
        <v>35065</v>
      </c>
      <c r="AE129" s="63" t="n">
        <f aca="false">ROUNDUP(DAYS360(AD129,$AE$3)/365,0)</f>
        <v>6</v>
      </c>
      <c r="AL129" s="43" t="n">
        <f aca="false">IF(AC129="N",V129,0)</f>
        <v>0</v>
      </c>
      <c r="AM129" s="43" t="n">
        <f aca="false">IF(AL129&gt;0,1,0)</f>
        <v>0</v>
      </c>
    </row>
    <row r="130" customFormat="false" ht="12.75" hidden="false" customHeight="false" outlineLevel="0" collapsed="false">
      <c r="A130" s="83"/>
      <c r="B130" s="43" t="s">
        <v>244</v>
      </c>
      <c r="F130" s="48" t="n">
        <v>30026</v>
      </c>
      <c r="G130" s="48" t="n">
        <f aca="false">F130/52</f>
        <v>577.423076923077</v>
      </c>
      <c r="H130" s="61" t="n">
        <f aca="false">IF(AC130="N",IF(F130&lt;$G$3,$F$3*G130*AE130,IF(F130&lt;$G$2,$F$2*G130*AE130,$F$1*G130*AE130)),0)</f>
        <v>0</v>
      </c>
      <c r="I130" s="61" t="n">
        <f aca="false">IF(AC130="Y",(IF(F130&lt;$G$3,$F$3*G130*AE130,IF(F130&lt;$G$2,$F$2*G130*AE130,$F$1*G130*AE130))*$L$2),0)</f>
        <v>866.134615384615</v>
      </c>
      <c r="J130" s="61"/>
      <c r="K130" s="61" t="n">
        <f aca="false">IF(AC130="N",(MIN((($F$3*G130*AE130+ROUNDUP((F130/10000),0)*G130)*2),F130)),0)</f>
        <v>0</v>
      </c>
      <c r="L130" s="61" t="n">
        <f aca="false">IF(AC130="Y",(MIN((($F$3*G130*AE130+ROUNDUP((F130/10000),0)*G130)*2),F130))*$L$2,0)</f>
        <v>8661.34615384615</v>
      </c>
      <c r="M130" s="61" t="n">
        <f aca="false">IF(AC130="N",IF((F130/10000*G130*$M$2)&gt;F130*$M$1,F130*$M$1,(F130/10000*G130*$M$2)),0)</f>
        <v>0</v>
      </c>
      <c r="N130" s="61" t="n">
        <f aca="false">IF(AC130="Y",(IF((F130/10000*G130*$M$2)&gt;F130*$M$1,F130*$M$1,(F130/10000*G130*$M$2)))*$L$2,0)</f>
        <v>5201.31159230769</v>
      </c>
      <c r="O130" s="61" t="n">
        <f aca="false">MAX(IF(F130&lt;$G$3,$F$3*G130*AE130,IF(F130&lt;$G$2,$F$2*G130*AE130,$F$1*G130*AE130)),IF((F130/10000*G130*$M$2)&gt;F130*$M$1,F130*$M$1,(F130/10000*G130*$M$2)))</f>
        <v>3467.54106153846</v>
      </c>
      <c r="P130" s="61" t="n">
        <f aca="false">MIN(IF(F130&lt;$G$3,$F$3*G130*AE130,IF(F130&lt;$G$2,$F$2*G130*AE130,$F$1*G130*AE130)),IF((F130/10000*G130*$M$2)&gt;F130*$M$1,F130*$M$1,(F130/10000*G130*$M$2)))</f>
        <v>577.423076923077</v>
      </c>
      <c r="Q130" s="61" t="n">
        <f aca="false">MAX(I130,N130)</f>
        <v>5201.31159230769</v>
      </c>
      <c r="R130" s="61" t="n">
        <f aca="false">MIN(I130,N130)</f>
        <v>866.134615384615</v>
      </c>
      <c r="S130" s="62" t="n">
        <f aca="false">F130/10000</f>
        <v>3.0026</v>
      </c>
      <c r="T130" s="62" t="n">
        <f aca="false">ROUNDUP(S130,0)</f>
        <v>4</v>
      </c>
      <c r="U130" s="44" t="s">
        <v>40</v>
      </c>
      <c r="V130" s="44" t="n">
        <f aca="false">F130</f>
        <v>30026</v>
      </c>
      <c r="Y130" s="45" t="n">
        <f aca="false">(W130+X130)</f>
        <v>0</v>
      </c>
      <c r="AC130" s="46" t="s">
        <v>420</v>
      </c>
      <c r="AD130" s="47" t="n">
        <v>36740</v>
      </c>
      <c r="AE130" s="63" t="n">
        <f aca="false">ROUNDUP(DAYS360(AD130,$AE$3)/365,0)</f>
        <v>1</v>
      </c>
      <c r="AL130" s="43" t="n">
        <f aca="false">IF(AC130="N",V130,0)</f>
        <v>0</v>
      </c>
      <c r="AM130" s="43" t="n">
        <f aca="false">IF(AL130&gt;0,1,0)</f>
        <v>0</v>
      </c>
    </row>
    <row r="131" customFormat="false" ht="12.75" hidden="false" customHeight="false" outlineLevel="0" collapsed="false">
      <c r="A131" s="83"/>
      <c r="B131" s="43" t="s">
        <v>275</v>
      </c>
      <c r="F131" s="48" t="n">
        <v>5074</v>
      </c>
      <c r="G131" s="48" t="n">
        <f aca="false">F131/52</f>
        <v>97.5769230769231</v>
      </c>
      <c r="H131" s="61" t="n">
        <f aca="false">IF(AC131="N",IF(F131&lt;$G$3,$F$3*G131*AE131,IF(F131&lt;$G$2,$F$2*G131*AE131,$F$1*G131*AE131)),0)</f>
        <v>0</v>
      </c>
      <c r="I131" s="61" t="n">
        <f aca="false">IF(AC131="Y",(IF(F131&lt;$G$3,$F$3*G131*AE131,IF(F131&lt;$G$2,$F$2*G131*AE131,$F$1*G131*AE131))*$L$2),0)</f>
        <v>878.192307692308</v>
      </c>
      <c r="J131" s="61"/>
      <c r="K131" s="61" t="n">
        <f aca="false">IF(AC131="N",(MIN((($F$3*G131*AE131+ROUNDUP((F131/10000),0)*G131)*2),F131)),0)</f>
        <v>0</v>
      </c>
      <c r="L131" s="61" t="n">
        <f aca="false">IF(AC131="Y",(MIN((($F$3*G131*AE131+ROUNDUP((F131/10000),0)*G131)*2),F131))*$L$2,0)</f>
        <v>2049.11538461538</v>
      </c>
      <c r="M131" s="61" t="n">
        <f aca="false">IF(AC131="N",IF((F131/10000*G131*$M$2)&gt;F131*$M$1,F131*$M$1,(F131/10000*G131*$M$2)),0)</f>
        <v>0</v>
      </c>
      <c r="N131" s="61" t="n">
        <f aca="false">IF(AC131="Y",(IF((F131/10000*G131*$M$2)&gt;F131*$M$1,F131*$M$1,(F131/10000*G131*$M$2)))*$L$2,0)</f>
        <v>148.531592307692</v>
      </c>
      <c r="O131" s="61" t="n">
        <f aca="false">MAX(IF(F131&lt;$G$3,$F$3*G131*AE131,IF(F131&lt;$G$2,$F$2*G131*AE131,$F$1*G131*AE131)),IF((F131/10000*G131*$M$2)&gt;F131*$M$1,F131*$M$1,(F131/10000*G131*$M$2)))</f>
        <v>585.461538461539</v>
      </c>
      <c r="P131" s="61" t="n">
        <f aca="false">MIN(IF(F131&lt;$G$3,$F$3*G131*AE131,IF(F131&lt;$G$2,$F$2*G131*AE131,$F$1*G131*AE131)),IF((F131/10000*G131*$M$2)&gt;F131*$M$1,F131*$M$1,(F131/10000*G131*$M$2)))</f>
        <v>99.0210615384615</v>
      </c>
      <c r="Q131" s="61" t="n">
        <f aca="false">MAX(I131,N131)</f>
        <v>878.192307692308</v>
      </c>
      <c r="R131" s="61" t="n">
        <f aca="false">MIN(I131,N131)</f>
        <v>148.531592307692</v>
      </c>
      <c r="S131" s="62" t="n">
        <f aca="false">F131/10000</f>
        <v>0.5074</v>
      </c>
      <c r="T131" s="62" t="n">
        <f aca="false">ROUNDUP(S131,0)</f>
        <v>1</v>
      </c>
      <c r="U131" s="44" t="s">
        <v>40</v>
      </c>
      <c r="V131" s="44" t="n">
        <f aca="false">F131</f>
        <v>5074</v>
      </c>
      <c r="Y131" s="45" t="n">
        <f aca="false">(W131+X131)</f>
        <v>0</v>
      </c>
      <c r="AC131" s="46" t="s">
        <v>420</v>
      </c>
      <c r="AD131" s="59" t="n">
        <v>35065</v>
      </c>
      <c r="AE131" s="63" t="n">
        <f aca="false">ROUNDUP(DAYS360(AD131,$AE$3)/365,0)</f>
        <v>6</v>
      </c>
      <c r="AL131" s="43" t="n">
        <f aca="false">IF(AC131="N",V131,0)</f>
        <v>0</v>
      </c>
      <c r="AM131" s="43" t="n">
        <f aca="false">IF(AL131&gt;0,1,0)</f>
        <v>0</v>
      </c>
    </row>
    <row r="132" customFormat="false" ht="12.75" hidden="false" customHeight="false" outlineLevel="0" collapsed="false">
      <c r="A132" s="83"/>
      <c r="B132" s="43" t="s">
        <v>276</v>
      </c>
      <c r="F132" s="48" t="n">
        <v>4857</v>
      </c>
      <c r="G132" s="48" t="n">
        <f aca="false">F132/52</f>
        <v>93.4038461538462</v>
      </c>
      <c r="H132" s="61" t="n">
        <f aca="false">IF(AC132="N",IF(F132&lt;$G$3,$F$3*G132*AE132,IF(F132&lt;$G$2,$F$2*G132*AE132,$F$1*G132*AE132)),0)</f>
        <v>0</v>
      </c>
      <c r="I132" s="61" t="n">
        <f aca="false">IF(AC132="Y",(IF(F132&lt;$G$3,$F$3*G132*AE132,IF(F132&lt;$G$2,$F$2*G132*AE132,$F$1*G132*AE132))*$L$2),0)</f>
        <v>840.634615384615</v>
      </c>
      <c r="J132" s="61"/>
      <c r="K132" s="61" t="n">
        <f aca="false">IF(AC132="N",(MIN((($F$3*G132*AE132+ROUNDUP((F132/10000),0)*G132)*2),F132)),0)</f>
        <v>0</v>
      </c>
      <c r="L132" s="61" t="n">
        <f aca="false">IF(AC132="Y",(MIN((($F$3*G132*AE132+ROUNDUP((F132/10000),0)*G132)*2),F132))*$L$2,0)</f>
        <v>1961.48076923077</v>
      </c>
      <c r="M132" s="61" t="n">
        <f aca="false">IF(AC132="N",IF((F132/10000*G132*$M$2)&gt;F132*$M$1,F132*$M$1,(F132/10000*G132*$M$2)),0)</f>
        <v>0</v>
      </c>
      <c r="N132" s="61" t="n">
        <f aca="false">IF(AC132="Y",(IF((F132/10000*G132*$M$2)&gt;F132*$M$1,F132*$M$1,(F132/10000*G132*$M$2)))*$L$2,0)</f>
        <v>136.098744230769</v>
      </c>
      <c r="O132" s="61" t="n">
        <f aca="false">MAX(IF(F132&lt;$G$3,$F$3*G132*AE132,IF(F132&lt;$G$2,$F$2*G132*AE132,$F$1*G132*AE132)),IF((F132/10000*G132*$M$2)&gt;F132*$M$1,F132*$M$1,(F132/10000*G132*$M$2)))</f>
        <v>560.423076923077</v>
      </c>
      <c r="P132" s="61" t="n">
        <f aca="false">MIN(IF(F132&lt;$G$3,$F$3*G132*AE132,IF(F132&lt;$G$2,$F$2*G132*AE132,$F$1*G132*AE132)),IF((F132/10000*G132*$M$2)&gt;F132*$M$1,F132*$M$1,(F132/10000*G132*$M$2)))</f>
        <v>90.7324961538462</v>
      </c>
      <c r="Q132" s="61" t="n">
        <f aca="false">MAX(I132,N132)</f>
        <v>840.634615384615</v>
      </c>
      <c r="R132" s="61" t="n">
        <f aca="false">MIN(I132,N132)</f>
        <v>136.098744230769</v>
      </c>
      <c r="S132" s="62" t="n">
        <f aca="false">F132/10000</f>
        <v>0.4857</v>
      </c>
      <c r="T132" s="62" t="n">
        <f aca="false">ROUNDUP(S132,0)</f>
        <v>1</v>
      </c>
      <c r="U132" s="44" t="s">
        <v>40</v>
      </c>
      <c r="V132" s="44" t="n">
        <f aca="false">F132</f>
        <v>4857</v>
      </c>
      <c r="Y132" s="45" t="n">
        <f aca="false">(W132+X132)</f>
        <v>0</v>
      </c>
      <c r="AC132" s="46" t="s">
        <v>420</v>
      </c>
      <c r="AD132" s="59" t="n">
        <v>35065</v>
      </c>
      <c r="AE132" s="63" t="n">
        <f aca="false">ROUNDUP(DAYS360(AD132,$AE$3)/365,0)</f>
        <v>6</v>
      </c>
      <c r="AL132" s="43" t="n">
        <f aca="false">IF(AC132="N",V132,0)</f>
        <v>0</v>
      </c>
      <c r="AM132" s="43" t="n">
        <f aca="false">IF(AL132&gt;0,1,0)</f>
        <v>0</v>
      </c>
    </row>
    <row r="133" customFormat="false" ht="12.75" hidden="false" customHeight="false" outlineLevel="0" collapsed="false">
      <c r="A133" s="83"/>
      <c r="B133" s="43" t="s">
        <v>292</v>
      </c>
      <c r="F133" s="48" t="n">
        <v>1943</v>
      </c>
      <c r="G133" s="48" t="n">
        <f aca="false">F133/52</f>
        <v>37.3653846153846</v>
      </c>
      <c r="H133" s="61" t="n">
        <f aca="false">IF(AC133="N",IF(F133&lt;$G$3,$F$3*G133*AE133,IF(F133&lt;$G$2,$F$2*G133*AE133,$F$1*G133*AE133)),0)</f>
        <v>0</v>
      </c>
      <c r="I133" s="61" t="n">
        <f aca="false">IF(AC133="Y",(IF(F133&lt;$G$3,$F$3*G133*AE133,IF(F133&lt;$G$2,$F$2*G133*AE133,$F$1*G133*AE133))*$L$2),0)</f>
        <v>336.288461538462</v>
      </c>
      <c r="J133" s="61"/>
      <c r="K133" s="61" t="n">
        <f aca="false">IF(AC133="N",(MIN((($F$3*G133*AE133+ROUNDUP((F133/10000),0)*G133)*2),F133)),0)</f>
        <v>0</v>
      </c>
      <c r="L133" s="61" t="n">
        <f aca="false">IF(AC133="Y",(MIN((($F$3*G133*AE133+ROUNDUP((F133/10000),0)*G133)*2),F133))*$L$2,0)</f>
        <v>784.673076923077</v>
      </c>
      <c r="M133" s="61" t="n">
        <f aca="false">IF(AC133="N",IF((F133/10000*G133*$M$2)&gt;F133*$M$1,F133*$M$1,(F133/10000*G133*$M$2)),0)</f>
        <v>0</v>
      </c>
      <c r="N133" s="61" t="n">
        <f aca="false">IF(AC133="Y",(IF((F133/10000*G133*$M$2)&gt;F133*$M$1,F133*$M$1,(F133/10000*G133*$M$2)))*$L$2,0)</f>
        <v>21.7802826923077</v>
      </c>
      <c r="O133" s="61" t="n">
        <f aca="false">MAX(IF(F133&lt;$G$3,$F$3*G133*AE133,IF(F133&lt;$G$2,$F$2*G133*AE133,$F$1*G133*AE133)),IF((F133/10000*G133*$M$2)&gt;F133*$M$1,F133*$M$1,(F133/10000*G133*$M$2)))</f>
        <v>224.192307692308</v>
      </c>
      <c r="P133" s="61" t="n">
        <f aca="false">MIN(IF(F133&lt;$G$3,$F$3*G133*AE133,IF(F133&lt;$G$2,$F$2*G133*AE133,$F$1*G133*AE133)),IF((F133/10000*G133*$M$2)&gt;F133*$M$1,F133*$M$1,(F133/10000*G133*$M$2)))</f>
        <v>14.5201884615385</v>
      </c>
      <c r="Q133" s="61" t="n">
        <f aca="false">MAX(I133,N133)</f>
        <v>336.288461538462</v>
      </c>
      <c r="R133" s="61" t="n">
        <f aca="false">MIN(I133,N133)</f>
        <v>21.7802826923077</v>
      </c>
      <c r="S133" s="62" t="n">
        <f aca="false">F133/10000</f>
        <v>0.1943</v>
      </c>
      <c r="T133" s="62" t="n">
        <f aca="false">ROUNDUP(S133,0)</f>
        <v>1</v>
      </c>
      <c r="U133" s="44" t="s">
        <v>40</v>
      </c>
      <c r="V133" s="44" t="n">
        <f aca="false">F133</f>
        <v>1943</v>
      </c>
      <c r="Y133" s="45" t="n">
        <f aca="false">(W133+X133)</f>
        <v>0</v>
      </c>
      <c r="AC133" s="46" t="s">
        <v>420</v>
      </c>
      <c r="AD133" s="59" t="n">
        <v>35065</v>
      </c>
      <c r="AE133" s="63" t="n">
        <f aca="false">ROUNDUP(DAYS360(AD133,$AE$3)/365,0)</f>
        <v>6</v>
      </c>
      <c r="AL133" s="43" t="n">
        <f aca="false">IF(AC133="N",V133,0)</f>
        <v>0</v>
      </c>
      <c r="AM133" s="43" t="n">
        <f aca="false">IF(AL133&gt;0,1,0)</f>
        <v>0</v>
      </c>
    </row>
    <row r="134" customFormat="false" ht="12.75" hidden="false" customHeight="false" outlineLevel="0" collapsed="false">
      <c r="H134" s="61"/>
      <c r="I134" s="61"/>
      <c r="J134" s="61"/>
      <c r="K134" s="61"/>
      <c r="L134" s="61"/>
      <c r="M134" s="61"/>
      <c r="N134" s="61"/>
      <c r="O134" s="61"/>
      <c r="P134" s="61"/>
      <c r="Q134" s="61"/>
      <c r="R134" s="61"/>
      <c r="AE134" s="63"/>
      <c r="AL134" s="43" t="n">
        <f aca="false">IF(AC134="N",V134,0)</f>
        <v>0</v>
      </c>
      <c r="AM134" s="43" t="n">
        <f aca="false">IF(AL134&gt;0,1,0)</f>
        <v>0</v>
      </c>
    </row>
    <row r="135" customFormat="false" ht="12.75" hidden="false" customHeight="false" outlineLevel="0" collapsed="false">
      <c r="H135" s="61"/>
      <c r="I135" s="61"/>
      <c r="J135" s="61"/>
      <c r="K135" s="61"/>
      <c r="L135" s="61"/>
      <c r="M135" s="61"/>
      <c r="N135" s="61"/>
      <c r="O135" s="61"/>
      <c r="P135" s="61"/>
      <c r="Q135" s="61"/>
      <c r="R135" s="61"/>
      <c r="AE135" s="63"/>
      <c r="AL135" s="43" t="n">
        <f aca="false">IF(AC135="N",V135,0)</f>
        <v>0</v>
      </c>
      <c r="AM135" s="43" t="n">
        <f aca="false">IF(AL135&gt;0,1,0)</f>
        <v>0</v>
      </c>
    </row>
    <row r="136" customFormat="false" ht="15.75" hidden="false" customHeight="false" outlineLevel="0" collapsed="false">
      <c r="B136" s="51" t="s">
        <v>425</v>
      </c>
      <c r="C136" s="51"/>
      <c r="D136" s="51"/>
      <c r="E136" s="51"/>
      <c r="F136" s="51"/>
      <c r="G136" s="51"/>
      <c r="H136" s="61"/>
      <c r="I136" s="61"/>
      <c r="J136" s="61"/>
      <c r="K136" s="61"/>
      <c r="L136" s="61"/>
      <c r="M136" s="61"/>
      <c r="N136" s="61"/>
      <c r="O136" s="61"/>
      <c r="P136" s="61"/>
      <c r="Q136" s="61"/>
      <c r="R136" s="61"/>
      <c r="S136" s="51"/>
      <c r="T136" s="51"/>
      <c r="U136" s="51"/>
      <c r="V136" s="51"/>
      <c r="W136" s="51"/>
      <c r="X136" s="51"/>
      <c r="Y136" s="51"/>
      <c r="Z136" s="51"/>
      <c r="AA136" s="51"/>
      <c r="AB136" s="51"/>
      <c r="AC136" s="51"/>
      <c r="AE136" s="63"/>
      <c r="AF136" s="51"/>
      <c r="AG136" s="51"/>
      <c r="AH136" s="51"/>
      <c r="AI136" s="51"/>
      <c r="AJ136" s="51"/>
      <c r="AK136" s="51"/>
      <c r="AL136" s="43" t="n">
        <f aca="false">IF(AC136="N",V136,0)</f>
        <v>0</v>
      </c>
      <c r="AM136" s="43" t="n">
        <f aca="false">IF(AL136&gt;0,1,0)</f>
        <v>0</v>
      </c>
    </row>
    <row r="137" customFormat="false" ht="62.25" hidden="false" customHeight="false" outlineLevel="0" collapsed="false">
      <c r="A137" s="83" t="s">
        <v>37</v>
      </c>
      <c r="H137" s="61"/>
      <c r="I137" s="61"/>
      <c r="J137" s="61"/>
      <c r="K137" s="61"/>
      <c r="L137" s="61"/>
      <c r="M137" s="61"/>
      <c r="N137" s="61"/>
      <c r="O137" s="61"/>
      <c r="P137" s="61"/>
      <c r="Q137" s="61"/>
      <c r="R137" s="61"/>
      <c r="AE137" s="63"/>
      <c r="AL137" s="43" t="n">
        <f aca="false">IF(AC137="N",V137,0)</f>
        <v>0</v>
      </c>
      <c r="AM137" s="43" t="n">
        <f aca="false">IF(AL137&gt;0,1,0)</f>
        <v>0</v>
      </c>
    </row>
    <row r="138" customFormat="false" ht="12.75" hidden="false" customHeight="false" outlineLevel="0" collapsed="false">
      <c r="A138" s="83"/>
      <c r="B138" s="43" t="s">
        <v>102</v>
      </c>
      <c r="F138" s="48" t="n">
        <v>161492</v>
      </c>
      <c r="G138" s="48" t="n">
        <f aca="false">F138/52</f>
        <v>3105.61538461538</v>
      </c>
      <c r="H138" s="61" t="n">
        <f aca="false">IF(AC138="N",IF(F138&lt;$G$3,$F$3*G138*AE138,IF(F138&lt;$G$2,$F$2*G138*AE138,$F$1*G138*AE138)),0)</f>
        <v>0</v>
      </c>
      <c r="I138" s="61" t="n">
        <f aca="false">IF(AC138="Y",(IF(F138&lt;$G$3,$F$3*G138*AE138,IF(F138&lt;$G$2,$F$2*G138*AE138,$F$1*G138*AE138))*$L$2),0)</f>
        <v>74534.7692307692</v>
      </c>
      <c r="J138" s="61"/>
      <c r="K138" s="61" t="n">
        <f aca="false">IF(AC138="N",(MIN((($F$3*G138*AE138+ROUNDUP((F138/10000),0)*G138)*2),F138)),0)</f>
        <v>0</v>
      </c>
      <c r="L138" s="61" t="n">
        <f aca="false">IF(AC138="Y",(MIN((($F$3*G138*AE138+ROUNDUP((F138/10000),0)*G138)*2),F138))*$L$2,0)</f>
        <v>195653.769230769</v>
      </c>
      <c r="M138" s="61" t="n">
        <f aca="false">IF(AC138="N",IF((F138/10000*G138*$M$2)&gt;F138*$M$1,F138*$M$1,(F138/10000*G138*$M$2)),0)</f>
        <v>0</v>
      </c>
      <c r="N138" s="61" t="n">
        <f aca="false">IF(AC138="Y",(IF((F138/10000*G138*$M$2)&gt;F138*$M$1,F138*$M$1,(F138/10000*G138*$M$2)))*$L$2,0)</f>
        <v>150459.611907692</v>
      </c>
      <c r="O138" s="61" t="n">
        <f aca="false">MAX(IF(F138&lt;$G$3,$F$3*G138*AE138,IF(F138&lt;$G$2,$F$2*G138*AE138,$F$1*G138*AE138)),IF((F138/10000*G138*$M$2)&gt;F138*$M$1,F138*$M$1,(F138/10000*G138*$M$2)))</f>
        <v>100306.407938462</v>
      </c>
      <c r="P138" s="61" t="n">
        <f aca="false">MIN(IF(F138&lt;$G$3,$F$3*G138*AE138,IF(F138&lt;$G$2,$F$2*G138*AE138,$F$1*G138*AE138)),IF((F138/10000*G138*$M$2)&gt;F138*$M$1,F138*$M$1,(F138/10000*G138*$M$2)))</f>
        <v>49689.8461538462</v>
      </c>
      <c r="Q138" s="61" t="n">
        <f aca="false">MAX(I138,N138)</f>
        <v>150459.611907692</v>
      </c>
      <c r="R138" s="61" t="n">
        <f aca="false">MIN(I138,N138)</f>
        <v>74534.7692307692</v>
      </c>
      <c r="S138" s="62" t="n">
        <f aca="false">F138/10000</f>
        <v>16.1492</v>
      </c>
      <c r="T138" s="62" t="n">
        <f aca="false">ROUNDUP(S138,0)</f>
        <v>17</v>
      </c>
      <c r="U138" s="44" t="s">
        <v>40</v>
      </c>
      <c r="V138" s="44" t="n">
        <f aca="false">F138</f>
        <v>161492</v>
      </c>
      <c r="W138" s="45" t="n">
        <v>225000</v>
      </c>
      <c r="Y138" s="45" t="n">
        <f aca="false">(W138+X138)</f>
        <v>225000</v>
      </c>
      <c r="AC138" s="46" t="s">
        <v>420</v>
      </c>
      <c r="AD138" s="47" t="n">
        <v>35796</v>
      </c>
      <c r="AE138" s="63" t="n">
        <f aca="false">ROUNDUP(DAYS360(AD138,$AE$3)/365,0)</f>
        <v>4</v>
      </c>
      <c r="AL138" s="43" t="n">
        <f aca="false">IF(AC138="N",V138,0)</f>
        <v>0</v>
      </c>
      <c r="AM138" s="43" t="n">
        <f aca="false">IF(AL138&gt;0,1,0)</f>
        <v>0</v>
      </c>
    </row>
    <row r="139" customFormat="false" ht="12.75" hidden="false" customHeight="false" outlineLevel="0" collapsed="false">
      <c r="A139" s="83"/>
      <c r="B139" s="76" t="s">
        <v>76</v>
      </c>
      <c r="C139" s="76"/>
      <c r="D139" s="76"/>
      <c r="E139" s="76"/>
      <c r="F139" s="77" t="n">
        <v>285714</v>
      </c>
      <c r="G139" s="77" t="n">
        <f aca="false">F139/52</f>
        <v>5494.5</v>
      </c>
      <c r="H139" s="61" t="n">
        <f aca="false">IF(AC139="N",IF(F139&lt;$G$3,$F$3*G139*AE139,IF(F139&lt;$G$2,$F$2*G139*AE139,$F$1*G139*AE139)),0)</f>
        <v>0</v>
      </c>
      <c r="I139" s="61" t="n">
        <f aca="false">IF(AC139="Y",(IF(F139&lt;$G$3,$F$3*G139*AE139,IF(F139&lt;$G$2,$F$2*G139*AE139,$F$1*G139*AE139))*$L$2),0)</f>
        <v>461538</v>
      </c>
      <c r="J139" s="61"/>
      <c r="K139" s="61" t="n">
        <f aca="false">IF(AC139="N",(MIN((($F$3*G139*AE139+ROUNDUP((F139/10000),0)*G139)*2),F139)),0)</f>
        <v>0</v>
      </c>
      <c r="L139" s="61" t="n">
        <f aca="false">IF(AC139="Y",(MIN((($F$3*G139*AE139+ROUNDUP((F139/10000),0)*G139)*2),F139))*$L$2,0)</f>
        <v>428571</v>
      </c>
      <c r="M139" s="61" t="n">
        <f aca="false">IF(AC139="N",IF((F139/10000*G139*$M$2)&gt;F139*$M$1,F139*$M$1,(F139/10000*G139*$M$2)),0)</f>
        <v>0</v>
      </c>
      <c r="N139" s="61" t="n">
        <f aca="false">IF(AC139="Y",(IF((F139/10000*G139*$M$2)&gt;F139*$M$1,F139*$M$1,(F139/10000*G139*$M$2)))*$L$2,0)</f>
        <v>321428.25</v>
      </c>
      <c r="O139" s="61" t="n">
        <f aca="false">MAX(IF(F139&lt;$G$3,$F$3*G139*AE139,IF(F139&lt;$G$2,$F$2*G139*AE139,$F$1*G139*AE139)),IF((F139/10000*G139*$M$2)&gt;F139*$M$1,F139*$M$1,(F139/10000*G139*$M$2)))</f>
        <v>307692</v>
      </c>
      <c r="P139" s="61" t="n">
        <f aca="false">MIN(IF(F139&lt;$G$3,$F$3*G139*AE139,IF(F139&lt;$G$2,$F$2*G139*AE139,$F$1*G139*AE139)),IF((F139/10000*G139*$M$2)&gt;F139*$M$1,F139*$M$1,(F139/10000*G139*$M$2)))</f>
        <v>214285.5</v>
      </c>
      <c r="Q139" s="61" t="n">
        <f aca="false">MAX(I139,N139)</f>
        <v>461538</v>
      </c>
      <c r="R139" s="61" t="n">
        <f aca="false">MIN(I139,N139)</f>
        <v>321428.25</v>
      </c>
      <c r="S139" s="78" t="n">
        <f aca="false">F139/10000</f>
        <v>28.5714</v>
      </c>
      <c r="T139" s="78" t="n">
        <f aca="false">ROUNDUP(S139,0)</f>
        <v>29</v>
      </c>
      <c r="U139" s="79" t="s">
        <v>40</v>
      </c>
      <c r="V139" s="79" t="n">
        <f aca="false">F139</f>
        <v>285714</v>
      </c>
      <c r="W139" s="80" t="n">
        <v>422000</v>
      </c>
      <c r="X139" s="80"/>
      <c r="Y139" s="80" t="n">
        <f aca="false">(W139+X139)</f>
        <v>422000</v>
      </c>
      <c r="Z139" s="81"/>
      <c r="AA139" s="81"/>
      <c r="AB139" s="81"/>
      <c r="AC139" s="81" t="s">
        <v>420</v>
      </c>
      <c r="AD139" s="47" t="n">
        <v>31990</v>
      </c>
      <c r="AE139" s="63" t="n">
        <f aca="false">ROUNDUP(DAYS360(AD139,$AE$3)/365,0)</f>
        <v>14</v>
      </c>
      <c r="AF139" s="81"/>
      <c r="AG139" s="81"/>
      <c r="AH139" s="81"/>
      <c r="AI139" s="81"/>
      <c r="AJ139" s="81"/>
      <c r="AK139" s="76"/>
      <c r="AL139" s="43" t="n">
        <f aca="false">IF(AC139="N",V139,0)</f>
        <v>0</v>
      </c>
      <c r="AM139" s="43" t="n">
        <f aca="false">IF(AL139&gt;0,1,0)</f>
        <v>0</v>
      </c>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76"/>
      <c r="BJ139" s="76"/>
      <c r="BK139" s="76"/>
      <c r="BL139" s="76"/>
      <c r="BM139" s="76"/>
      <c r="BN139" s="76"/>
      <c r="BO139" s="76"/>
      <c r="BP139" s="76"/>
      <c r="BQ139" s="76"/>
      <c r="BR139" s="76"/>
      <c r="BS139" s="76"/>
      <c r="BT139" s="76"/>
      <c r="BU139" s="76"/>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c r="EO139" s="76"/>
      <c r="EP139" s="76"/>
      <c r="EQ139" s="76"/>
      <c r="ER139" s="76"/>
      <c r="ES139" s="76"/>
      <c r="ET139" s="76"/>
      <c r="EU139" s="76"/>
      <c r="EV139" s="76"/>
      <c r="EW139" s="76"/>
      <c r="EX139" s="76"/>
      <c r="EY139" s="76"/>
      <c r="EZ139" s="76"/>
      <c r="FA139" s="76"/>
      <c r="FB139" s="76"/>
      <c r="FC139" s="76"/>
      <c r="FD139" s="76"/>
      <c r="FE139" s="76"/>
      <c r="FF139" s="76"/>
      <c r="FG139" s="76"/>
      <c r="FH139" s="76"/>
      <c r="FI139" s="76"/>
      <c r="FJ139" s="76"/>
      <c r="FK139" s="76"/>
      <c r="FL139" s="76"/>
      <c r="FM139" s="76"/>
      <c r="FN139" s="76"/>
      <c r="FO139" s="76"/>
      <c r="FP139" s="76"/>
      <c r="FQ139" s="76"/>
      <c r="FR139" s="76"/>
      <c r="FS139" s="76"/>
      <c r="FT139" s="76"/>
      <c r="FU139" s="76"/>
      <c r="FV139" s="76"/>
      <c r="FW139" s="76"/>
      <c r="FX139" s="76"/>
      <c r="FY139" s="76"/>
      <c r="FZ139" s="76"/>
      <c r="GA139" s="76"/>
      <c r="GB139" s="76"/>
      <c r="GC139" s="76"/>
      <c r="GD139" s="76"/>
      <c r="GE139" s="76"/>
      <c r="GF139" s="76"/>
      <c r="GG139" s="76"/>
      <c r="GH139" s="76"/>
      <c r="GI139" s="76"/>
      <c r="GJ139" s="76"/>
      <c r="GK139" s="76"/>
      <c r="GL139" s="76"/>
      <c r="GM139" s="76"/>
      <c r="GN139" s="76"/>
      <c r="GO139" s="76"/>
      <c r="GP139" s="76"/>
      <c r="GQ139" s="76"/>
      <c r="GR139" s="76"/>
      <c r="GS139" s="76"/>
      <c r="GT139" s="76"/>
      <c r="GU139" s="76"/>
      <c r="GV139" s="76"/>
      <c r="GW139" s="76"/>
      <c r="GX139" s="76"/>
      <c r="GY139" s="76"/>
      <c r="GZ139" s="76"/>
      <c r="HA139" s="76"/>
      <c r="HB139" s="76"/>
      <c r="HC139" s="76"/>
      <c r="HD139" s="76"/>
      <c r="HE139" s="76"/>
      <c r="HF139" s="76"/>
      <c r="HG139" s="76"/>
      <c r="HH139" s="76"/>
      <c r="HI139" s="76"/>
      <c r="HJ139" s="76"/>
      <c r="HK139" s="76"/>
      <c r="HL139" s="76"/>
      <c r="HM139" s="76"/>
      <c r="HN139" s="76"/>
      <c r="HO139" s="76"/>
      <c r="HP139" s="76"/>
      <c r="HQ139" s="76"/>
      <c r="HR139" s="76"/>
      <c r="HS139" s="76"/>
      <c r="HT139" s="76"/>
      <c r="HU139" s="76"/>
      <c r="HV139" s="76"/>
      <c r="HW139" s="76"/>
      <c r="HX139" s="76"/>
      <c r="HY139" s="76"/>
      <c r="HZ139" s="76"/>
      <c r="IA139" s="76"/>
      <c r="IB139" s="76"/>
      <c r="IC139" s="76"/>
      <c r="ID139" s="76"/>
      <c r="IE139" s="76"/>
      <c r="IF139" s="76"/>
      <c r="IG139" s="76"/>
      <c r="IH139" s="76"/>
      <c r="II139" s="76"/>
      <c r="IJ139" s="76"/>
      <c r="IK139" s="76"/>
      <c r="IL139" s="76"/>
      <c r="IM139" s="76"/>
      <c r="IN139" s="76"/>
      <c r="IO139" s="76"/>
      <c r="IP139" s="76"/>
      <c r="IQ139" s="76"/>
      <c r="IR139" s="76"/>
      <c r="IS139" s="76"/>
      <c r="IT139" s="76"/>
      <c r="IU139" s="76"/>
      <c r="IV139" s="76"/>
      <c r="IW139" s="76"/>
    </row>
    <row r="140" customFormat="false" ht="12.75" hidden="false" customHeight="false" outlineLevel="0" collapsed="false">
      <c r="A140" s="83"/>
      <c r="B140" s="43" t="s">
        <v>303</v>
      </c>
      <c r="F140" s="48" t="n">
        <v>106832</v>
      </c>
      <c r="G140" s="48" t="n">
        <f aca="false">F140/52</f>
        <v>2054.46153846154</v>
      </c>
      <c r="H140" s="61" t="n">
        <f aca="false">IF(AC140="N",IF(F140&lt;$G$3,$F$3*G140*AE140,IF(F140&lt;$G$2,$F$2*G140*AE140,$F$1*G140*AE140)),0)</f>
        <v>115049.846153846</v>
      </c>
      <c r="I140" s="61" t="n">
        <f aca="false">IF(AC140="Y",(IF(F140&lt;$G$3,$F$3*G140*AE140,IF(F140&lt;$G$2,$F$2*G140*AE140,$F$1*G140*AE140))*$L$2),0)</f>
        <v>0</v>
      </c>
      <c r="J140" s="61"/>
      <c r="K140" s="61" t="n">
        <f aca="false">IF(AC140="N",(MIN((($F$3*G140*AE140+ROUNDUP((F140/10000),0)*G140)*2),F140)),0)</f>
        <v>102723.076923077</v>
      </c>
      <c r="L140" s="61" t="n">
        <f aca="false">IF(AC140="Y",(MIN((($F$3*G140*AE140+ROUNDUP((F140/10000),0)*G140)*2),F140))*$L$2,0)</f>
        <v>0</v>
      </c>
      <c r="M140" s="61" t="n">
        <f aca="false">IF(AC140="N",IF((F140/10000*G140*$M$2)&gt;F140*$M$1,F140*$M$1,(F140/10000*G140*$M$2)),0)</f>
        <v>43896.4470153846</v>
      </c>
      <c r="N140" s="61" t="n">
        <f aca="false">IF(AC140="Y",(IF((F140/10000*G140*$M$2)&gt;F140*$M$1,F140*$M$1,(F140/10000*G140*$M$2)))*$L$2,0)</f>
        <v>0</v>
      </c>
      <c r="O140" s="61" t="n">
        <f aca="false">MAX(IF(F140&lt;$G$3,$F$3*G140*AE140,IF(F140&lt;$G$2,$F$2*G140*AE140,$F$1*G140*AE140)),IF((F140/10000*G140*$M$2)&gt;F140*$M$1,F140*$M$1,(F140/10000*G140*$M$2)))</f>
        <v>115049.846153846</v>
      </c>
      <c r="P140" s="61" t="n">
        <f aca="false">MIN(IF(F140&lt;$G$3,$F$3*G140*AE140,IF(F140&lt;$G$2,$F$2*G140*AE140,$F$1*G140*AE140)),IF((F140/10000*G140*$M$2)&gt;F140*$M$1,F140*$M$1,(F140/10000*G140*$M$2)))</f>
        <v>43896.4470153846</v>
      </c>
      <c r="Q140" s="61" t="n">
        <f aca="false">MAX(I140,N140)</f>
        <v>0</v>
      </c>
      <c r="R140" s="61" t="n">
        <f aca="false">MIN(I140,N140)</f>
        <v>0</v>
      </c>
      <c r="S140" s="62" t="n">
        <f aca="false">F140/10000</f>
        <v>10.6832</v>
      </c>
      <c r="T140" s="62" t="n">
        <f aca="false">ROUNDUP(S140,0)</f>
        <v>11</v>
      </c>
      <c r="U140" s="44" t="s">
        <v>40</v>
      </c>
      <c r="V140" s="44" t="n">
        <f aca="false">F140</f>
        <v>106832</v>
      </c>
      <c r="Y140" s="45" t="n">
        <f aca="false">(W140+X140)</f>
        <v>0</v>
      </c>
      <c r="AC140" s="46" t="s">
        <v>419</v>
      </c>
      <c r="AD140" s="47" t="n">
        <v>32035</v>
      </c>
      <c r="AE140" s="63" t="n">
        <f aca="false">ROUNDUP(DAYS360(AD140,$AE$3)/365,0)</f>
        <v>14</v>
      </c>
      <c r="AF140" s="62" t="n">
        <f aca="false">(G140*AE140)+(G140*T140)</f>
        <v>51361.5384615385</v>
      </c>
      <c r="AG140" s="62" t="n">
        <f aca="false">26*G140</f>
        <v>53416</v>
      </c>
      <c r="AH140" s="62" t="n">
        <f aca="false">G140*52</f>
        <v>106832</v>
      </c>
      <c r="AI140" s="62" t="n">
        <f aca="false">AF140*2</f>
        <v>102723.076923077</v>
      </c>
      <c r="AJ140" s="62"/>
      <c r="AL140" s="43" t="n">
        <f aca="false">IF(AC140="N",V140,0)</f>
        <v>106832</v>
      </c>
      <c r="AM140" s="43" t="n">
        <f aca="false">IF(AL140&gt;0,1,0)</f>
        <v>1</v>
      </c>
    </row>
    <row r="141" customFormat="false" ht="12.75" hidden="false" customHeight="false" outlineLevel="0" collapsed="false">
      <c r="A141" s="83"/>
      <c r="B141" s="43" t="s">
        <v>188</v>
      </c>
      <c r="F141" s="48" t="n">
        <v>54037</v>
      </c>
      <c r="G141" s="48" t="n">
        <f aca="false">F141/52</f>
        <v>1039.17307692308</v>
      </c>
      <c r="H141" s="61" t="n">
        <f aca="false">IF(AC141="N",IF(F141&lt;$G$3,$F$3*G141*AE141,IF(F141&lt;$G$2,$F$2*G141*AE141,$F$1*G141*AE141)),0)</f>
        <v>0</v>
      </c>
      <c r="I141" s="61" t="n">
        <f aca="false">IF(AC141="Y",(IF(F141&lt;$G$3,$F$3*G141*AE141,IF(F141&lt;$G$2,$F$2*G141*AE141,$F$1*G141*AE141))*$L$2),0)</f>
        <v>37410.2307692308</v>
      </c>
      <c r="J141" s="61"/>
      <c r="K141" s="61" t="n">
        <f aca="false">IF(AC141="N",(MIN((($F$3*G141*AE141+ROUNDUP((F141/10000),0)*G141)*2),F141)),0)</f>
        <v>0</v>
      </c>
      <c r="L141" s="61" t="n">
        <f aca="false">IF(AC141="Y",(MIN((($F$3*G141*AE141+ROUNDUP((F141/10000),0)*G141)*2),F141))*$L$2,0)</f>
        <v>56115.3461538462</v>
      </c>
      <c r="M141" s="61" t="n">
        <f aca="false">IF(AC141="N",IF((F141/10000*G141*$M$2)&gt;F141*$M$1,F141*$M$1,(F141/10000*G141*$M$2)),0)</f>
        <v>0</v>
      </c>
      <c r="N141" s="61" t="n">
        <f aca="false">IF(AC141="Y",(IF((F141/10000*G141*$M$2)&gt;F141*$M$1,F141*$M$1,(F141/10000*G141*$M$2)))*$L$2,0)</f>
        <v>16846.1386673077</v>
      </c>
      <c r="O141" s="61" t="n">
        <f aca="false">MAX(IF(F141&lt;$G$3,$F$3*G141*AE141,IF(F141&lt;$G$2,$F$2*G141*AE141,$F$1*G141*AE141)),IF((F141/10000*G141*$M$2)&gt;F141*$M$1,F141*$M$1,(F141/10000*G141*$M$2)))</f>
        <v>24940.1538461538</v>
      </c>
      <c r="P141" s="61" t="n">
        <f aca="false">MIN(IF(F141&lt;$G$3,$F$3*G141*AE141,IF(F141&lt;$G$2,$F$2*G141*AE141,$F$1*G141*AE141)),IF((F141/10000*G141*$M$2)&gt;F141*$M$1,F141*$M$1,(F141/10000*G141*$M$2)))</f>
        <v>11230.7591115385</v>
      </c>
      <c r="Q141" s="61" t="n">
        <f aca="false">MAX(I141,N141)</f>
        <v>37410.2307692308</v>
      </c>
      <c r="R141" s="61" t="n">
        <f aca="false">MIN(I141,N141)</f>
        <v>16846.1386673077</v>
      </c>
      <c r="S141" s="62" t="n">
        <f aca="false">F141/10000</f>
        <v>5.4037</v>
      </c>
      <c r="T141" s="62" t="n">
        <f aca="false">ROUNDUP(S141,0)</f>
        <v>6</v>
      </c>
      <c r="U141" s="44" t="s">
        <v>40</v>
      </c>
      <c r="V141" s="44" t="n">
        <f aca="false">F141</f>
        <v>54037</v>
      </c>
      <c r="Y141" s="45" t="n">
        <v>8000</v>
      </c>
      <c r="AC141" s="46" t="s">
        <v>420</v>
      </c>
      <c r="AD141" s="47" t="n">
        <v>32994</v>
      </c>
      <c r="AE141" s="63" t="n">
        <f aca="false">ROUNDUP(DAYS360(AD141,$AE$3)/365,0)</f>
        <v>12</v>
      </c>
      <c r="AL141" s="43" t="n">
        <f aca="false">IF(AC141="N",V141,0)</f>
        <v>0</v>
      </c>
      <c r="AM141" s="43" t="n">
        <f aca="false">IF(AL141&gt;0,1,0)</f>
        <v>0</v>
      </c>
    </row>
    <row r="142" customFormat="false" ht="12.75" hidden="false" customHeight="false" outlineLevel="0" collapsed="false">
      <c r="A142" s="83"/>
      <c r="B142" s="43" t="s">
        <v>334</v>
      </c>
      <c r="F142" s="48" t="n">
        <v>52795</v>
      </c>
      <c r="G142" s="48" t="n">
        <f aca="false">F142/52</f>
        <v>1015.28846153846</v>
      </c>
      <c r="H142" s="61" t="n">
        <f aca="false">IF(AC142="N",IF(F142&lt;$G$3,$F$3*G142*AE142,IF(F142&lt;$G$2,$F$2*G142*AE142,$F$1*G142*AE142)),0)</f>
        <v>14214.0384615385</v>
      </c>
      <c r="I142" s="61" t="n">
        <f aca="false">IF(AC142="Y",(IF(F142&lt;$G$3,$F$3*G142*AE142,IF(F142&lt;$G$2,$F$2*G142*AE142,$F$1*G142*AE142))*$L$2),0)</f>
        <v>0</v>
      </c>
      <c r="J142" s="61"/>
      <c r="K142" s="61" t="n">
        <f aca="false">IF(AC142="N",(MIN((($F$3*G142*AE142+ROUNDUP((F142/10000),0)*G142)*2),F142)),0)</f>
        <v>26397.5</v>
      </c>
      <c r="L142" s="61" t="n">
        <f aca="false">IF(AC142="Y",(MIN((($F$3*G142*AE142+ROUNDUP((F142/10000),0)*G142)*2),F142))*$L$2,0)</f>
        <v>0</v>
      </c>
      <c r="M142" s="61" t="n">
        <f aca="false">IF(AC142="N",IF((F142/10000*G142*$M$2)&gt;F142*$M$1,F142*$M$1,(F142/10000*G142*$M$2)),0)</f>
        <v>10720.4308653846</v>
      </c>
      <c r="N142" s="61" t="n">
        <f aca="false">IF(AC142="Y",(IF((F142/10000*G142*$M$2)&gt;F142*$M$1,F142*$M$1,(F142/10000*G142*$M$2)))*$L$2,0)</f>
        <v>0</v>
      </c>
      <c r="O142" s="61" t="n">
        <f aca="false">MAX(IF(F142&lt;$G$3,$F$3*G142*AE142,IF(F142&lt;$G$2,$F$2*G142*AE142,$F$1*G142*AE142)),IF((F142/10000*G142*$M$2)&gt;F142*$M$1,F142*$M$1,(F142/10000*G142*$M$2)))</f>
        <v>14214.0384615385</v>
      </c>
      <c r="P142" s="61" t="n">
        <f aca="false">MIN(IF(F142&lt;$G$3,$F$3*G142*AE142,IF(F142&lt;$G$2,$F$2*G142*AE142,$F$1*G142*AE142)),IF((F142/10000*G142*$M$2)&gt;F142*$M$1,F142*$M$1,(F142/10000*G142*$M$2)))</f>
        <v>10720.4308653846</v>
      </c>
      <c r="Q142" s="61" t="n">
        <f aca="false">MAX(I142,N142)</f>
        <v>0</v>
      </c>
      <c r="R142" s="61" t="n">
        <f aca="false">MIN(I142,N142)</f>
        <v>0</v>
      </c>
      <c r="S142" s="62" t="n">
        <f aca="false">F142/10000</f>
        <v>5.2795</v>
      </c>
      <c r="T142" s="62" t="n">
        <f aca="false">ROUNDUP(S142,0)</f>
        <v>6</v>
      </c>
      <c r="U142" s="44" t="s">
        <v>40</v>
      </c>
      <c r="V142" s="44" t="n">
        <f aca="false">F142</f>
        <v>52795</v>
      </c>
      <c r="Y142" s="45" t="n">
        <f aca="false">(W142+X142)</f>
        <v>0</v>
      </c>
      <c r="AC142" s="46" t="s">
        <v>419</v>
      </c>
      <c r="AD142" s="47" t="n">
        <v>34700</v>
      </c>
      <c r="AE142" s="63" t="n">
        <f aca="false">ROUNDUP(DAYS360(AD142,$AE$3)/365,0)</f>
        <v>7</v>
      </c>
      <c r="AF142" s="62" t="n">
        <f aca="false">(G142*AE142)+(G142*T142)</f>
        <v>13198.75</v>
      </c>
      <c r="AG142" s="62" t="n">
        <f aca="false">26*G142</f>
        <v>26397.5</v>
      </c>
      <c r="AH142" s="62" t="n">
        <f aca="false">G142*52</f>
        <v>52795</v>
      </c>
      <c r="AI142" s="62" t="n">
        <f aca="false">AF142*2</f>
        <v>26397.5</v>
      </c>
      <c r="AJ142" s="62"/>
      <c r="AL142" s="43" t="n">
        <f aca="false">IF(AC142="N",V142,0)</f>
        <v>52795</v>
      </c>
      <c r="AM142" s="43" t="n">
        <f aca="false">IF(AL142&gt;0,1,0)</f>
        <v>1</v>
      </c>
    </row>
    <row r="143" customFormat="false" ht="12.75" hidden="false" customHeight="false" outlineLevel="0" collapsed="false">
      <c r="A143" s="83"/>
      <c r="B143" s="43" t="s">
        <v>202</v>
      </c>
      <c r="F143" s="48" t="n">
        <v>49524</v>
      </c>
      <c r="G143" s="48" t="n">
        <f aca="false">F143/52</f>
        <v>952.384615384615</v>
      </c>
      <c r="H143" s="61" t="n">
        <f aca="false">IF(AC143="N",IF(F143&lt;$G$3,$F$3*G143*AE143,IF(F143&lt;$G$2,$F$2*G143*AE143,$F$1*G143*AE143)),0)</f>
        <v>0</v>
      </c>
      <c r="I143" s="61" t="n">
        <f aca="false">IF(AC143="Y",(IF(F143&lt;$G$3,$F$3*G143*AE143,IF(F143&lt;$G$2,$F$2*G143*AE143,$F$1*G143*AE143))*$L$2),0)</f>
        <v>10000.0384615385</v>
      </c>
      <c r="J143" s="61"/>
      <c r="K143" s="61" t="n">
        <f aca="false">IF(AC143="N",(MIN((($F$3*G143*AE143+ROUNDUP((F143/10000),0)*G143)*2),F143)),0)</f>
        <v>0</v>
      </c>
      <c r="L143" s="61" t="n">
        <f aca="false">IF(AC143="Y",(MIN((($F$3*G143*AE143+ROUNDUP((F143/10000),0)*G143)*2),F143))*$L$2,0)</f>
        <v>34285.8461538462</v>
      </c>
      <c r="M143" s="61" t="n">
        <f aca="false">IF(AC143="N",IF((F143/10000*G143*$M$2)&gt;F143*$M$1,F143*$M$1,(F143/10000*G143*$M$2)),0)</f>
        <v>0</v>
      </c>
      <c r="N143" s="61" t="n">
        <f aca="false">IF(AC143="Y",(IF((F143/10000*G143*$M$2)&gt;F143*$M$1,F143*$M$1,(F143/10000*G143*$M$2)))*$L$2,0)</f>
        <v>14149.7687076923</v>
      </c>
      <c r="O143" s="61" t="n">
        <f aca="false">MAX(IF(F143&lt;$G$3,$F$3*G143*AE143,IF(F143&lt;$G$2,$F$2*G143*AE143,$F$1*G143*AE143)),IF((F143/10000*G143*$M$2)&gt;F143*$M$1,F143*$M$1,(F143/10000*G143*$M$2)))</f>
        <v>9433.17913846154</v>
      </c>
      <c r="P143" s="61" t="n">
        <f aca="false">MIN(IF(F143&lt;$G$3,$F$3*G143*AE143,IF(F143&lt;$G$2,$F$2*G143*AE143,$F$1*G143*AE143)),IF((F143/10000*G143*$M$2)&gt;F143*$M$1,F143*$M$1,(F143/10000*G143*$M$2)))</f>
        <v>6666.69230769231</v>
      </c>
      <c r="Q143" s="61" t="n">
        <f aca="false">MAX(I143,N143)</f>
        <v>14149.7687076923</v>
      </c>
      <c r="R143" s="61" t="n">
        <f aca="false">MIN(I143,N143)</f>
        <v>10000.0384615385</v>
      </c>
      <c r="S143" s="62" t="n">
        <f aca="false">F143/10000</f>
        <v>4.9524</v>
      </c>
      <c r="T143" s="62" t="n">
        <f aca="false">ROUNDUP(S143,0)</f>
        <v>5</v>
      </c>
      <c r="U143" s="44" t="s">
        <v>40</v>
      </c>
      <c r="V143" s="44" t="n">
        <f aca="false">F143</f>
        <v>49524</v>
      </c>
      <c r="Y143" s="45" t="n">
        <f aca="false">(W143+X143)</f>
        <v>0</v>
      </c>
      <c r="AC143" s="46" t="s">
        <v>420</v>
      </c>
      <c r="AD143" s="47" t="n">
        <v>34700</v>
      </c>
      <c r="AE143" s="63" t="n">
        <f aca="false">ROUNDUP(DAYS360(AD143,$AE$3)/365,0)</f>
        <v>7</v>
      </c>
      <c r="AL143" s="43" t="n">
        <f aca="false">IF(AC143="N",V143,0)</f>
        <v>0</v>
      </c>
      <c r="AM143" s="43" t="n">
        <f aca="false">IF(AL143&gt;0,1,0)</f>
        <v>0</v>
      </c>
    </row>
    <row r="144" customFormat="false" ht="12.75" hidden="false" customHeight="false" outlineLevel="0" collapsed="false">
      <c r="A144" s="83"/>
      <c r="B144" s="43" t="s">
        <v>137</v>
      </c>
      <c r="F144" s="48" t="n">
        <v>80357</v>
      </c>
      <c r="G144" s="48" t="n">
        <f aca="false">F144/52</f>
        <v>1545.32692307692</v>
      </c>
      <c r="H144" s="61" t="n">
        <f aca="false">IF(AC144="N",IF(F144&lt;$G$3,$F$3*G144*AE144,IF(F144&lt;$G$2,$F$2*G144*AE144,$F$1*G144*AE144)),0)</f>
        <v>0</v>
      </c>
      <c r="I144" s="61" t="n">
        <f aca="false">IF(AC144="Y",(IF(F144&lt;$G$3,$F$3*G144*AE144,IF(F144&lt;$G$2,$F$2*G144*AE144,$F$1*G144*AE144))*$L$2),0)</f>
        <v>27815.8846153846</v>
      </c>
      <c r="J144" s="61"/>
      <c r="K144" s="61" t="n">
        <f aca="false">IF(AC144="N",(MIN((($F$3*G144*AE144+ROUNDUP((F144/10000),0)*G144)*2),F144)),0)</f>
        <v>0</v>
      </c>
      <c r="L144" s="61" t="n">
        <f aca="false">IF(AC144="Y",(MIN((($F$3*G144*AE144+ROUNDUP((F144/10000),0)*G144)*2),F144))*$L$2,0)</f>
        <v>69539.7115384616</v>
      </c>
      <c r="M144" s="61" t="n">
        <f aca="false">IF(AC144="N",IF((F144/10000*G144*$M$2)&gt;F144*$M$1,F144*$M$1,(F144/10000*G144*$M$2)),0)</f>
        <v>0</v>
      </c>
      <c r="N144" s="61" t="n">
        <f aca="false">IF(AC144="Y",(IF((F144/10000*G144*$M$2)&gt;F144*$M$1,F144*$M$1,(F144/10000*G144*$M$2)))*$L$2,0)</f>
        <v>37253.3506673077</v>
      </c>
      <c r="O144" s="61" t="n">
        <f aca="false">MAX(IF(F144&lt;$G$3,$F$3*G144*AE144,IF(F144&lt;$G$2,$F$2*G144*AE144,$F$1*G144*AE144)),IF((F144/10000*G144*$M$2)&gt;F144*$M$1,F144*$M$1,(F144/10000*G144*$M$2)))</f>
        <v>24835.5671115385</v>
      </c>
      <c r="P144" s="61" t="n">
        <f aca="false">MIN(IF(F144&lt;$G$3,$F$3*G144*AE144,IF(F144&lt;$G$2,$F$2*G144*AE144,$F$1*G144*AE144)),IF((F144/10000*G144*$M$2)&gt;F144*$M$1,F144*$M$1,(F144/10000*G144*$M$2)))</f>
        <v>18543.9230769231</v>
      </c>
      <c r="Q144" s="61" t="n">
        <f aca="false">MAX(I144,N144)</f>
        <v>37253.3506673077</v>
      </c>
      <c r="R144" s="61" t="n">
        <f aca="false">MIN(I144,N144)</f>
        <v>27815.8846153846</v>
      </c>
      <c r="S144" s="62" t="n">
        <f aca="false">F144/10000</f>
        <v>8.0357</v>
      </c>
      <c r="T144" s="62" t="n">
        <f aca="false">ROUNDUP(S144,0)</f>
        <v>9</v>
      </c>
      <c r="U144" s="44" t="s">
        <v>40</v>
      </c>
      <c r="V144" s="44" t="n">
        <f aca="false">F144</f>
        <v>80357</v>
      </c>
      <c r="W144" s="45" t="n">
        <v>10000</v>
      </c>
      <c r="Y144" s="45" t="n">
        <f aca="false">(W144+X144)</f>
        <v>10000</v>
      </c>
      <c r="AC144" s="46" t="s">
        <v>420</v>
      </c>
      <c r="AD144" s="59" t="n">
        <v>35065</v>
      </c>
      <c r="AE144" s="63" t="n">
        <f aca="false">ROUNDUP(DAYS360(AD144,$AE$3)/365,0)</f>
        <v>6</v>
      </c>
      <c r="AL144" s="43" t="n">
        <f aca="false">IF(AC144="N",V144,0)</f>
        <v>0</v>
      </c>
      <c r="AM144" s="43" t="n">
        <f aca="false">IF(AL144&gt;0,1,0)</f>
        <v>0</v>
      </c>
    </row>
    <row r="145" customFormat="false" ht="12.75" hidden="false" customHeight="false" outlineLevel="0" collapsed="false">
      <c r="H145" s="61"/>
      <c r="I145" s="61"/>
      <c r="J145" s="61"/>
      <c r="K145" s="61"/>
      <c r="L145" s="61"/>
      <c r="M145" s="61"/>
      <c r="N145" s="61"/>
      <c r="O145" s="61"/>
      <c r="P145" s="61"/>
      <c r="Q145" s="61"/>
      <c r="R145" s="61"/>
      <c r="AE145" s="63"/>
      <c r="AL145" s="43" t="n">
        <f aca="false">IF(AC145="N",V145,0)</f>
        <v>0</v>
      </c>
      <c r="AM145" s="43" t="n">
        <f aca="false">IF(AL145&gt;0,1,0)</f>
        <v>0</v>
      </c>
    </row>
    <row r="146" customFormat="false" ht="12.75" hidden="false" customHeight="false" outlineLevel="0" collapsed="false">
      <c r="H146" s="61"/>
      <c r="I146" s="61"/>
      <c r="J146" s="61"/>
      <c r="K146" s="61"/>
      <c r="L146" s="61"/>
      <c r="M146" s="61"/>
      <c r="N146" s="61"/>
      <c r="O146" s="61"/>
      <c r="P146" s="61"/>
      <c r="Q146" s="61"/>
      <c r="R146" s="61"/>
      <c r="AE146" s="63"/>
      <c r="AL146" s="43" t="n">
        <f aca="false">IF(AC146="N",V146,0)</f>
        <v>0</v>
      </c>
      <c r="AM146" s="43" t="n">
        <f aca="false">IF(AL146&gt;0,1,0)</f>
        <v>0</v>
      </c>
    </row>
    <row r="147" customFormat="false" ht="15.75" hidden="false" customHeight="false" outlineLevel="0" collapsed="false">
      <c r="B147" s="51" t="s">
        <v>426</v>
      </c>
      <c r="C147" s="51"/>
      <c r="D147" s="51"/>
      <c r="E147" s="51"/>
      <c r="F147" s="51"/>
      <c r="G147" s="51"/>
      <c r="H147" s="61"/>
      <c r="I147" s="61"/>
      <c r="J147" s="61"/>
      <c r="K147" s="61"/>
      <c r="L147" s="61"/>
      <c r="M147" s="61"/>
      <c r="N147" s="61"/>
      <c r="O147" s="61"/>
      <c r="P147" s="61"/>
      <c r="Q147" s="61"/>
      <c r="R147" s="61"/>
      <c r="S147" s="51"/>
      <c r="T147" s="51"/>
      <c r="U147" s="51"/>
      <c r="V147" s="51"/>
      <c r="W147" s="51"/>
      <c r="X147" s="51"/>
      <c r="Y147" s="51"/>
      <c r="Z147" s="51"/>
      <c r="AA147" s="51"/>
      <c r="AB147" s="51"/>
      <c r="AC147" s="51"/>
      <c r="AE147" s="63"/>
      <c r="AF147" s="51"/>
      <c r="AG147" s="51"/>
      <c r="AH147" s="51"/>
      <c r="AI147" s="51"/>
      <c r="AJ147" s="51"/>
      <c r="AK147" s="51"/>
      <c r="AL147" s="43" t="n">
        <f aca="false">IF(AC147="N",V147,0)</f>
        <v>0</v>
      </c>
      <c r="AM147" s="43" t="n">
        <f aca="false">IF(AL147&gt;0,1,0)</f>
        <v>0</v>
      </c>
    </row>
    <row r="148" customFormat="false" ht="12.75" hidden="false" customHeight="false" outlineLevel="0" collapsed="false">
      <c r="B148" s="43" t="s">
        <v>259</v>
      </c>
      <c r="H148" s="61"/>
      <c r="I148" s="61"/>
      <c r="J148" s="61"/>
      <c r="K148" s="61"/>
      <c r="L148" s="61"/>
      <c r="M148" s="61"/>
      <c r="N148" s="61"/>
      <c r="O148" s="61"/>
      <c r="P148" s="61"/>
      <c r="Q148" s="61"/>
      <c r="R148" s="61"/>
      <c r="S148" s="62" t="n">
        <f aca="false">F148/10000</f>
        <v>0</v>
      </c>
      <c r="T148" s="62" t="n">
        <f aca="false">ROUNDUP(S148,0)</f>
        <v>0</v>
      </c>
      <c r="AE148" s="63"/>
      <c r="AL148" s="43" t="n">
        <f aca="false">IF(AC148="N",V148,0)</f>
        <v>0</v>
      </c>
      <c r="AM148" s="43" t="n">
        <f aca="false">IF(AL148&gt;0,1,0)</f>
        <v>0</v>
      </c>
    </row>
    <row r="149" customFormat="false" ht="12.75" hidden="false" customHeight="false" outlineLevel="0" collapsed="false">
      <c r="B149" s="43" t="s">
        <v>260</v>
      </c>
      <c r="F149" s="48" t="n">
        <v>15230</v>
      </c>
      <c r="G149" s="48" t="n">
        <f aca="false">F149/52</f>
        <v>292.884615384615</v>
      </c>
      <c r="H149" s="61" t="n">
        <f aca="false">IF(AC149="N",IF(F149&lt;$G$3,$F$3*G149*AE149,IF(F149&lt;$G$2,$F$2*G149*AE149,$F$1*G149*AE149)),0)</f>
        <v>0</v>
      </c>
      <c r="I149" s="61" t="n">
        <f aca="false">IF(AC149="Y",(IF(F149&lt;$G$3,$F$3*G149*AE149,IF(F149&lt;$G$2,$F$2*G149*AE149,$F$1*G149*AE149))*$L$2),0)</f>
        <v>2196.63461538462</v>
      </c>
      <c r="J149" s="61"/>
      <c r="K149" s="61" t="n">
        <f aca="false">IF(AC149="N",(MIN((($F$3*G149*AE149+ROUNDUP((F149/10000),0)*G149)*2),F149)),0)</f>
        <v>0</v>
      </c>
      <c r="L149" s="61" t="n">
        <f aca="false">IF(AC149="Y",(MIN((($F$3*G149*AE149+ROUNDUP((F149/10000),0)*G149)*2),F149))*$L$2,0)</f>
        <v>6150.57692307692</v>
      </c>
      <c r="M149" s="61" t="n">
        <f aca="false">IF(AC149="N",IF((F149/10000*G149*$M$2)&gt;F149*$M$1,F149*$M$1,(F149/10000*G149*$M$2)),0)</f>
        <v>0</v>
      </c>
      <c r="N149" s="61" t="n">
        <f aca="false">IF(AC149="Y",(IF((F149/10000*G149*$M$2)&gt;F149*$M$1,F149*$M$1,(F149/10000*G149*$M$2)))*$L$2,0)</f>
        <v>1338.18980769231</v>
      </c>
      <c r="O149" s="61" t="n">
        <f aca="false">MAX(IF(F149&lt;$G$3,$F$3*G149*AE149,IF(F149&lt;$G$2,$F$2*G149*AE149,$F$1*G149*AE149)),IF((F149/10000*G149*$M$2)&gt;F149*$M$1,F149*$M$1,(F149/10000*G149*$M$2)))</f>
        <v>1464.42307692308</v>
      </c>
      <c r="P149" s="61" t="n">
        <f aca="false">MIN(IF(F149&lt;$G$3,$F$3*G149*AE149,IF(F149&lt;$G$2,$F$2*G149*AE149,$F$1*G149*AE149)),IF((F149/10000*G149*$M$2)&gt;F149*$M$1,F149*$M$1,(F149/10000*G149*$M$2)))</f>
        <v>892.126538461538</v>
      </c>
      <c r="Q149" s="61" t="n">
        <f aca="false">MAX(I149,N149)</f>
        <v>2196.63461538462</v>
      </c>
      <c r="R149" s="61" t="n">
        <f aca="false">MIN(I149,N149)</f>
        <v>1338.18980769231</v>
      </c>
      <c r="S149" s="62" t="n">
        <f aca="false">F149/10000</f>
        <v>1.523</v>
      </c>
      <c r="T149" s="62" t="n">
        <f aca="false">ROUNDUP(S149,0)</f>
        <v>2</v>
      </c>
      <c r="U149" s="44" t="s">
        <v>40</v>
      </c>
      <c r="V149" s="44" t="n">
        <f aca="false">F149</f>
        <v>15230</v>
      </c>
      <c r="Y149" s="45" t="n">
        <f aca="false">(W149+X149)</f>
        <v>0</v>
      </c>
      <c r="AC149" s="46" t="s">
        <v>420</v>
      </c>
      <c r="AD149" s="47" t="n">
        <v>35521</v>
      </c>
      <c r="AE149" s="63" t="n">
        <f aca="false">ROUNDUP(DAYS360(AD149,$AE$3)/365,0)</f>
        <v>5</v>
      </c>
      <c r="AL149" s="43" t="n">
        <f aca="false">IF(AC149="N",V149,0)</f>
        <v>0</v>
      </c>
      <c r="AM149" s="43" t="n">
        <f aca="false">IF(AL149&gt;0,1,0)</f>
        <v>0</v>
      </c>
    </row>
    <row r="150" customFormat="false" ht="12.75" hidden="false" customHeight="false" outlineLevel="0" collapsed="false">
      <c r="H150" s="61"/>
      <c r="I150" s="61"/>
      <c r="J150" s="61"/>
      <c r="K150" s="61"/>
      <c r="L150" s="61"/>
      <c r="M150" s="61"/>
      <c r="N150" s="61"/>
      <c r="O150" s="61"/>
      <c r="P150" s="61"/>
      <c r="Q150" s="61"/>
      <c r="R150" s="61"/>
      <c r="AE150" s="63"/>
      <c r="AL150" s="43" t="n">
        <f aca="false">IF(AC150="N",V150,0)</f>
        <v>0</v>
      </c>
      <c r="AM150" s="43" t="n">
        <f aca="false">IF(AL150&gt;0,1,0)</f>
        <v>0</v>
      </c>
    </row>
    <row r="151" customFormat="false" ht="12.75" hidden="false" customHeight="false" outlineLevel="0" collapsed="false">
      <c r="H151" s="61"/>
      <c r="I151" s="61"/>
      <c r="J151" s="61"/>
      <c r="K151" s="61"/>
      <c r="L151" s="61"/>
      <c r="M151" s="61"/>
      <c r="N151" s="61"/>
      <c r="O151" s="61"/>
      <c r="P151" s="61"/>
      <c r="Q151" s="61"/>
      <c r="R151" s="61"/>
      <c r="AE151" s="63"/>
      <c r="AL151" s="43" t="n">
        <f aca="false">IF(AC151="N",V151,0)</f>
        <v>0</v>
      </c>
      <c r="AM151" s="43" t="n">
        <f aca="false">IF(AL151&gt;0,1,0)</f>
        <v>0</v>
      </c>
    </row>
    <row r="152" customFormat="false" ht="38.25" hidden="false" customHeight="false" outlineLevel="0" collapsed="false">
      <c r="A152" s="83" t="s">
        <v>58</v>
      </c>
      <c r="B152" s="66" t="s">
        <v>59</v>
      </c>
      <c r="C152" s="66"/>
      <c r="D152" s="66"/>
      <c r="E152" s="66"/>
      <c r="F152" s="67" t="n">
        <v>300000</v>
      </c>
      <c r="G152" s="67" t="n">
        <f aca="false">F152/52</f>
        <v>5769.23076923077</v>
      </c>
      <c r="H152" s="69"/>
      <c r="I152" s="69"/>
      <c r="J152" s="69"/>
      <c r="K152" s="69"/>
      <c r="L152" s="69"/>
      <c r="M152" s="69"/>
      <c r="N152" s="69"/>
      <c r="O152" s="69"/>
      <c r="P152" s="69"/>
      <c r="Q152" s="69"/>
      <c r="R152" s="69"/>
      <c r="S152" s="70" t="n">
        <f aca="false">F152/10000</f>
        <v>30</v>
      </c>
      <c r="T152" s="70" t="n">
        <f aca="false">ROUNDUP(S152,0)</f>
        <v>30</v>
      </c>
      <c r="U152" s="71" t="s">
        <v>40</v>
      </c>
      <c r="V152" s="71" t="n">
        <f aca="false">F152</f>
        <v>300000</v>
      </c>
      <c r="W152" s="72"/>
      <c r="X152" s="72"/>
      <c r="Y152" s="72" t="n">
        <v>170000</v>
      </c>
      <c r="Z152" s="73"/>
      <c r="AA152" s="73"/>
      <c r="AB152" s="73"/>
      <c r="AC152" s="73" t="s">
        <v>420</v>
      </c>
      <c r="AD152" s="59" t="n">
        <v>28240</v>
      </c>
      <c r="AE152" s="75" t="n">
        <f aca="false">ROUNDUP(DAYS360(AD152,$AE$3)/365,0)</f>
        <v>24</v>
      </c>
      <c r="AF152" s="73"/>
      <c r="AG152" s="73"/>
      <c r="AH152" s="73"/>
      <c r="AI152" s="73"/>
      <c r="AJ152" s="73"/>
      <c r="AK152" s="66"/>
      <c r="AL152" s="12" t="n">
        <f aca="false">IF(AC152="N",V152,0)</f>
        <v>0</v>
      </c>
      <c r="AM152" s="12" t="n">
        <f aca="false">IF(AL152&gt;0,1,0)</f>
        <v>0</v>
      </c>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c r="BY152" s="66"/>
      <c r="BZ152" s="66"/>
      <c r="CA152" s="66"/>
      <c r="CB152" s="66"/>
      <c r="CC152" s="66"/>
      <c r="CD152" s="66"/>
      <c r="CE152" s="66"/>
      <c r="CF152" s="66"/>
      <c r="CG152" s="66"/>
      <c r="CH152" s="66"/>
      <c r="CI152" s="66"/>
      <c r="CJ152" s="66"/>
      <c r="CK152" s="66"/>
      <c r="CL152" s="66"/>
      <c r="CM152" s="66"/>
      <c r="CN152" s="66"/>
      <c r="CO152" s="66"/>
      <c r="CP152" s="66"/>
      <c r="CQ152" s="66"/>
      <c r="CR152" s="66"/>
      <c r="CS152" s="66"/>
      <c r="CT152" s="66"/>
      <c r="CU152" s="66"/>
      <c r="CV152" s="66"/>
      <c r="CW152" s="66"/>
      <c r="CX152" s="66"/>
      <c r="CY152" s="66"/>
      <c r="CZ152" s="66"/>
      <c r="DA152" s="66"/>
      <c r="DB152" s="66"/>
      <c r="DC152" s="66"/>
      <c r="DD152" s="66"/>
      <c r="DE152" s="66"/>
      <c r="DF152" s="66"/>
      <c r="DG152" s="66"/>
      <c r="DH152" s="66"/>
      <c r="DI152" s="66"/>
      <c r="DJ152" s="66"/>
      <c r="DK152" s="66"/>
      <c r="DL152" s="66"/>
      <c r="DM152" s="66"/>
      <c r="DN152" s="66"/>
      <c r="DO152" s="66"/>
      <c r="DP152" s="66"/>
      <c r="DQ152" s="66"/>
      <c r="DR152" s="66"/>
      <c r="DS152" s="66"/>
      <c r="DT152" s="66"/>
      <c r="DU152" s="66"/>
      <c r="DV152" s="66"/>
      <c r="DW152" s="66"/>
      <c r="DX152" s="66"/>
      <c r="DY152" s="66"/>
      <c r="DZ152" s="66"/>
      <c r="EA152" s="66"/>
      <c r="EB152" s="66"/>
      <c r="EC152" s="66"/>
      <c r="ED152" s="66"/>
      <c r="EE152" s="66"/>
      <c r="EF152" s="66"/>
      <c r="EG152" s="66"/>
      <c r="EH152" s="66"/>
      <c r="EI152" s="66"/>
      <c r="EJ152" s="66"/>
      <c r="EK152" s="66"/>
      <c r="EL152" s="66"/>
      <c r="EM152" s="66"/>
      <c r="EN152" s="66"/>
      <c r="EO152" s="66"/>
      <c r="EP152" s="66"/>
      <c r="EQ152" s="66"/>
      <c r="ER152" s="66"/>
      <c r="ES152" s="66"/>
      <c r="ET152" s="66"/>
      <c r="EU152" s="66"/>
      <c r="EV152" s="66"/>
      <c r="EW152" s="66"/>
      <c r="EX152" s="66"/>
      <c r="EY152" s="66"/>
      <c r="EZ152" s="66"/>
      <c r="FA152" s="66"/>
      <c r="FB152" s="66"/>
      <c r="FC152" s="66"/>
      <c r="FD152" s="66"/>
      <c r="FE152" s="66"/>
      <c r="FF152" s="66"/>
      <c r="FG152" s="66"/>
      <c r="FH152" s="66"/>
      <c r="FI152" s="66"/>
      <c r="FJ152" s="66"/>
      <c r="FK152" s="66"/>
      <c r="FL152" s="66"/>
      <c r="FM152" s="66"/>
      <c r="FN152" s="66"/>
      <c r="FO152" s="66"/>
      <c r="FP152" s="66"/>
      <c r="FQ152" s="66"/>
      <c r="FR152" s="66"/>
      <c r="FS152" s="66"/>
      <c r="FT152" s="66"/>
      <c r="FU152" s="66"/>
      <c r="FV152" s="66"/>
      <c r="FW152" s="66"/>
      <c r="FX152" s="66"/>
      <c r="FY152" s="66"/>
      <c r="FZ152" s="66"/>
      <c r="GA152" s="66"/>
      <c r="GB152" s="66"/>
      <c r="GC152" s="66"/>
      <c r="GD152" s="66"/>
      <c r="GE152" s="66"/>
      <c r="GF152" s="66"/>
      <c r="GG152" s="66"/>
      <c r="GH152" s="66"/>
      <c r="GI152" s="66"/>
      <c r="GJ152" s="66"/>
      <c r="GK152" s="66"/>
      <c r="GL152" s="66"/>
      <c r="GM152" s="66"/>
      <c r="GN152" s="66"/>
      <c r="GO152" s="66"/>
      <c r="GP152" s="66"/>
      <c r="GQ152" s="66"/>
      <c r="GR152" s="66"/>
      <c r="GS152" s="66"/>
      <c r="GT152" s="66"/>
      <c r="GU152" s="66"/>
      <c r="GV152" s="66"/>
      <c r="GW152" s="66"/>
      <c r="GX152" s="66"/>
      <c r="GY152" s="66"/>
      <c r="GZ152" s="66"/>
      <c r="HA152" s="66"/>
      <c r="HB152" s="66"/>
      <c r="HC152" s="66"/>
      <c r="HD152" s="66"/>
      <c r="HE152" s="66"/>
      <c r="HF152" s="66"/>
      <c r="HG152" s="66"/>
      <c r="HH152" s="66"/>
      <c r="HI152" s="66"/>
      <c r="HJ152" s="66"/>
      <c r="HK152" s="66"/>
      <c r="HL152" s="66"/>
      <c r="HM152" s="66"/>
      <c r="HN152" s="66"/>
      <c r="HO152" s="66"/>
      <c r="HP152" s="66"/>
      <c r="HQ152" s="66"/>
      <c r="HR152" s="66"/>
      <c r="HS152" s="66"/>
      <c r="HT152" s="66"/>
      <c r="HU152" s="66"/>
      <c r="HV152" s="66"/>
      <c r="HW152" s="66"/>
      <c r="HX152" s="66"/>
      <c r="HY152" s="66"/>
      <c r="HZ152" s="66"/>
      <c r="IA152" s="66"/>
      <c r="IB152" s="66"/>
      <c r="IC152" s="66"/>
      <c r="ID152" s="66"/>
      <c r="IE152" s="66"/>
      <c r="IF152" s="66"/>
      <c r="IG152" s="66"/>
      <c r="IH152" s="66"/>
      <c r="II152" s="66"/>
      <c r="IJ152" s="66"/>
      <c r="IK152" s="66"/>
      <c r="IL152" s="66"/>
      <c r="IM152" s="66"/>
      <c r="IN152" s="66"/>
      <c r="IO152" s="66"/>
      <c r="IP152" s="66"/>
      <c r="IQ152" s="66"/>
      <c r="IR152" s="66"/>
      <c r="IS152" s="66"/>
      <c r="IT152" s="66"/>
      <c r="IU152" s="66"/>
      <c r="IV152" s="66"/>
      <c r="IW152" s="66"/>
    </row>
    <row r="153" customFormat="false" ht="12.75" hidden="false" customHeight="false" outlineLevel="0" collapsed="false">
      <c r="A153" s="83"/>
      <c r="B153" s="43" t="s">
        <v>98</v>
      </c>
      <c r="F153" s="48" t="n">
        <v>180000</v>
      </c>
      <c r="G153" s="48" t="n">
        <f aca="false">F153/52</f>
        <v>3461.53846153846</v>
      </c>
      <c r="H153" s="61" t="n">
        <f aca="false">IF(AC153="N",IF(F153&lt;$G$3,$F$3*G153*AE153,IF(F153&lt;$G$2,$F$2*G153*AE153,$F$1*G153*AE153)),0)</f>
        <v>0</v>
      </c>
      <c r="I153" s="61" t="n">
        <f aca="false">IF(AC153="Y",(IF(F153&lt;$G$3,$F$3*G153*AE153,IF(F153&lt;$G$2,$F$2*G153*AE153,$F$1*G153*AE153))*$L$2),0)</f>
        <v>436153.846153846</v>
      </c>
      <c r="J153" s="61"/>
      <c r="K153" s="61" t="n">
        <f aca="false">IF(AC153="N",(MIN((($F$3*G153*AE153+ROUNDUP((F153/10000),0)*G153)*2),F153)),0)</f>
        <v>0</v>
      </c>
      <c r="L153" s="61" t="n">
        <f aca="false">IF(AC153="Y",(MIN((($F$3*G153*AE153+ROUNDUP((F153/10000),0)*G153)*2),F153))*$L$2,0)</f>
        <v>270000</v>
      </c>
      <c r="M153" s="61" t="n">
        <f aca="false">IF(AC153="N",IF((F153/10000*G153*$M$2)&gt;F153*$M$1,F153*$M$1,(F153/10000*G153*$M$2)),0)</f>
        <v>0</v>
      </c>
      <c r="N153" s="61" t="n">
        <f aca="false">IF(AC153="Y",(IF((F153/10000*G153*$M$2)&gt;F153*$M$1,F153*$M$1,(F153/10000*G153*$M$2)))*$L$2,0)</f>
        <v>186923.076923077</v>
      </c>
      <c r="O153" s="61" t="n">
        <f aca="false">MAX(IF(F153&lt;$G$3,$F$3*G153*AE153,IF(F153&lt;$G$2,$F$2*G153*AE153,$F$1*G153*AE153)),IF((F153/10000*G153*$M$2)&gt;F153*$M$1,F153*$M$1,(F153/10000*G153*$M$2)))</f>
        <v>290769.230769231</v>
      </c>
      <c r="P153" s="61" t="n">
        <f aca="false">MIN(IF(F153&lt;$G$3,$F$3*G153*AE153,IF(F153&lt;$G$2,$F$2*G153*AE153,$F$1*G153*AE153)),IF((F153/10000*G153*$M$2)&gt;F153*$M$1,F153*$M$1,(F153/10000*G153*$M$2)))</f>
        <v>124615.384615385</v>
      </c>
      <c r="Q153" s="61" t="n">
        <f aca="false">MAX(I153,N153)</f>
        <v>436153.846153846</v>
      </c>
      <c r="R153" s="61" t="n">
        <f aca="false">MIN(I153,N153)</f>
        <v>186923.076923077</v>
      </c>
      <c r="S153" s="62" t="n">
        <f aca="false">F153/10000</f>
        <v>18</v>
      </c>
      <c r="T153" s="62" t="n">
        <f aca="false">ROUNDUP(S153,0)</f>
        <v>18</v>
      </c>
      <c r="U153" s="44" t="s">
        <v>40</v>
      </c>
      <c r="V153" s="44" t="n">
        <f aca="false">F153</f>
        <v>180000</v>
      </c>
      <c r="W153" s="45" t="n">
        <v>50000</v>
      </c>
      <c r="Y153" s="45" t="n">
        <f aca="false">(W153+X153)</f>
        <v>50000</v>
      </c>
      <c r="AC153" s="46" t="s">
        <v>420</v>
      </c>
      <c r="AD153" s="47" t="n">
        <v>29453</v>
      </c>
      <c r="AE153" s="63" t="n">
        <f aca="false">ROUNDUP(DAYS360(AD153,$AE$3)/365,0)</f>
        <v>21</v>
      </c>
      <c r="AL153" s="43" t="n">
        <f aca="false">IF(AC153="N",V153,0)</f>
        <v>0</v>
      </c>
      <c r="AM153" s="43" t="n">
        <f aca="false">IF(AL153&gt;0,1,0)</f>
        <v>0</v>
      </c>
    </row>
    <row r="154" customFormat="false" ht="12.75" hidden="false" customHeight="false" outlineLevel="0" collapsed="false">
      <c r="A154" s="83"/>
      <c r="B154" s="43" t="s">
        <v>143</v>
      </c>
      <c r="F154" s="48" t="n">
        <v>78676</v>
      </c>
      <c r="G154" s="48" t="n">
        <f aca="false">F154/52</f>
        <v>1513</v>
      </c>
      <c r="H154" s="61" t="n">
        <f aca="false">IF(AC154="N",IF(F154&lt;$G$3,$F$3*G154*AE154,IF(F154&lt;$G$2,$F$2*G154*AE154,$F$1*G154*AE154)),0)</f>
        <v>0</v>
      </c>
      <c r="I154" s="61" t="n">
        <f aca="false">IF(AC154="Y",(IF(F154&lt;$G$3,$F$3*G154*AE154,IF(F154&lt;$G$2,$F$2*G154*AE154,$F$1*G154*AE154))*$L$2),0)</f>
        <v>108936</v>
      </c>
      <c r="J154" s="61"/>
      <c r="K154" s="61" t="n">
        <f aca="false">IF(AC154="N",(MIN((($F$3*G154*AE154+ROUNDUP((F154/10000),0)*G154)*2),F154)),0)</f>
        <v>0</v>
      </c>
      <c r="L154" s="61" t="n">
        <f aca="false">IF(AC154="Y",(MIN((($F$3*G154*AE154+ROUNDUP((F154/10000),0)*G154)*2),F154))*$L$2,0)</f>
        <v>118014</v>
      </c>
      <c r="M154" s="61" t="n">
        <f aca="false">IF(AC154="N",IF((F154/10000*G154*$M$2)&gt;F154*$M$1,F154*$M$1,(F154/10000*G154*$M$2)),0)</f>
        <v>0</v>
      </c>
      <c r="N154" s="61" t="n">
        <f aca="false">IF(AC154="Y",(IF((F154/10000*G154*$M$2)&gt;F154*$M$1,F154*$M$1,(F154/10000*G154*$M$2)))*$L$2,0)</f>
        <v>35711.0364</v>
      </c>
      <c r="O154" s="61" t="n">
        <f aca="false">MAX(IF(F154&lt;$G$3,$F$3*G154*AE154,IF(F154&lt;$G$2,$F$2*G154*AE154,$F$1*G154*AE154)),IF((F154/10000*G154*$M$2)&gt;F154*$M$1,F154*$M$1,(F154/10000*G154*$M$2)))</f>
        <v>72624</v>
      </c>
      <c r="P154" s="61" t="n">
        <f aca="false">MIN(IF(F154&lt;$G$3,$F$3*G154*AE154,IF(F154&lt;$G$2,$F$2*G154*AE154,$F$1*G154*AE154)),IF((F154/10000*G154*$M$2)&gt;F154*$M$1,F154*$M$1,(F154/10000*G154*$M$2)))</f>
        <v>23807.3576</v>
      </c>
      <c r="Q154" s="61" t="n">
        <f aca="false">MAX(I154,N154)</f>
        <v>108936</v>
      </c>
      <c r="R154" s="61" t="n">
        <f aca="false">MIN(I154,N154)</f>
        <v>35711.0364</v>
      </c>
      <c r="S154" s="62" t="n">
        <f aca="false">F154/10000</f>
        <v>7.8676</v>
      </c>
      <c r="T154" s="62" t="n">
        <f aca="false">ROUNDUP(S154,0)</f>
        <v>8</v>
      </c>
      <c r="U154" s="44" t="s">
        <v>40</v>
      </c>
      <c r="V154" s="44" t="n">
        <f aca="false">F154</f>
        <v>78676</v>
      </c>
      <c r="Y154" s="45" t="n">
        <v>10000</v>
      </c>
      <c r="AC154" s="46" t="s">
        <v>420</v>
      </c>
      <c r="AD154" s="47" t="n">
        <v>28277</v>
      </c>
      <c r="AE154" s="63" t="n">
        <f aca="false">ROUNDUP(DAYS360(AD154,$AE$3)/365,0)</f>
        <v>24</v>
      </c>
      <c r="AL154" s="43" t="n">
        <f aca="false">IF(AC154="N",V154,0)</f>
        <v>0</v>
      </c>
      <c r="AM154" s="43" t="n">
        <f aca="false">IF(AL154&gt;0,1,0)</f>
        <v>0</v>
      </c>
    </row>
    <row r="155" customFormat="false" ht="12.75" hidden="false" customHeight="false" outlineLevel="0" collapsed="false">
      <c r="A155" s="83"/>
      <c r="B155" s="43" t="s">
        <v>363</v>
      </c>
      <c r="F155" s="48" t="n">
        <v>34868</v>
      </c>
      <c r="G155" s="48" t="n">
        <f aca="false">F155/52</f>
        <v>670.538461538462</v>
      </c>
      <c r="H155" s="61" t="n">
        <f aca="false">IF(AC155="N",IF(F155&lt;$G$3,$F$3*G155*AE155,IF(F155&lt;$G$2,$F$2*G155*AE155,$F$1*G155*AE155)),0)</f>
        <v>14081.3076923077</v>
      </c>
      <c r="I155" s="61" t="n">
        <f aca="false">IF(AC155="Y",(IF(F155&lt;$G$3,$F$3*G155*AE155,IF(F155&lt;$G$2,$F$2*G155*AE155,$F$1*G155*AE155))*$L$2),0)</f>
        <v>0</v>
      </c>
      <c r="J155" s="61"/>
      <c r="K155" s="61" t="n">
        <f aca="false">IF(AC155="N",(MIN((($F$3*G155*AE155+ROUNDUP((F155/10000),0)*G155)*2),F155)),0)</f>
        <v>33526.9230769231</v>
      </c>
      <c r="L155" s="61" t="n">
        <f aca="false">IF(AC155="Y",(MIN((($F$3*G155*AE155+ROUNDUP((F155/10000),0)*G155)*2),F155))*$L$2,0)</f>
        <v>0</v>
      </c>
      <c r="M155" s="61" t="n">
        <f aca="false">IF(AC155="N",IF((F155/10000*G155*$M$2)&gt;F155*$M$1,F155*$M$1,(F155/10000*G155*$M$2)),0)</f>
        <v>4676.06701538462</v>
      </c>
      <c r="N155" s="61" t="n">
        <f aca="false">IF(AC155="Y",(IF((F155/10000*G155*$M$2)&gt;F155*$M$1,F155*$M$1,(F155/10000*G155*$M$2)))*$L$2,0)</f>
        <v>0</v>
      </c>
      <c r="O155" s="61" t="n">
        <f aca="false">MAX(IF(F155&lt;$G$3,$F$3*G155*AE155,IF(F155&lt;$G$2,$F$2*G155*AE155,$F$1*G155*AE155)),IF((F155/10000*G155*$M$2)&gt;F155*$M$1,F155*$M$1,(F155/10000*G155*$M$2)))</f>
        <v>14081.3076923077</v>
      </c>
      <c r="P155" s="61" t="n">
        <f aca="false">MIN(IF(F155&lt;$G$3,$F$3*G155*AE155,IF(F155&lt;$G$2,$F$2*G155*AE155,$F$1*G155*AE155)),IF((F155/10000*G155*$M$2)&gt;F155*$M$1,F155*$M$1,(F155/10000*G155*$M$2)))</f>
        <v>4676.06701538462</v>
      </c>
      <c r="Q155" s="61" t="n">
        <f aca="false">MAX(I155,N155)</f>
        <v>0</v>
      </c>
      <c r="R155" s="61" t="n">
        <f aca="false">MIN(I155,N155)</f>
        <v>0</v>
      </c>
      <c r="S155" s="62" t="n">
        <f aca="false">F155/10000</f>
        <v>3.4868</v>
      </c>
      <c r="T155" s="62" t="n">
        <f aca="false">ROUNDUP(S155,0)</f>
        <v>4</v>
      </c>
      <c r="U155" s="44" t="s">
        <v>40</v>
      </c>
      <c r="V155" s="44" t="n">
        <f aca="false">F155</f>
        <v>34868</v>
      </c>
      <c r="Y155" s="45" t="n">
        <f aca="false">(W155+X155)</f>
        <v>0</v>
      </c>
      <c r="AC155" s="46" t="s">
        <v>419</v>
      </c>
      <c r="AD155" s="47" t="n">
        <v>29508</v>
      </c>
      <c r="AE155" s="63" t="n">
        <f aca="false">ROUNDUP(DAYS360(AD155,$AE$3)/365,0)</f>
        <v>21</v>
      </c>
      <c r="AF155" s="62" t="n">
        <f aca="false">(G155*AE155)+(G155*T155)</f>
        <v>16763.4615384615</v>
      </c>
      <c r="AG155" s="62" t="n">
        <f aca="false">26*G155</f>
        <v>17434</v>
      </c>
      <c r="AH155" s="62" t="n">
        <f aca="false">G155*52</f>
        <v>34868</v>
      </c>
      <c r="AI155" s="62" t="n">
        <f aca="false">AF155*2</f>
        <v>33526.9230769231</v>
      </c>
      <c r="AJ155" s="62"/>
      <c r="AL155" s="43" t="n">
        <f aca="false">IF(AC155="N",V155,0)</f>
        <v>34868</v>
      </c>
      <c r="AM155" s="43" t="n">
        <f aca="false">IF(AL155&gt;0,1,0)</f>
        <v>1</v>
      </c>
    </row>
    <row r="156" customFormat="false" ht="12.75" hidden="false" customHeight="false" outlineLevel="0" collapsed="false">
      <c r="A156" s="83"/>
      <c r="B156" s="43" t="s">
        <v>378</v>
      </c>
      <c r="F156" s="48" t="n">
        <v>25927</v>
      </c>
      <c r="G156" s="48" t="n">
        <f aca="false">F156/52</f>
        <v>498.596153846154</v>
      </c>
      <c r="H156" s="61" t="n">
        <f aca="false">IF(AC156="N",IF(F156&lt;$G$3,$F$3*G156*AE156,IF(F156&lt;$G$2,$F$2*G156*AE156,$F$1*G156*AE156)),0)</f>
        <v>8476.13461538462</v>
      </c>
      <c r="I156" s="61" t="n">
        <f aca="false">IF(AC156="Y",(IF(F156&lt;$G$3,$F$3*G156*AE156,IF(F156&lt;$G$2,$F$2*G156*AE156,$F$1*G156*AE156))*$L$2),0)</f>
        <v>0</v>
      </c>
      <c r="J156" s="61"/>
      <c r="K156" s="61" t="n">
        <f aca="false">IF(AC156="N",(MIN((($F$3*G156*AE156+ROUNDUP((F156/10000),0)*G156)*2),F156)),0)</f>
        <v>19943.8461538462</v>
      </c>
      <c r="L156" s="61" t="n">
        <f aca="false">IF(AC156="Y",(MIN((($F$3*G156*AE156+ROUNDUP((F156/10000),0)*G156)*2),F156))*$L$2,0)</f>
        <v>0</v>
      </c>
      <c r="M156" s="61" t="n">
        <f aca="false">IF(AC156="N",IF((F156/10000*G156*$M$2)&gt;F156*$M$1,F156*$M$1,(F156/10000*G156*$M$2)),0)</f>
        <v>2585.42049615385</v>
      </c>
      <c r="N156" s="61" t="n">
        <f aca="false">IF(AC156="Y",(IF((F156/10000*G156*$M$2)&gt;F156*$M$1,F156*$M$1,(F156/10000*G156*$M$2)))*$L$2,0)</f>
        <v>0</v>
      </c>
      <c r="O156" s="61" t="n">
        <f aca="false">MAX(IF(F156&lt;$G$3,$F$3*G156*AE156,IF(F156&lt;$G$2,$F$2*G156*AE156,$F$1*G156*AE156)),IF((F156/10000*G156*$M$2)&gt;F156*$M$1,F156*$M$1,(F156/10000*G156*$M$2)))</f>
        <v>8476.13461538462</v>
      </c>
      <c r="P156" s="61" t="n">
        <f aca="false">MIN(IF(F156&lt;$G$3,$F$3*G156*AE156,IF(F156&lt;$G$2,$F$2*G156*AE156,$F$1*G156*AE156)),IF((F156/10000*G156*$M$2)&gt;F156*$M$1,F156*$M$1,(F156/10000*G156*$M$2)))</f>
        <v>2585.42049615385</v>
      </c>
      <c r="Q156" s="61" t="n">
        <f aca="false">MAX(I156,N156)</f>
        <v>0</v>
      </c>
      <c r="R156" s="61" t="n">
        <f aca="false">MIN(I156,N156)</f>
        <v>0</v>
      </c>
      <c r="S156" s="62" t="n">
        <f aca="false">F156/10000</f>
        <v>2.5927</v>
      </c>
      <c r="T156" s="62" t="n">
        <f aca="false">ROUNDUP(S156,0)</f>
        <v>3</v>
      </c>
      <c r="U156" s="44" t="s">
        <v>40</v>
      </c>
      <c r="V156" s="44" t="n">
        <f aca="false">F156</f>
        <v>25927</v>
      </c>
      <c r="Y156" s="45" t="n">
        <f aca="false">(W156+X156)</f>
        <v>0</v>
      </c>
      <c r="AC156" s="46" t="s">
        <v>419</v>
      </c>
      <c r="AD156" s="47" t="n">
        <v>31146</v>
      </c>
      <c r="AE156" s="63" t="n">
        <f aca="false">ROUNDUP(DAYS360(AD156,$AE$3)/365,0)</f>
        <v>17</v>
      </c>
      <c r="AF156" s="62" t="n">
        <f aca="false">(G156*AE156)+(G156*T156)</f>
        <v>9971.92307692308</v>
      </c>
      <c r="AG156" s="62" t="n">
        <f aca="false">26*G156</f>
        <v>12963.5</v>
      </c>
      <c r="AH156" s="62" t="n">
        <f aca="false">G156*52</f>
        <v>25927</v>
      </c>
      <c r="AI156" s="62" t="n">
        <f aca="false">AF156*2</f>
        <v>19943.8461538462</v>
      </c>
      <c r="AJ156" s="62"/>
      <c r="AL156" s="43" t="n">
        <f aca="false">IF(AC156="N",V156,0)</f>
        <v>25927</v>
      </c>
      <c r="AM156" s="43" t="n">
        <f aca="false">IF(AL156&gt;0,1,0)</f>
        <v>1</v>
      </c>
    </row>
    <row r="157" customFormat="false" ht="12.75" hidden="false" customHeight="false" outlineLevel="0" collapsed="false">
      <c r="A157" s="83"/>
      <c r="B157" s="43" t="s">
        <v>129</v>
      </c>
      <c r="F157" s="48" t="n">
        <v>87417</v>
      </c>
      <c r="G157" s="48" t="n">
        <f aca="false">F157/52</f>
        <v>1681.09615384615</v>
      </c>
      <c r="H157" s="61" t="n">
        <f aca="false">IF(AC157="N",IF(F157&lt;$G$3,$F$3*G157*AE157,IF(F157&lt;$G$2,$F$2*G157*AE157,$F$1*G157*AE157)),0)</f>
        <v>0</v>
      </c>
      <c r="I157" s="61" t="n">
        <f aca="false">IF(AC157="Y",(IF(F157&lt;$G$3,$F$3*G157*AE157,IF(F157&lt;$G$2,$F$2*G157*AE157,$F$1*G157*AE157))*$L$2),0)</f>
        <v>55476.1730769231</v>
      </c>
      <c r="J157" s="61"/>
      <c r="K157" s="61" t="n">
        <f aca="false">IF(AC157="N",(MIN((($F$3*G157*AE157+ROUNDUP((F157/10000),0)*G157)*2),F157)),0)</f>
        <v>0</v>
      </c>
      <c r="L157" s="61" t="n">
        <f aca="false">IF(AC157="Y",(MIN((($F$3*G157*AE157+ROUNDUP((F157/10000),0)*G157)*2),F157))*$L$2,0)</f>
        <v>100865.769230769</v>
      </c>
      <c r="M157" s="61" t="n">
        <f aca="false">IF(AC157="N",IF((F157/10000*G157*$M$2)&gt;F157*$M$1,F157*$M$1,(F157/10000*G157*$M$2)),0)</f>
        <v>0</v>
      </c>
      <c r="N157" s="61" t="n">
        <f aca="false">IF(AC157="Y",(IF((F157/10000*G157*$M$2)&gt;F157*$M$1,F157*$M$1,(F157/10000*G157*$M$2)))*$L$2,0)</f>
        <v>44086.9147442308</v>
      </c>
      <c r="O157" s="61" t="n">
        <f aca="false">MAX(IF(F157&lt;$G$3,$F$3*G157*AE157,IF(F157&lt;$G$2,$F$2*G157*AE157,$F$1*G157*AE157)),IF((F157/10000*G157*$M$2)&gt;F157*$M$1,F157*$M$1,(F157/10000*G157*$M$2)))</f>
        <v>36984.1153846154</v>
      </c>
      <c r="P157" s="61" t="n">
        <f aca="false">MIN(IF(F157&lt;$G$3,$F$3*G157*AE157,IF(F157&lt;$G$2,$F$2*G157*AE157,$F$1*G157*AE157)),IF((F157/10000*G157*$M$2)&gt;F157*$M$1,F157*$M$1,(F157/10000*G157*$M$2)))</f>
        <v>29391.2764961538</v>
      </c>
      <c r="Q157" s="61" t="n">
        <f aca="false">MAX(I157,N157)</f>
        <v>55476.1730769231</v>
      </c>
      <c r="R157" s="61" t="n">
        <f aca="false">MIN(I157,N157)</f>
        <v>44086.9147442308</v>
      </c>
      <c r="S157" s="62" t="n">
        <f aca="false">F157/10000</f>
        <v>8.7417</v>
      </c>
      <c r="T157" s="62" t="n">
        <f aca="false">ROUNDUP(S157,0)</f>
        <v>9</v>
      </c>
      <c r="U157" s="44" t="s">
        <v>40</v>
      </c>
      <c r="V157" s="44" t="n">
        <f aca="false">F157</f>
        <v>87417</v>
      </c>
      <c r="Y157" s="45" t="n">
        <v>20000</v>
      </c>
      <c r="AC157" s="46" t="s">
        <v>420</v>
      </c>
      <c r="AD157" s="47" t="n">
        <v>33308</v>
      </c>
      <c r="AE157" s="63" t="n">
        <f aca="false">ROUNDUP(DAYS360(AD157,$AE$3)/365,0)</f>
        <v>11</v>
      </c>
      <c r="AL157" s="43" t="n">
        <f aca="false">IF(AC157="N",V157,0)</f>
        <v>0</v>
      </c>
      <c r="AM157" s="43" t="n">
        <f aca="false">IF(AL157&gt;0,1,0)</f>
        <v>0</v>
      </c>
    </row>
    <row r="158" customFormat="false" ht="12.75" hidden="false" customHeight="false" outlineLevel="0" collapsed="false">
      <c r="A158" s="83"/>
      <c r="B158" s="43" t="s">
        <v>359</v>
      </c>
      <c r="F158" s="48" t="n">
        <v>35767</v>
      </c>
      <c r="G158" s="48" t="n">
        <f aca="false">F158/52</f>
        <v>687.826923076923</v>
      </c>
      <c r="H158" s="61" t="n">
        <f aca="false">IF(AC158="N",IF(F158&lt;$G$3,$F$3*G158*AE158,IF(F158&lt;$G$2,$F$2*G158*AE158,$F$1*G158*AE158)),0)</f>
        <v>2751.30769230769</v>
      </c>
      <c r="I158" s="61" t="n">
        <f aca="false">IF(AC158="Y",(IF(F158&lt;$G$3,$F$3*G158*AE158,IF(F158&lt;$G$2,$F$2*G158*AE158,$F$1*G158*AE158))*$L$2),0)</f>
        <v>0</v>
      </c>
      <c r="J158" s="61"/>
      <c r="K158" s="61" t="n">
        <f aca="false">IF(AC158="N",(MIN((($F$3*G158*AE158+ROUNDUP((F158/10000),0)*G158)*2),F158)),0)</f>
        <v>11005.2307692308</v>
      </c>
      <c r="L158" s="61" t="n">
        <f aca="false">IF(AC158="Y",(MIN((($F$3*G158*AE158+ROUNDUP((F158/10000),0)*G158)*2),F158))*$L$2,0)</f>
        <v>0</v>
      </c>
      <c r="M158" s="61" t="n">
        <f aca="false">IF(AC158="N",IF((F158/10000*G158*$M$2)&gt;F158*$M$1,F158*$M$1,(F158/10000*G158*$M$2)),0)</f>
        <v>4920.30111153846</v>
      </c>
      <c r="N158" s="61" t="n">
        <f aca="false">IF(AC158="Y",(IF((F158/10000*G158*$M$2)&gt;F158*$M$1,F158*$M$1,(F158/10000*G158*$M$2)))*$L$2,0)</f>
        <v>0</v>
      </c>
      <c r="O158" s="61" t="n">
        <f aca="false">MAX(IF(F158&lt;$G$3,$F$3*G158*AE158,IF(F158&lt;$G$2,$F$2*G158*AE158,$F$1*G158*AE158)),IF((F158/10000*G158*$M$2)&gt;F158*$M$1,F158*$M$1,(F158/10000*G158*$M$2)))</f>
        <v>4920.30111153846</v>
      </c>
      <c r="P158" s="61" t="n">
        <f aca="false">MIN(IF(F158&lt;$G$3,$F$3*G158*AE158,IF(F158&lt;$G$2,$F$2*G158*AE158,$F$1*G158*AE158)),IF((F158/10000*G158*$M$2)&gt;F158*$M$1,F158*$M$1,(F158/10000*G158*$M$2)))</f>
        <v>2751.30769230769</v>
      </c>
      <c r="Q158" s="61" t="n">
        <f aca="false">MAX(I158,N158)</f>
        <v>0</v>
      </c>
      <c r="R158" s="61" t="n">
        <f aca="false">MIN(I158,N158)</f>
        <v>0</v>
      </c>
      <c r="S158" s="62" t="n">
        <f aca="false">F158/10000</f>
        <v>3.5767</v>
      </c>
      <c r="T158" s="62" t="n">
        <f aca="false">ROUNDUP(S158,0)</f>
        <v>4</v>
      </c>
      <c r="U158" s="44" t="s">
        <v>40</v>
      </c>
      <c r="V158" s="44" t="n">
        <f aca="false">F158</f>
        <v>35767</v>
      </c>
      <c r="Y158" s="45" t="n">
        <f aca="false">(W158+X158)</f>
        <v>0</v>
      </c>
      <c r="AC158" s="46" t="s">
        <v>419</v>
      </c>
      <c r="AD158" s="47" t="n">
        <v>35744</v>
      </c>
      <c r="AE158" s="63" t="n">
        <f aca="false">ROUNDUP(DAYS360(AD158,$AE$3)/365,0)</f>
        <v>4</v>
      </c>
      <c r="AF158" s="62" t="n">
        <f aca="false">(G158*AE158)+(G158*T158)</f>
        <v>5502.61538461539</v>
      </c>
      <c r="AG158" s="62" t="n">
        <f aca="false">26*G158</f>
        <v>17883.5</v>
      </c>
      <c r="AH158" s="62" t="n">
        <f aca="false">G158*52</f>
        <v>35767</v>
      </c>
      <c r="AI158" s="62" t="n">
        <f aca="false">AF158*2</f>
        <v>11005.2307692308</v>
      </c>
      <c r="AJ158" s="62"/>
      <c r="AL158" s="43" t="n">
        <f aca="false">IF(AC158="N",V158,0)</f>
        <v>35767</v>
      </c>
      <c r="AM158" s="43" t="n">
        <f aca="false">IF(AL158&gt;0,1,0)</f>
        <v>1</v>
      </c>
    </row>
    <row r="159" customFormat="false" ht="12.75" hidden="false" customHeight="false" outlineLevel="0" collapsed="false">
      <c r="H159" s="61"/>
      <c r="I159" s="61"/>
      <c r="J159" s="61"/>
      <c r="K159" s="61"/>
      <c r="L159" s="61"/>
      <c r="M159" s="61"/>
      <c r="N159" s="61"/>
      <c r="O159" s="61"/>
      <c r="P159" s="61"/>
      <c r="Q159" s="61"/>
      <c r="R159" s="61"/>
      <c r="AE159" s="63"/>
      <c r="AL159" s="43" t="n">
        <f aca="false">IF(AC159="N",V159,0)</f>
        <v>0</v>
      </c>
      <c r="AM159" s="43" t="n">
        <f aca="false">IF(AL159&gt;0,1,0)</f>
        <v>0</v>
      </c>
    </row>
    <row r="160" customFormat="false" ht="12.75" hidden="false" customHeight="false" outlineLevel="0" collapsed="false">
      <c r="H160" s="61"/>
      <c r="I160" s="61"/>
      <c r="J160" s="61"/>
      <c r="K160" s="61"/>
      <c r="L160" s="61"/>
      <c r="M160" s="61"/>
      <c r="N160" s="61"/>
      <c r="O160" s="61"/>
      <c r="P160" s="61"/>
      <c r="Q160" s="61"/>
      <c r="R160" s="61"/>
      <c r="AE160" s="63"/>
      <c r="AL160" s="43" t="n">
        <f aca="false">IF(AC160="N",V160,0)</f>
        <v>0</v>
      </c>
      <c r="AM160" s="43" t="n">
        <f aca="false">IF(AL160&gt;0,1,0)</f>
        <v>0</v>
      </c>
    </row>
    <row r="161" customFormat="false" ht="15.75" hidden="false" customHeight="false" outlineLevel="0" collapsed="false">
      <c r="B161" s="90" t="s">
        <v>426</v>
      </c>
      <c r="C161" s="90"/>
      <c r="D161" s="90"/>
      <c r="E161" s="90"/>
      <c r="F161" s="90"/>
      <c r="G161" s="90"/>
      <c r="H161" s="61"/>
      <c r="I161" s="61"/>
      <c r="J161" s="61"/>
      <c r="K161" s="61"/>
      <c r="L161" s="61"/>
      <c r="M161" s="61"/>
      <c r="N161" s="61"/>
      <c r="O161" s="61"/>
      <c r="P161" s="61"/>
      <c r="Q161" s="61"/>
      <c r="R161" s="61"/>
      <c r="S161" s="90"/>
      <c r="T161" s="90"/>
      <c r="U161" s="90"/>
      <c r="V161" s="90"/>
      <c r="W161" s="90"/>
      <c r="X161" s="90"/>
      <c r="Y161" s="90"/>
      <c r="Z161" s="90"/>
      <c r="AA161" s="90"/>
      <c r="AB161" s="90"/>
      <c r="AC161" s="90"/>
      <c r="AE161" s="63"/>
      <c r="AF161" s="90"/>
      <c r="AG161" s="90"/>
      <c r="AH161" s="90"/>
      <c r="AI161" s="90"/>
      <c r="AJ161" s="90"/>
      <c r="AK161" s="90"/>
      <c r="AL161" s="43" t="n">
        <f aca="false">IF(AC161="N",V161,0)</f>
        <v>0</v>
      </c>
      <c r="AM161" s="43" t="n">
        <f aca="false">IF(AL161&gt;0,1,0)</f>
        <v>0</v>
      </c>
    </row>
    <row r="162" customFormat="false" ht="57.75" hidden="false" customHeight="false" outlineLevel="0" collapsed="false">
      <c r="A162" s="91" t="s">
        <v>427</v>
      </c>
      <c r="H162" s="61"/>
      <c r="I162" s="61"/>
      <c r="J162" s="61"/>
      <c r="K162" s="61"/>
      <c r="L162" s="61"/>
      <c r="M162" s="61"/>
      <c r="N162" s="61"/>
      <c r="O162" s="61"/>
      <c r="P162" s="61"/>
      <c r="Q162" s="61"/>
      <c r="R162" s="61"/>
      <c r="AE162" s="63"/>
      <c r="AL162" s="43" t="n">
        <f aca="false">IF(AC162="N",V162,0)</f>
        <v>0</v>
      </c>
      <c r="AM162" s="43" t="n">
        <f aca="false">IF(AL162&gt;0,1,0)</f>
        <v>0</v>
      </c>
    </row>
    <row r="163" customFormat="false" ht="12.75" hidden="false" customHeight="true" outlineLevel="0" collapsed="false">
      <c r="A163" s="91"/>
      <c r="B163" s="43" t="s">
        <v>157</v>
      </c>
      <c r="F163" s="48" t="n">
        <v>72000</v>
      </c>
      <c r="G163" s="48" t="n">
        <f aca="false">F163/52</f>
        <v>1384.61538461538</v>
      </c>
      <c r="H163" s="61" t="n">
        <f aca="false">IF(AC163="N",IF(F163&lt;$G$3,$F$3*G163*AE163,IF(F163&lt;$G$2,$F$2*G163*AE163,$F$1*G163*AE163)),0)</f>
        <v>0</v>
      </c>
      <c r="I163" s="61" t="n">
        <f aca="false">IF(AC163="Y",(IF(F163&lt;$G$3,$F$3*G163*AE163,IF(F163&lt;$G$2,$F$2*G163*AE163,$F$1*G163*AE163))*$L$2),0)</f>
        <v>20769.2307692308</v>
      </c>
      <c r="J163" s="61"/>
      <c r="K163" s="61" t="n">
        <f aca="false">IF(AC163="N",(MIN((($F$3*G163*AE163+ROUNDUP((F163/10000),0)*G163)*2),F163)),0)</f>
        <v>0</v>
      </c>
      <c r="L163" s="61" t="n">
        <f aca="false">IF(AC163="Y",(MIN((($F$3*G163*AE163+ROUNDUP((F163/10000),0)*G163)*2),F163))*$L$2,0)</f>
        <v>54000</v>
      </c>
      <c r="M163" s="61" t="n">
        <f aca="false">IF(AC163="N",IF((F163/10000*G163*$M$2)&gt;F163*$M$1,F163*$M$1,(F163/10000*G163*$M$2)),0)</f>
        <v>0</v>
      </c>
      <c r="N163" s="61" t="n">
        <f aca="false">IF(AC163="Y",(IF((F163/10000*G163*$M$2)&gt;F163*$M$1,F163*$M$1,(F163/10000*G163*$M$2)))*$L$2,0)</f>
        <v>29907.6923076923</v>
      </c>
      <c r="O163" s="61" t="n">
        <f aca="false">MAX(IF(F163&lt;$G$3,$F$3*G163*AE163,IF(F163&lt;$G$2,$F$2*G163*AE163,$F$1*G163*AE163)),IF((F163/10000*G163*$M$2)&gt;F163*$M$1,F163*$M$1,(F163/10000*G163*$M$2)))</f>
        <v>19938.4615384615</v>
      </c>
      <c r="P163" s="61" t="n">
        <f aca="false">MIN(IF(F163&lt;$G$3,$F$3*G163*AE163,IF(F163&lt;$G$2,$F$2*G163*AE163,$F$1*G163*AE163)),IF((F163/10000*G163*$M$2)&gt;F163*$M$1,F163*$M$1,(F163/10000*G163*$M$2)))</f>
        <v>13846.1538461538</v>
      </c>
      <c r="Q163" s="61" t="n">
        <f aca="false">MAX(I163,N163)</f>
        <v>29907.6923076923</v>
      </c>
      <c r="R163" s="61" t="n">
        <f aca="false">MIN(I163,N163)</f>
        <v>20769.2307692308</v>
      </c>
      <c r="S163" s="62" t="n">
        <f aca="false">F163/10000</f>
        <v>7.2</v>
      </c>
      <c r="T163" s="62" t="n">
        <f aca="false">ROUNDUP(S163,0)</f>
        <v>8</v>
      </c>
      <c r="U163" s="44" t="s">
        <v>40</v>
      </c>
      <c r="V163" s="44" t="n">
        <f aca="false">F163</f>
        <v>72000</v>
      </c>
      <c r="W163" s="45" t="n">
        <v>35000</v>
      </c>
      <c r="X163" s="45" t="n">
        <v>21030</v>
      </c>
      <c r="Y163" s="45" t="n">
        <f aca="false">(W163+X163)</f>
        <v>56030</v>
      </c>
      <c r="AA163" s="45" t="n">
        <v>21030</v>
      </c>
      <c r="AB163" s="45" t="n">
        <v>56820</v>
      </c>
      <c r="AC163" s="46" t="s">
        <v>420</v>
      </c>
      <c r="AD163" s="47" t="n">
        <v>35394</v>
      </c>
      <c r="AE163" s="63" t="n">
        <f aca="false">ROUNDUP(DAYS360(AD163,$AE$3)/365,0)</f>
        <v>5</v>
      </c>
      <c r="AL163" s="43" t="n">
        <f aca="false">IF(AC163="N",V163,0)</f>
        <v>0</v>
      </c>
      <c r="AM163" s="43" t="n">
        <f aca="false">IF(AL163&gt;0,1,0)</f>
        <v>0</v>
      </c>
    </row>
    <row r="164" customFormat="false" ht="12.75" hidden="false" customHeight="false" outlineLevel="0" collapsed="false">
      <c r="A164" s="91"/>
      <c r="B164" s="43" t="s">
        <v>258</v>
      </c>
      <c r="F164" s="48" t="n">
        <v>15476</v>
      </c>
      <c r="G164" s="48" t="n">
        <f aca="false">F164/52</f>
        <v>297.615384615385</v>
      </c>
      <c r="H164" s="61" t="n">
        <f aca="false">IF(AC164="N",IF(F164&lt;$G$3,$F$3*G164*AE164,IF(F164&lt;$G$2,$F$2*G164*AE164,$F$1*G164*AE164)),0)</f>
        <v>0</v>
      </c>
      <c r="I164" s="61" t="n">
        <f aca="false">IF(AC164="Y",(IF(F164&lt;$G$3,$F$3*G164*AE164,IF(F164&lt;$G$2,$F$2*G164*AE164,$F$1*G164*AE164))*$L$2),0)</f>
        <v>1339.26923076923</v>
      </c>
      <c r="J164" s="61"/>
      <c r="K164" s="61" t="n">
        <f aca="false">IF(AC164="N",(MIN((($F$3*G164*AE164+ROUNDUP((F164/10000),0)*G164)*2),F164)),0)</f>
        <v>0</v>
      </c>
      <c r="L164" s="61" t="n">
        <f aca="false">IF(AC164="Y",(MIN((($F$3*G164*AE164+ROUNDUP((F164/10000),0)*G164)*2),F164))*$L$2,0)</f>
        <v>4464.23076923077</v>
      </c>
      <c r="M164" s="61" t="n">
        <f aca="false">IF(AC164="N",IF((F164/10000*G164*$M$2)&gt;F164*$M$1,F164*$M$1,(F164/10000*G164*$M$2)),0)</f>
        <v>0</v>
      </c>
      <c r="N164" s="61" t="n">
        <f aca="false">IF(AC164="Y",(IF((F164/10000*G164*$M$2)&gt;F164*$M$1,F164*$M$1,(F164/10000*G164*$M$2)))*$L$2,0)</f>
        <v>1381.76870769231</v>
      </c>
      <c r="O164" s="61" t="n">
        <f aca="false">MAX(IF(F164&lt;$G$3,$F$3*G164*AE164,IF(F164&lt;$G$2,$F$2*G164*AE164,$F$1*G164*AE164)),IF((F164/10000*G164*$M$2)&gt;F164*$M$1,F164*$M$1,(F164/10000*G164*$M$2)))</f>
        <v>921.179138461539</v>
      </c>
      <c r="P164" s="61" t="n">
        <f aca="false">MIN(IF(F164&lt;$G$3,$F$3*G164*AE164,IF(F164&lt;$G$2,$F$2*G164*AE164,$F$1*G164*AE164)),IF((F164/10000*G164*$M$2)&gt;F164*$M$1,F164*$M$1,(F164/10000*G164*$M$2)))</f>
        <v>892.846153846154</v>
      </c>
      <c r="Q164" s="61" t="n">
        <f aca="false">MAX(I164,N164)</f>
        <v>1381.76870769231</v>
      </c>
      <c r="R164" s="61" t="n">
        <f aca="false">MIN(I164,N164)</f>
        <v>1339.26923076923</v>
      </c>
      <c r="S164" s="62" t="n">
        <f aca="false">F164/10000</f>
        <v>1.5476</v>
      </c>
      <c r="T164" s="62" t="n">
        <f aca="false">ROUNDUP(S164,0)</f>
        <v>2</v>
      </c>
      <c r="U164" s="44" t="s">
        <v>40</v>
      </c>
      <c r="V164" s="44" t="n">
        <f aca="false">F164</f>
        <v>15476</v>
      </c>
      <c r="Y164" s="45" t="n">
        <f aca="false">(W164+X164)</f>
        <v>0</v>
      </c>
      <c r="AC164" s="46" t="s">
        <v>420</v>
      </c>
      <c r="AD164" s="47" t="n">
        <v>36269</v>
      </c>
      <c r="AE164" s="63" t="n">
        <f aca="false">ROUNDUP(DAYS360(AD164,$AE$3)/365,0)</f>
        <v>3</v>
      </c>
      <c r="AL164" s="43" t="n">
        <f aca="false">IF(AC164="N",V164,0)</f>
        <v>0</v>
      </c>
      <c r="AM164" s="43" t="n">
        <f aca="false">IF(AL164&gt;0,1,0)</f>
        <v>0</v>
      </c>
    </row>
    <row r="165" customFormat="false" ht="12.75" hidden="false" customHeight="false" outlineLevel="0" collapsed="false">
      <c r="A165" s="91"/>
      <c r="B165" s="43" t="s">
        <v>257</v>
      </c>
      <c r="F165" s="48" t="n">
        <v>16422</v>
      </c>
      <c r="G165" s="48" t="n">
        <f aca="false">F165/52</f>
        <v>315.807692307692</v>
      </c>
      <c r="H165" s="61" t="n">
        <f aca="false">IF(AC165="N",IF(F165&lt;$G$3,$F$3*G165*AE165,IF(F165&lt;$G$2,$F$2*G165*AE165,$F$1*G165*AE165)),0)</f>
        <v>0</v>
      </c>
      <c r="I165" s="61" t="n">
        <f aca="false">IF(AC165="Y",(IF(F165&lt;$G$3,$F$3*G165*AE165,IF(F165&lt;$G$2,$F$2*G165*AE165,$F$1*G165*AE165))*$L$2),0)</f>
        <v>1421.13461538462</v>
      </c>
      <c r="J165" s="61"/>
      <c r="K165" s="61" t="n">
        <f aca="false">IF(AC165="N",(MIN((($F$3*G165*AE165+ROUNDUP((F165/10000),0)*G165)*2),F165)),0)</f>
        <v>0</v>
      </c>
      <c r="L165" s="61" t="n">
        <f aca="false">IF(AC165="Y",(MIN((($F$3*G165*AE165+ROUNDUP((F165/10000),0)*G165)*2),F165))*$L$2,0)</f>
        <v>4737.11538461539</v>
      </c>
      <c r="M165" s="61" t="n">
        <f aca="false">IF(AC165="N",IF((F165/10000*G165*$M$2)&gt;F165*$M$1,F165*$M$1,(F165/10000*G165*$M$2)),0)</f>
        <v>0</v>
      </c>
      <c r="N165" s="61" t="n">
        <f aca="false">IF(AC165="Y",(IF((F165/10000*G165*$M$2)&gt;F165*$M$1,F165*$M$1,(F165/10000*G165*$M$2)))*$L$2,0)</f>
        <v>1555.85817692308</v>
      </c>
      <c r="O165" s="61" t="n">
        <f aca="false">MAX(IF(F165&lt;$G$3,$F$3*G165*AE165,IF(F165&lt;$G$2,$F$2*G165*AE165,$F$1*G165*AE165)),IF((F165/10000*G165*$M$2)&gt;F165*$M$1,F165*$M$1,(F165/10000*G165*$M$2)))</f>
        <v>1037.23878461538</v>
      </c>
      <c r="P165" s="61" t="n">
        <f aca="false">MIN(IF(F165&lt;$G$3,$F$3*G165*AE165,IF(F165&lt;$G$2,$F$2*G165*AE165,$F$1*G165*AE165)),IF((F165/10000*G165*$M$2)&gt;F165*$M$1,F165*$M$1,(F165/10000*G165*$M$2)))</f>
        <v>947.423076923077</v>
      </c>
      <c r="Q165" s="61" t="n">
        <f aca="false">MAX(I165,N165)</f>
        <v>1555.85817692308</v>
      </c>
      <c r="R165" s="61" t="n">
        <f aca="false">MIN(I165,N165)</f>
        <v>1421.13461538462</v>
      </c>
      <c r="S165" s="62" t="n">
        <f aca="false">F165/10000</f>
        <v>1.6422</v>
      </c>
      <c r="T165" s="62" t="n">
        <f aca="false">ROUNDUP(S165,0)</f>
        <v>2</v>
      </c>
      <c r="U165" s="44" t="s">
        <v>40</v>
      </c>
      <c r="V165" s="44" t="n">
        <f aca="false">F165</f>
        <v>16422</v>
      </c>
      <c r="Y165" s="45" t="n">
        <f aca="false">(W165+X165)</f>
        <v>0</v>
      </c>
      <c r="AC165" s="46" t="s">
        <v>420</v>
      </c>
      <c r="AD165" s="47" t="n">
        <v>36227</v>
      </c>
      <c r="AE165" s="63" t="n">
        <f aca="false">ROUNDUP(DAYS360(AD165,$AE$3)/365,0)</f>
        <v>3</v>
      </c>
      <c r="AL165" s="43" t="n">
        <f aca="false">IF(AC165="N",V165,0)</f>
        <v>0</v>
      </c>
      <c r="AM165" s="43" t="n">
        <f aca="false">IF(AL165&gt;0,1,0)</f>
        <v>0</v>
      </c>
    </row>
    <row r="166" customFormat="false" ht="12.75" hidden="false" customHeight="false" outlineLevel="0" collapsed="false">
      <c r="A166" s="91"/>
      <c r="B166" s="43" t="s">
        <v>291</v>
      </c>
      <c r="F166" s="48" t="n">
        <v>2186</v>
      </c>
      <c r="G166" s="48" t="n">
        <f aca="false">F166/52</f>
        <v>42.0384615384615</v>
      </c>
      <c r="H166" s="61" t="n">
        <f aca="false">IF(AC166="N",IF(F166&lt;$G$3,$F$3*G166*AE166,IF(F166&lt;$G$2,$F$2*G166*AE166,$F$1*G166*AE166)),0)</f>
        <v>0</v>
      </c>
      <c r="I166" s="61" t="n">
        <f aca="false">IF(AC166="Y",(IF(F166&lt;$G$3,$F$3*G166*AE166,IF(F166&lt;$G$2,$F$2*G166*AE166,$F$1*G166*AE166))*$L$2),0)</f>
        <v>189.173076923077</v>
      </c>
      <c r="J166" s="61"/>
      <c r="K166" s="61" t="n">
        <f aca="false">IF(AC166="N",(MIN((($F$3*G166*AE166+ROUNDUP((F166/10000),0)*G166)*2),F166)),0)</f>
        <v>0</v>
      </c>
      <c r="L166" s="61" t="n">
        <f aca="false">IF(AC166="Y",(MIN((($F$3*G166*AE166+ROUNDUP((F166/10000),0)*G166)*2),F166))*$L$2,0)</f>
        <v>504.461538461538</v>
      </c>
      <c r="M166" s="61" t="n">
        <f aca="false">IF(AC166="N",IF((F166/10000*G166*$M$2)&gt;F166*$M$1,F166*$M$1,(F166/10000*G166*$M$2)),0)</f>
        <v>0</v>
      </c>
      <c r="N166" s="61" t="n">
        <f aca="false">IF(AC166="Y",(IF((F166/10000*G166*$M$2)&gt;F166*$M$1,F166*$M$1,(F166/10000*G166*$M$2)))*$L$2,0)</f>
        <v>27.5688230769231</v>
      </c>
      <c r="O166" s="61" t="n">
        <f aca="false">MAX(IF(F166&lt;$G$3,$F$3*G166*AE166,IF(F166&lt;$G$2,$F$2*G166*AE166,$F$1*G166*AE166)),IF((F166/10000*G166*$M$2)&gt;F166*$M$1,F166*$M$1,(F166/10000*G166*$M$2)))</f>
        <v>126.115384615385</v>
      </c>
      <c r="P166" s="61" t="n">
        <f aca="false">MIN(IF(F166&lt;$G$3,$F$3*G166*AE166,IF(F166&lt;$G$2,$F$2*G166*AE166,$F$1*G166*AE166)),IF((F166/10000*G166*$M$2)&gt;F166*$M$1,F166*$M$1,(F166/10000*G166*$M$2)))</f>
        <v>18.3792153846154</v>
      </c>
      <c r="Q166" s="61" t="n">
        <f aca="false">MAX(I166,N166)</f>
        <v>189.173076923077</v>
      </c>
      <c r="R166" s="61" t="n">
        <f aca="false">MIN(I166,N166)</f>
        <v>27.5688230769231</v>
      </c>
      <c r="S166" s="62" t="n">
        <f aca="false">F166/10000</f>
        <v>0.2186</v>
      </c>
      <c r="T166" s="62" t="n">
        <f aca="false">ROUNDUP(S166,0)</f>
        <v>1</v>
      </c>
      <c r="U166" s="44" t="s">
        <v>40</v>
      </c>
      <c r="V166" s="44" t="n">
        <f aca="false">F166</f>
        <v>2186</v>
      </c>
      <c r="Y166" s="45" t="n">
        <f aca="false">(W166+X166)</f>
        <v>0</v>
      </c>
      <c r="AC166" s="46" t="s">
        <v>420</v>
      </c>
      <c r="AD166" s="47" t="n">
        <v>36122</v>
      </c>
      <c r="AE166" s="63" t="n">
        <f aca="false">ROUNDUP(DAYS360(AD166,$AE$3)/365,0)</f>
        <v>3</v>
      </c>
      <c r="AL166" s="43" t="n">
        <f aca="false">IF(AC166="N",V166,0)</f>
        <v>0</v>
      </c>
      <c r="AM166" s="43" t="n">
        <f aca="false">IF(AL166&gt;0,1,0)</f>
        <v>0</v>
      </c>
    </row>
    <row r="167" customFormat="false" ht="12.75" hidden="false" customHeight="false" outlineLevel="0" collapsed="false">
      <c r="H167" s="61"/>
      <c r="I167" s="61"/>
      <c r="J167" s="61"/>
      <c r="K167" s="61"/>
      <c r="L167" s="61"/>
      <c r="M167" s="61"/>
      <c r="N167" s="61"/>
      <c r="O167" s="61"/>
      <c r="P167" s="61"/>
      <c r="Q167" s="61"/>
      <c r="R167" s="61"/>
      <c r="AE167" s="63"/>
      <c r="AL167" s="43" t="n">
        <f aca="false">IF(AC167="N",V167,0)</f>
        <v>0</v>
      </c>
      <c r="AM167" s="43" t="n">
        <f aca="false">IF(AL167&gt;0,1,0)</f>
        <v>0</v>
      </c>
    </row>
    <row r="168" customFormat="false" ht="12.75" hidden="false" customHeight="false" outlineLevel="0" collapsed="false">
      <c r="H168" s="61"/>
      <c r="I168" s="61"/>
      <c r="J168" s="61"/>
      <c r="K168" s="61"/>
      <c r="L168" s="61"/>
      <c r="M168" s="61"/>
      <c r="N168" s="61"/>
      <c r="O168" s="61"/>
      <c r="P168" s="61"/>
      <c r="Q168" s="61"/>
      <c r="R168" s="61"/>
      <c r="AE168" s="63"/>
      <c r="AL168" s="43" t="n">
        <f aca="false">IF(AC168="N",V168,0)</f>
        <v>0</v>
      </c>
      <c r="AM168" s="43" t="n">
        <f aca="false">IF(AL168&gt;0,1,0)</f>
        <v>0</v>
      </c>
    </row>
    <row r="169" customFormat="false" ht="57.75" hidden="false" customHeight="false" outlineLevel="0" collapsed="false">
      <c r="A169" s="83" t="s">
        <v>77</v>
      </c>
      <c r="B169" s="43" t="s">
        <v>78</v>
      </c>
      <c r="F169" s="48" t="n">
        <v>275000</v>
      </c>
      <c r="G169" s="48" t="n">
        <f aca="false">F169/52</f>
        <v>5288.46153846154</v>
      </c>
      <c r="H169" s="61" t="n">
        <f aca="false">IF(AC169="N",IF(F169&lt;$G$3,$F$3*G169*AE169,IF(F169&lt;$G$2,$F$2*G169*AE169,$F$1*G169*AE169)),0)</f>
        <v>0</v>
      </c>
      <c r="I169" s="61" t="n">
        <f aca="false">IF(AC169="Y",(IF(F169&lt;$G$3,$F$3*G169*AE169,IF(F169&lt;$G$2,$F$2*G169*AE169,$F$1*G169*AE169))*$L$2),0)</f>
        <v>444230.769230769</v>
      </c>
      <c r="J169" s="61"/>
      <c r="K169" s="61" t="n">
        <f aca="false">IF(AC169="N",(MIN((($F$3*G169*AE169+ROUNDUP((F169/10000),0)*G169)*2),F169)),0)</f>
        <v>0</v>
      </c>
      <c r="L169" s="61" t="n">
        <f aca="false">IF(AC169="Y",(MIN((($F$3*G169*AE169+ROUNDUP((F169/10000),0)*G169)*2),F169))*$L$2,0)</f>
        <v>412500</v>
      </c>
      <c r="M169" s="61" t="n">
        <f aca="false">IF(AC169="N",IF((F169/10000*G169*$M$2)&gt;F169*$M$1,F169*$M$1,(F169/10000*G169*$M$2)),0)</f>
        <v>0</v>
      </c>
      <c r="N169" s="61" t="n">
        <f aca="false">IF(AC169="Y",(IF((F169/10000*G169*$M$2)&gt;F169*$M$1,F169*$M$1,(F169/10000*G169*$M$2)))*$L$2,0)</f>
        <v>309375</v>
      </c>
      <c r="O169" s="61" t="n">
        <f aca="false">MAX(IF(F169&lt;$G$3,$F$3*G169*AE169,IF(F169&lt;$G$2,$F$2*G169*AE169,$F$1*G169*AE169)),IF((F169/10000*G169*$M$2)&gt;F169*$M$1,F169*$M$1,(F169/10000*G169*$M$2)))</f>
        <v>296153.846153846</v>
      </c>
      <c r="P169" s="61" t="n">
        <f aca="false">MIN(IF(F169&lt;$G$3,$F$3*G169*AE169,IF(F169&lt;$G$2,$F$2*G169*AE169,$F$1*G169*AE169)),IF((F169/10000*G169*$M$2)&gt;F169*$M$1,F169*$M$1,(F169/10000*G169*$M$2)))</f>
        <v>206250</v>
      </c>
      <c r="Q169" s="61" t="n">
        <f aca="false">MAX(I169,N169)</f>
        <v>444230.769230769</v>
      </c>
      <c r="R169" s="61" t="n">
        <f aca="false">MIN(I169,N169)</f>
        <v>309375</v>
      </c>
      <c r="S169" s="62" t="n">
        <f aca="false">F169/10000</f>
        <v>27.5</v>
      </c>
      <c r="T169" s="62" t="n">
        <f aca="false">ROUNDUP(S169,0)</f>
        <v>28</v>
      </c>
      <c r="U169" s="44" t="s">
        <v>40</v>
      </c>
      <c r="V169" s="44" t="n">
        <f aca="false">F169</f>
        <v>275000</v>
      </c>
      <c r="W169" s="45" t="n">
        <v>165000</v>
      </c>
      <c r="X169" s="45" t="n">
        <v>175250</v>
      </c>
      <c r="Y169" s="45" t="n">
        <f aca="false">(W169+X169)</f>
        <v>340250</v>
      </c>
      <c r="AA169" s="46" t="n">
        <v>175250</v>
      </c>
      <c r="AB169" s="46" t="n">
        <v>445090</v>
      </c>
      <c r="AC169" s="46" t="s">
        <v>420</v>
      </c>
      <c r="AD169" s="47" t="n">
        <v>32203</v>
      </c>
      <c r="AE169" s="63" t="n">
        <f aca="false">ROUNDUP(DAYS360(AD169,$AE$3)/365,0)</f>
        <v>14</v>
      </c>
      <c r="AL169" s="43" t="n">
        <f aca="false">IF(AC169="N",V169,0)</f>
        <v>0</v>
      </c>
      <c r="AM169" s="43" t="n">
        <f aca="false">IF(AL169&gt;0,1,0)</f>
        <v>0</v>
      </c>
    </row>
    <row r="170" customFormat="false" ht="12.75" hidden="false" customHeight="false" outlineLevel="0" collapsed="false">
      <c r="A170" s="83"/>
      <c r="B170" s="43" t="s">
        <v>150</v>
      </c>
      <c r="F170" s="48" t="n">
        <v>75096</v>
      </c>
      <c r="G170" s="48" t="n">
        <f aca="false">F170/52</f>
        <v>1444.15384615385</v>
      </c>
      <c r="H170" s="61" t="n">
        <f aca="false">IF(AC170="N",IF(F170&lt;$G$3,$F$3*G170*AE170,IF(F170&lt;$G$2,$F$2*G170*AE170,$F$1*G170*AE170)),0)</f>
        <v>0</v>
      </c>
      <c r="I170" s="61" t="n">
        <f aca="false">IF(AC170="Y",(IF(F170&lt;$G$3,$F$3*G170*AE170,IF(F170&lt;$G$2,$F$2*G170*AE170,$F$1*G170*AE170))*$L$2),0)</f>
        <v>30327.2307692308</v>
      </c>
      <c r="J170" s="61"/>
      <c r="K170" s="61" t="n">
        <f aca="false">IF(AC170="N",(MIN((($F$3*G170*AE170+ROUNDUP((F170/10000),0)*G170)*2),F170)),0)</f>
        <v>0</v>
      </c>
      <c r="L170" s="61" t="n">
        <f aca="false">IF(AC170="Y",(MIN((($F$3*G170*AE170+ROUNDUP((F170/10000),0)*G170)*2),F170))*$L$2,0)</f>
        <v>64986.9230769231</v>
      </c>
      <c r="M170" s="61" t="n">
        <f aca="false">IF(AC170="N",IF((F170/10000*G170*$M$2)&gt;F170*$M$1,F170*$M$1,(F170/10000*G170*$M$2)),0)</f>
        <v>0</v>
      </c>
      <c r="N170" s="61" t="n">
        <f aca="false">IF(AC170="Y",(IF((F170/10000*G170*$M$2)&gt;F170*$M$1,F170*$M$1,(F170/10000*G170*$M$2)))*$L$2,0)</f>
        <v>32535.0531692308</v>
      </c>
      <c r="O170" s="61" t="n">
        <f aca="false">MAX(IF(F170&lt;$G$3,$F$3*G170*AE170,IF(F170&lt;$G$2,$F$2*G170*AE170,$F$1*G170*AE170)),IF((F170/10000*G170*$M$2)&gt;F170*$M$1,F170*$M$1,(F170/10000*G170*$M$2)))</f>
        <v>21690.0354461538</v>
      </c>
      <c r="P170" s="61" t="n">
        <f aca="false">MIN(IF(F170&lt;$G$3,$F$3*G170*AE170,IF(F170&lt;$G$2,$F$2*G170*AE170,$F$1*G170*AE170)),IF((F170/10000*G170*$M$2)&gt;F170*$M$1,F170*$M$1,(F170/10000*G170*$M$2)))</f>
        <v>20218.1538461538</v>
      </c>
      <c r="Q170" s="61" t="n">
        <f aca="false">MAX(I170,N170)</f>
        <v>32535.0531692308</v>
      </c>
      <c r="R170" s="61" t="n">
        <f aca="false">MIN(I170,N170)</f>
        <v>30327.2307692308</v>
      </c>
      <c r="S170" s="62" t="n">
        <f aca="false">F170/10000</f>
        <v>7.5096</v>
      </c>
      <c r="T170" s="62" t="n">
        <f aca="false">ROUNDUP(S170,0)</f>
        <v>8</v>
      </c>
      <c r="U170" s="44" t="s">
        <v>40</v>
      </c>
      <c r="V170" s="44" t="n">
        <f aca="false">F170</f>
        <v>75096</v>
      </c>
      <c r="Y170" s="45" t="n">
        <v>10000</v>
      </c>
      <c r="AC170" s="46" t="s">
        <v>420</v>
      </c>
      <c r="AD170" s="47" t="n">
        <v>34759</v>
      </c>
      <c r="AE170" s="63" t="n">
        <f aca="false">ROUNDUP(DAYS360(AD170,$AE$3)/365,0)</f>
        <v>7</v>
      </c>
      <c r="AL170" s="43" t="n">
        <f aca="false">IF(AC170="N",V170,0)</f>
        <v>0</v>
      </c>
      <c r="AM170" s="43" t="n">
        <f aca="false">IF(AL170&gt;0,1,0)</f>
        <v>0</v>
      </c>
    </row>
    <row r="171" customFormat="false" ht="12.75" hidden="false" customHeight="false" outlineLevel="0" collapsed="false">
      <c r="A171" s="83"/>
      <c r="B171" s="43" t="s">
        <v>366</v>
      </c>
      <c r="F171" s="48" t="n">
        <v>32478</v>
      </c>
      <c r="G171" s="48" t="n">
        <f aca="false">F171/52</f>
        <v>624.576923076923</v>
      </c>
      <c r="H171" s="61" t="n">
        <f aca="false">IF(AC171="N",IF(F171&lt;$G$3,$F$3*G171*AE171,IF(F171&lt;$G$2,$F$2*G171*AE171,$F$1*G171*AE171)),0)</f>
        <v>3122.88461538462</v>
      </c>
      <c r="I171" s="61" t="n">
        <f aca="false">IF(AC171="Y",(IF(F171&lt;$G$3,$F$3*G171*AE171,IF(F171&lt;$G$2,$F$2*G171*AE171,$F$1*G171*AE171))*$L$2),0)</f>
        <v>0</v>
      </c>
      <c r="J171" s="61"/>
      <c r="K171" s="61" t="n">
        <f aca="false">IF(AC171="N",(MIN((($F$3*G171*AE171+ROUNDUP((F171/10000),0)*G171)*2),F171)),0)</f>
        <v>11242.3846153846</v>
      </c>
      <c r="L171" s="61" t="n">
        <f aca="false">IF(AC171="Y",(MIN((($F$3*G171*AE171+ROUNDUP((F171/10000),0)*G171)*2),F171))*$L$2,0)</f>
        <v>0</v>
      </c>
      <c r="M171" s="61" t="n">
        <f aca="false">IF(AC171="N",IF((F171/10000*G171*$M$2)&gt;F171*$M$1,F171*$M$1,(F171/10000*G171*$M$2)),0)</f>
        <v>4057.00186153846</v>
      </c>
      <c r="N171" s="61" t="n">
        <f aca="false">IF(AC171="Y",(IF((F171/10000*G171*$M$2)&gt;F171*$M$1,F171*$M$1,(F171/10000*G171*$M$2)))*$L$2,0)</f>
        <v>0</v>
      </c>
      <c r="O171" s="61" t="n">
        <f aca="false">MAX(IF(F171&lt;$G$3,$F$3*G171*AE171,IF(F171&lt;$G$2,$F$2*G171*AE171,$F$1*G171*AE171)),IF((F171/10000*G171*$M$2)&gt;F171*$M$1,F171*$M$1,(F171/10000*G171*$M$2)))</f>
        <v>4057.00186153846</v>
      </c>
      <c r="P171" s="61" t="n">
        <f aca="false">MIN(IF(F171&lt;$G$3,$F$3*G171*AE171,IF(F171&lt;$G$2,$F$2*G171*AE171,$F$1*G171*AE171)),IF((F171/10000*G171*$M$2)&gt;F171*$M$1,F171*$M$1,(F171/10000*G171*$M$2)))</f>
        <v>3122.88461538462</v>
      </c>
      <c r="Q171" s="61" t="n">
        <f aca="false">MAX(I171,N171)</f>
        <v>0</v>
      </c>
      <c r="R171" s="61" t="n">
        <f aca="false">MIN(I171,N171)</f>
        <v>0</v>
      </c>
      <c r="S171" s="62" t="n">
        <f aca="false">F171/10000</f>
        <v>3.2478</v>
      </c>
      <c r="T171" s="62" t="n">
        <f aca="false">ROUNDUP(S171,0)</f>
        <v>4</v>
      </c>
      <c r="U171" s="44" t="s">
        <v>40</v>
      </c>
      <c r="V171" s="44" t="n">
        <f aca="false">F171</f>
        <v>32478</v>
      </c>
      <c r="Y171" s="45" t="n">
        <f aca="false">(W171+X171)</f>
        <v>0</v>
      </c>
      <c r="AC171" s="46" t="s">
        <v>419</v>
      </c>
      <c r="AD171" s="47" t="n">
        <v>35339</v>
      </c>
      <c r="AE171" s="63" t="n">
        <f aca="false">ROUNDUP(DAYS360(AD171,$AE$3)/365,0)</f>
        <v>5</v>
      </c>
      <c r="AF171" s="62" t="n">
        <f aca="false">(G171*AE171)+(G171*T171)</f>
        <v>5621.19230769231</v>
      </c>
      <c r="AG171" s="62" t="n">
        <f aca="false">26*G171</f>
        <v>16239</v>
      </c>
      <c r="AH171" s="62" t="n">
        <f aca="false">G171*52</f>
        <v>32478</v>
      </c>
      <c r="AI171" s="62" t="n">
        <f aca="false">AF171*2</f>
        <v>11242.3846153846</v>
      </c>
      <c r="AJ171" s="62"/>
      <c r="AL171" s="43" t="n">
        <f aca="false">IF(AC171="N",V171,0)</f>
        <v>32478</v>
      </c>
      <c r="AM171" s="43" t="n">
        <f aca="false">IF(AL171&gt;0,1,0)</f>
        <v>1</v>
      </c>
    </row>
    <row r="172" customFormat="false" ht="12.75" hidden="false" customHeight="false" outlineLevel="0" collapsed="false">
      <c r="A172" s="83"/>
      <c r="B172" s="43" t="s">
        <v>381</v>
      </c>
      <c r="F172" s="48" t="n">
        <v>23777</v>
      </c>
      <c r="G172" s="48" t="n">
        <f aca="false">F172/52</f>
        <v>457.25</v>
      </c>
      <c r="H172" s="61" t="n">
        <f aca="false">IF(AC172="N",IF(F172&lt;$G$3,$F$3*G172*AE172,IF(F172&lt;$G$2,$F$2*G172*AE172,$F$1*G172*AE172)),0)</f>
        <v>3200.75</v>
      </c>
      <c r="I172" s="61" t="n">
        <f aca="false">IF(AC172="Y",(IF(F172&lt;$G$3,$F$3*G172*AE172,IF(F172&lt;$G$2,$F$2*G172*AE172,$F$1*G172*AE172))*$L$2),0)</f>
        <v>0</v>
      </c>
      <c r="J172" s="61"/>
      <c r="K172" s="61" t="n">
        <f aca="false">IF(AC172="N",(MIN((($F$3*G172*AE172+ROUNDUP((F172/10000),0)*G172)*2),F172)),0)</f>
        <v>9145</v>
      </c>
      <c r="L172" s="61" t="n">
        <f aca="false">IF(AC172="Y",(MIN((($F$3*G172*AE172+ROUNDUP((F172/10000),0)*G172)*2),F172))*$L$2,0)</f>
        <v>0</v>
      </c>
      <c r="M172" s="61" t="n">
        <f aca="false">IF(AC172="N",IF((F172/10000*G172*$M$2)&gt;F172*$M$1,F172*$M$1,(F172/10000*G172*$M$2)),0)</f>
        <v>2174.40665</v>
      </c>
      <c r="N172" s="61" t="n">
        <f aca="false">IF(AC172="Y",(IF((F172/10000*G172*$M$2)&gt;F172*$M$1,F172*$M$1,(F172/10000*G172*$M$2)))*$L$2,0)</f>
        <v>0</v>
      </c>
      <c r="O172" s="61" t="n">
        <f aca="false">MAX(IF(F172&lt;$G$3,$F$3*G172*AE172,IF(F172&lt;$G$2,$F$2*G172*AE172,$F$1*G172*AE172)),IF((F172/10000*G172*$M$2)&gt;F172*$M$1,F172*$M$1,(F172/10000*G172*$M$2)))</f>
        <v>3200.75</v>
      </c>
      <c r="P172" s="61" t="n">
        <f aca="false">MIN(IF(F172&lt;$G$3,$F$3*G172*AE172,IF(F172&lt;$G$2,$F$2*G172*AE172,$F$1*G172*AE172)),IF((F172/10000*G172*$M$2)&gt;F172*$M$1,F172*$M$1,(F172/10000*G172*$M$2)))</f>
        <v>2174.40665</v>
      </c>
      <c r="Q172" s="61" t="n">
        <f aca="false">MAX(I172,N172)</f>
        <v>0</v>
      </c>
      <c r="R172" s="61" t="n">
        <f aca="false">MIN(I172,N172)</f>
        <v>0</v>
      </c>
      <c r="S172" s="62" t="n">
        <f aca="false">F172/10000</f>
        <v>2.3777</v>
      </c>
      <c r="T172" s="62" t="n">
        <f aca="false">ROUNDUP(S172,0)</f>
        <v>3</v>
      </c>
      <c r="U172" s="44" t="s">
        <v>40</v>
      </c>
      <c r="V172" s="44" t="n">
        <f aca="false">F172</f>
        <v>23777</v>
      </c>
      <c r="Y172" s="45" t="n">
        <f aca="false">(W172+X172)</f>
        <v>0</v>
      </c>
      <c r="AC172" s="46" t="s">
        <v>419</v>
      </c>
      <c r="AD172" s="47" t="n">
        <v>34820</v>
      </c>
      <c r="AE172" s="63" t="n">
        <f aca="false">ROUNDUP(DAYS360(AD172,$AE$3)/365,0)</f>
        <v>7</v>
      </c>
      <c r="AF172" s="62" t="n">
        <f aca="false">(G172*AE172)+(G172*T172)</f>
        <v>4572.5</v>
      </c>
      <c r="AG172" s="62" t="n">
        <f aca="false">26*G172</f>
        <v>11888.5</v>
      </c>
      <c r="AH172" s="62" t="n">
        <f aca="false">G172*52</f>
        <v>23777</v>
      </c>
      <c r="AI172" s="62" t="n">
        <f aca="false">AF172*2</f>
        <v>9145</v>
      </c>
      <c r="AJ172" s="62"/>
      <c r="AL172" s="43" t="n">
        <f aca="false">IF(AC172="N",V172,0)</f>
        <v>23777</v>
      </c>
      <c r="AM172" s="43" t="n">
        <f aca="false">IF(AL172&gt;0,1,0)</f>
        <v>1</v>
      </c>
    </row>
    <row r="173" customFormat="false" ht="12.75" hidden="false" customHeight="false" outlineLevel="0" collapsed="false">
      <c r="A173" s="83"/>
      <c r="B173" s="43" t="s">
        <v>362</v>
      </c>
      <c r="F173" s="48" t="n">
        <v>35067</v>
      </c>
      <c r="G173" s="48" t="n">
        <f aca="false">F173/52</f>
        <v>674.365384615385</v>
      </c>
      <c r="H173" s="61" t="n">
        <f aca="false">IF(AC173="N",IF(F173&lt;$G$3,$F$3*G173*AE173,IF(F173&lt;$G$2,$F$2*G173*AE173,$F$1*G173*AE173)),0)</f>
        <v>4046.19230769231</v>
      </c>
      <c r="I173" s="61" t="n">
        <f aca="false">IF(AC173="Y",(IF(F173&lt;$G$3,$F$3*G173*AE173,IF(F173&lt;$G$2,$F$2*G173*AE173,$F$1*G173*AE173))*$L$2),0)</f>
        <v>0</v>
      </c>
      <c r="J173" s="61"/>
      <c r="K173" s="61" t="n">
        <f aca="false">IF(AC173="N",(MIN((($F$3*G173*AE173+ROUNDUP((F173/10000),0)*G173)*2),F173)),0)</f>
        <v>13487.3076923077</v>
      </c>
      <c r="L173" s="61" t="n">
        <f aca="false">IF(AC173="Y",(MIN((($F$3*G173*AE173+ROUNDUP((F173/10000),0)*G173)*2),F173))*$L$2,0)</f>
        <v>0</v>
      </c>
      <c r="M173" s="61" t="n">
        <f aca="false">IF(AC173="N",IF((F173/10000*G173*$M$2)&gt;F173*$M$1,F173*$M$1,(F173/10000*G173*$M$2)),0)</f>
        <v>4729.59418846154</v>
      </c>
      <c r="N173" s="61" t="n">
        <f aca="false">IF(AC173="Y",(IF((F173/10000*G173*$M$2)&gt;F173*$M$1,F173*$M$1,(F173/10000*G173*$M$2)))*$L$2,0)</f>
        <v>0</v>
      </c>
      <c r="O173" s="61" t="n">
        <f aca="false">MAX(IF(F173&lt;$G$3,$F$3*G173*AE173,IF(F173&lt;$G$2,$F$2*G173*AE173,$F$1*G173*AE173)),IF((F173/10000*G173*$M$2)&gt;F173*$M$1,F173*$M$1,(F173/10000*G173*$M$2)))</f>
        <v>4729.59418846154</v>
      </c>
      <c r="P173" s="61" t="n">
        <f aca="false">MIN(IF(F173&lt;$G$3,$F$3*G173*AE173,IF(F173&lt;$G$2,$F$2*G173*AE173,$F$1*G173*AE173)),IF((F173/10000*G173*$M$2)&gt;F173*$M$1,F173*$M$1,(F173/10000*G173*$M$2)))</f>
        <v>4046.19230769231</v>
      </c>
      <c r="Q173" s="61" t="n">
        <f aca="false">MAX(I173,N173)</f>
        <v>0</v>
      </c>
      <c r="R173" s="61" t="n">
        <f aca="false">MIN(I173,N173)</f>
        <v>0</v>
      </c>
      <c r="S173" s="62" t="n">
        <f aca="false">F173/10000</f>
        <v>3.5067</v>
      </c>
      <c r="T173" s="62" t="n">
        <f aca="false">ROUNDUP(S173,0)</f>
        <v>4</v>
      </c>
      <c r="U173" s="44" t="s">
        <v>40</v>
      </c>
      <c r="V173" s="44" t="n">
        <f aca="false">F173</f>
        <v>35067</v>
      </c>
      <c r="Y173" s="45" t="n">
        <f aca="false">(W173+X173)</f>
        <v>0</v>
      </c>
      <c r="AC173" s="46" t="s">
        <v>419</v>
      </c>
      <c r="AD173" s="47" t="n">
        <v>34862</v>
      </c>
      <c r="AE173" s="63" t="n">
        <f aca="false">ROUNDUP(DAYS360(AD173,$AE$3)/365,0)</f>
        <v>6</v>
      </c>
      <c r="AF173" s="62" t="n">
        <f aca="false">(G173*AE173)+(G173*T173)</f>
        <v>6743.65384615385</v>
      </c>
      <c r="AG173" s="62" t="n">
        <f aca="false">26*G173</f>
        <v>17533.5</v>
      </c>
      <c r="AH173" s="62" t="n">
        <f aca="false">G173*52</f>
        <v>35067</v>
      </c>
      <c r="AI173" s="62" t="n">
        <f aca="false">AF173*2</f>
        <v>13487.3076923077</v>
      </c>
      <c r="AJ173" s="62"/>
      <c r="AL173" s="43" t="n">
        <f aca="false">IF(AC173="N",V173,0)</f>
        <v>35067</v>
      </c>
      <c r="AM173" s="43" t="n">
        <f aca="false">IF(AL173&gt;0,1,0)</f>
        <v>1</v>
      </c>
    </row>
    <row r="174" customFormat="false" ht="12.75" hidden="false" customHeight="false" outlineLevel="0" collapsed="false">
      <c r="A174" s="83"/>
      <c r="B174" s="43" t="s">
        <v>357</v>
      </c>
      <c r="F174" s="48" t="n">
        <v>38209</v>
      </c>
      <c r="G174" s="48" t="n">
        <f aca="false">F174/52</f>
        <v>734.788461538462</v>
      </c>
      <c r="H174" s="61" t="n">
        <f aca="false">IF(AC174="N",IF(F174&lt;$G$3,$F$3*G174*AE174,IF(F174&lt;$G$2,$F$2*G174*AE174,$F$1*G174*AE174)),0)</f>
        <v>5143.51923076923</v>
      </c>
      <c r="I174" s="61" t="n">
        <f aca="false">IF(AC174="Y",(IF(F174&lt;$G$3,$F$3*G174*AE174,IF(F174&lt;$G$2,$F$2*G174*AE174,$F$1*G174*AE174))*$L$2),0)</f>
        <v>0</v>
      </c>
      <c r="J174" s="61"/>
      <c r="K174" s="61" t="n">
        <f aca="false">IF(AC174="N",(MIN((($F$3*G174*AE174+ROUNDUP((F174/10000),0)*G174)*2),F174)),0)</f>
        <v>16165.3461538462</v>
      </c>
      <c r="L174" s="61" t="n">
        <f aca="false">IF(AC174="Y",(MIN((($F$3*G174*AE174+ROUNDUP((F174/10000),0)*G174)*2),F174))*$L$2,0)</f>
        <v>0</v>
      </c>
      <c r="M174" s="61" t="n">
        <f aca="false">IF(AC174="N",IF((F174/10000*G174*$M$2)&gt;F174*$M$1,F174*$M$1,(F174/10000*G174*$M$2)),0)</f>
        <v>5615.10646538462</v>
      </c>
      <c r="N174" s="61" t="n">
        <f aca="false">IF(AC174="Y",(IF((F174/10000*G174*$M$2)&gt;F174*$M$1,F174*$M$1,(F174/10000*G174*$M$2)))*$L$2,0)</f>
        <v>0</v>
      </c>
      <c r="O174" s="61" t="n">
        <f aca="false">MAX(IF(F174&lt;$G$3,$F$3*G174*AE174,IF(F174&lt;$G$2,$F$2*G174*AE174,$F$1*G174*AE174)),IF((F174/10000*G174*$M$2)&gt;F174*$M$1,F174*$M$1,(F174/10000*G174*$M$2)))</f>
        <v>5615.10646538462</v>
      </c>
      <c r="P174" s="61" t="n">
        <f aca="false">MIN(IF(F174&lt;$G$3,$F$3*G174*AE174,IF(F174&lt;$G$2,$F$2*G174*AE174,$F$1*G174*AE174)),IF((F174/10000*G174*$M$2)&gt;F174*$M$1,F174*$M$1,(F174/10000*G174*$M$2)))</f>
        <v>5143.51923076923</v>
      </c>
      <c r="Q174" s="61" t="n">
        <f aca="false">MAX(I174,N174)</f>
        <v>0</v>
      </c>
      <c r="R174" s="61" t="n">
        <f aca="false">MIN(I174,N174)</f>
        <v>0</v>
      </c>
      <c r="S174" s="62" t="n">
        <f aca="false">F174/10000</f>
        <v>3.8209</v>
      </c>
      <c r="T174" s="62" t="n">
        <f aca="false">ROUNDUP(S174,0)</f>
        <v>4</v>
      </c>
      <c r="U174" s="44" t="s">
        <v>40</v>
      </c>
      <c r="V174" s="44" t="n">
        <f aca="false">F174</f>
        <v>38209</v>
      </c>
      <c r="Y174" s="45" t="n">
        <f aca="false">(W174+X174)</f>
        <v>0</v>
      </c>
      <c r="AC174" s="46" t="s">
        <v>419</v>
      </c>
      <c r="AD174" s="47" t="n">
        <v>34759</v>
      </c>
      <c r="AE174" s="63" t="n">
        <f aca="false">ROUNDUP(DAYS360(AD174,$AE$3)/365,0)</f>
        <v>7</v>
      </c>
      <c r="AF174" s="62" t="n">
        <f aca="false">(G174*AE174)+(G174*T174)</f>
        <v>8082.67307692308</v>
      </c>
      <c r="AG174" s="62" t="n">
        <f aca="false">26*G174</f>
        <v>19104.5</v>
      </c>
      <c r="AH174" s="62" t="n">
        <f aca="false">G174*52</f>
        <v>38209</v>
      </c>
      <c r="AI174" s="62" t="n">
        <f aca="false">AF174*2</f>
        <v>16165.3461538462</v>
      </c>
      <c r="AJ174" s="62"/>
      <c r="AL174" s="43" t="n">
        <f aca="false">IF(AC174="N",V174,0)</f>
        <v>38209</v>
      </c>
      <c r="AM174" s="43" t="n">
        <f aca="false">IF(AL174&gt;0,1,0)</f>
        <v>1</v>
      </c>
    </row>
    <row r="175" customFormat="false" ht="12.75" hidden="false" customHeight="false" outlineLevel="0" collapsed="false">
      <c r="A175" s="83"/>
      <c r="B175" s="43" t="s">
        <v>158</v>
      </c>
      <c r="F175" s="48" t="n">
        <v>70090</v>
      </c>
      <c r="G175" s="48" t="n">
        <f aca="false">F175/52</f>
        <v>1347.88461538462</v>
      </c>
      <c r="H175" s="61" t="n">
        <f aca="false">IF(AC175="N",IF(F175&lt;$G$3,$F$3*G175*AE175,IF(F175&lt;$G$2,$F$2*G175*AE175,$F$1*G175*AE175)),0)</f>
        <v>0</v>
      </c>
      <c r="I175" s="61" t="n">
        <f aca="false">IF(AC175="Y",(IF(F175&lt;$G$3,$F$3*G175*AE175,IF(F175&lt;$G$2,$F$2*G175*AE175,$F$1*G175*AE175))*$L$2),0)</f>
        <v>24261.9230769231</v>
      </c>
      <c r="J175" s="61"/>
      <c r="K175" s="61" t="n">
        <f aca="false">IF(AC175="N",(MIN((($F$3*G175*AE175+ROUNDUP((F175/10000),0)*G175)*2),F175)),0)</f>
        <v>0</v>
      </c>
      <c r="L175" s="61" t="n">
        <f aca="false">IF(AC175="Y",(MIN((($F$3*G175*AE175+ROUNDUP((F175/10000),0)*G175)*2),F175))*$L$2,0)</f>
        <v>56611.1538461539</v>
      </c>
      <c r="M175" s="61" t="n">
        <f aca="false">IF(AC175="N",IF((F175/10000*G175*$M$2)&gt;F175*$M$1,F175*$M$1,(F175/10000*G175*$M$2)),0)</f>
        <v>0</v>
      </c>
      <c r="N175" s="61" t="n">
        <f aca="false">IF(AC175="Y",(IF((F175/10000*G175*$M$2)&gt;F175*$M$1,F175*$M$1,(F175/10000*G175*$M$2)))*$L$2,0)</f>
        <v>28341.9698076923</v>
      </c>
      <c r="O175" s="61" t="n">
        <f aca="false">MAX(IF(F175&lt;$G$3,$F$3*G175*AE175,IF(F175&lt;$G$2,$F$2*G175*AE175,$F$1*G175*AE175)),IF((F175/10000*G175*$M$2)&gt;F175*$M$1,F175*$M$1,(F175/10000*G175*$M$2)))</f>
        <v>18894.6465384615</v>
      </c>
      <c r="P175" s="61" t="n">
        <f aca="false">MIN(IF(F175&lt;$G$3,$F$3*G175*AE175,IF(F175&lt;$G$2,$F$2*G175*AE175,$F$1*G175*AE175)),IF((F175/10000*G175*$M$2)&gt;F175*$M$1,F175*$M$1,(F175/10000*G175*$M$2)))</f>
        <v>16174.6153846154</v>
      </c>
      <c r="Q175" s="61" t="n">
        <f aca="false">MAX(I175,N175)</f>
        <v>28341.9698076923</v>
      </c>
      <c r="R175" s="61" t="n">
        <f aca="false">MIN(I175,N175)</f>
        <v>24261.9230769231</v>
      </c>
      <c r="S175" s="62" t="n">
        <f aca="false">F175/10000</f>
        <v>7.009</v>
      </c>
      <c r="T175" s="62" t="n">
        <f aca="false">ROUNDUP(S175,0)</f>
        <v>8</v>
      </c>
      <c r="U175" s="44" t="s">
        <v>40</v>
      </c>
      <c r="V175" s="44" t="n">
        <f aca="false">F175</f>
        <v>70090</v>
      </c>
      <c r="W175" s="45" t="n">
        <v>25000</v>
      </c>
      <c r="Y175" s="45" t="n">
        <f aca="false">(W175+X175)</f>
        <v>25000</v>
      </c>
      <c r="AC175" s="46" t="s">
        <v>420</v>
      </c>
      <c r="AD175" s="47" t="n">
        <v>35164</v>
      </c>
      <c r="AE175" s="63" t="n">
        <f aca="false">ROUNDUP(DAYS360(AD175,$AE$3)/365,0)</f>
        <v>6</v>
      </c>
      <c r="AL175" s="43" t="n">
        <f aca="false">IF(AC175="N",V175,0)</f>
        <v>0</v>
      </c>
      <c r="AM175" s="43" t="n">
        <f aca="false">IF(AL175&gt;0,1,0)</f>
        <v>0</v>
      </c>
    </row>
    <row r="176" customFormat="false" ht="12.75" hidden="false" customHeight="false" outlineLevel="0" collapsed="false">
      <c r="A176" s="83"/>
      <c r="B176" s="43" t="s">
        <v>356</v>
      </c>
      <c r="F176" s="48" t="n">
        <v>38462</v>
      </c>
      <c r="G176" s="48" t="n">
        <f aca="false">F176/52</f>
        <v>739.653846153846</v>
      </c>
      <c r="H176" s="61" t="n">
        <f aca="false">IF(AC176="N",IF(F176&lt;$G$3,$F$3*G176*AE176,IF(F176&lt;$G$2,$F$2*G176*AE176,$F$1*G176*AE176)),0)</f>
        <v>739.653846153846</v>
      </c>
      <c r="I176" s="61" t="n">
        <f aca="false">IF(AC176="Y",(IF(F176&lt;$G$3,$F$3*G176*AE176,IF(F176&lt;$G$2,$F$2*G176*AE176,$F$1*G176*AE176))*$L$2),0)</f>
        <v>0</v>
      </c>
      <c r="J176" s="61"/>
      <c r="K176" s="61" t="n">
        <f aca="false">IF(AC176="N",(MIN((($F$3*G176*AE176+ROUNDUP((F176/10000),0)*G176)*2),F176)),0)</f>
        <v>7396.53846153846</v>
      </c>
      <c r="L176" s="61" t="n">
        <f aca="false">IF(AC176="Y",(MIN((($F$3*G176*AE176+ROUNDUP((F176/10000),0)*G176)*2),F176))*$L$2,0)</f>
        <v>0</v>
      </c>
      <c r="M176" s="61" t="n">
        <f aca="false">IF(AC176="N",IF((F176/10000*G176*$M$2)&gt;F176*$M$1,F176*$M$1,(F176/10000*G176*$M$2)),0)</f>
        <v>5689.71324615385</v>
      </c>
      <c r="N176" s="61" t="n">
        <f aca="false">IF(AC176="Y",(IF((F176/10000*G176*$M$2)&gt;F176*$M$1,F176*$M$1,(F176/10000*G176*$M$2)))*$L$2,0)</f>
        <v>0</v>
      </c>
      <c r="O176" s="61" t="n">
        <f aca="false">MAX(IF(F176&lt;$G$3,$F$3*G176*AE176,IF(F176&lt;$G$2,$F$2*G176*AE176,$F$1*G176*AE176)),IF((F176/10000*G176*$M$2)&gt;F176*$M$1,F176*$M$1,(F176/10000*G176*$M$2)))</f>
        <v>5689.71324615385</v>
      </c>
      <c r="P176" s="61" t="n">
        <f aca="false">MIN(IF(F176&lt;$G$3,$F$3*G176*AE176,IF(F176&lt;$G$2,$F$2*G176*AE176,$F$1*G176*AE176)),IF((F176/10000*G176*$M$2)&gt;F176*$M$1,F176*$M$1,(F176/10000*G176*$M$2)))</f>
        <v>739.653846153846</v>
      </c>
      <c r="Q176" s="61" t="n">
        <f aca="false">MAX(I176,N176)</f>
        <v>0</v>
      </c>
      <c r="R176" s="61" t="n">
        <f aca="false">MIN(I176,N176)</f>
        <v>0</v>
      </c>
      <c r="S176" s="62" t="n">
        <f aca="false">F176/10000</f>
        <v>3.8462</v>
      </c>
      <c r="T176" s="62" t="n">
        <f aca="false">ROUNDUP(S176,0)</f>
        <v>4</v>
      </c>
      <c r="U176" s="44" t="s">
        <v>40</v>
      </c>
      <c r="V176" s="44" t="n">
        <f aca="false">F176</f>
        <v>38462</v>
      </c>
      <c r="Y176" s="45" t="n">
        <f aca="false">(W176+X176)</f>
        <v>0</v>
      </c>
      <c r="AC176" s="46" t="s">
        <v>419</v>
      </c>
      <c r="AD176" s="47" t="n">
        <v>36739</v>
      </c>
      <c r="AE176" s="63" t="n">
        <f aca="false">ROUNDUP(DAYS360(AD176,$AE$3)/365,0)</f>
        <v>1</v>
      </c>
      <c r="AF176" s="62" t="n">
        <f aca="false">(G176*AE176)+(G176*T176)</f>
        <v>3698.26923076923</v>
      </c>
      <c r="AG176" s="62" t="n">
        <f aca="false">26*G176</f>
        <v>19231</v>
      </c>
      <c r="AH176" s="62" t="n">
        <f aca="false">G176*52</f>
        <v>38462</v>
      </c>
      <c r="AI176" s="62" t="n">
        <f aca="false">AF176*2</f>
        <v>7396.53846153846</v>
      </c>
      <c r="AJ176" s="62"/>
      <c r="AL176" s="43" t="n">
        <f aca="false">IF(AC176="N",V176,0)</f>
        <v>38462</v>
      </c>
      <c r="AM176" s="43" t="n">
        <f aca="false">IF(AL176&gt;0,1,0)</f>
        <v>1</v>
      </c>
    </row>
    <row r="177" customFormat="false" ht="12.75" hidden="false" customHeight="false" outlineLevel="0" collapsed="false">
      <c r="H177" s="61"/>
      <c r="I177" s="61"/>
      <c r="J177" s="61"/>
      <c r="K177" s="61"/>
      <c r="L177" s="61"/>
      <c r="M177" s="61"/>
      <c r="N177" s="61"/>
      <c r="O177" s="61"/>
      <c r="P177" s="61"/>
      <c r="Q177" s="61"/>
      <c r="R177" s="61"/>
      <c r="AE177" s="63"/>
      <c r="AL177" s="43" t="n">
        <f aca="false">IF(AC177="N",V177,0)</f>
        <v>0</v>
      </c>
      <c r="AM177" s="43" t="n">
        <f aca="false">IF(AL177&gt;0,1,0)</f>
        <v>0</v>
      </c>
    </row>
    <row r="178" customFormat="false" ht="12.75" hidden="false" customHeight="false" outlineLevel="0" collapsed="false">
      <c r="H178" s="61"/>
      <c r="I178" s="61"/>
      <c r="J178" s="61"/>
      <c r="K178" s="61"/>
      <c r="L178" s="61"/>
      <c r="M178" s="61"/>
      <c r="N178" s="61"/>
      <c r="O178" s="61"/>
      <c r="P178" s="61"/>
      <c r="Q178" s="61"/>
      <c r="R178" s="61"/>
      <c r="AE178" s="63"/>
      <c r="AL178" s="43" t="n">
        <f aca="false">IF(AC178="N",V178,0)</f>
        <v>0</v>
      </c>
      <c r="AM178" s="43" t="n">
        <f aca="false">IF(AL178&gt;0,1,0)</f>
        <v>0</v>
      </c>
    </row>
    <row r="179" customFormat="false" ht="38.25" hidden="false" customHeight="false" outlineLevel="0" collapsed="false">
      <c r="A179" s="83" t="s">
        <v>82</v>
      </c>
      <c r="B179" s="43" t="s">
        <v>386</v>
      </c>
      <c r="F179" s="48" t="n">
        <v>5049</v>
      </c>
      <c r="G179" s="48" t="n">
        <f aca="false">F179/52</f>
        <v>97.0961538461538</v>
      </c>
      <c r="H179" s="61" t="n">
        <f aca="false">IF(AC179="N",IF(F179&lt;$G$3,$F$3*G179*AE179,IF(F179&lt;$G$2,$F$2*G179*AE179,$F$1*G179*AE179)),0)</f>
        <v>485.480769230769</v>
      </c>
      <c r="I179" s="61" t="n">
        <f aca="false">IF(AC179="Y",(IF(F179&lt;$G$3,$F$3*G179*AE179,IF(F179&lt;$G$2,$F$2*G179*AE179,$F$1*G179*AE179))*$L$2),0)</f>
        <v>0</v>
      </c>
      <c r="J179" s="61"/>
      <c r="K179" s="61" t="n">
        <f aca="false">IF(AC179="N",(MIN((($F$3*G179*AE179+ROUNDUP((F179/10000),0)*G179)*2),F179)),0)</f>
        <v>1165.15384615385</v>
      </c>
      <c r="L179" s="61" t="n">
        <f aca="false">IF(AC179="Y",(MIN((($F$3*G179*AE179+ROUNDUP((F179/10000),0)*G179)*2),F179))*$L$2,0)</f>
        <v>0</v>
      </c>
      <c r="M179" s="61" t="n">
        <f aca="false">IF(AC179="N",IF((F179/10000*G179*$M$2)&gt;F179*$M$1,F179*$M$1,(F179/10000*G179*$M$2)),0)</f>
        <v>98.0476961538462</v>
      </c>
      <c r="N179" s="61" t="n">
        <f aca="false">IF(AC179="Y",(IF((F179/10000*G179*$M$2)&gt;F179*$M$1,F179*$M$1,(F179/10000*G179*$M$2)))*$L$2,0)</f>
        <v>0</v>
      </c>
      <c r="O179" s="61" t="n">
        <f aca="false">MAX(IF(F179&lt;$G$3,$F$3*G179*AE179,IF(F179&lt;$G$2,$F$2*G179*AE179,$F$1*G179*AE179)),IF((F179/10000*G179*$M$2)&gt;F179*$M$1,F179*$M$1,(F179/10000*G179*$M$2)))</f>
        <v>485.480769230769</v>
      </c>
      <c r="P179" s="61" t="n">
        <f aca="false">MIN(IF(F179&lt;$G$3,$F$3*G179*AE179,IF(F179&lt;$G$2,$F$2*G179*AE179,$F$1*G179*AE179)),IF((F179/10000*G179*$M$2)&gt;F179*$M$1,F179*$M$1,(F179/10000*G179*$M$2)))</f>
        <v>98.0476961538462</v>
      </c>
      <c r="Q179" s="61" t="n">
        <f aca="false">MAX(I179,N179)</f>
        <v>0</v>
      </c>
      <c r="R179" s="61" t="n">
        <f aca="false">MIN(I179,N179)</f>
        <v>0</v>
      </c>
      <c r="S179" s="62" t="n">
        <f aca="false">F179/10000</f>
        <v>0.5049</v>
      </c>
      <c r="T179" s="62" t="n">
        <f aca="false">ROUNDUP(S179,0)</f>
        <v>1</v>
      </c>
      <c r="U179" s="44" t="s">
        <v>40</v>
      </c>
      <c r="V179" s="44" t="n">
        <f aca="false">F179</f>
        <v>5049</v>
      </c>
      <c r="Y179" s="45" t="n">
        <f aca="false">(W179+X179)</f>
        <v>0</v>
      </c>
      <c r="AC179" s="46" t="s">
        <v>419</v>
      </c>
      <c r="AD179" s="47" t="n">
        <v>35370</v>
      </c>
      <c r="AE179" s="63" t="n">
        <f aca="false">ROUNDUP(DAYS360(AD179,$AE$3)/365,0)</f>
        <v>5</v>
      </c>
      <c r="AF179" s="62" t="n">
        <f aca="false">(G179*AE179)+(G179*T179)</f>
        <v>582.576923076923</v>
      </c>
      <c r="AG179" s="62" t="n">
        <f aca="false">26*G179</f>
        <v>2524.5</v>
      </c>
      <c r="AH179" s="62" t="n">
        <f aca="false">G179*52</f>
        <v>5049</v>
      </c>
      <c r="AI179" s="62" t="n">
        <f aca="false">AF179*2</f>
        <v>1165.15384615385</v>
      </c>
      <c r="AJ179" s="62"/>
      <c r="AL179" s="43" t="n">
        <f aca="false">IF(AC179="N",V179,0)</f>
        <v>5049</v>
      </c>
      <c r="AM179" s="43" t="n">
        <f aca="false">IF(AL179&gt;0,1,0)</f>
        <v>1</v>
      </c>
    </row>
    <row r="180" customFormat="false" ht="12.75" hidden="false" customHeight="false" outlineLevel="0" collapsed="false">
      <c r="A180" s="83"/>
      <c r="B180" s="43" t="s">
        <v>385</v>
      </c>
      <c r="F180" s="48" t="n">
        <v>8263</v>
      </c>
      <c r="G180" s="48" t="n">
        <f aca="false">F180/52</f>
        <v>158.903846153846</v>
      </c>
      <c r="H180" s="61" t="n">
        <f aca="false">IF(AC180="N",IF(F180&lt;$G$3,$F$3*G180*AE180,IF(F180&lt;$G$2,$F$2*G180*AE180,$F$1*G180*AE180)),0)</f>
        <v>2224.65384615385</v>
      </c>
      <c r="I180" s="61" t="n">
        <f aca="false">IF(AC180="Y",(IF(F180&lt;$G$3,$F$3*G180*AE180,IF(F180&lt;$G$2,$F$2*G180*AE180,$F$1*G180*AE180))*$L$2),0)</f>
        <v>0</v>
      </c>
      <c r="J180" s="61"/>
      <c r="K180" s="61" t="n">
        <f aca="false">IF(AC180="N",(MIN((($F$3*G180*AE180+ROUNDUP((F180/10000),0)*G180)*2),F180)),0)</f>
        <v>4767.11538461539</v>
      </c>
      <c r="L180" s="61" t="n">
        <f aca="false">IF(AC180="Y",(MIN((($F$3*G180*AE180+ROUNDUP((F180/10000),0)*G180)*2),F180))*$L$2,0)</f>
        <v>0</v>
      </c>
      <c r="M180" s="61" t="n">
        <f aca="false">IF(AC180="N",IF((F180/10000*G180*$M$2)&gt;F180*$M$1,F180*$M$1,(F180/10000*G180*$M$2)),0)</f>
        <v>262.604496153846</v>
      </c>
      <c r="N180" s="61" t="n">
        <f aca="false">IF(AC180="Y",(IF((F180/10000*G180*$M$2)&gt;F180*$M$1,F180*$M$1,(F180/10000*G180*$M$2)))*$L$2,0)</f>
        <v>0</v>
      </c>
      <c r="O180" s="61" t="n">
        <f aca="false">MAX(IF(F180&lt;$G$3,$F$3*G180*AE180,IF(F180&lt;$G$2,$F$2*G180*AE180,$F$1*G180*AE180)),IF((F180/10000*G180*$M$2)&gt;F180*$M$1,F180*$M$1,(F180/10000*G180*$M$2)))</f>
        <v>2224.65384615385</v>
      </c>
      <c r="P180" s="61" t="n">
        <f aca="false">MIN(IF(F180&lt;$G$3,$F$3*G180*AE180,IF(F180&lt;$G$2,$F$2*G180*AE180,$F$1*G180*AE180)),IF((F180/10000*G180*$M$2)&gt;F180*$M$1,F180*$M$1,(F180/10000*G180*$M$2)))</f>
        <v>262.604496153846</v>
      </c>
      <c r="Q180" s="61" t="n">
        <f aca="false">MAX(I180,N180)</f>
        <v>0</v>
      </c>
      <c r="R180" s="61" t="n">
        <f aca="false">MIN(I180,N180)</f>
        <v>0</v>
      </c>
      <c r="S180" s="62" t="n">
        <f aca="false">F180/10000</f>
        <v>0.8263</v>
      </c>
      <c r="T180" s="62" t="n">
        <f aca="false">ROUNDUP(S180,0)</f>
        <v>1</v>
      </c>
      <c r="U180" s="44" t="s">
        <v>40</v>
      </c>
      <c r="V180" s="44" t="n">
        <f aca="false">F180</f>
        <v>8263</v>
      </c>
      <c r="Y180" s="45" t="n">
        <f aca="false">(W180+X180)</f>
        <v>0</v>
      </c>
      <c r="AC180" s="46" t="s">
        <v>419</v>
      </c>
      <c r="AD180" s="47" t="n">
        <v>31929</v>
      </c>
      <c r="AE180" s="63" t="n">
        <f aca="false">ROUNDUP(DAYS360(AD180,$AE$3)/365,0)</f>
        <v>14</v>
      </c>
      <c r="AF180" s="62" t="n">
        <f aca="false">(G180*AE180)+(G180*T180)</f>
        <v>2383.55769230769</v>
      </c>
      <c r="AG180" s="62" t="n">
        <f aca="false">26*G180</f>
        <v>4131.5</v>
      </c>
      <c r="AH180" s="62" t="n">
        <f aca="false">G180*52</f>
        <v>8263</v>
      </c>
      <c r="AI180" s="62" t="n">
        <f aca="false">AF180*2</f>
        <v>4767.11538461539</v>
      </c>
      <c r="AJ180" s="62"/>
      <c r="AL180" s="43" t="n">
        <f aca="false">IF(AC180="N",V180,0)</f>
        <v>8263</v>
      </c>
      <c r="AM180" s="43" t="n">
        <f aca="false">IF(AL180&gt;0,1,0)</f>
        <v>1</v>
      </c>
    </row>
    <row r="181" customFormat="false" ht="12.75" hidden="false" customHeight="false" outlineLevel="0" collapsed="false">
      <c r="A181" s="83"/>
      <c r="B181" s="43" t="s">
        <v>83</v>
      </c>
      <c r="F181" s="48" t="n">
        <v>225000</v>
      </c>
      <c r="G181" s="48" t="n">
        <f aca="false">F181/52</f>
        <v>4326.92307692308</v>
      </c>
      <c r="H181" s="61" t="n">
        <f aca="false">IF(AC181="N",IF(F181&lt;$G$3,$F$3*G181*AE181,IF(F181&lt;$G$2,$F$2*G181*AE181,$F$1*G181*AE181)),0)</f>
        <v>0</v>
      </c>
      <c r="I181" s="61" t="n">
        <f aca="false">IF(AC181="Y",(IF(F181&lt;$G$3,$F$3*G181*AE181,IF(F181&lt;$G$2,$F$2*G181*AE181,$F$1*G181*AE181))*$L$2),0)</f>
        <v>441346.153846154</v>
      </c>
      <c r="J181" s="61"/>
      <c r="K181" s="61" t="n">
        <f aca="false">IF(AC181="N",(MIN((($F$3*G181*AE181+ROUNDUP((F181/10000),0)*G181)*2),F181)),0)</f>
        <v>0</v>
      </c>
      <c r="L181" s="61" t="n">
        <f aca="false">IF(AC181="Y",(MIN((($F$3*G181*AE181+ROUNDUP((F181/10000),0)*G181)*2),F181))*$L$2,0)</f>
        <v>337500</v>
      </c>
      <c r="M181" s="61" t="n">
        <f aca="false">IF(AC181="N",IF((F181/10000*G181*$M$2)&gt;F181*$M$1,F181*$M$1,(F181/10000*G181*$M$2)),0)</f>
        <v>0</v>
      </c>
      <c r="N181" s="61" t="n">
        <f aca="false">IF(AC181="Y",(IF((F181/10000*G181*$M$2)&gt;F181*$M$1,F181*$M$1,(F181/10000*G181*$M$2)))*$L$2,0)</f>
        <v>253125</v>
      </c>
      <c r="O181" s="61" t="n">
        <f aca="false">MAX(IF(F181&lt;$G$3,$F$3*G181*AE181,IF(F181&lt;$G$2,$F$2*G181*AE181,$F$1*G181*AE181)),IF((F181/10000*G181*$M$2)&gt;F181*$M$1,F181*$M$1,(F181/10000*G181*$M$2)))</f>
        <v>294230.769230769</v>
      </c>
      <c r="P181" s="61" t="n">
        <f aca="false">MIN(IF(F181&lt;$G$3,$F$3*G181*AE181,IF(F181&lt;$G$2,$F$2*G181*AE181,$F$1*G181*AE181)),IF((F181/10000*G181*$M$2)&gt;F181*$M$1,F181*$M$1,(F181/10000*G181*$M$2)))</f>
        <v>168750</v>
      </c>
      <c r="Q181" s="61" t="n">
        <f aca="false">MAX(I181,N181)</f>
        <v>441346.153846154</v>
      </c>
      <c r="R181" s="61" t="n">
        <f aca="false">MIN(I181,N181)</f>
        <v>253125</v>
      </c>
      <c r="S181" s="62" t="n">
        <f aca="false">F181/10000</f>
        <v>22.5</v>
      </c>
      <c r="T181" s="62" t="n">
        <f aca="false">ROUNDUP(S181,0)</f>
        <v>23</v>
      </c>
      <c r="U181" s="44" t="s">
        <v>40</v>
      </c>
      <c r="V181" s="44" t="n">
        <f aca="false">F181</f>
        <v>225000</v>
      </c>
      <c r="W181" s="45" t="n">
        <v>70000</v>
      </c>
      <c r="X181" s="45" t="n">
        <v>52575</v>
      </c>
      <c r="Y181" s="45" t="n">
        <f aca="false">(W181+X181)</f>
        <v>122575</v>
      </c>
      <c r="Z181" s="45"/>
      <c r="AA181" s="45" t="n">
        <v>52575</v>
      </c>
      <c r="AB181" s="45" t="n">
        <v>132580</v>
      </c>
      <c r="AC181" s="46" t="s">
        <v>420</v>
      </c>
      <c r="AD181" s="47" t="n">
        <v>30895</v>
      </c>
      <c r="AE181" s="63" t="n">
        <f aca="false">ROUNDUP(DAYS360(AD181,$AE$3)/365,0)</f>
        <v>17</v>
      </c>
      <c r="AL181" s="43" t="n">
        <f aca="false">IF(AC181="N",V181,0)</f>
        <v>0</v>
      </c>
      <c r="AM181" s="43" t="n">
        <f aca="false">IF(AL181&gt;0,1,0)</f>
        <v>0</v>
      </c>
    </row>
    <row r="182" customFormat="false" ht="12.75" hidden="false" customHeight="false" outlineLevel="0" collapsed="false">
      <c r="A182" s="83"/>
      <c r="B182" s="43" t="s">
        <v>384</v>
      </c>
      <c r="F182" s="48" t="n">
        <v>12853</v>
      </c>
      <c r="G182" s="48" t="n">
        <f aca="false">F182/52</f>
        <v>247.173076923077</v>
      </c>
      <c r="H182" s="61" t="n">
        <f aca="false">IF(AC182="N",IF(F182&lt;$G$3,$F$3*G182*AE182,IF(F182&lt;$G$2,$F$2*G182*AE182,$F$1*G182*AE182)),0)</f>
        <v>1235.86538461538</v>
      </c>
      <c r="I182" s="61" t="n">
        <f aca="false">IF(AC182="Y",(IF(F182&lt;$G$3,$F$3*G182*AE182,IF(F182&lt;$G$2,$F$2*G182*AE182,$F$1*G182*AE182))*$L$2),0)</f>
        <v>0</v>
      </c>
      <c r="J182" s="61"/>
      <c r="K182" s="61" t="n">
        <f aca="false">IF(AC182="N",(MIN((($F$3*G182*AE182+ROUNDUP((F182/10000),0)*G182)*2),F182)),0)</f>
        <v>3460.42307692308</v>
      </c>
      <c r="L182" s="61" t="n">
        <f aca="false">IF(AC182="Y",(MIN((($F$3*G182*AE182+ROUNDUP((F182/10000),0)*G182)*2),F182))*$L$2,0)</f>
        <v>0</v>
      </c>
      <c r="M182" s="61" t="n">
        <f aca="false">IF(AC182="N",IF((F182/10000*G182*$M$2)&gt;F182*$M$1,F182*$M$1,(F182/10000*G182*$M$2)),0)</f>
        <v>635.383111538462</v>
      </c>
      <c r="N182" s="61" t="n">
        <f aca="false">IF(AC182="Y",(IF((F182/10000*G182*$M$2)&gt;F182*$M$1,F182*$M$1,(F182/10000*G182*$M$2)))*$L$2,0)</f>
        <v>0</v>
      </c>
      <c r="O182" s="61" t="n">
        <f aca="false">MAX(IF(F182&lt;$G$3,$F$3*G182*AE182,IF(F182&lt;$G$2,$F$2*G182*AE182,$F$1*G182*AE182)),IF((F182/10000*G182*$M$2)&gt;F182*$M$1,F182*$M$1,(F182/10000*G182*$M$2)))</f>
        <v>1235.86538461538</v>
      </c>
      <c r="P182" s="61" t="n">
        <f aca="false">MIN(IF(F182&lt;$G$3,$F$3*G182*AE182,IF(F182&lt;$G$2,$F$2*G182*AE182,$F$1*G182*AE182)),IF((F182/10000*G182*$M$2)&gt;F182*$M$1,F182*$M$1,(F182/10000*G182*$M$2)))</f>
        <v>635.383111538462</v>
      </c>
      <c r="Q182" s="61" t="n">
        <f aca="false">MAX(I182,N182)</f>
        <v>0</v>
      </c>
      <c r="R182" s="61" t="n">
        <f aca="false">MIN(I182,N182)</f>
        <v>0</v>
      </c>
      <c r="S182" s="62" t="n">
        <f aca="false">F182/10000</f>
        <v>1.2853</v>
      </c>
      <c r="T182" s="62" t="n">
        <f aca="false">ROUNDUP(S182,0)</f>
        <v>2</v>
      </c>
      <c r="U182" s="44" t="s">
        <v>40</v>
      </c>
      <c r="V182" s="44" t="n">
        <f aca="false">F182</f>
        <v>12853</v>
      </c>
      <c r="Y182" s="45" t="n">
        <f aca="false">(W182+X182)</f>
        <v>0</v>
      </c>
      <c r="AC182" s="46" t="s">
        <v>419</v>
      </c>
      <c r="AD182" s="47" t="n">
        <v>35309</v>
      </c>
      <c r="AE182" s="63" t="n">
        <f aca="false">ROUNDUP(DAYS360(AD182,$AE$3)/365,0)</f>
        <v>5</v>
      </c>
      <c r="AF182" s="62" t="n">
        <f aca="false">(G182*AE182)+(G182*T182)</f>
        <v>1730.21153846154</v>
      </c>
      <c r="AG182" s="62" t="n">
        <f aca="false">26*G182</f>
        <v>6426.5</v>
      </c>
      <c r="AH182" s="62" t="n">
        <f aca="false">G182*52</f>
        <v>12853</v>
      </c>
      <c r="AI182" s="62" t="n">
        <f aca="false">AF182*2</f>
        <v>3460.42307692308</v>
      </c>
      <c r="AJ182" s="62"/>
      <c r="AL182" s="43" t="n">
        <f aca="false">IF(AC182="N",V182,0)</f>
        <v>12853</v>
      </c>
      <c r="AM182" s="43" t="n">
        <f aca="false">IF(AL182&gt;0,1,0)</f>
        <v>1</v>
      </c>
    </row>
    <row r="183" customFormat="false" ht="12.75" hidden="false" customHeight="false" outlineLevel="0" collapsed="false">
      <c r="A183" s="83"/>
      <c r="B183" s="43" t="s">
        <v>383</v>
      </c>
      <c r="F183" s="48" t="n">
        <v>22952</v>
      </c>
      <c r="G183" s="48" t="n">
        <f aca="false">F183/52</f>
        <v>441.384615384615</v>
      </c>
      <c r="H183" s="61" t="n">
        <f aca="false">IF(AC183="N",IF(F183&lt;$G$3,$F$3*G183*AE183,IF(F183&lt;$G$2,$F$2*G183*AE183,$F$1*G183*AE183)),0)</f>
        <v>1324.15384615385</v>
      </c>
      <c r="I183" s="61" t="n">
        <f aca="false">IF(AC183="Y",(IF(F183&lt;$G$3,$F$3*G183*AE183,IF(F183&lt;$G$2,$F$2*G183*AE183,$F$1*G183*AE183))*$L$2),0)</f>
        <v>0</v>
      </c>
      <c r="J183" s="61"/>
      <c r="K183" s="61" t="n">
        <f aca="false">IF(AC183="N",(MIN((($F$3*G183*AE183+ROUNDUP((F183/10000),0)*G183)*2),F183)),0)</f>
        <v>5296.61538461539</v>
      </c>
      <c r="L183" s="61" t="n">
        <f aca="false">IF(AC183="Y",(MIN((($F$3*G183*AE183+ROUNDUP((F183/10000),0)*G183)*2),F183))*$L$2,0)</f>
        <v>0</v>
      </c>
      <c r="M183" s="61" t="n">
        <f aca="false">IF(AC183="N",IF((F183/10000*G183*$M$2)&gt;F183*$M$1,F183*$M$1,(F183/10000*G183*$M$2)),0)</f>
        <v>2026.13193846154</v>
      </c>
      <c r="N183" s="61" t="n">
        <f aca="false">IF(AC183="Y",(IF((F183/10000*G183*$M$2)&gt;F183*$M$1,F183*$M$1,(F183/10000*G183*$M$2)))*$L$2,0)</f>
        <v>0</v>
      </c>
      <c r="O183" s="61" t="n">
        <f aca="false">MAX(IF(F183&lt;$G$3,$F$3*G183*AE183,IF(F183&lt;$G$2,$F$2*G183*AE183,$F$1*G183*AE183)),IF((F183/10000*G183*$M$2)&gt;F183*$M$1,F183*$M$1,(F183/10000*G183*$M$2)))</f>
        <v>2026.13193846154</v>
      </c>
      <c r="P183" s="61" t="n">
        <f aca="false">MIN(IF(F183&lt;$G$3,$F$3*G183*AE183,IF(F183&lt;$G$2,$F$2*G183*AE183,$F$1*G183*AE183)),IF((F183/10000*G183*$M$2)&gt;F183*$M$1,F183*$M$1,(F183/10000*G183*$M$2)))</f>
        <v>1324.15384615385</v>
      </c>
      <c r="Q183" s="61" t="n">
        <f aca="false">MAX(I183,N183)</f>
        <v>0</v>
      </c>
      <c r="R183" s="61" t="n">
        <f aca="false">MIN(I183,N183)</f>
        <v>0</v>
      </c>
      <c r="S183" s="62" t="n">
        <f aca="false">F183/10000</f>
        <v>2.2952</v>
      </c>
      <c r="T183" s="62" t="n">
        <f aca="false">ROUNDUP(S183,0)</f>
        <v>3</v>
      </c>
      <c r="U183" s="44" t="s">
        <v>40</v>
      </c>
      <c r="V183" s="44" t="n">
        <f aca="false">F183</f>
        <v>22952</v>
      </c>
      <c r="Y183" s="45" t="n">
        <f aca="false">(W183+X183)</f>
        <v>0</v>
      </c>
      <c r="AC183" s="46" t="s">
        <v>419</v>
      </c>
      <c r="AD183" s="47" t="n">
        <v>36100</v>
      </c>
      <c r="AE183" s="63" t="n">
        <f aca="false">ROUNDUP(DAYS360(AD183,$AE$3)/365,0)</f>
        <v>3</v>
      </c>
      <c r="AF183" s="62" t="n">
        <f aca="false">(G183*AE183)+(G183*T183)</f>
        <v>2648.30769230769</v>
      </c>
      <c r="AG183" s="62" t="n">
        <f aca="false">26*G183</f>
        <v>11476</v>
      </c>
      <c r="AH183" s="62" t="n">
        <f aca="false">G183*52</f>
        <v>22952</v>
      </c>
      <c r="AI183" s="62" t="n">
        <f aca="false">AF183*2</f>
        <v>5296.61538461539</v>
      </c>
      <c r="AJ183" s="62"/>
      <c r="AL183" s="43" t="n">
        <f aca="false">IF(AC183="N",V183,0)</f>
        <v>22952</v>
      </c>
      <c r="AM183" s="43" t="n">
        <f aca="false">IF(AL183&gt;0,1,0)</f>
        <v>1</v>
      </c>
    </row>
    <row r="184" customFormat="false" ht="12.75" hidden="false" customHeight="false" outlineLevel="0" collapsed="false">
      <c r="H184" s="61"/>
      <c r="I184" s="61"/>
      <c r="J184" s="61"/>
      <c r="K184" s="61"/>
      <c r="L184" s="61"/>
      <c r="M184" s="61"/>
      <c r="N184" s="61"/>
      <c r="O184" s="61"/>
      <c r="P184" s="61"/>
      <c r="Q184" s="61"/>
      <c r="R184" s="61"/>
      <c r="AE184" s="63"/>
      <c r="AL184" s="43" t="n">
        <f aca="false">IF(AC184="N",V184,0)</f>
        <v>0</v>
      </c>
      <c r="AM184" s="43" t="n">
        <f aca="false">IF(AL184&gt;0,1,0)</f>
        <v>0</v>
      </c>
    </row>
    <row r="185" customFormat="false" ht="38.25" hidden="false" customHeight="false" outlineLevel="0" collapsed="false">
      <c r="A185" s="83" t="s">
        <v>138</v>
      </c>
      <c r="H185" s="61"/>
      <c r="I185" s="61"/>
      <c r="J185" s="61"/>
      <c r="K185" s="61"/>
      <c r="L185" s="61"/>
      <c r="M185" s="61"/>
      <c r="N185" s="61"/>
      <c r="O185" s="61"/>
      <c r="P185" s="61"/>
      <c r="Q185" s="61"/>
      <c r="R185" s="61"/>
      <c r="AE185" s="63"/>
      <c r="AL185" s="43" t="n">
        <f aca="false">IF(AC185="N",V185,0)</f>
        <v>0</v>
      </c>
      <c r="AM185" s="43" t="n">
        <f aca="false">IF(AL185&gt;0,1,0)</f>
        <v>0</v>
      </c>
    </row>
    <row r="186" customFormat="false" ht="12.75" hidden="false" customHeight="false" outlineLevel="0" collapsed="false">
      <c r="A186" s="83"/>
      <c r="B186" s="43" t="s">
        <v>139</v>
      </c>
      <c r="F186" s="48" t="n">
        <v>80000</v>
      </c>
      <c r="G186" s="48" t="n">
        <f aca="false">F186/52</f>
        <v>1538.46153846154</v>
      </c>
      <c r="H186" s="61" t="n">
        <f aca="false">IF(AC186="N",IF(F186&lt;$G$3,$F$3*G186*AE186,IF(F186&lt;$G$2,$F$2*G186*AE186,$F$1*G186*AE186)),0)</f>
        <v>0</v>
      </c>
      <c r="I186" s="61" t="n">
        <f aca="false">IF(AC186="Y",(IF(F186&lt;$G$3,$F$3*G186*AE186,IF(F186&lt;$G$2,$F$2*G186*AE186,$F$1*G186*AE186))*$L$2),0)</f>
        <v>32307.6923076923</v>
      </c>
      <c r="J186" s="61"/>
      <c r="K186" s="61" t="n">
        <f aca="false">IF(AC186="N",(MIN((($F$3*G186*AE186+ROUNDUP((F186/10000),0)*G186)*2),F186)),0)</f>
        <v>0</v>
      </c>
      <c r="L186" s="61" t="n">
        <f aca="false">IF(AC186="Y",(MIN((($F$3*G186*AE186+ROUNDUP((F186/10000),0)*G186)*2),F186))*$L$2,0)</f>
        <v>69230.7692307692</v>
      </c>
      <c r="M186" s="61" t="n">
        <f aca="false">IF(AC186="N",IF((F186/10000*G186*$M$2)&gt;F186*$M$1,F186*$M$1,(F186/10000*G186*$M$2)),0)</f>
        <v>0</v>
      </c>
      <c r="N186" s="61" t="n">
        <f aca="false">IF(AC186="Y",(IF((F186/10000*G186*$M$2)&gt;F186*$M$1,F186*$M$1,(F186/10000*G186*$M$2)))*$L$2,0)</f>
        <v>36923.0769230769</v>
      </c>
      <c r="O186" s="61" t="n">
        <f aca="false">MAX(IF(F186&lt;$G$3,$F$3*G186*AE186,IF(F186&lt;$G$2,$F$2*G186*AE186,$F$1*G186*AE186)),IF((F186/10000*G186*$M$2)&gt;F186*$M$1,F186*$M$1,(F186/10000*G186*$M$2)))</f>
        <v>24615.3846153846</v>
      </c>
      <c r="P186" s="61" t="n">
        <f aca="false">MIN(IF(F186&lt;$G$3,$F$3*G186*AE186,IF(F186&lt;$G$2,$F$2*G186*AE186,$F$1*G186*AE186)),IF((F186/10000*G186*$M$2)&gt;F186*$M$1,F186*$M$1,(F186/10000*G186*$M$2)))</f>
        <v>21538.4615384615</v>
      </c>
      <c r="Q186" s="61" t="n">
        <f aca="false">MAX(I186,N186)</f>
        <v>36923.0769230769</v>
      </c>
      <c r="R186" s="61" t="n">
        <f aca="false">MIN(I186,N186)</f>
        <v>32307.6923076923</v>
      </c>
      <c r="S186" s="62" t="n">
        <f aca="false">F186/10000</f>
        <v>8</v>
      </c>
      <c r="T186" s="62" t="n">
        <f aca="false">ROUNDUP(S186,0)</f>
        <v>8</v>
      </c>
      <c r="U186" s="44" t="s">
        <v>40</v>
      </c>
      <c r="V186" s="44" t="n">
        <f aca="false">F186</f>
        <v>80000</v>
      </c>
      <c r="W186" s="45" t="n">
        <v>10000</v>
      </c>
      <c r="Y186" s="45" t="n">
        <f aca="false">(W186+X186)</f>
        <v>10000</v>
      </c>
      <c r="AC186" s="46" t="s">
        <v>420</v>
      </c>
      <c r="AD186" s="47" t="n">
        <v>34820</v>
      </c>
      <c r="AE186" s="63" t="n">
        <f aca="false">ROUNDUP(DAYS360(AD186,$AE$3)/365,0)</f>
        <v>7</v>
      </c>
      <c r="AL186" s="43" t="n">
        <f aca="false">IF(AC186="N",V186,0)</f>
        <v>0</v>
      </c>
      <c r="AM186" s="43" t="n">
        <f aca="false">IF(AL186&gt;0,1,0)</f>
        <v>0</v>
      </c>
    </row>
    <row r="187" customFormat="false" ht="12.75" hidden="false" customHeight="false" outlineLevel="0" collapsed="false">
      <c r="A187" s="83"/>
      <c r="B187" s="43" t="s">
        <v>248</v>
      </c>
      <c r="F187" s="48" t="n">
        <v>27098</v>
      </c>
      <c r="G187" s="48" t="n">
        <f aca="false">F187/52</f>
        <v>521.115384615385</v>
      </c>
      <c r="H187" s="61" t="n">
        <f aca="false">IF(AC187="N",IF(F187&lt;$G$3,$F$3*G187*AE187,IF(F187&lt;$G$2,$F$2*G187*AE187,$F$1*G187*AE187)),0)</f>
        <v>0</v>
      </c>
      <c r="I187" s="61" t="n">
        <f aca="false">IF(AC187="Y",(IF(F187&lt;$G$3,$F$3*G187*AE187,IF(F187&lt;$G$2,$F$2*G187*AE187,$F$1*G187*AE187))*$L$2),0)</f>
        <v>5471.71153846154</v>
      </c>
      <c r="J187" s="61"/>
      <c r="K187" s="61" t="n">
        <f aca="false">IF(AC187="N",(MIN((($F$3*G187*AE187+ROUNDUP((F187/10000),0)*G187)*2),F187)),0)</f>
        <v>0</v>
      </c>
      <c r="L187" s="61" t="n">
        <f aca="false">IF(AC187="Y",(MIN((($F$3*G187*AE187+ROUNDUP((F187/10000),0)*G187)*2),F187))*$L$2,0)</f>
        <v>15633.4615384615</v>
      </c>
      <c r="M187" s="61" t="n">
        <f aca="false">IF(AC187="N",IF((F187/10000*G187*$M$2)&gt;F187*$M$1,F187*$M$1,(F187/10000*G187*$M$2)),0)</f>
        <v>0</v>
      </c>
      <c r="N187" s="61" t="n">
        <f aca="false">IF(AC187="Y",(IF((F187/10000*G187*$M$2)&gt;F187*$M$1,F187*$M$1,(F187/10000*G187*$M$2)))*$L$2,0)</f>
        <v>4236.35540769231</v>
      </c>
      <c r="O187" s="61" t="n">
        <f aca="false">MAX(IF(F187&lt;$G$3,$F$3*G187*AE187,IF(F187&lt;$G$2,$F$2*G187*AE187,$F$1*G187*AE187)),IF((F187/10000*G187*$M$2)&gt;F187*$M$1,F187*$M$1,(F187/10000*G187*$M$2)))</f>
        <v>3647.80769230769</v>
      </c>
      <c r="P187" s="61" t="n">
        <f aca="false">MIN(IF(F187&lt;$G$3,$F$3*G187*AE187,IF(F187&lt;$G$2,$F$2*G187*AE187,$F$1*G187*AE187)),IF((F187/10000*G187*$M$2)&gt;F187*$M$1,F187*$M$1,(F187/10000*G187*$M$2)))</f>
        <v>2824.23693846154</v>
      </c>
      <c r="Q187" s="61" t="n">
        <f aca="false">MAX(I187,N187)</f>
        <v>5471.71153846154</v>
      </c>
      <c r="R187" s="61" t="n">
        <f aca="false">MIN(I187,N187)</f>
        <v>4236.35540769231</v>
      </c>
      <c r="S187" s="62" t="n">
        <f aca="false">F187/10000</f>
        <v>2.7098</v>
      </c>
      <c r="T187" s="62" t="n">
        <f aca="false">ROUNDUP(S187,0)</f>
        <v>3</v>
      </c>
      <c r="U187" s="44" t="s">
        <v>40</v>
      </c>
      <c r="V187" s="44" t="n">
        <f aca="false">F187</f>
        <v>27098</v>
      </c>
      <c r="Y187" s="45" t="n">
        <f aca="false">(W187+X187)</f>
        <v>0</v>
      </c>
      <c r="AC187" s="46" t="s">
        <v>420</v>
      </c>
      <c r="AD187" s="47" t="n">
        <v>34820</v>
      </c>
      <c r="AE187" s="63" t="n">
        <f aca="false">ROUNDUP(DAYS360(AD187,$AE$3)/365,0)</f>
        <v>7</v>
      </c>
      <c r="AL187" s="43" t="n">
        <f aca="false">IF(AC187="N",V187,0)</f>
        <v>0</v>
      </c>
      <c r="AM187" s="43" t="n">
        <f aca="false">IF(AL187&gt;0,1,0)</f>
        <v>0</v>
      </c>
    </row>
    <row r="188" customFormat="false" ht="12.75" hidden="false" customHeight="false" outlineLevel="0" collapsed="false">
      <c r="A188" s="83"/>
      <c r="B188" s="43" t="s">
        <v>261</v>
      </c>
      <c r="F188" s="48" t="n">
        <v>14819</v>
      </c>
      <c r="G188" s="48" t="n">
        <f aca="false">F188/52</f>
        <v>284.980769230769</v>
      </c>
      <c r="H188" s="61" t="n">
        <f aca="false">IF(AC188="N",IF(F188&lt;$G$3,$F$3*G188*AE188,IF(F188&lt;$G$2,$F$2*G188*AE188,$F$1*G188*AE188)),0)</f>
        <v>0</v>
      </c>
      <c r="I188" s="61" t="n">
        <f aca="false">IF(AC188="Y",(IF(F188&lt;$G$3,$F$3*G188*AE188,IF(F188&lt;$G$2,$F$2*G188*AE188,$F$1*G188*AE188))*$L$2),0)</f>
        <v>2137.35576923077</v>
      </c>
      <c r="J188" s="61"/>
      <c r="K188" s="61" t="n">
        <f aca="false">IF(AC188="N",(MIN((($F$3*G188*AE188+ROUNDUP((F188/10000),0)*G188)*2),F188)),0)</f>
        <v>0</v>
      </c>
      <c r="L188" s="61" t="n">
        <f aca="false">IF(AC188="Y",(MIN((($F$3*G188*AE188+ROUNDUP((F188/10000),0)*G188)*2),F188))*$L$2,0)</f>
        <v>5984.59615384615</v>
      </c>
      <c r="M188" s="61" t="n">
        <f aca="false">IF(AC188="N",IF((F188/10000*G188*$M$2)&gt;F188*$M$1,F188*$M$1,(F188/10000*G188*$M$2)),0)</f>
        <v>0</v>
      </c>
      <c r="N188" s="61" t="n">
        <f aca="false">IF(AC188="Y",(IF((F188/10000*G188*$M$2)&gt;F188*$M$1,F188*$M$1,(F188/10000*G188*$M$2)))*$L$2,0)</f>
        <v>1266.93900576923</v>
      </c>
      <c r="O188" s="61" t="n">
        <f aca="false">MAX(IF(F188&lt;$G$3,$F$3*G188*AE188,IF(F188&lt;$G$2,$F$2*G188*AE188,$F$1*G188*AE188)),IF((F188/10000*G188*$M$2)&gt;F188*$M$1,F188*$M$1,(F188/10000*G188*$M$2)))</f>
        <v>1424.90384615385</v>
      </c>
      <c r="P188" s="61" t="n">
        <f aca="false">MIN(IF(F188&lt;$G$3,$F$3*G188*AE188,IF(F188&lt;$G$2,$F$2*G188*AE188,$F$1*G188*AE188)),IF((F188/10000*G188*$M$2)&gt;F188*$M$1,F188*$M$1,(F188/10000*G188*$M$2)))</f>
        <v>844.626003846154</v>
      </c>
      <c r="Q188" s="61" t="n">
        <f aca="false">MAX(I188,N188)</f>
        <v>2137.35576923077</v>
      </c>
      <c r="R188" s="61" t="n">
        <f aca="false">MIN(I188,N188)</f>
        <v>1266.93900576923</v>
      </c>
      <c r="S188" s="62" t="n">
        <f aca="false">F188/10000</f>
        <v>1.4819</v>
      </c>
      <c r="T188" s="62" t="n">
        <f aca="false">ROUNDUP(S188,0)</f>
        <v>2</v>
      </c>
      <c r="U188" s="44" t="s">
        <v>40</v>
      </c>
      <c r="V188" s="44" t="n">
        <f aca="false">F188</f>
        <v>14819</v>
      </c>
      <c r="Y188" s="45" t="n">
        <f aca="false">(W188+X188)</f>
        <v>0</v>
      </c>
      <c r="AC188" s="46" t="s">
        <v>420</v>
      </c>
      <c r="AD188" s="47" t="n">
        <v>35278</v>
      </c>
      <c r="AE188" s="63" t="n">
        <f aca="false">ROUNDUP(DAYS360(AD188,$AE$3)/365,0)</f>
        <v>5</v>
      </c>
      <c r="AL188" s="43" t="n">
        <f aca="false">IF(AC188="N",V188,0)</f>
        <v>0</v>
      </c>
      <c r="AM188" s="43" t="n">
        <f aca="false">IF(AL188&gt;0,1,0)</f>
        <v>0</v>
      </c>
    </row>
    <row r="189" customFormat="false" ht="12.75" hidden="false" customHeight="false" outlineLevel="0" collapsed="false">
      <c r="H189" s="61"/>
      <c r="I189" s="61"/>
      <c r="J189" s="61"/>
      <c r="K189" s="61"/>
      <c r="L189" s="61"/>
      <c r="M189" s="61"/>
      <c r="N189" s="61"/>
      <c r="O189" s="61"/>
      <c r="P189" s="61"/>
      <c r="Q189" s="61"/>
      <c r="R189" s="61"/>
      <c r="AE189" s="63"/>
      <c r="AL189" s="43" t="n">
        <f aca="false">IF(AC189="N",V189,0)</f>
        <v>0</v>
      </c>
      <c r="AM189" s="43" t="n">
        <f aca="false">IF(AL189&gt;0,1,0)</f>
        <v>0</v>
      </c>
    </row>
    <row r="190" customFormat="false" ht="12.75" hidden="false" customHeight="false" outlineLevel="0" collapsed="false">
      <c r="H190" s="61"/>
      <c r="I190" s="61"/>
      <c r="J190" s="61"/>
      <c r="K190" s="61"/>
      <c r="L190" s="61"/>
      <c r="M190" s="61"/>
      <c r="N190" s="61"/>
      <c r="O190" s="61"/>
      <c r="P190" s="61"/>
      <c r="Q190" s="61"/>
      <c r="R190" s="61"/>
      <c r="AE190" s="63"/>
      <c r="AL190" s="43" t="n">
        <f aca="false">IF(AC190="N",V190,0)</f>
        <v>0</v>
      </c>
      <c r="AM190" s="43" t="n">
        <f aca="false">IF(AL190&gt;0,1,0)</f>
        <v>0</v>
      </c>
    </row>
    <row r="191" customFormat="false" ht="48" hidden="false" customHeight="false" outlineLevel="0" collapsed="false">
      <c r="A191" s="83" t="s">
        <v>167</v>
      </c>
      <c r="B191" s="43" t="s">
        <v>168</v>
      </c>
      <c r="F191" s="48" t="n">
        <v>64800</v>
      </c>
      <c r="G191" s="48" t="n">
        <f aca="false">F191/52</f>
        <v>1246.15384615385</v>
      </c>
      <c r="H191" s="61" t="n">
        <f aca="false">IF(AC191="N",IF(F191&lt;$G$3,$F$3*G191*AE191,IF(F191&lt;$G$2,$F$2*G191*AE191,$F$1*G191*AE191)),0)</f>
        <v>0</v>
      </c>
      <c r="I191" s="61" t="n">
        <f aca="false">IF(AC191="Y",(IF(F191&lt;$G$3,$F$3*G191*AE191,IF(F191&lt;$G$2,$F$2*G191*AE191,$F$1*G191*AE191))*$L$2),0)</f>
        <v>59815.3846153846</v>
      </c>
      <c r="J191" s="61"/>
      <c r="K191" s="61" t="n">
        <f aca="false">IF(AC191="N",(MIN((($F$3*G191*AE191+ROUNDUP((F191/10000),0)*G191)*2),F191)),0)</f>
        <v>0</v>
      </c>
      <c r="L191" s="61" t="n">
        <f aca="false">IF(AC191="Y",(MIN((($F$3*G191*AE191+ROUNDUP((F191/10000),0)*G191)*2),F191))*$L$2,0)</f>
        <v>85984.6153846154</v>
      </c>
      <c r="M191" s="61" t="n">
        <f aca="false">IF(AC191="N",IF((F191/10000*G191*$M$2)&gt;F191*$M$1,F191*$M$1,(F191/10000*G191*$M$2)),0)</f>
        <v>0</v>
      </c>
      <c r="N191" s="61" t="n">
        <f aca="false">IF(AC191="Y",(IF((F191/10000*G191*$M$2)&gt;F191*$M$1,F191*$M$1,(F191/10000*G191*$M$2)))*$L$2,0)</f>
        <v>24225.2307692308</v>
      </c>
      <c r="O191" s="61" t="n">
        <f aca="false">MAX(IF(F191&lt;$G$3,$F$3*G191*AE191,IF(F191&lt;$G$2,$F$2*G191*AE191,$F$1*G191*AE191)),IF((F191/10000*G191*$M$2)&gt;F191*$M$1,F191*$M$1,(F191/10000*G191*$M$2)))</f>
        <v>39876.9230769231</v>
      </c>
      <c r="P191" s="61" t="n">
        <f aca="false">MIN(IF(F191&lt;$G$3,$F$3*G191*AE191,IF(F191&lt;$G$2,$F$2*G191*AE191,$F$1*G191*AE191)),IF((F191/10000*G191*$M$2)&gt;F191*$M$1,F191*$M$1,(F191/10000*G191*$M$2)))</f>
        <v>16150.1538461538</v>
      </c>
      <c r="Q191" s="61" t="n">
        <f aca="false">MAX(I191,N191)</f>
        <v>59815.3846153846</v>
      </c>
      <c r="R191" s="61" t="n">
        <f aca="false">MIN(I191,N191)</f>
        <v>24225.2307692308</v>
      </c>
      <c r="S191" s="62" t="n">
        <f aca="false">F191/10000</f>
        <v>6.48</v>
      </c>
      <c r="T191" s="62" t="n">
        <f aca="false">ROUNDUP(S191,0)</f>
        <v>7</v>
      </c>
      <c r="U191" s="44" t="s">
        <v>40</v>
      </c>
      <c r="V191" s="44" t="n">
        <f aca="false">F191</f>
        <v>64800</v>
      </c>
      <c r="W191" s="45" t="n">
        <v>20000</v>
      </c>
      <c r="Y191" s="45" t="n">
        <f aca="false">(W191+X191)</f>
        <v>20000</v>
      </c>
      <c r="Z191" s="45"/>
      <c r="AA191" s="45"/>
      <c r="AB191" s="45"/>
      <c r="AC191" s="46" t="s">
        <v>420</v>
      </c>
      <c r="AD191" s="47" t="n">
        <v>31291</v>
      </c>
      <c r="AE191" s="63" t="n">
        <f aca="false">ROUNDUP(DAYS360(AD191,$AE$3)/365,0)</f>
        <v>16</v>
      </c>
      <c r="AL191" s="43" t="n">
        <f aca="false">IF(AC191="N",V191,0)</f>
        <v>0</v>
      </c>
      <c r="AM191" s="43" t="n">
        <f aca="false">IF(AL191&gt;0,1,0)</f>
        <v>0</v>
      </c>
    </row>
    <row r="192" customFormat="false" ht="12.75" hidden="false" customHeight="false" outlineLevel="0" collapsed="false">
      <c r="A192" s="83"/>
      <c r="B192" s="43" t="s">
        <v>250</v>
      </c>
      <c r="F192" s="48" t="n">
        <v>24000</v>
      </c>
      <c r="G192" s="48" t="n">
        <f aca="false">F192/52</f>
        <v>461.538461538462</v>
      </c>
      <c r="H192" s="61" t="n">
        <f aca="false">IF(AC192="N",IF(F192&lt;$G$3,$F$3*G192*AE192,IF(F192&lt;$G$2,$F$2*G192*AE192,$F$1*G192*AE192)),0)</f>
        <v>0</v>
      </c>
      <c r="I192" s="61" t="n">
        <f aca="false">IF(AC192="Y",(IF(F192&lt;$G$3,$F$3*G192*AE192,IF(F192&lt;$G$2,$F$2*G192*AE192,$F$1*G192*AE192))*$L$2),0)</f>
        <v>9692.30769230769</v>
      </c>
      <c r="J192" s="61"/>
      <c r="K192" s="61" t="n">
        <f aca="false">IF(AC192="N",(MIN((($F$3*G192*AE192+ROUNDUP((F192/10000),0)*G192)*2),F192)),0)</f>
        <v>0</v>
      </c>
      <c r="L192" s="61" t="n">
        <f aca="false">IF(AC192="Y",(MIN((($F$3*G192*AE192+ROUNDUP((F192/10000),0)*G192)*2),F192))*$L$2,0)</f>
        <v>23538.4615384615</v>
      </c>
      <c r="M192" s="61" t="n">
        <f aca="false">IF(AC192="N",IF((F192/10000*G192*$M$2)&gt;F192*$M$1,F192*$M$1,(F192/10000*G192*$M$2)),0)</f>
        <v>0</v>
      </c>
      <c r="N192" s="61" t="n">
        <f aca="false">IF(AC192="Y",(IF((F192/10000*G192*$M$2)&gt;F192*$M$1,F192*$M$1,(F192/10000*G192*$M$2)))*$L$2,0)</f>
        <v>3323.07692307692</v>
      </c>
      <c r="O192" s="61" t="n">
        <f aca="false">MAX(IF(F192&lt;$G$3,$F$3*G192*AE192,IF(F192&lt;$G$2,$F$2*G192*AE192,$F$1*G192*AE192)),IF((F192/10000*G192*$M$2)&gt;F192*$M$1,F192*$M$1,(F192/10000*G192*$M$2)))</f>
        <v>6461.53846153846</v>
      </c>
      <c r="P192" s="61" t="n">
        <f aca="false">MIN(IF(F192&lt;$G$3,$F$3*G192*AE192,IF(F192&lt;$G$2,$F$2*G192*AE192,$F$1*G192*AE192)),IF((F192/10000*G192*$M$2)&gt;F192*$M$1,F192*$M$1,(F192/10000*G192*$M$2)))</f>
        <v>2215.38461538462</v>
      </c>
      <c r="Q192" s="61" t="n">
        <f aca="false">MAX(I192,N192)</f>
        <v>9692.30769230769</v>
      </c>
      <c r="R192" s="61" t="n">
        <f aca="false">MIN(I192,N192)</f>
        <v>3323.07692307692</v>
      </c>
      <c r="S192" s="62" t="n">
        <f aca="false">F192/10000</f>
        <v>2.4</v>
      </c>
      <c r="T192" s="62" t="n">
        <f aca="false">ROUNDUP(S192,0)</f>
        <v>3</v>
      </c>
      <c r="U192" s="44" t="s">
        <v>40</v>
      </c>
      <c r="V192" s="44" t="n">
        <f aca="false">F192</f>
        <v>24000</v>
      </c>
      <c r="Y192" s="45" t="n">
        <f aca="false">(W192+X192)</f>
        <v>0</v>
      </c>
      <c r="Z192" s="45"/>
      <c r="AA192" s="45"/>
      <c r="AB192" s="45"/>
      <c r="AC192" s="46" t="s">
        <v>420</v>
      </c>
      <c r="AD192" s="47" t="n">
        <v>31929</v>
      </c>
      <c r="AE192" s="63" t="n">
        <f aca="false">ROUNDUP(DAYS360(AD192,$AE$3)/365,0)</f>
        <v>14</v>
      </c>
      <c r="AL192" s="43" t="n">
        <f aca="false">IF(AC192="N",V192,0)</f>
        <v>0</v>
      </c>
      <c r="AM192" s="43" t="n">
        <f aca="false">IF(AL192&gt;0,1,0)</f>
        <v>0</v>
      </c>
    </row>
    <row r="193" customFormat="false" ht="12.75" hidden="false" customHeight="false" outlineLevel="0" collapsed="false">
      <c r="A193" s="83"/>
      <c r="B193" s="43" t="s">
        <v>268</v>
      </c>
      <c r="F193" s="48" t="n">
        <v>9000</v>
      </c>
      <c r="G193" s="48" t="n">
        <f aca="false">F193/52</f>
        <v>173.076923076923</v>
      </c>
      <c r="H193" s="61" t="n">
        <f aca="false">IF(AC193="N",IF(F193&lt;$G$3,$F$3*G193*AE193,IF(F193&lt;$G$2,$F$2*G193*AE193,$F$1*G193*AE193)),0)</f>
        <v>0</v>
      </c>
      <c r="I193" s="61" t="n">
        <f aca="false">IF(AC193="Y",(IF(F193&lt;$G$3,$F$3*G193*AE193,IF(F193&lt;$G$2,$F$2*G193*AE193,$F$1*G193*AE193))*$L$2),0)</f>
        <v>3634.61538461538</v>
      </c>
      <c r="J193" s="61"/>
      <c r="K193" s="61" t="n">
        <f aca="false">IF(AC193="N",(MIN((($F$3*G193*AE193+ROUNDUP((F193/10000),0)*G193)*2),F193)),0)</f>
        <v>0</v>
      </c>
      <c r="L193" s="61" t="n">
        <f aca="false">IF(AC193="Y",(MIN((($F$3*G193*AE193+ROUNDUP((F193/10000),0)*G193)*2),F193))*$L$2,0)</f>
        <v>7788.46153846154</v>
      </c>
      <c r="M193" s="61" t="n">
        <f aca="false">IF(AC193="N",IF((F193/10000*G193*$M$2)&gt;F193*$M$1,F193*$M$1,(F193/10000*G193*$M$2)),0)</f>
        <v>0</v>
      </c>
      <c r="N193" s="61" t="n">
        <f aca="false">IF(AC193="Y",(IF((F193/10000*G193*$M$2)&gt;F193*$M$1,F193*$M$1,(F193/10000*G193*$M$2)))*$L$2,0)</f>
        <v>467.307692307692</v>
      </c>
      <c r="O193" s="61" t="n">
        <f aca="false">MAX(IF(F193&lt;$G$3,$F$3*G193*AE193,IF(F193&lt;$G$2,$F$2*G193*AE193,$F$1*G193*AE193)),IF((F193/10000*G193*$M$2)&gt;F193*$M$1,F193*$M$1,(F193/10000*G193*$M$2)))</f>
        <v>2423.07692307692</v>
      </c>
      <c r="P193" s="61" t="n">
        <f aca="false">MIN(IF(F193&lt;$G$3,$F$3*G193*AE193,IF(F193&lt;$G$2,$F$2*G193*AE193,$F$1*G193*AE193)),IF((F193/10000*G193*$M$2)&gt;F193*$M$1,F193*$M$1,(F193/10000*G193*$M$2)))</f>
        <v>311.538461538462</v>
      </c>
      <c r="Q193" s="61" t="n">
        <f aca="false">MAX(I193,N193)</f>
        <v>3634.61538461538</v>
      </c>
      <c r="R193" s="61" t="n">
        <f aca="false">MIN(I193,N193)</f>
        <v>467.307692307692</v>
      </c>
      <c r="S193" s="62" t="n">
        <f aca="false">F193/10000</f>
        <v>0.9</v>
      </c>
      <c r="T193" s="62" t="n">
        <f aca="false">ROUNDUP(S193,0)</f>
        <v>1</v>
      </c>
      <c r="U193" s="44" t="s">
        <v>40</v>
      </c>
      <c r="V193" s="44" t="n">
        <f aca="false">F193</f>
        <v>9000</v>
      </c>
      <c r="Y193" s="45" t="n">
        <f aca="false">(W193+X193)</f>
        <v>0</v>
      </c>
      <c r="Z193" s="45"/>
      <c r="AA193" s="45"/>
      <c r="AB193" s="45"/>
      <c r="AC193" s="46" t="s">
        <v>420</v>
      </c>
      <c r="AD193" s="47" t="n">
        <v>32143</v>
      </c>
      <c r="AE193" s="63" t="n">
        <f aca="false">ROUNDUP(DAYS360(AD193,$AE$3)/365,0)</f>
        <v>14</v>
      </c>
      <c r="AL193" s="43" t="n">
        <f aca="false">IF(AC193="N",V193,0)</f>
        <v>0</v>
      </c>
      <c r="AM193" s="43" t="n">
        <f aca="false">IF(AL193&gt;0,1,0)</f>
        <v>0</v>
      </c>
    </row>
    <row r="194" customFormat="false" ht="12.75" hidden="false" customHeight="false" outlineLevel="0" collapsed="false">
      <c r="A194" s="83"/>
      <c r="B194" s="43" t="s">
        <v>253</v>
      </c>
      <c r="F194" s="48" t="n">
        <v>21000</v>
      </c>
      <c r="G194" s="48" t="n">
        <f aca="false">F194/52</f>
        <v>403.846153846154</v>
      </c>
      <c r="H194" s="61" t="n">
        <f aca="false">IF(AC194="N",IF(F194&lt;$G$3,$F$3*G194*AE194,IF(F194&lt;$G$2,$F$2*G194*AE194,$F$1*G194*AE194)),0)</f>
        <v>0</v>
      </c>
      <c r="I194" s="61" t="n">
        <f aca="false">IF(AC194="Y",(IF(F194&lt;$G$3,$F$3*G194*AE194,IF(F194&lt;$G$2,$F$2*G194*AE194,$F$1*G194*AE194))*$L$2),0)</f>
        <v>6057.69230769231</v>
      </c>
      <c r="J194" s="61"/>
      <c r="K194" s="61" t="n">
        <f aca="false">IF(AC194="N",(MIN((($F$3*G194*AE194+ROUNDUP((F194/10000),0)*G194)*2),F194)),0)</f>
        <v>0</v>
      </c>
      <c r="L194" s="61" t="n">
        <f aca="false">IF(AC194="Y",(MIN((($F$3*G194*AE194+ROUNDUP((F194/10000),0)*G194)*2),F194))*$L$2,0)</f>
        <v>15750</v>
      </c>
      <c r="M194" s="61" t="n">
        <f aca="false">IF(AC194="N",IF((F194/10000*G194*$M$2)&gt;F194*$M$1,F194*$M$1,(F194/10000*G194*$M$2)),0)</f>
        <v>0</v>
      </c>
      <c r="N194" s="61" t="n">
        <f aca="false">IF(AC194="Y",(IF((F194/10000*G194*$M$2)&gt;F194*$M$1,F194*$M$1,(F194/10000*G194*$M$2)))*$L$2,0)</f>
        <v>2544.23076923077</v>
      </c>
      <c r="O194" s="61" t="n">
        <f aca="false">MAX(IF(F194&lt;$G$3,$F$3*G194*AE194,IF(F194&lt;$G$2,$F$2*G194*AE194,$F$1*G194*AE194)),IF((F194/10000*G194*$M$2)&gt;F194*$M$1,F194*$M$1,(F194/10000*G194*$M$2)))</f>
        <v>4038.46153846154</v>
      </c>
      <c r="P194" s="61" t="n">
        <f aca="false">MIN(IF(F194&lt;$G$3,$F$3*G194*AE194,IF(F194&lt;$G$2,$F$2*G194*AE194,$F$1*G194*AE194)),IF((F194/10000*G194*$M$2)&gt;F194*$M$1,F194*$M$1,(F194/10000*G194*$M$2)))</f>
        <v>1696.15384615385</v>
      </c>
      <c r="Q194" s="61" t="n">
        <f aca="false">MAX(I194,N194)</f>
        <v>6057.69230769231</v>
      </c>
      <c r="R194" s="61" t="n">
        <f aca="false">MIN(I194,N194)</f>
        <v>2544.23076923077</v>
      </c>
      <c r="S194" s="62" t="n">
        <f aca="false">F194/10000</f>
        <v>2.1</v>
      </c>
      <c r="T194" s="62" t="n">
        <f aca="false">ROUNDUP(S194,0)</f>
        <v>3</v>
      </c>
      <c r="U194" s="44" t="s">
        <v>40</v>
      </c>
      <c r="V194" s="44" t="n">
        <f aca="false">F194</f>
        <v>21000</v>
      </c>
      <c r="Y194" s="45" t="n">
        <f aca="false">(W194+X194)</f>
        <v>0</v>
      </c>
      <c r="Z194" s="45"/>
      <c r="AA194" s="45"/>
      <c r="AB194" s="45"/>
      <c r="AC194" s="46" t="s">
        <v>420</v>
      </c>
      <c r="AD194" s="47" t="n">
        <v>33525</v>
      </c>
      <c r="AE194" s="63" t="n">
        <f aca="false">ROUNDUP(DAYS360(AD194,$AE$3)/365,0)</f>
        <v>10</v>
      </c>
      <c r="AL194" s="43" t="n">
        <f aca="false">IF(AC194="N",V194,0)</f>
        <v>0</v>
      </c>
      <c r="AM194" s="43" t="n">
        <f aca="false">IF(AL194&gt;0,1,0)</f>
        <v>0</v>
      </c>
    </row>
    <row r="195" customFormat="false" ht="12.75" hidden="false" customHeight="false" outlineLevel="0" collapsed="false">
      <c r="A195" s="83"/>
      <c r="B195" s="43" t="s">
        <v>191</v>
      </c>
      <c r="F195" s="48" t="n">
        <v>52800</v>
      </c>
      <c r="G195" s="48" t="n">
        <f aca="false">F195/52</f>
        <v>1015.38461538462</v>
      </c>
      <c r="H195" s="61" t="n">
        <f aca="false">IF(AC195="N",IF(F195&lt;$G$3,$F$3*G195*AE195,IF(F195&lt;$G$2,$F$2*G195*AE195,$F$1*G195*AE195)),0)</f>
        <v>0</v>
      </c>
      <c r="I195" s="61" t="n">
        <f aca="false">IF(AC195="Y",(IF(F195&lt;$G$3,$F$3*G195*AE195,IF(F195&lt;$G$2,$F$2*G195*AE195,$F$1*G195*AE195))*$L$2),0)</f>
        <v>30461.5384615385</v>
      </c>
      <c r="J195" s="61"/>
      <c r="K195" s="61" t="n">
        <f aca="false">IF(AC195="N",(MIN((($F$3*G195*AE195+ROUNDUP((F195/10000),0)*G195)*2),F195)),0)</f>
        <v>0</v>
      </c>
      <c r="L195" s="61" t="n">
        <f aca="false">IF(AC195="Y",(MIN((($F$3*G195*AE195+ROUNDUP((F195/10000),0)*G195)*2),F195))*$L$2,0)</f>
        <v>48738.4615384615</v>
      </c>
      <c r="M195" s="61" t="n">
        <f aca="false">IF(AC195="N",IF((F195/10000*G195*$M$2)&gt;F195*$M$1,F195*$M$1,(F195/10000*G195*$M$2)),0)</f>
        <v>0</v>
      </c>
      <c r="N195" s="61" t="n">
        <f aca="false">IF(AC195="Y",(IF((F195/10000*G195*$M$2)&gt;F195*$M$1,F195*$M$1,(F195/10000*G195*$M$2)))*$L$2,0)</f>
        <v>16083.6923076923</v>
      </c>
      <c r="O195" s="61" t="n">
        <f aca="false">MAX(IF(F195&lt;$G$3,$F$3*G195*AE195,IF(F195&lt;$G$2,$F$2*G195*AE195,$F$1*G195*AE195)),IF((F195/10000*G195*$M$2)&gt;F195*$M$1,F195*$M$1,(F195/10000*G195*$M$2)))</f>
        <v>20307.6923076923</v>
      </c>
      <c r="P195" s="61" t="n">
        <f aca="false">MIN(IF(F195&lt;$G$3,$F$3*G195*AE195,IF(F195&lt;$G$2,$F$2*G195*AE195,$F$1*G195*AE195)),IF((F195/10000*G195*$M$2)&gt;F195*$M$1,F195*$M$1,(F195/10000*G195*$M$2)))</f>
        <v>10722.4615384615</v>
      </c>
      <c r="Q195" s="61" t="n">
        <f aca="false">MAX(I195,N195)</f>
        <v>30461.5384615385</v>
      </c>
      <c r="R195" s="61" t="n">
        <f aca="false">MIN(I195,N195)</f>
        <v>16083.6923076923</v>
      </c>
      <c r="S195" s="62" t="n">
        <f aca="false">F195/10000</f>
        <v>5.28</v>
      </c>
      <c r="T195" s="62" t="n">
        <f aca="false">ROUNDUP(S195,0)</f>
        <v>6</v>
      </c>
      <c r="U195" s="44" t="s">
        <v>40</v>
      </c>
      <c r="V195" s="44" t="n">
        <f aca="false">F195</f>
        <v>52800</v>
      </c>
      <c r="W195" s="45" t="n">
        <v>10000</v>
      </c>
      <c r="Y195" s="45" t="n">
        <f aca="false">(W195+X195)</f>
        <v>10000</v>
      </c>
      <c r="Z195" s="45"/>
      <c r="AA195" s="45"/>
      <c r="AB195" s="45"/>
      <c r="AC195" s="46" t="s">
        <v>420</v>
      </c>
      <c r="AD195" s="47" t="n">
        <v>33623</v>
      </c>
      <c r="AE195" s="63" t="n">
        <f aca="false">ROUNDUP(DAYS360(AD195,$AE$3)/365,0)</f>
        <v>10</v>
      </c>
      <c r="AL195" s="43" t="n">
        <f aca="false">IF(AC195="N",V195,0)</f>
        <v>0</v>
      </c>
      <c r="AM195" s="43" t="n">
        <f aca="false">IF(AL195&gt;0,1,0)</f>
        <v>0</v>
      </c>
    </row>
    <row r="196" customFormat="false" ht="12.75" hidden="false" customHeight="false" outlineLevel="0" collapsed="false">
      <c r="A196" s="83"/>
      <c r="B196" s="43" t="s">
        <v>273</v>
      </c>
      <c r="F196" s="48" t="n">
        <v>5880</v>
      </c>
      <c r="G196" s="48" t="n">
        <f aca="false">F196/52</f>
        <v>113.076923076923</v>
      </c>
      <c r="H196" s="61" t="n">
        <f aca="false">IF(AC196="N",IF(F196&lt;$G$3,$F$3*G196*AE196,IF(F196&lt;$G$2,$F$2*G196*AE196,$F$1*G196*AE196)),0)</f>
        <v>0</v>
      </c>
      <c r="I196" s="61" t="n">
        <f aca="false">IF(AC196="Y",(IF(F196&lt;$G$3,$F$3*G196*AE196,IF(F196&lt;$G$2,$F$2*G196*AE196,$F$1*G196*AE196))*$L$2),0)</f>
        <v>1526.53846153846</v>
      </c>
      <c r="J196" s="61"/>
      <c r="K196" s="61" t="n">
        <f aca="false">IF(AC196="N",(MIN((($F$3*G196*AE196+ROUNDUP((F196/10000),0)*G196)*2),F196)),0)</f>
        <v>0</v>
      </c>
      <c r="L196" s="61" t="n">
        <f aca="false">IF(AC196="Y",(MIN((($F$3*G196*AE196+ROUNDUP((F196/10000),0)*G196)*2),F196))*$L$2,0)</f>
        <v>3392.30769230769</v>
      </c>
      <c r="M196" s="61" t="n">
        <f aca="false">IF(AC196="N",IF((F196/10000*G196*$M$2)&gt;F196*$M$1,F196*$M$1,(F196/10000*G196*$M$2)),0)</f>
        <v>0</v>
      </c>
      <c r="N196" s="61" t="n">
        <f aca="false">IF(AC196="Y",(IF((F196/10000*G196*$M$2)&gt;F196*$M$1,F196*$M$1,(F196/10000*G196*$M$2)))*$L$2,0)</f>
        <v>199.467692307692</v>
      </c>
      <c r="O196" s="61" t="n">
        <f aca="false">MAX(IF(F196&lt;$G$3,$F$3*G196*AE196,IF(F196&lt;$G$2,$F$2*G196*AE196,$F$1*G196*AE196)),IF((F196/10000*G196*$M$2)&gt;F196*$M$1,F196*$M$1,(F196/10000*G196*$M$2)))</f>
        <v>1017.69230769231</v>
      </c>
      <c r="P196" s="61" t="n">
        <f aca="false">MIN(IF(F196&lt;$G$3,$F$3*G196*AE196,IF(F196&lt;$G$2,$F$2*G196*AE196,$F$1*G196*AE196)),IF((F196/10000*G196*$M$2)&gt;F196*$M$1,F196*$M$1,(F196/10000*G196*$M$2)))</f>
        <v>132.978461538462</v>
      </c>
      <c r="Q196" s="61" t="n">
        <f aca="false">MAX(I196,N196)</f>
        <v>1526.53846153846</v>
      </c>
      <c r="R196" s="61" t="n">
        <f aca="false">MIN(I196,N196)</f>
        <v>199.467692307692</v>
      </c>
      <c r="S196" s="62" t="n">
        <f aca="false">F196/10000</f>
        <v>0.588</v>
      </c>
      <c r="T196" s="62" t="n">
        <f aca="false">ROUNDUP(S196,0)</f>
        <v>1</v>
      </c>
      <c r="U196" s="44" t="s">
        <v>40</v>
      </c>
      <c r="V196" s="44" t="n">
        <f aca="false">F196</f>
        <v>5880</v>
      </c>
      <c r="Y196" s="45" t="n">
        <f aca="false">(W196+X196)</f>
        <v>0</v>
      </c>
      <c r="Z196" s="45"/>
      <c r="AA196" s="45"/>
      <c r="AB196" s="45"/>
      <c r="AC196" s="46" t="s">
        <v>420</v>
      </c>
      <c r="AD196" s="47" t="n">
        <v>33939</v>
      </c>
      <c r="AE196" s="63" t="n">
        <f aca="false">ROUNDUP(DAYS360(AD196,$AE$3)/365,0)</f>
        <v>9</v>
      </c>
      <c r="AL196" s="43" t="n">
        <f aca="false">IF(AC196="N",V196,0)</f>
        <v>0</v>
      </c>
      <c r="AM196" s="43" t="n">
        <f aca="false">IF(AL196&gt;0,1,0)</f>
        <v>0</v>
      </c>
    </row>
    <row r="197" customFormat="false" ht="12.75" hidden="false" customHeight="false" outlineLevel="0" collapsed="false">
      <c r="H197" s="61"/>
      <c r="I197" s="61"/>
      <c r="J197" s="61"/>
      <c r="K197" s="61"/>
      <c r="L197" s="61"/>
      <c r="M197" s="61"/>
      <c r="N197" s="61"/>
      <c r="O197" s="61"/>
      <c r="P197" s="61"/>
      <c r="Q197" s="61"/>
      <c r="R197" s="61"/>
      <c r="Z197" s="45"/>
      <c r="AA197" s="45"/>
      <c r="AB197" s="45"/>
      <c r="AE197" s="63"/>
      <c r="AL197" s="43" t="n">
        <f aca="false">IF(AC197="N",V197,0)</f>
        <v>0</v>
      </c>
      <c r="AM197" s="43" t="n">
        <f aca="false">IF(AL197&gt;0,1,0)</f>
        <v>0</v>
      </c>
    </row>
    <row r="198" customFormat="false" ht="12.75" hidden="false" customHeight="false" outlineLevel="0" collapsed="false">
      <c r="H198" s="61"/>
      <c r="I198" s="61"/>
      <c r="J198" s="61"/>
      <c r="K198" s="61"/>
      <c r="L198" s="61"/>
      <c r="M198" s="61"/>
      <c r="N198" s="61"/>
      <c r="O198" s="61"/>
      <c r="P198" s="61"/>
      <c r="Q198" s="61"/>
      <c r="R198" s="61"/>
      <c r="Z198" s="45"/>
      <c r="AA198" s="45"/>
      <c r="AB198" s="45"/>
      <c r="AE198" s="63"/>
      <c r="AL198" s="43" t="n">
        <f aca="false">IF(AC198="N",V198,0)</f>
        <v>0</v>
      </c>
      <c r="AM198" s="43" t="n">
        <f aca="false">IF(AL198&gt;0,1,0)</f>
        <v>0</v>
      </c>
    </row>
    <row r="199" customFormat="false" ht="62.25" hidden="false" customHeight="false" outlineLevel="0" collapsed="false">
      <c r="A199" s="83" t="s">
        <v>37</v>
      </c>
      <c r="B199" s="66" t="s">
        <v>57</v>
      </c>
      <c r="C199" s="66"/>
      <c r="D199" s="66"/>
      <c r="E199" s="66"/>
      <c r="F199" s="67" t="n">
        <v>310345</v>
      </c>
      <c r="G199" s="67" t="n">
        <f aca="false">F199/52</f>
        <v>5968.17307692308</v>
      </c>
      <c r="H199" s="69"/>
      <c r="I199" s="69"/>
      <c r="J199" s="69"/>
      <c r="K199" s="69"/>
      <c r="L199" s="69"/>
      <c r="M199" s="69"/>
      <c r="N199" s="69"/>
      <c r="O199" s="69"/>
      <c r="P199" s="69"/>
      <c r="Q199" s="61" t="n">
        <f aca="false">MAX(I199,N199)</f>
        <v>0</v>
      </c>
      <c r="R199" s="61" t="n">
        <f aca="false">MIN(I199,N199)</f>
        <v>0</v>
      </c>
      <c r="S199" s="70" t="n">
        <f aca="false">F199/10000</f>
        <v>31.0345</v>
      </c>
      <c r="T199" s="70" t="n">
        <f aca="false">ROUNDUP(S199,0)</f>
        <v>32</v>
      </c>
      <c r="U199" s="71" t="s">
        <v>40</v>
      </c>
      <c r="V199" s="71" t="n">
        <f aca="false">F199</f>
        <v>310345</v>
      </c>
      <c r="W199" s="72" t="n">
        <v>360000</v>
      </c>
      <c r="X199" s="72" t="n">
        <v>385550</v>
      </c>
      <c r="Y199" s="72" t="n">
        <f aca="false">(W199+X199)</f>
        <v>745550</v>
      </c>
      <c r="Z199" s="72"/>
      <c r="AA199" s="72" t="n">
        <v>385550</v>
      </c>
      <c r="AB199" s="72" t="n">
        <v>937530</v>
      </c>
      <c r="AC199" s="73" t="s">
        <v>420</v>
      </c>
      <c r="AD199" s="59" t="n">
        <v>31472</v>
      </c>
      <c r="AE199" s="75" t="n">
        <f aca="false">ROUNDUP(DAYS360(AD199,$AE$3)/365,0)</f>
        <v>16</v>
      </c>
      <c r="AF199" s="73"/>
      <c r="AG199" s="73"/>
      <c r="AH199" s="73"/>
      <c r="AI199" s="73"/>
      <c r="AJ199" s="73"/>
      <c r="AK199" s="66"/>
      <c r="AL199" s="12" t="n">
        <f aca="false">IF(AC199="N",V199,0)</f>
        <v>0</v>
      </c>
      <c r="AM199" s="12" t="n">
        <f aca="false">IF(AL199&gt;0,1,0)</f>
        <v>0</v>
      </c>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6"/>
      <c r="CN199" s="66"/>
      <c r="CO199" s="66"/>
      <c r="CP199" s="66"/>
      <c r="CQ199" s="66"/>
      <c r="CR199" s="66"/>
      <c r="CS199" s="66"/>
      <c r="CT199" s="66"/>
      <c r="CU199" s="66"/>
      <c r="CV199" s="66"/>
      <c r="CW199" s="66"/>
      <c r="CX199" s="66"/>
      <c r="CY199" s="66"/>
      <c r="CZ199" s="66"/>
      <c r="DA199" s="66"/>
      <c r="DB199" s="66"/>
      <c r="DC199" s="66"/>
      <c r="DD199" s="66"/>
      <c r="DE199" s="66"/>
      <c r="DF199" s="66"/>
      <c r="DG199" s="66"/>
      <c r="DH199" s="66"/>
      <c r="DI199" s="66"/>
      <c r="DJ199" s="66"/>
      <c r="DK199" s="66"/>
      <c r="DL199" s="66"/>
      <c r="DM199" s="66"/>
      <c r="DN199" s="66"/>
      <c r="DO199" s="66"/>
      <c r="DP199" s="66"/>
      <c r="DQ199" s="66"/>
      <c r="DR199" s="66"/>
      <c r="DS199" s="66"/>
      <c r="DT199" s="66"/>
      <c r="DU199" s="66"/>
      <c r="DV199" s="66"/>
      <c r="DW199" s="66"/>
      <c r="DX199" s="66"/>
      <c r="DY199" s="66"/>
      <c r="DZ199" s="66"/>
      <c r="EA199" s="66"/>
      <c r="EB199" s="66"/>
      <c r="EC199" s="66"/>
      <c r="ED199" s="66"/>
      <c r="EE199" s="66"/>
      <c r="EF199" s="66"/>
      <c r="EG199" s="66"/>
      <c r="EH199" s="66"/>
      <c r="EI199" s="66"/>
      <c r="EJ199" s="66"/>
      <c r="EK199" s="66"/>
      <c r="EL199" s="66"/>
      <c r="EM199" s="66"/>
      <c r="EN199" s="66"/>
      <c r="EO199" s="66"/>
      <c r="EP199" s="66"/>
      <c r="EQ199" s="66"/>
      <c r="ER199" s="66"/>
      <c r="ES199" s="66"/>
      <c r="ET199" s="66"/>
      <c r="EU199" s="66"/>
      <c r="EV199" s="66"/>
      <c r="EW199" s="66"/>
      <c r="EX199" s="66"/>
      <c r="EY199" s="66"/>
      <c r="EZ199" s="66"/>
      <c r="FA199" s="66"/>
      <c r="FB199" s="66"/>
      <c r="FC199" s="66"/>
      <c r="FD199" s="66"/>
      <c r="FE199" s="66"/>
      <c r="FF199" s="66"/>
      <c r="FG199" s="66"/>
      <c r="FH199" s="66"/>
      <c r="FI199" s="66"/>
      <c r="FJ199" s="66"/>
      <c r="FK199" s="66"/>
      <c r="FL199" s="66"/>
      <c r="FM199" s="66"/>
      <c r="FN199" s="66"/>
      <c r="FO199" s="66"/>
      <c r="FP199" s="66"/>
      <c r="FQ199" s="66"/>
      <c r="FR199" s="66"/>
      <c r="FS199" s="66"/>
      <c r="FT199" s="66"/>
      <c r="FU199" s="66"/>
      <c r="FV199" s="66"/>
      <c r="FW199" s="66"/>
      <c r="FX199" s="66"/>
      <c r="FY199" s="66"/>
      <c r="FZ199" s="66"/>
      <c r="GA199" s="66"/>
      <c r="GB199" s="66"/>
      <c r="GC199" s="66"/>
      <c r="GD199" s="66"/>
      <c r="GE199" s="66"/>
      <c r="GF199" s="66"/>
      <c r="GG199" s="66"/>
      <c r="GH199" s="66"/>
      <c r="GI199" s="66"/>
      <c r="GJ199" s="66"/>
      <c r="GK199" s="66"/>
      <c r="GL199" s="66"/>
      <c r="GM199" s="66"/>
      <c r="GN199" s="66"/>
      <c r="GO199" s="66"/>
      <c r="GP199" s="66"/>
      <c r="GQ199" s="66"/>
      <c r="GR199" s="66"/>
      <c r="GS199" s="66"/>
      <c r="GT199" s="66"/>
      <c r="GU199" s="66"/>
      <c r="GV199" s="66"/>
      <c r="GW199" s="66"/>
      <c r="GX199" s="66"/>
      <c r="GY199" s="66"/>
      <c r="GZ199" s="66"/>
      <c r="HA199" s="66"/>
      <c r="HB199" s="66"/>
      <c r="HC199" s="66"/>
      <c r="HD199" s="66"/>
      <c r="HE199" s="66"/>
      <c r="HF199" s="66"/>
      <c r="HG199" s="66"/>
      <c r="HH199" s="66"/>
      <c r="HI199" s="66"/>
      <c r="HJ199" s="66"/>
      <c r="HK199" s="66"/>
      <c r="HL199" s="66"/>
      <c r="HM199" s="66"/>
      <c r="HN199" s="66"/>
      <c r="HO199" s="66"/>
      <c r="HP199" s="66"/>
      <c r="HQ199" s="66"/>
      <c r="HR199" s="66"/>
      <c r="HS199" s="66"/>
      <c r="HT199" s="66"/>
      <c r="HU199" s="66"/>
      <c r="HV199" s="66"/>
      <c r="HW199" s="66"/>
      <c r="HX199" s="66"/>
      <c r="HY199" s="66"/>
      <c r="HZ199" s="66"/>
      <c r="IA199" s="66"/>
      <c r="IB199" s="66"/>
      <c r="IC199" s="66"/>
      <c r="ID199" s="66"/>
      <c r="IE199" s="66"/>
      <c r="IF199" s="66"/>
      <c r="IG199" s="66"/>
      <c r="IH199" s="66"/>
      <c r="II199" s="66"/>
      <c r="IJ199" s="66"/>
      <c r="IK199" s="66"/>
      <c r="IL199" s="66"/>
      <c r="IM199" s="66"/>
      <c r="IN199" s="66"/>
      <c r="IO199" s="66"/>
      <c r="IP199" s="66"/>
      <c r="IQ199" s="66"/>
      <c r="IR199" s="66"/>
      <c r="IS199" s="66"/>
      <c r="IT199" s="66"/>
      <c r="IU199" s="66"/>
      <c r="IV199" s="66"/>
      <c r="IW199" s="66"/>
    </row>
    <row r="200" customFormat="false" ht="12.75" hidden="false" customHeight="false" outlineLevel="0" collapsed="false">
      <c r="A200" s="83"/>
      <c r="B200" s="66" t="s">
        <v>39</v>
      </c>
      <c r="C200" s="66"/>
      <c r="D200" s="66"/>
      <c r="E200" s="66"/>
      <c r="F200" s="67" t="n">
        <v>500000</v>
      </c>
      <c r="G200" s="67" t="n">
        <f aca="false">F200/52</f>
        <v>9615.38461538462</v>
      </c>
      <c r="H200" s="69"/>
      <c r="I200" s="69"/>
      <c r="J200" s="69"/>
      <c r="K200" s="69"/>
      <c r="L200" s="69"/>
      <c r="M200" s="69"/>
      <c r="N200" s="69"/>
      <c r="O200" s="69"/>
      <c r="P200" s="69"/>
      <c r="Q200" s="61" t="n">
        <f aca="false">MAX(I200,N200)</f>
        <v>0</v>
      </c>
      <c r="R200" s="61" t="n">
        <f aca="false">MIN(I200,N200)</f>
        <v>0</v>
      </c>
      <c r="S200" s="70" t="n">
        <f aca="false">F200/10000</f>
        <v>50</v>
      </c>
      <c r="T200" s="70" t="n">
        <f aca="false">ROUNDUP(S200,0)</f>
        <v>50</v>
      </c>
      <c r="U200" s="71" t="s">
        <v>40</v>
      </c>
      <c r="V200" s="71" t="n">
        <f aca="false">F200</f>
        <v>500000</v>
      </c>
      <c r="W200" s="72"/>
      <c r="X200" s="72"/>
      <c r="Y200" s="72" t="n">
        <v>426000</v>
      </c>
      <c r="Z200" s="72"/>
      <c r="AA200" s="72" t="n">
        <v>318955</v>
      </c>
      <c r="AB200" s="72" t="n">
        <v>748130</v>
      </c>
      <c r="AC200" s="73" t="s">
        <v>420</v>
      </c>
      <c r="AD200" s="59" t="n">
        <v>24828</v>
      </c>
      <c r="AE200" s="75" t="n">
        <f aca="false">ROUNDUP(DAYS360(AD200,$AE$3)/365,0)</f>
        <v>34</v>
      </c>
      <c r="AF200" s="73"/>
      <c r="AG200" s="73"/>
      <c r="AH200" s="73"/>
      <c r="AI200" s="73"/>
      <c r="AJ200" s="73"/>
      <c r="AK200" s="66"/>
      <c r="AL200" s="12" t="n">
        <f aca="false">IF(AC200="N",V200,0)</f>
        <v>0</v>
      </c>
      <c r="AM200" s="12" t="n">
        <f aca="false">IF(AL200&gt;0,1,0)</f>
        <v>0</v>
      </c>
      <c r="AN200" s="66"/>
      <c r="AO200" s="66"/>
      <c r="AP200" s="66"/>
      <c r="AQ200" s="66"/>
      <c r="AR200" s="66"/>
      <c r="AS200" s="66"/>
      <c r="AT200" s="66"/>
      <c r="AU200" s="66"/>
      <c r="AV200" s="66"/>
      <c r="AW200" s="66"/>
      <c r="AX200" s="66"/>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c r="BW200" s="66"/>
      <c r="BX200" s="66"/>
      <c r="BY200" s="66"/>
      <c r="BZ200" s="66"/>
      <c r="CA200" s="66"/>
      <c r="CB200" s="66"/>
      <c r="CC200" s="66"/>
      <c r="CD200" s="66"/>
      <c r="CE200" s="66"/>
      <c r="CF200" s="66"/>
      <c r="CG200" s="66"/>
      <c r="CH200" s="66"/>
      <c r="CI200" s="66"/>
      <c r="CJ200" s="66"/>
      <c r="CK200" s="66"/>
      <c r="CL200" s="66"/>
      <c r="CM200" s="66"/>
      <c r="CN200" s="66"/>
      <c r="CO200" s="66"/>
      <c r="CP200" s="66"/>
      <c r="CQ200" s="66"/>
      <c r="CR200" s="66"/>
      <c r="CS200" s="66"/>
      <c r="CT200" s="66"/>
      <c r="CU200" s="66"/>
      <c r="CV200" s="66"/>
      <c r="CW200" s="66"/>
      <c r="CX200" s="66"/>
      <c r="CY200" s="66"/>
      <c r="CZ200" s="66"/>
      <c r="DA200" s="66"/>
      <c r="DB200" s="66"/>
      <c r="DC200" s="66"/>
      <c r="DD200" s="66"/>
      <c r="DE200" s="66"/>
      <c r="DF200" s="66"/>
      <c r="DG200" s="66"/>
      <c r="DH200" s="66"/>
      <c r="DI200" s="66"/>
      <c r="DJ200" s="66"/>
      <c r="DK200" s="66"/>
      <c r="DL200" s="66"/>
      <c r="DM200" s="66"/>
      <c r="DN200" s="66"/>
      <c r="DO200" s="66"/>
      <c r="DP200" s="66"/>
      <c r="DQ200" s="66"/>
      <c r="DR200" s="66"/>
      <c r="DS200" s="66"/>
      <c r="DT200" s="66"/>
      <c r="DU200" s="66"/>
      <c r="DV200" s="66"/>
      <c r="DW200" s="66"/>
      <c r="DX200" s="66"/>
      <c r="DY200" s="66"/>
      <c r="DZ200" s="66"/>
      <c r="EA200" s="66"/>
      <c r="EB200" s="66"/>
      <c r="EC200" s="66"/>
      <c r="ED200" s="66"/>
      <c r="EE200" s="66"/>
      <c r="EF200" s="66"/>
      <c r="EG200" s="66"/>
      <c r="EH200" s="66"/>
      <c r="EI200" s="66"/>
      <c r="EJ200" s="66"/>
      <c r="EK200" s="66"/>
      <c r="EL200" s="66"/>
      <c r="EM200" s="66"/>
      <c r="EN200" s="66"/>
      <c r="EO200" s="66"/>
      <c r="EP200" s="66"/>
      <c r="EQ200" s="66"/>
      <c r="ER200" s="66"/>
      <c r="ES200" s="66"/>
      <c r="ET200" s="66"/>
      <c r="EU200" s="66"/>
      <c r="EV200" s="66"/>
      <c r="EW200" s="66"/>
      <c r="EX200" s="66"/>
      <c r="EY200" s="66"/>
      <c r="EZ200" s="66"/>
      <c r="FA200" s="66"/>
      <c r="FB200" s="66"/>
      <c r="FC200" s="66"/>
      <c r="FD200" s="66"/>
      <c r="FE200" s="66"/>
      <c r="FF200" s="66"/>
      <c r="FG200" s="66"/>
      <c r="FH200" s="66"/>
      <c r="FI200" s="66"/>
      <c r="FJ200" s="66"/>
      <c r="FK200" s="66"/>
      <c r="FL200" s="66"/>
      <c r="FM200" s="66"/>
      <c r="FN200" s="66"/>
      <c r="FO200" s="66"/>
      <c r="FP200" s="66"/>
      <c r="FQ200" s="66"/>
      <c r="FR200" s="66"/>
      <c r="FS200" s="66"/>
      <c r="FT200" s="66"/>
      <c r="FU200" s="66"/>
      <c r="FV200" s="66"/>
      <c r="FW200" s="66"/>
      <c r="FX200" s="66"/>
      <c r="FY200" s="66"/>
      <c r="FZ200" s="66"/>
      <c r="GA200" s="66"/>
      <c r="GB200" s="66"/>
      <c r="GC200" s="66"/>
      <c r="GD200" s="66"/>
      <c r="GE200" s="66"/>
      <c r="GF200" s="66"/>
      <c r="GG200" s="66"/>
      <c r="GH200" s="66"/>
      <c r="GI200" s="66"/>
      <c r="GJ200" s="66"/>
      <c r="GK200" s="66"/>
      <c r="GL200" s="66"/>
      <c r="GM200" s="66"/>
      <c r="GN200" s="66"/>
      <c r="GO200" s="66"/>
      <c r="GP200" s="66"/>
      <c r="GQ200" s="66"/>
      <c r="GR200" s="66"/>
      <c r="GS200" s="66"/>
      <c r="GT200" s="66"/>
      <c r="GU200" s="66"/>
      <c r="GV200" s="66"/>
      <c r="GW200" s="66"/>
      <c r="GX200" s="66"/>
      <c r="GY200" s="66"/>
      <c r="GZ200" s="66"/>
      <c r="HA200" s="66"/>
      <c r="HB200" s="66"/>
      <c r="HC200" s="66"/>
      <c r="HD200" s="66"/>
      <c r="HE200" s="66"/>
      <c r="HF200" s="66"/>
      <c r="HG200" s="66"/>
      <c r="HH200" s="66"/>
      <c r="HI200" s="66"/>
      <c r="HJ200" s="66"/>
      <c r="HK200" s="66"/>
      <c r="HL200" s="66"/>
      <c r="HM200" s="66"/>
      <c r="HN200" s="66"/>
      <c r="HO200" s="66"/>
      <c r="HP200" s="66"/>
      <c r="HQ200" s="66"/>
      <c r="HR200" s="66"/>
      <c r="HS200" s="66"/>
      <c r="HT200" s="66"/>
      <c r="HU200" s="66"/>
      <c r="HV200" s="66"/>
      <c r="HW200" s="66"/>
      <c r="HX200" s="66"/>
      <c r="HY200" s="66"/>
      <c r="HZ200" s="66"/>
      <c r="IA200" s="66"/>
      <c r="IB200" s="66"/>
      <c r="IC200" s="66"/>
      <c r="ID200" s="66"/>
      <c r="IE200" s="66"/>
      <c r="IF200" s="66"/>
      <c r="IG200" s="66"/>
      <c r="IH200" s="66"/>
      <c r="II200" s="66"/>
      <c r="IJ200" s="66"/>
      <c r="IK200" s="66"/>
      <c r="IL200" s="66"/>
      <c r="IM200" s="66"/>
      <c r="IN200" s="66"/>
      <c r="IO200" s="66"/>
      <c r="IP200" s="66"/>
      <c r="IQ200" s="66"/>
      <c r="IR200" s="66"/>
      <c r="IS200" s="66"/>
      <c r="IT200" s="66"/>
      <c r="IU200" s="66"/>
      <c r="IV200" s="66"/>
      <c r="IW200" s="66"/>
    </row>
    <row r="201" customFormat="false" ht="12.75" hidden="false" customHeight="false" outlineLevel="0" collapsed="false">
      <c r="A201" s="83"/>
      <c r="B201" s="43" t="s">
        <v>120</v>
      </c>
      <c r="F201" s="48" t="n">
        <v>101897</v>
      </c>
      <c r="G201" s="48" t="n">
        <f aca="false">F201/52</f>
        <v>1959.55769230769</v>
      </c>
      <c r="H201" s="61" t="n">
        <f aca="false">IF(AC201="N",IF(F201&lt;$G$3,$F$3*G201*AE201,IF(F201&lt;$G$2,$F$2*G201*AE201,$F$1*G201*AE201)),0)</f>
        <v>0</v>
      </c>
      <c r="I201" s="61" t="n">
        <f aca="false">IF(AC201="Y",(IF(F201&lt;$G$3,$F$3*G201*AE201,IF(F201&lt;$G$2,$F$2*G201*AE201,$F$1*G201*AE201))*$L$2),0)</f>
        <v>58786.7307692308</v>
      </c>
      <c r="J201" s="61"/>
      <c r="K201" s="61" t="n">
        <f aca="false">IF(AC201="N",(MIN((($F$3*G201*AE201+ROUNDUP((F201/10000),0)*G201)*2),F201)),0)</f>
        <v>0</v>
      </c>
      <c r="L201" s="61" t="n">
        <f aca="false">IF(AC201="Y",(MIN((($F$3*G201*AE201+ROUNDUP((F201/10000),0)*G201)*2),F201))*$L$2,0)</f>
        <v>94058.7692307692</v>
      </c>
      <c r="M201" s="61" t="n">
        <f aca="false">IF(AC201="N",IF((F201/10000*G201*$M$2)&gt;F201*$M$1,F201*$M$1,(F201/10000*G201*$M$2)),0)</f>
        <v>0</v>
      </c>
      <c r="N201" s="61" t="n">
        <f aca="false">IF(AC201="Y",(IF((F201/10000*G201*$M$2)&gt;F201*$M$1,F201*$M$1,(F201/10000*G201*$M$2)))*$L$2,0)</f>
        <v>59901.9150519231</v>
      </c>
      <c r="O201" s="61" t="n">
        <f aca="false">MAX(IF(F201&lt;$G$3,$F$3*G201*AE201,IF(F201&lt;$G$2,$F$2*G201*AE201,$F$1*G201*AE201)),IF((F201/10000*G201*$M$2)&gt;F201*$M$1,F201*$M$1,(F201/10000*G201*$M$2)))</f>
        <v>39934.6100346154</v>
      </c>
      <c r="P201" s="61" t="n">
        <f aca="false">MIN(IF(F201&lt;$G$3,$F$3*G201*AE201,IF(F201&lt;$G$2,$F$2*G201*AE201,$F$1*G201*AE201)),IF((F201/10000*G201*$M$2)&gt;F201*$M$1,F201*$M$1,(F201/10000*G201*$M$2)))</f>
        <v>39191.1538461538</v>
      </c>
      <c r="Q201" s="61" t="n">
        <f aca="false">MAX(I201,N201)</f>
        <v>59901.9150519231</v>
      </c>
      <c r="R201" s="61" t="n">
        <f aca="false">MIN(I201,N201)</f>
        <v>58786.7307692308</v>
      </c>
      <c r="S201" s="62" t="n">
        <f aca="false">F201/10000</f>
        <v>10.1897</v>
      </c>
      <c r="T201" s="62" t="n">
        <f aca="false">ROUNDUP(S201,0)</f>
        <v>11</v>
      </c>
      <c r="U201" s="44" t="s">
        <v>40</v>
      </c>
      <c r="V201" s="44" t="n">
        <f aca="false">F201</f>
        <v>101897</v>
      </c>
      <c r="Y201" s="45" t="n">
        <v>25000</v>
      </c>
      <c r="Z201" s="45"/>
      <c r="AA201" s="45" t="n">
        <v>17525</v>
      </c>
      <c r="AB201" s="45" t="n">
        <v>47350</v>
      </c>
      <c r="AC201" s="46" t="s">
        <v>420</v>
      </c>
      <c r="AD201" s="47" t="n">
        <v>35490</v>
      </c>
      <c r="AE201" s="63" t="n">
        <f aca="false">ROUNDUP(DAYS360(AD201,$AE$3)/365,0)</f>
        <v>5</v>
      </c>
      <c r="AL201" s="43" t="n">
        <f aca="false">IF(AC201="N",V201,0)</f>
        <v>0</v>
      </c>
      <c r="AM201" s="43" t="n">
        <f aca="false">IF(AL201&gt;0,1,0)</f>
        <v>0</v>
      </c>
    </row>
    <row r="202" customFormat="false" ht="12.75" hidden="false" customHeight="false" outlineLevel="0" collapsed="false">
      <c r="A202" s="83"/>
      <c r="B202" s="43" t="s">
        <v>208</v>
      </c>
      <c r="F202" s="48" t="n">
        <v>45541</v>
      </c>
      <c r="G202" s="48" t="n">
        <f aca="false">F202/52</f>
        <v>875.788461538462</v>
      </c>
      <c r="H202" s="61" t="n">
        <f aca="false">IF(AC202="N",IF(F202&lt;$G$3,$F$3*G202*AE202,IF(F202&lt;$G$2,$F$2*G202*AE202,$F$1*G202*AE202)),0)</f>
        <v>0</v>
      </c>
      <c r="I202" s="61" t="n">
        <f aca="false">IF(AC202="Y",(IF(F202&lt;$G$3,$F$3*G202*AE202,IF(F202&lt;$G$2,$F$2*G202*AE202,$F$1*G202*AE202))*$L$2),0)</f>
        <v>6568.41346153846</v>
      </c>
      <c r="J202" s="61"/>
      <c r="K202" s="61" t="n">
        <f aca="false">IF(AC202="N",(MIN((($F$3*G202*AE202+ROUNDUP((F202/10000),0)*G202)*2),F202)),0)</f>
        <v>0</v>
      </c>
      <c r="L202" s="61" t="n">
        <f aca="false">IF(AC202="Y",(MIN((($F$3*G202*AE202+ROUNDUP((F202/10000),0)*G202)*2),F202))*$L$2,0)</f>
        <v>26273.6538461538</v>
      </c>
      <c r="M202" s="61" t="n">
        <f aca="false">IF(AC202="N",IF((F202/10000*G202*$M$2)&gt;F202*$M$1,F202*$M$1,(F202/10000*G202*$M$2)),0)</f>
        <v>0</v>
      </c>
      <c r="N202" s="61" t="n">
        <f aca="false">IF(AC202="Y",(IF((F202/10000*G202*$M$2)&gt;F202*$M$1,F202*$M$1,(F202/10000*G202*$M$2)))*$L$2,0)</f>
        <v>11965.2846980769</v>
      </c>
      <c r="O202" s="61" t="n">
        <f aca="false">MAX(IF(F202&lt;$G$3,$F$3*G202*AE202,IF(F202&lt;$G$2,$F$2*G202*AE202,$F$1*G202*AE202)),IF((F202/10000*G202*$M$2)&gt;F202*$M$1,F202*$M$1,(F202/10000*G202*$M$2)))</f>
        <v>7976.85646538462</v>
      </c>
      <c r="P202" s="61" t="n">
        <f aca="false">MIN(IF(F202&lt;$G$3,$F$3*G202*AE202,IF(F202&lt;$G$2,$F$2*G202*AE202,$F$1*G202*AE202)),IF((F202/10000*G202*$M$2)&gt;F202*$M$1,F202*$M$1,(F202/10000*G202*$M$2)))</f>
        <v>4378.94230769231</v>
      </c>
      <c r="Q202" s="61" t="n">
        <f aca="false">MAX(I202,N202)</f>
        <v>11965.2846980769</v>
      </c>
      <c r="R202" s="61" t="n">
        <f aca="false">MIN(I202,N202)</f>
        <v>6568.41346153846</v>
      </c>
      <c r="S202" s="62" t="n">
        <f aca="false">F202/10000</f>
        <v>4.5541</v>
      </c>
      <c r="T202" s="62" t="n">
        <f aca="false">ROUNDUP(S202,0)</f>
        <v>5</v>
      </c>
      <c r="U202" s="44" t="s">
        <v>40</v>
      </c>
      <c r="V202" s="44" t="n">
        <f aca="false">F202</f>
        <v>45541</v>
      </c>
      <c r="Y202" s="45" t="n">
        <f aca="false">(W202+X202)</f>
        <v>0</v>
      </c>
      <c r="Z202" s="45"/>
      <c r="AA202" s="45"/>
      <c r="AB202" s="45"/>
      <c r="AC202" s="46" t="s">
        <v>420</v>
      </c>
      <c r="AD202" s="47" t="n">
        <v>35370</v>
      </c>
      <c r="AE202" s="63" t="n">
        <f aca="false">ROUNDUP(DAYS360(AD202,$AE$3)/365,0)</f>
        <v>5</v>
      </c>
      <c r="AL202" s="43" t="n">
        <f aca="false">IF(AC202="N",V202,0)</f>
        <v>0</v>
      </c>
      <c r="AM202" s="43" t="n">
        <f aca="false">IF(AL202&gt;0,1,0)</f>
        <v>0</v>
      </c>
    </row>
    <row r="203" customFormat="false" ht="12.75" hidden="false" customHeight="false" outlineLevel="0" collapsed="false">
      <c r="A203" s="83"/>
      <c r="B203" s="43" t="s">
        <v>194</v>
      </c>
      <c r="F203" s="48" t="n">
        <v>50507</v>
      </c>
      <c r="G203" s="48" t="n">
        <f aca="false">F203/52</f>
        <v>971.288461538462</v>
      </c>
      <c r="H203" s="61" t="n">
        <f aca="false">IF(AC203="N",IF(F203&lt;$G$3,$F$3*G203*AE203,IF(F203&lt;$G$2,$F$2*G203*AE203,$F$1*G203*AE203)),0)</f>
        <v>0</v>
      </c>
      <c r="I203" s="61" t="n">
        <f aca="false">IF(AC203="Y",(IF(F203&lt;$G$3,$F$3*G203*AE203,IF(F203&lt;$G$2,$F$2*G203*AE203,$F$1*G203*AE203))*$L$2),0)</f>
        <v>11655.4615384615</v>
      </c>
      <c r="J203" s="61"/>
      <c r="K203" s="61" t="n">
        <f aca="false">IF(AC203="N",(MIN((($F$3*G203*AE203+ROUNDUP((F203/10000),0)*G203)*2),F203)),0)</f>
        <v>0</v>
      </c>
      <c r="L203" s="61" t="n">
        <f aca="false">IF(AC203="Y",(MIN((($F$3*G203*AE203+ROUNDUP((F203/10000),0)*G203)*2),F203))*$L$2,0)</f>
        <v>29138.6538461538</v>
      </c>
      <c r="M203" s="61" t="n">
        <f aca="false">IF(AC203="N",IF((F203/10000*G203*$M$2)&gt;F203*$M$1,F203*$M$1,(F203/10000*G203*$M$2)),0)</f>
        <v>0</v>
      </c>
      <c r="N203" s="61" t="n">
        <f aca="false">IF(AC203="Y",(IF((F203/10000*G203*$M$2)&gt;F203*$M$1,F203*$M$1,(F203/10000*G203*$M$2)))*$L$2,0)</f>
        <v>14717.0598980769</v>
      </c>
      <c r="O203" s="61" t="n">
        <f aca="false">MAX(IF(F203&lt;$G$3,$F$3*G203*AE203,IF(F203&lt;$G$2,$F$2*G203*AE203,$F$1*G203*AE203)),IF((F203/10000*G203*$M$2)&gt;F203*$M$1,F203*$M$1,(F203/10000*G203*$M$2)))</f>
        <v>9811.37326538462</v>
      </c>
      <c r="P203" s="61" t="n">
        <f aca="false">MIN(IF(F203&lt;$G$3,$F$3*G203*AE203,IF(F203&lt;$G$2,$F$2*G203*AE203,$F$1*G203*AE203)),IF((F203/10000*G203*$M$2)&gt;F203*$M$1,F203*$M$1,(F203/10000*G203*$M$2)))</f>
        <v>7770.30769230769</v>
      </c>
      <c r="Q203" s="61" t="n">
        <f aca="false">MAX(I203,N203)</f>
        <v>14717.0598980769</v>
      </c>
      <c r="R203" s="61" t="n">
        <f aca="false">MIN(I203,N203)</f>
        <v>11655.4615384615</v>
      </c>
      <c r="S203" s="62" t="n">
        <f aca="false">F203/10000</f>
        <v>5.0507</v>
      </c>
      <c r="T203" s="62" t="n">
        <f aca="false">ROUNDUP(S203,0)</f>
        <v>6</v>
      </c>
      <c r="U203" s="44" t="s">
        <v>40</v>
      </c>
      <c r="V203" s="44" t="n">
        <f aca="false">F203</f>
        <v>50507</v>
      </c>
      <c r="W203" s="45" t="n">
        <v>5000</v>
      </c>
      <c r="Y203" s="45" t="n">
        <f aca="false">(W203+X203)</f>
        <v>5000</v>
      </c>
      <c r="Z203" s="45"/>
      <c r="AA203" s="45"/>
      <c r="AB203" s="45"/>
      <c r="AC203" s="46" t="s">
        <v>420</v>
      </c>
      <c r="AD203" s="47" t="n">
        <v>35657</v>
      </c>
      <c r="AE203" s="63" t="n">
        <f aca="false">ROUNDUP(DAYS360(AD203,$AE$3)/365,0)</f>
        <v>4</v>
      </c>
      <c r="AL203" s="43" t="n">
        <f aca="false">IF(AC203="N",V203,0)</f>
        <v>0</v>
      </c>
      <c r="AM203" s="43" t="n">
        <f aca="false">IF(AL203&gt;0,1,0)</f>
        <v>0</v>
      </c>
    </row>
    <row r="204" customFormat="false" ht="12.75" hidden="false" customHeight="false" outlineLevel="0" collapsed="false">
      <c r="A204" s="83"/>
      <c r="B204" s="66" t="s">
        <v>60</v>
      </c>
      <c r="C204" s="66"/>
      <c r="D204" s="66"/>
      <c r="E204" s="66"/>
      <c r="F204" s="67" t="n">
        <v>258621</v>
      </c>
      <c r="G204" s="67" t="n">
        <f aca="false">F204/52</f>
        <v>4973.48076923077</v>
      </c>
      <c r="H204" s="69"/>
      <c r="I204" s="69"/>
      <c r="J204" s="69"/>
      <c r="K204" s="69"/>
      <c r="L204" s="69"/>
      <c r="M204" s="69"/>
      <c r="N204" s="69"/>
      <c r="O204" s="69"/>
      <c r="P204" s="69"/>
      <c r="Q204" s="61" t="n">
        <f aca="false">MAX(I204,N204)</f>
        <v>0</v>
      </c>
      <c r="R204" s="61" t="n">
        <f aca="false">MIN(I204,N204)</f>
        <v>0</v>
      </c>
      <c r="S204" s="70" t="n">
        <f aca="false">F204/10000</f>
        <v>25.8621</v>
      </c>
      <c r="T204" s="70" t="n">
        <f aca="false">ROUNDUP(S204,0)</f>
        <v>26</v>
      </c>
      <c r="U204" s="71" t="s">
        <v>40</v>
      </c>
      <c r="V204" s="71" t="n">
        <f aca="false">F204</f>
        <v>258621</v>
      </c>
      <c r="W204" s="72" t="n">
        <v>70000</v>
      </c>
      <c r="X204" s="72" t="n">
        <v>52575</v>
      </c>
      <c r="Y204" s="72" t="n">
        <f aca="false">(W204+X204)</f>
        <v>122575</v>
      </c>
      <c r="Z204" s="72"/>
      <c r="AA204" s="72" t="n">
        <v>52575</v>
      </c>
      <c r="AB204" s="72" t="n">
        <v>132580</v>
      </c>
      <c r="AC204" s="73" t="s">
        <v>420</v>
      </c>
      <c r="AD204" s="59" t="n">
        <v>34243</v>
      </c>
      <c r="AE204" s="75" t="n">
        <f aca="false">ROUNDUP(DAYS360(AD204,$AE$3)/365,0)</f>
        <v>8</v>
      </c>
      <c r="AF204" s="73"/>
      <c r="AG204" s="73"/>
      <c r="AH204" s="73"/>
      <c r="AI204" s="73"/>
      <c r="AJ204" s="73"/>
      <c r="AK204" s="66"/>
      <c r="AL204" s="12" t="n">
        <f aca="false">IF(AC204="N",V204,0)</f>
        <v>0</v>
      </c>
      <c r="AM204" s="12" t="n">
        <f aca="false">IF(AL204&gt;0,1,0)</f>
        <v>0</v>
      </c>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6"/>
      <c r="CA204" s="66"/>
      <c r="CB204" s="66"/>
      <c r="CC204" s="66"/>
      <c r="CD204" s="66"/>
      <c r="CE204" s="66"/>
      <c r="CF204" s="66"/>
      <c r="CG204" s="66"/>
      <c r="CH204" s="66"/>
      <c r="CI204" s="66"/>
      <c r="CJ204" s="66"/>
      <c r="CK204" s="66"/>
      <c r="CL204" s="66"/>
      <c r="CM204" s="66"/>
      <c r="CN204" s="66"/>
      <c r="CO204" s="66"/>
      <c r="CP204" s="66"/>
      <c r="CQ204" s="66"/>
      <c r="CR204" s="66"/>
      <c r="CS204" s="66"/>
      <c r="CT204" s="66"/>
      <c r="CU204" s="66"/>
      <c r="CV204" s="66"/>
      <c r="CW204" s="66"/>
      <c r="CX204" s="66"/>
      <c r="CY204" s="66"/>
      <c r="CZ204" s="66"/>
      <c r="DA204" s="66"/>
      <c r="DB204" s="66"/>
      <c r="DC204" s="66"/>
      <c r="DD204" s="66"/>
      <c r="DE204" s="66"/>
      <c r="DF204" s="66"/>
      <c r="DG204" s="66"/>
      <c r="DH204" s="66"/>
      <c r="DI204" s="66"/>
      <c r="DJ204" s="66"/>
      <c r="DK204" s="66"/>
      <c r="DL204" s="66"/>
      <c r="DM204" s="66"/>
      <c r="DN204" s="66"/>
      <c r="DO204" s="66"/>
      <c r="DP204" s="66"/>
      <c r="DQ204" s="66"/>
      <c r="DR204" s="66"/>
      <c r="DS204" s="66"/>
      <c r="DT204" s="66"/>
      <c r="DU204" s="66"/>
      <c r="DV204" s="66"/>
      <c r="DW204" s="66"/>
      <c r="DX204" s="66"/>
      <c r="DY204" s="66"/>
      <c r="DZ204" s="66"/>
      <c r="EA204" s="66"/>
      <c r="EB204" s="66"/>
      <c r="EC204" s="66"/>
      <c r="ED204" s="66"/>
      <c r="EE204" s="66"/>
      <c r="EF204" s="66"/>
      <c r="EG204" s="66"/>
      <c r="EH204" s="66"/>
      <c r="EI204" s="66"/>
      <c r="EJ204" s="66"/>
      <c r="EK204" s="66"/>
      <c r="EL204" s="66"/>
      <c r="EM204" s="66"/>
      <c r="EN204" s="66"/>
      <c r="EO204" s="66"/>
      <c r="EP204" s="66"/>
      <c r="EQ204" s="66"/>
      <c r="ER204" s="66"/>
      <c r="ES204" s="66"/>
      <c r="ET204" s="66"/>
      <c r="EU204" s="66"/>
      <c r="EV204" s="66"/>
      <c r="EW204" s="66"/>
      <c r="EX204" s="66"/>
      <c r="EY204" s="66"/>
      <c r="EZ204" s="66"/>
      <c r="FA204" s="66"/>
      <c r="FB204" s="66"/>
      <c r="FC204" s="66"/>
      <c r="FD204" s="66"/>
      <c r="FE204" s="66"/>
      <c r="FF204" s="66"/>
      <c r="FG204" s="66"/>
      <c r="FH204" s="66"/>
      <c r="FI204" s="66"/>
      <c r="FJ204" s="66"/>
      <c r="FK204" s="66"/>
      <c r="FL204" s="66"/>
      <c r="FM204" s="66"/>
      <c r="FN204" s="66"/>
      <c r="FO204" s="66"/>
      <c r="FP204" s="66"/>
      <c r="FQ204" s="66"/>
      <c r="FR204" s="66"/>
      <c r="FS204" s="66"/>
      <c r="FT204" s="66"/>
      <c r="FU204" s="66"/>
      <c r="FV204" s="66"/>
      <c r="FW204" s="66"/>
      <c r="FX204" s="66"/>
      <c r="FY204" s="66"/>
      <c r="FZ204" s="66"/>
      <c r="GA204" s="66"/>
      <c r="GB204" s="66"/>
      <c r="GC204" s="66"/>
      <c r="GD204" s="66"/>
      <c r="GE204" s="66"/>
      <c r="GF204" s="66"/>
      <c r="GG204" s="66"/>
      <c r="GH204" s="66"/>
      <c r="GI204" s="66"/>
      <c r="GJ204" s="66"/>
      <c r="GK204" s="66"/>
      <c r="GL204" s="66"/>
      <c r="GM204" s="66"/>
      <c r="GN204" s="66"/>
      <c r="GO204" s="66"/>
      <c r="GP204" s="66"/>
      <c r="GQ204" s="66"/>
      <c r="GR204" s="66"/>
      <c r="GS204" s="66"/>
      <c r="GT204" s="66"/>
      <c r="GU204" s="66"/>
      <c r="GV204" s="66"/>
      <c r="GW204" s="66"/>
      <c r="GX204" s="66"/>
      <c r="GY204" s="66"/>
      <c r="GZ204" s="66"/>
      <c r="HA204" s="66"/>
      <c r="HB204" s="66"/>
      <c r="HC204" s="66"/>
      <c r="HD204" s="66"/>
      <c r="HE204" s="66"/>
      <c r="HF204" s="66"/>
      <c r="HG204" s="66"/>
      <c r="HH204" s="66"/>
      <c r="HI204" s="66"/>
      <c r="HJ204" s="66"/>
      <c r="HK204" s="66"/>
      <c r="HL204" s="66"/>
      <c r="HM204" s="66"/>
      <c r="HN204" s="66"/>
      <c r="HO204" s="66"/>
      <c r="HP204" s="66"/>
      <c r="HQ204" s="66"/>
      <c r="HR204" s="66"/>
      <c r="HS204" s="66"/>
      <c r="HT204" s="66"/>
      <c r="HU204" s="66"/>
      <c r="HV204" s="66"/>
      <c r="HW204" s="66"/>
      <c r="HX204" s="66"/>
      <c r="HY204" s="66"/>
      <c r="HZ204" s="66"/>
      <c r="IA204" s="66"/>
      <c r="IB204" s="66"/>
      <c r="IC204" s="66"/>
      <c r="ID204" s="66"/>
      <c r="IE204" s="66"/>
      <c r="IF204" s="66"/>
      <c r="IG204" s="66"/>
      <c r="IH204" s="66"/>
      <c r="II204" s="66"/>
      <c r="IJ204" s="66"/>
      <c r="IK204" s="66"/>
      <c r="IL204" s="66"/>
      <c r="IM204" s="66"/>
      <c r="IN204" s="66"/>
      <c r="IO204" s="66"/>
      <c r="IP204" s="66"/>
      <c r="IQ204" s="66"/>
      <c r="IR204" s="66"/>
      <c r="IS204" s="66"/>
      <c r="IT204" s="66"/>
      <c r="IU204" s="66"/>
      <c r="IV204" s="66"/>
      <c r="IW204" s="66"/>
    </row>
    <row r="205" customFormat="false" ht="12.75" hidden="false" customHeight="false" outlineLevel="0" collapsed="false">
      <c r="A205" s="83"/>
      <c r="B205" s="43" t="s">
        <v>142</v>
      </c>
      <c r="F205" s="48" t="n">
        <v>79618</v>
      </c>
      <c r="G205" s="48" t="n">
        <f aca="false">F205/52</f>
        <v>1531.11538461538</v>
      </c>
      <c r="H205" s="61" t="n">
        <f aca="false">IF(AC205="N",IF(F205&lt;$G$3,$F$3*G205*AE205,IF(F205&lt;$G$2,$F$2*G205*AE205,$F$1*G205*AE205)),0)</f>
        <v>0</v>
      </c>
      <c r="I205" s="61" t="n">
        <f aca="false">IF(AC205="Y",(IF(F205&lt;$G$3,$F$3*G205*AE205,IF(F205&lt;$G$2,$F$2*G205*AE205,$F$1*G205*AE205))*$L$2),0)</f>
        <v>101053.615384615</v>
      </c>
      <c r="J205" s="61"/>
      <c r="K205" s="61" t="n">
        <f aca="false">IF(AC205="N",(MIN((($F$3*G205*AE205+ROUNDUP((F205/10000),0)*G205)*2),F205)),0)</f>
        <v>0</v>
      </c>
      <c r="L205" s="61" t="n">
        <f aca="false">IF(AC205="Y",(MIN((($F$3*G205*AE205+ROUNDUP((F205/10000),0)*G205)*2),F205))*$L$2,0)</f>
        <v>119427</v>
      </c>
      <c r="M205" s="61" t="n">
        <f aca="false">IF(AC205="N",IF((F205/10000*G205*$M$2)&gt;F205*$M$1,F205*$M$1,(F205/10000*G205*$M$2)),0)</f>
        <v>0</v>
      </c>
      <c r="N205" s="61" t="n">
        <f aca="false">IF(AC205="Y",(IF((F205/10000*G205*$M$2)&gt;F205*$M$1,F205*$M$1,(F205/10000*G205*$M$2)))*$L$2,0)</f>
        <v>36571.3034076923</v>
      </c>
      <c r="O205" s="61" t="n">
        <f aca="false">MAX(IF(F205&lt;$G$3,$F$3*G205*AE205,IF(F205&lt;$G$2,$F$2*G205*AE205,$F$1*G205*AE205)),IF((F205/10000*G205*$M$2)&gt;F205*$M$1,F205*$M$1,(F205/10000*G205*$M$2)))</f>
        <v>67369.0769230769</v>
      </c>
      <c r="P205" s="61" t="n">
        <f aca="false">MIN(IF(F205&lt;$G$3,$F$3*G205*AE205,IF(F205&lt;$G$2,$F$2*G205*AE205,$F$1*G205*AE205)),IF((F205/10000*G205*$M$2)&gt;F205*$M$1,F205*$M$1,(F205/10000*G205*$M$2)))</f>
        <v>24380.8689384615</v>
      </c>
      <c r="Q205" s="61" t="n">
        <f aca="false">MAX(I205,N205)</f>
        <v>101053.615384615</v>
      </c>
      <c r="R205" s="61" t="n">
        <f aca="false">MIN(I205,N205)</f>
        <v>36571.3034076923</v>
      </c>
      <c r="S205" s="62" t="n">
        <f aca="false">F205/10000</f>
        <v>7.9618</v>
      </c>
      <c r="T205" s="62" t="n">
        <f aca="false">ROUNDUP(S205,0)</f>
        <v>8</v>
      </c>
      <c r="U205" s="44" t="s">
        <v>40</v>
      </c>
      <c r="V205" s="44" t="n">
        <f aca="false">F205</f>
        <v>79618</v>
      </c>
      <c r="Y205" s="45" t="n">
        <v>17500</v>
      </c>
      <c r="Z205" s="45"/>
      <c r="AA205" s="45"/>
      <c r="AB205" s="45"/>
      <c r="AC205" s="46" t="s">
        <v>420</v>
      </c>
      <c r="AD205" s="47" t="n">
        <v>28976</v>
      </c>
      <c r="AE205" s="63" t="n">
        <f aca="false">ROUNDUP(DAYS360(AD205,$AE$3)/365,0)</f>
        <v>22</v>
      </c>
      <c r="AL205" s="43" t="n">
        <f aca="false">IF(AC205="N",V205,0)</f>
        <v>0</v>
      </c>
      <c r="AM205" s="43" t="n">
        <f aca="false">IF(AL205&gt;0,1,0)</f>
        <v>0</v>
      </c>
    </row>
    <row r="206" customFormat="false" ht="12.75" hidden="false" customHeight="false" outlineLevel="0" collapsed="false">
      <c r="A206" s="83"/>
      <c r="B206" s="43" t="s">
        <v>311</v>
      </c>
      <c r="F206" s="48" t="n">
        <v>80690</v>
      </c>
      <c r="G206" s="48" t="n">
        <f aca="false">F206/52</f>
        <v>1551.73076923077</v>
      </c>
      <c r="H206" s="61" t="n">
        <f aca="false">IF(AC206="N",IF(F206&lt;$G$3,$F$3*G206*AE206,IF(F206&lt;$G$2,$F$2*G206*AE206,$F$1*G206*AE206)),0)</f>
        <v>37241.5384615385</v>
      </c>
      <c r="I206" s="61" t="n">
        <f aca="false">IF(AC206="Y",(IF(F206&lt;$G$3,$F$3*G206*AE206,IF(F206&lt;$G$2,$F$2*G206*AE206,$F$1*G206*AE206))*$L$2),0)</f>
        <v>0</v>
      </c>
      <c r="J206" s="61"/>
      <c r="K206" s="61" t="n">
        <f aca="false">IF(AC206="N",(MIN((($F$3*G206*AE206+ROUNDUP((F206/10000),0)*G206)*2),F206)),0)</f>
        <v>65172.6923076923</v>
      </c>
      <c r="L206" s="61" t="n">
        <f aca="false">IF(AC206="Y",(MIN((($F$3*G206*AE206+ROUNDUP((F206/10000),0)*G206)*2),F206))*$L$2,0)</f>
        <v>0</v>
      </c>
      <c r="M206" s="61" t="n">
        <f aca="false">IF(AC206="N",IF((F206/10000*G206*$M$2)&gt;F206*$M$1,F206*$M$1,(F206/10000*G206*$M$2)),0)</f>
        <v>25041.8311538462</v>
      </c>
      <c r="N206" s="61" t="n">
        <f aca="false">IF(AC206="Y",(IF((F206/10000*G206*$M$2)&gt;F206*$M$1,F206*$M$1,(F206/10000*G206*$M$2)))*$L$2,0)</f>
        <v>0</v>
      </c>
      <c r="O206" s="61" t="n">
        <f aca="false">MAX(IF(F206&lt;$G$3,$F$3*G206*AE206,IF(F206&lt;$G$2,$F$2*G206*AE206,$F$1*G206*AE206)),IF((F206/10000*G206*$M$2)&gt;F206*$M$1,F206*$M$1,(F206/10000*G206*$M$2)))</f>
        <v>37241.5384615385</v>
      </c>
      <c r="P206" s="61" t="n">
        <f aca="false">MIN(IF(F206&lt;$G$3,$F$3*G206*AE206,IF(F206&lt;$G$2,$F$2*G206*AE206,$F$1*G206*AE206)),IF((F206/10000*G206*$M$2)&gt;F206*$M$1,F206*$M$1,(F206/10000*G206*$M$2)))</f>
        <v>25041.8311538462</v>
      </c>
      <c r="Q206" s="61" t="n">
        <f aca="false">MAX(I206,N206)</f>
        <v>0</v>
      </c>
      <c r="R206" s="61" t="n">
        <f aca="false">MIN(I206,N206)</f>
        <v>0</v>
      </c>
      <c r="S206" s="62" t="n">
        <f aca="false">F206/10000</f>
        <v>8.069</v>
      </c>
      <c r="T206" s="62" t="n">
        <f aca="false">ROUNDUP(S206,0)</f>
        <v>9</v>
      </c>
      <c r="U206" s="44" t="s">
        <v>40</v>
      </c>
      <c r="V206" s="44" t="n">
        <f aca="false">F206</f>
        <v>80690</v>
      </c>
      <c r="Y206" s="45" t="n">
        <f aca="false">(W206+X206)</f>
        <v>0</v>
      </c>
      <c r="Z206" s="45"/>
      <c r="AA206" s="45" t="n">
        <v>17525</v>
      </c>
      <c r="AB206" s="45" t="n">
        <v>47350</v>
      </c>
      <c r="AC206" s="46" t="s">
        <v>419</v>
      </c>
      <c r="AD206" s="47" t="n">
        <v>32843</v>
      </c>
      <c r="AE206" s="63" t="n">
        <f aca="false">ROUNDUP(DAYS360(AD206,$AE$3)/365,0)</f>
        <v>12</v>
      </c>
      <c r="AF206" s="62" t="n">
        <f aca="false">(G206*AE206)+(G206*T206)</f>
        <v>32586.3461538462</v>
      </c>
      <c r="AG206" s="62" t="n">
        <f aca="false">26*G206</f>
        <v>40345</v>
      </c>
      <c r="AH206" s="62" t="n">
        <f aca="false">G206*52</f>
        <v>80690</v>
      </c>
      <c r="AI206" s="62" t="n">
        <f aca="false">AF206*2</f>
        <v>65172.6923076923</v>
      </c>
      <c r="AJ206" s="62"/>
      <c r="AL206" s="43" t="n">
        <f aca="false">IF(AC206="N",V206,0)</f>
        <v>80690</v>
      </c>
      <c r="AM206" s="43" t="n">
        <f aca="false">IF(AL206&gt;0,1,0)</f>
        <v>1</v>
      </c>
    </row>
    <row r="207" customFormat="false" ht="12.75" hidden="false" customHeight="false" outlineLevel="0" collapsed="false">
      <c r="A207" s="83"/>
      <c r="B207" s="43" t="s">
        <v>330</v>
      </c>
      <c r="F207" s="48" t="n">
        <v>55586</v>
      </c>
      <c r="G207" s="48" t="n">
        <f aca="false">F207/52</f>
        <v>1068.96153846154</v>
      </c>
      <c r="H207" s="61" t="n">
        <f aca="false">IF(AC207="N",IF(F207&lt;$G$3,$F$3*G207*AE207,IF(F207&lt;$G$2,$F$2*G207*AE207,$F$1*G207*AE207)),0)</f>
        <v>19241.3076923077</v>
      </c>
      <c r="I207" s="61" t="n">
        <f aca="false">IF(AC207="Y",(IF(F207&lt;$G$3,$F$3*G207*AE207,IF(F207&lt;$G$2,$F$2*G207*AE207,$F$1*G207*AE207))*$L$2),0)</f>
        <v>0</v>
      </c>
      <c r="J207" s="61"/>
      <c r="K207" s="61" t="n">
        <f aca="false">IF(AC207="N",(MIN((($F$3*G207*AE207+ROUNDUP((F207/10000),0)*G207)*2),F207)),0)</f>
        <v>32068.8461538462</v>
      </c>
      <c r="L207" s="61" t="n">
        <f aca="false">IF(AC207="Y",(MIN((($F$3*G207*AE207+ROUNDUP((F207/10000),0)*G207)*2),F207))*$L$2,0)</f>
        <v>0</v>
      </c>
      <c r="M207" s="61" t="n">
        <f aca="false">IF(AC207="N",IF((F207/10000*G207*$M$2)&gt;F207*$M$1,F207*$M$1,(F207/10000*G207*$M$2)),0)</f>
        <v>11883.8592153846</v>
      </c>
      <c r="N207" s="61" t="n">
        <f aca="false">IF(AC207="Y",(IF((F207/10000*G207*$M$2)&gt;F207*$M$1,F207*$M$1,(F207/10000*G207*$M$2)))*$L$2,0)</f>
        <v>0</v>
      </c>
      <c r="O207" s="61" t="n">
        <f aca="false">MAX(IF(F207&lt;$G$3,$F$3*G207*AE207,IF(F207&lt;$G$2,$F$2*G207*AE207,$F$1*G207*AE207)),IF((F207/10000*G207*$M$2)&gt;F207*$M$1,F207*$M$1,(F207/10000*G207*$M$2)))</f>
        <v>19241.3076923077</v>
      </c>
      <c r="P207" s="61" t="n">
        <f aca="false">MIN(IF(F207&lt;$G$3,$F$3*G207*AE207,IF(F207&lt;$G$2,$F$2*G207*AE207,$F$1*G207*AE207)),IF((F207/10000*G207*$M$2)&gt;F207*$M$1,F207*$M$1,(F207/10000*G207*$M$2)))</f>
        <v>11883.8592153846</v>
      </c>
      <c r="Q207" s="61" t="n">
        <f aca="false">MAX(I207,N207)</f>
        <v>0</v>
      </c>
      <c r="R207" s="61" t="n">
        <f aca="false">MIN(I207,N207)</f>
        <v>0</v>
      </c>
      <c r="S207" s="62" t="n">
        <f aca="false">F207/10000</f>
        <v>5.5586</v>
      </c>
      <c r="T207" s="62" t="n">
        <f aca="false">ROUNDUP(S207,0)</f>
        <v>6</v>
      </c>
      <c r="U207" s="44" t="s">
        <v>40</v>
      </c>
      <c r="V207" s="44" t="n">
        <f aca="false">F207</f>
        <v>55586</v>
      </c>
      <c r="Y207" s="45" t="n">
        <f aca="false">(W207+X207)</f>
        <v>0</v>
      </c>
      <c r="Z207" s="45"/>
      <c r="AA207" s="45"/>
      <c r="AB207" s="45"/>
      <c r="AC207" s="46" t="s">
        <v>419</v>
      </c>
      <c r="AD207" s="47" t="n">
        <v>33826</v>
      </c>
      <c r="AE207" s="63" t="n">
        <f aca="false">ROUNDUP(DAYS360(AD207,$AE$3)/365,0)</f>
        <v>9</v>
      </c>
      <c r="AF207" s="62" t="n">
        <f aca="false">(G207*AE207)+(G207*T207)</f>
        <v>16034.4230769231</v>
      </c>
      <c r="AG207" s="62" t="n">
        <f aca="false">26*G207</f>
        <v>27793</v>
      </c>
      <c r="AH207" s="62" t="n">
        <f aca="false">G207*52</f>
        <v>55586</v>
      </c>
      <c r="AI207" s="62" t="n">
        <f aca="false">AF207*2</f>
        <v>32068.8461538462</v>
      </c>
      <c r="AJ207" s="62"/>
      <c r="AL207" s="43" t="n">
        <f aca="false">IF(AC207="N",V207,0)</f>
        <v>55586</v>
      </c>
      <c r="AM207" s="43" t="n">
        <f aca="false">IF(AL207&gt;0,1,0)</f>
        <v>1</v>
      </c>
    </row>
    <row r="208" customFormat="false" ht="12.75" hidden="false" customHeight="false" outlineLevel="0" collapsed="false">
      <c r="A208" s="83"/>
      <c r="B208" s="43" t="s">
        <v>331</v>
      </c>
      <c r="F208" s="48" t="n">
        <v>54945</v>
      </c>
      <c r="G208" s="48" t="n">
        <f aca="false">F208/52</f>
        <v>1056.63461538462</v>
      </c>
      <c r="H208" s="61" t="n">
        <f aca="false">IF(AC208="N",IF(F208&lt;$G$3,$F$3*G208*AE208,IF(F208&lt;$G$2,$F$2*G208*AE208,$F$1*G208*AE208)),0)</f>
        <v>21132.6923076923</v>
      </c>
      <c r="I208" s="61" t="n">
        <f aca="false">IF(AC208="Y",(IF(F208&lt;$G$3,$F$3*G208*AE208,IF(F208&lt;$G$2,$F$2*G208*AE208,$F$1*G208*AE208))*$L$2),0)</f>
        <v>0</v>
      </c>
      <c r="J208" s="61"/>
      <c r="K208" s="61" t="n">
        <f aca="false">IF(AC208="N",(MIN((($F$3*G208*AE208+ROUNDUP((F208/10000),0)*G208)*2),F208)),0)</f>
        <v>33812.3076923077</v>
      </c>
      <c r="L208" s="61" t="n">
        <f aca="false">IF(AC208="Y",(MIN((($F$3*G208*AE208+ROUNDUP((F208/10000),0)*G208)*2),F208))*$L$2,0)</f>
        <v>0</v>
      </c>
      <c r="M208" s="61" t="n">
        <f aca="false">IF(AC208="N",IF((F208/10000*G208*$M$2)&gt;F208*$M$1,F208*$M$1,(F208/10000*G208*$M$2)),0)</f>
        <v>11611.3577884615</v>
      </c>
      <c r="N208" s="61" t="n">
        <f aca="false">IF(AC208="Y",(IF((F208/10000*G208*$M$2)&gt;F208*$M$1,F208*$M$1,(F208/10000*G208*$M$2)))*$L$2,0)</f>
        <v>0</v>
      </c>
      <c r="O208" s="61" t="n">
        <f aca="false">MAX(IF(F208&lt;$G$3,$F$3*G208*AE208,IF(F208&lt;$G$2,$F$2*G208*AE208,$F$1*G208*AE208)),IF((F208/10000*G208*$M$2)&gt;F208*$M$1,F208*$M$1,(F208/10000*G208*$M$2)))</f>
        <v>21132.6923076923</v>
      </c>
      <c r="P208" s="61" t="n">
        <f aca="false">MIN(IF(F208&lt;$G$3,$F$3*G208*AE208,IF(F208&lt;$G$2,$F$2*G208*AE208,$F$1*G208*AE208)),IF((F208/10000*G208*$M$2)&gt;F208*$M$1,F208*$M$1,(F208/10000*G208*$M$2)))</f>
        <v>11611.3577884615</v>
      </c>
      <c r="Q208" s="61" t="n">
        <f aca="false">MAX(I208,N208)</f>
        <v>0</v>
      </c>
      <c r="R208" s="61" t="n">
        <f aca="false">MIN(I208,N208)</f>
        <v>0</v>
      </c>
      <c r="S208" s="62" t="n">
        <f aca="false">F208/10000</f>
        <v>5.4945</v>
      </c>
      <c r="T208" s="62" t="n">
        <f aca="false">ROUNDUP(S208,0)</f>
        <v>6</v>
      </c>
      <c r="U208" s="44" t="s">
        <v>40</v>
      </c>
      <c r="V208" s="44" t="n">
        <f aca="false">F208</f>
        <v>54945</v>
      </c>
      <c r="Y208" s="45" t="n">
        <f aca="false">(W208+X208)</f>
        <v>0</v>
      </c>
      <c r="Z208" s="45"/>
      <c r="AA208" s="45"/>
      <c r="AB208" s="45"/>
      <c r="AC208" s="46" t="s">
        <v>419</v>
      </c>
      <c r="AD208" s="47" t="n">
        <v>33609</v>
      </c>
      <c r="AE208" s="63" t="n">
        <f aca="false">ROUNDUP(DAYS360(AD208,$AE$3)/365,0)</f>
        <v>10</v>
      </c>
      <c r="AF208" s="62" t="n">
        <f aca="false">(G208*AE208)+(G208*T208)</f>
        <v>16906.1538461538</v>
      </c>
      <c r="AG208" s="62" t="n">
        <f aca="false">26*G208</f>
        <v>27472.5</v>
      </c>
      <c r="AH208" s="62" t="n">
        <f aca="false">G208*52</f>
        <v>54945</v>
      </c>
      <c r="AI208" s="62" t="n">
        <f aca="false">AF208*2</f>
        <v>33812.3076923077</v>
      </c>
      <c r="AJ208" s="62"/>
      <c r="AL208" s="43" t="n">
        <f aca="false">IF(AC208="N",V208,0)</f>
        <v>54945</v>
      </c>
      <c r="AM208" s="43" t="n">
        <f aca="false">IF(AL208&gt;0,1,0)</f>
        <v>1</v>
      </c>
    </row>
    <row r="209" customFormat="false" ht="12.75" hidden="false" customHeight="false" outlineLevel="0" collapsed="false">
      <c r="A209" s="83"/>
      <c r="B209" s="43" t="s">
        <v>128</v>
      </c>
      <c r="F209" s="48" t="n">
        <v>89286</v>
      </c>
      <c r="G209" s="48" t="n">
        <f aca="false">F209/52</f>
        <v>1717.03846153846</v>
      </c>
      <c r="H209" s="61" t="n">
        <f aca="false">IF(AC209="N",IF(F209&lt;$G$3,$F$3*G209*AE209,IF(F209&lt;$G$2,$F$2*G209*AE209,$F$1*G209*AE209)),0)</f>
        <v>0</v>
      </c>
      <c r="I209" s="61" t="n">
        <f aca="false">IF(AC209="Y",(IF(F209&lt;$G$3,$F$3*G209*AE209,IF(F209&lt;$G$2,$F$2*G209*AE209,$F$1*G209*AE209))*$L$2),0)</f>
        <v>36057.8076923077</v>
      </c>
      <c r="J209" s="61"/>
      <c r="K209" s="61" t="n">
        <f aca="false">IF(AC209="N",(MIN((($F$3*G209*AE209+ROUNDUP((F209/10000),0)*G209)*2),F209)),0)</f>
        <v>0</v>
      </c>
      <c r="L209" s="61" t="n">
        <f aca="false">IF(AC209="Y",(MIN((($F$3*G209*AE209+ROUNDUP((F209/10000),0)*G209)*2),F209))*$L$2,0)</f>
        <v>82417.8461538462</v>
      </c>
      <c r="M209" s="61" t="n">
        <f aca="false">IF(AC209="N",IF((F209/10000*G209*$M$2)&gt;F209*$M$1,F209*$M$1,(F209/10000*G209*$M$2)),0)</f>
        <v>0</v>
      </c>
      <c r="N209" s="61" t="n">
        <f aca="false">IF(AC209="Y",(IF((F209/10000*G209*$M$2)&gt;F209*$M$1,F209*$M$1,(F209/10000*G209*$M$2)))*$L$2,0)</f>
        <v>45992.2488230769</v>
      </c>
      <c r="O209" s="61" t="n">
        <f aca="false">MAX(IF(F209&lt;$G$3,$F$3*G209*AE209,IF(F209&lt;$G$2,$F$2*G209*AE209,$F$1*G209*AE209)),IF((F209/10000*G209*$M$2)&gt;F209*$M$1,F209*$M$1,(F209/10000*G209*$M$2)))</f>
        <v>30661.4992153846</v>
      </c>
      <c r="P209" s="61" t="n">
        <f aca="false">MIN(IF(F209&lt;$G$3,$F$3*G209*AE209,IF(F209&lt;$G$2,$F$2*G209*AE209,$F$1*G209*AE209)),IF((F209/10000*G209*$M$2)&gt;F209*$M$1,F209*$M$1,(F209/10000*G209*$M$2)))</f>
        <v>24038.5384615385</v>
      </c>
      <c r="Q209" s="61" t="n">
        <f aca="false">MAX(I209,N209)</f>
        <v>45992.2488230769</v>
      </c>
      <c r="R209" s="61" t="n">
        <f aca="false">MIN(I209,N209)</f>
        <v>36057.8076923077</v>
      </c>
      <c r="S209" s="62" t="n">
        <f aca="false">F209/10000</f>
        <v>8.9286</v>
      </c>
      <c r="T209" s="62" t="n">
        <f aca="false">ROUNDUP(S209,0)</f>
        <v>9</v>
      </c>
      <c r="U209" s="44" t="s">
        <v>40</v>
      </c>
      <c r="V209" s="44" t="n">
        <f aca="false">F209</f>
        <v>89286</v>
      </c>
      <c r="W209" s="45" t="n">
        <v>35000</v>
      </c>
      <c r="X209" s="45" t="n">
        <v>21030</v>
      </c>
      <c r="Y209" s="45" t="n">
        <f aca="false">(W209+X209)</f>
        <v>56030</v>
      </c>
      <c r="Z209" s="45"/>
      <c r="AA209" s="45" t="n">
        <v>21030</v>
      </c>
      <c r="AB209" s="45" t="n">
        <v>56820</v>
      </c>
      <c r="AC209" s="46" t="s">
        <v>420</v>
      </c>
      <c r="AD209" s="47" t="n">
        <v>34547</v>
      </c>
      <c r="AE209" s="63" t="n">
        <f aca="false">ROUNDUP(DAYS360(AD209,$AE$3)/365,0)</f>
        <v>7</v>
      </c>
      <c r="AL209" s="43" t="n">
        <f aca="false">IF(AC209="N",V209,0)</f>
        <v>0</v>
      </c>
      <c r="AM209" s="43" t="n">
        <f aca="false">IF(AL209&gt;0,1,0)</f>
        <v>0</v>
      </c>
    </row>
    <row r="210" customFormat="false" ht="12.75" hidden="false" customHeight="false" outlineLevel="0" collapsed="false">
      <c r="A210" s="83"/>
      <c r="B210" s="43" t="s">
        <v>351</v>
      </c>
      <c r="F210" s="48" t="n">
        <v>41401</v>
      </c>
      <c r="G210" s="48" t="n">
        <f aca="false">F210/52</f>
        <v>796.173076923077</v>
      </c>
      <c r="H210" s="61" t="n">
        <f aca="false">IF(AC210="N",IF(F210&lt;$G$3,$F$3*G210*AE210,IF(F210&lt;$G$2,$F$2*G210*AE210,$F$1*G210*AE210)),0)</f>
        <v>1592.34615384615</v>
      </c>
      <c r="I210" s="61" t="n">
        <f aca="false">IF(AC210="Y",(IF(F210&lt;$G$3,$F$3*G210*AE210,IF(F210&lt;$G$2,$F$2*G210*AE210,$F$1*G210*AE210))*$L$2),0)</f>
        <v>0</v>
      </c>
      <c r="J210" s="61"/>
      <c r="K210" s="61" t="n">
        <f aca="false">IF(AC210="N",(MIN((($F$3*G210*AE210+ROUNDUP((F210/10000),0)*G210)*2),F210)),0)</f>
        <v>11146.4230769231</v>
      </c>
      <c r="L210" s="61" t="n">
        <f aca="false">IF(AC210="Y",(MIN((($F$3*G210*AE210+ROUNDUP((F210/10000),0)*G210)*2),F210))*$L$2,0)</f>
        <v>0</v>
      </c>
      <c r="M210" s="61" t="n">
        <f aca="false">IF(AC210="N",IF((F210/10000*G210*$M$2)&gt;F210*$M$1,F210*$M$1,(F210/10000*G210*$M$2)),0)</f>
        <v>6592.47231153846</v>
      </c>
      <c r="N210" s="61" t="n">
        <f aca="false">IF(AC210="Y",(IF((F210/10000*G210*$M$2)&gt;F210*$M$1,F210*$M$1,(F210/10000*G210*$M$2)))*$L$2,0)</f>
        <v>0</v>
      </c>
      <c r="O210" s="61" t="n">
        <f aca="false">MAX(IF(F210&lt;$G$3,$F$3*G210*AE210,IF(F210&lt;$G$2,$F$2*G210*AE210,$F$1*G210*AE210)),IF((F210/10000*G210*$M$2)&gt;F210*$M$1,F210*$M$1,(F210/10000*G210*$M$2)))</f>
        <v>6592.47231153846</v>
      </c>
      <c r="P210" s="61" t="n">
        <f aca="false">MIN(IF(F210&lt;$G$3,$F$3*G210*AE210,IF(F210&lt;$G$2,$F$2*G210*AE210,$F$1*G210*AE210)),IF((F210/10000*G210*$M$2)&gt;F210*$M$1,F210*$M$1,(F210/10000*G210*$M$2)))</f>
        <v>1592.34615384615</v>
      </c>
      <c r="Q210" s="61" t="n">
        <f aca="false">MAX(I210,N210)</f>
        <v>0</v>
      </c>
      <c r="R210" s="61" t="n">
        <f aca="false">MIN(I210,N210)</f>
        <v>0</v>
      </c>
      <c r="S210" s="62" t="n">
        <f aca="false">F210/10000</f>
        <v>4.1401</v>
      </c>
      <c r="T210" s="62" t="n">
        <f aca="false">ROUNDUP(S210,0)</f>
        <v>5</v>
      </c>
      <c r="U210" s="44" t="s">
        <v>40</v>
      </c>
      <c r="V210" s="44" t="n">
        <f aca="false">F210</f>
        <v>41401</v>
      </c>
      <c r="Y210" s="45" t="n">
        <f aca="false">(W210+X210)</f>
        <v>0</v>
      </c>
      <c r="Z210" s="45"/>
      <c r="AA210" s="45"/>
      <c r="AB210" s="45"/>
      <c r="AC210" s="46" t="s">
        <v>419</v>
      </c>
      <c r="AD210" s="47" t="n">
        <v>36648</v>
      </c>
      <c r="AE210" s="63" t="n">
        <f aca="false">ROUNDUP(DAYS360(AD210,$AE$3)/365,0)</f>
        <v>2</v>
      </c>
      <c r="AF210" s="62" t="n">
        <f aca="false">(G210*AE210)+(G210*T210)</f>
        <v>5573.21153846154</v>
      </c>
      <c r="AG210" s="62" t="n">
        <f aca="false">26*G210</f>
        <v>20700.5</v>
      </c>
      <c r="AH210" s="62" t="n">
        <f aca="false">G210*52</f>
        <v>41401</v>
      </c>
      <c r="AI210" s="62" t="n">
        <f aca="false">AF210*2</f>
        <v>11146.4230769231</v>
      </c>
      <c r="AJ210" s="62"/>
      <c r="AL210" s="43" t="n">
        <f aca="false">IF(AC210="N",V210,0)</f>
        <v>41401</v>
      </c>
      <c r="AM210" s="43" t="n">
        <f aca="false">IF(AL210&gt;0,1,0)</f>
        <v>1</v>
      </c>
    </row>
    <row r="211" customFormat="false" ht="12.75" hidden="false" customHeight="false" outlineLevel="0" collapsed="false">
      <c r="A211" s="83"/>
      <c r="B211" s="43" t="s">
        <v>134</v>
      </c>
      <c r="F211" s="48" t="n">
        <v>82759</v>
      </c>
      <c r="G211" s="48" t="n">
        <f aca="false">F211/52</f>
        <v>1591.51923076923</v>
      </c>
      <c r="H211" s="61" t="n">
        <f aca="false">IF(AC211="N",IF(F211&lt;$G$3,$F$3*G211*AE211,IF(F211&lt;$G$2,$F$2*G211*AE211,$F$1*G211*AE211)),0)</f>
        <v>0</v>
      </c>
      <c r="I211" s="61" t="n">
        <f aca="false">IF(AC211="Y",(IF(F211&lt;$G$3,$F$3*G211*AE211,IF(F211&lt;$G$2,$F$2*G211*AE211,$F$1*G211*AE211))*$L$2),0)</f>
        <v>47745.5769230769</v>
      </c>
      <c r="J211" s="61"/>
      <c r="K211" s="61" t="n">
        <f aca="false">IF(AC211="N",(MIN((($F$3*G211*AE211+ROUNDUP((F211/10000),0)*G211)*2),F211)),0)</f>
        <v>0</v>
      </c>
      <c r="L211" s="61" t="n">
        <f aca="false">IF(AC211="Y",(MIN((($F$3*G211*AE211+ROUNDUP((F211/10000),0)*G211)*2),F211))*$L$2,0)</f>
        <v>90716.5961538462</v>
      </c>
      <c r="M211" s="61" t="n">
        <f aca="false">IF(AC211="N",IF((F211/10000*G211*$M$2)&gt;F211*$M$1,F211*$M$1,(F211/10000*G211*$M$2)),0)</f>
        <v>0</v>
      </c>
      <c r="N211" s="61" t="n">
        <f aca="false">IF(AC211="Y",(IF((F211/10000*G211*$M$2)&gt;F211*$M$1,F211*$M$1,(F211/10000*G211*$M$2)))*$L$2,0)</f>
        <v>39513.7620057692</v>
      </c>
      <c r="O211" s="61" t="n">
        <f aca="false">MAX(IF(F211&lt;$G$3,$F$3*G211*AE211,IF(F211&lt;$G$2,$F$2*G211*AE211,$F$1*G211*AE211)),IF((F211/10000*G211*$M$2)&gt;F211*$M$1,F211*$M$1,(F211/10000*G211*$M$2)))</f>
        <v>31830.3846153846</v>
      </c>
      <c r="P211" s="61" t="n">
        <f aca="false">MIN(IF(F211&lt;$G$3,$F$3*G211*AE211,IF(F211&lt;$G$2,$F$2*G211*AE211,$F$1*G211*AE211)),IF((F211/10000*G211*$M$2)&gt;F211*$M$1,F211*$M$1,(F211/10000*G211*$M$2)))</f>
        <v>26342.5080038462</v>
      </c>
      <c r="Q211" s="61" t="n">
        <f aca="false">MAX(I211,N211)</f>
        <v>47745.5769230769</v>
      </c>
      <c r="R211" s="61" t="n">
        <f aca="false">MIN(I211,N211)</f>
        <v>39513.7620057692</v>
      </c>
      <c r="S211" s="62" t="n">
        <f aca="false">F211/10000</f>
        <v>8.2759</v>
      </c>
      <c r="T211" s="62" t="n">
        <f aca="false">ROUNDUP(S211,0)</f>
        <v>9</v>
      </c>
      <c r="U211" s="44" t="s">
        <v>40</v>
      </c>
      <c r="V211" s="44" t="n">
        <f aca="false">F211</f>
        <v>82759</v>
      </c>
      <c r="Y211" s="45" t="n">
        <v>15000</v>
      </c>
      <c r="Z211" s="45"/>
      <c r="AA211" s="45"/>
      <c r="AB211" s="45"/>
      <c r="AC211" s="46" t="s">
        <v>420</v>
      </c>
      <c r="AD211" s="47" t="n">
        <v>33451</v>
      </c>
      <c r="AE211" s="63" t="n">
        <f aca="false">ROUNDUP(DAYS360(AD211,$AE$3)/365,0)</f>
        <v>10</v>
      </c>
      <c r="AL211" s="43" t="n">
        <f aca="false">IF(AC211="N",V211,0)</f>
        <v>0</v>
      </c>
      <c r="AM211" s="43" t="n">
        <f aca="false">IF(AL211&gt;0,1,0)</f>
        <v>0</v>
      </c>
    </row>
    <row r="212" customFormat="false" ht="12.75" hidden="false" customHeight="false" outlineLevel="0" collapsed="false">
      <c r="A212" s="83"/>
      <c r="B212" s="43" t="s">
        <v>119</v>
      </c>
      <c r="F212" s="48" t="n">
        <v>101911</v>
      </c>
      <c r="G212" s="48" t="n">
        <f aca="false">F212/52</f>
        <v>1959.82692307692</v>
      </c>
      <c r="H212" s="61" t="n">
        <f aca="false">IF(AC212="N",IF(F212&lt;$G$3,$F$3*G212*AE212,IF(F212&lt;$G$2,$F$2*G212*AE212,$F$1*G212*AE212)),0)</f>
        <v>0</v>
      </c>
      <c r="I212" s="61" t="n">
        <f aca="false">IF(AC212="Y",(IF(F212&lt;$G$3,$F$3*G212*AE212,IF(F212&lt;$G$2,$F$2*G212*AE212,$F$1*G212*AE212))*$L$2),0)</f>
        <v>82312.7307692308</v>
      </c>
      <c r="J212" s="61"/>
      <c r="K212" s="61" t="n">
        <f aca="false">IF(AC212="N",(MIN((($F$3*G212*AE212+ROUNDUP((F212/10000),0)*G212)*2),F212)),0)</f>
        <v>0</v>
      </c>
      <c r="L212" s="61" t="n">
        <f aca="false">IF(AC212="Y",(MIN((($F$3*G212*AE212+ROUNDUP((F212/10000),0)*G212)*2),F212))*$L$2,0)</f>
        <v>105830.653846154</v>
      </c>
      <c r="M212" s="61" t="n">
        <f aca="false">IF(AC212="N",IF((F212/10000*G212*$M$2)&gt;F212*$M$1,F212*$M$1,(F212/10000*G212*$M$2)),0)</f>
        <v>0</v>
      </c>
      <c r="N212" s="61" t="n">
        <f aca="false">IF(AC212="Y",(IF((F212/10000*G212*$M$2)&gt;F212*$M$1,F212*$M$1,(F212/10000*G212*$M$2)))*$L$2,0)</f>
        <v>59918.3764673077</v>
      </c>
      <c r="O212" s="61" t="n">
        <f aca="false">MAX(IF(F212&lt;$G$3,$F$3*G212*AE212,IF(F212&lt;$G$2,$F$2*G212*AE212,$F$1*G212*AE212)),IF((F212/10000*G212*$M$2)&gt;F212*$M$1,F212*$M$1,(F212/10000*G212*$M$2)))</f>
        <v>54875.1538461538</v>
      </c>
      <c r="P212" s="61" t="n">
        <f aca="false">MIN(IF(F212&lt;$G$3,$F$3*G212*AE212,IF(F212&lt;$G$2,$F$2*G212*AE212,$F$1*G212*AE212)),IF((F212/10000*G212*$M$2)&gt;F212*$M$1,F212*$M$1,(F212/10000*G212*$M$2)))</f>
        <v>39945.5843115385</v>
      </c>
      <c r="Q212" s="61" t="n">
        <f aca="false">MAX(I212,N212)</f>
        <v>82312.7307692308</v>
      </c>
      <c r="R212" s="61" t="n">
        <f aca="false">MIN(I212,N212)</f>
        <v>59918.3764673077</v>
      </c>
      <c r="S212" s="62" t="n">
        <f aca="false">F212/10000</f>
        <v>10.1911</v>
      </c>
      <c r="T212" s="62" t="n">
        <f aca="false">ROUNDUP(S212,0)</f>
        <v>11</v>
      </c>
      <c r="U212" s="44" t="s">
        <v>40</v>
      </c>
      <c r="V212" s="44" t="n">
        <f aca="false">F212</f>
        <v>101911</v>
      </c>
      <c r="Y212" s="45" t="n">
        <v>35000</v>
      </c>
      <c r="Z212" s="45"/>
      <c r="AA212" s="45" t="n">
        <v>17525</v>
      </c>
      <c r="AB212" s="45" t="n">
        <v>47350</v>
      </c>
      <c r="AC212" s="92" t="s">
        <v>420</v>
      </c>
      <c r="AD212" s="47" t="n">
        <v>34486</v>
      </c>
      <c r="AE212" s="63" t="n">
        <f aca="false">ROUNDUP(DAYS360(AD212,$AE$3)/365,0)</f>
        <v>7</v>
      </c>
      <c r="AF212" s="92"/>
      <c r="AG212" s="92"/>
      <c r="AH212" s="92"/>
      <c r="AI212" s="92"/>
      <c r="AJ212" s="92"/>
      <c r="AL212" s="43" t="n">
        <f aca="false">IF(AC212="N",V212,0)</f>
        <v>0</v>
      </c>
      <c r="AM212" s="43" t="n">
        <f aca="false">IF(AL212&gt;0,1,0)</f>
        <v>0</v>
      </c>
    </row>
    <row r="213" customFormat="false" ht="12.75" hidden="false" customHeight="false" outlineLevel="0" collapsed="false">
      <c r="A213" s="83"/>
      <c r="B213" s="43" t="s">
        <v>173</v>
      </c>
      <c r="F213" s="48" t="n">
        <v>60690</v>
      </c>
      <c r="G213" s="48" t="n">
        <f aca="false">F213/52</f>
        <v>1167.11538461538</v>
      </c>
      <c r="H213" s="61" t="n">
        <f aca="false">IF(AC213="N",IF(F213&lt;$G$3,$F$3*G213*AE213,IF(F213&lt;$G$2,$F$2*G213*AE213,$F$1*G213*AE213)),0)</f>
        <v>0</v>
      </c>
      <c r="I213" s="61" t="n">
        <f aca="false">IF(AC213="Y",(IF(F213&lt;$G$3,$F$3*G213*AE213,IF(F213&lt;$G$2,$F$2*G213*AE213,$F$1*G213*AE213))*$L$2),0)</f>
        <v>24509.4230769231</v>
      </c>
      <c r="J213" s="61"/>
      <c r="K213" s="61" t="n">
        <f aca="false">IF(AC213="N",(MIN((($F$3*G213*AE213+ROUNDUP((F213/10000),0)*G213)*2),F213)),0)</f>
        <v>0</v>
      </c>
      <c r="L213" s="61" t="n">
        <f aca="false">IF(AC213="Y",(MIN((($F$3*G213*AE213+ROUNDUP((F213/10000),0)*G213)*2),F213))*$L$2,0)</f>
        <v>49018.8461538462</v>
      </c>
      <c r="M213" s="61" t="n">
        <f aca="false">IF(AC213="N",IF((F213/10000*G213*$M$2)&gt;F213*$M$1,F213*$M$1,(F213/10000*G213*$M$2)),0)</f>
        <v>0</v>
      </c>
      <c r="N213" s="61" t="n">
        <f aca="false">IF(AC213="Y",(IF((F213/10000*G213*$M$2)&gt;F213*$M$1,F213*$M$1,(F213/10000*G213*$M$2)))*$L$2,0)</f>
        <v>21249.6698076923</v>
      </c>
      <c r="O213" s="61" t="n">
        <f aca="false">MAX(IF(F213&lt;$G$3,$F$3*G213*AE213,IF(F213&lt;$G$2,$F$2*G213*AE213,$F$1*G213*AE213)),IF((F213/10000*G213*$M$2)&gt;F213*$M$1,F213*$M$1,(F213/10000*G213*$M$2)))</f>
        <v>16339.6153846154</v>
      </c>
      <c r="P213" s="61" t="n">
        <f aca="false">MIN(IF(F213&lt;$G$3,$F$3*G213*AE213,IF(F213&lt;$G$2,$F$2*G213*AE213,$F$1*G213*AE213)),IF((F213/10000*G213*$M$2)&gt;F213*$M$1,F213*$M$1,(F213/10000*G213*$M$2)))</f>
        <v>14166.4465384615</v>
      </c>
      <c r="Q213" s="61" t="n">
        <f aca="false">MAX(I213,N213)</f>
        <v>24509.4230769231</v>
      </c>
      <c r="R213" s="61" t="n">
        <f aca="false">MIN(I213,N213)</f>
        <v>21249.6698076923</v>
      </c>
      <c r="S213" s="62" t="n">
        <f aca="false">F213/10000</f>
        <v>6.069</v>
      </c>
      <c r="T213" s="62" t="n">
        <f aca="false">ROUNDUP(S213,0)</f>
        <v>7</v>
      </c>
      <c r="U213" s="44" t="s">
        <v>40</v>
      </c>
      <c r="V213" s="44" t="n">
        <f aca="false">F213</f>
        <v>60690</v>
      </c>
      <c r="Y213" s="45" t="n">
        <v>15000</v>
      </c>
      <c r="Z213" s="45"/>
      <c r="AA213" s="45"/>
      <c r="AB213" s="45"/>
      <c r="AC213" s="46" t="s">
        <v>420</v>
      </c>
      <c r="AD213" s="47" t="n">
        <v>34610</v>
      </c>
      <c r="AE213" s="63" t="n">
        <f aca="false">ROUNDUP(DAYS360(AD213,$AE$3)/365,0)</f>
        <v>7</v>
      </c>
      <c r="AL213" s="43" t="n">
        <f aca="false">IF(AC213="N",V213,0)</f>
        <v>0</v>
      </c>
      <c r="AM213" s="43" t="n">
        <f aca="false">IF(AL213&gt;0,1,0)</f>
        <v>0</v>
      </c>
    </row>
    <row r="214" customFormat="false" ht="12.75" hidden="false" customHeight="false" outlineLevel="0" collapsed="false">
      <c r="A214" s="83"/>
      <c r="B214" s="43" t="s">
        <v>133</v>
      </c>
      <c r="F214" s="48" t="n">
        <v>82759</v>
      </c>
      <c r="G214" s="48" t="n">
        <f aca="false">F214/52</f>
        <v>1591.51923076923</v>
      </c>
      <c r="H214" s="61" t="n">
        <f aca="false">IF(AC214="N",IF(F214&lt;$G$3,$F$3*G214*AE214,IF(F214&lt;$G$2,$F$2*G214*AE214,$F$1*G214*AE214)),0)</f>
        <v>0</v>
      </c>
      <c r="I214" s="61" t="n">
        <f aca="false">IF(AC214="Y",(IF(F214&lt;$G$3,$F$3*G214*AE214,IF(F214&lt;$G$2,$F$2*G214*AE214,$F$1*G214*AE214))*$L$2),0)</f>
        <v>28647.3461538462</v>
      </c>
      <c r="J214" s="61"/>
      <c r="K214" s="61" t="n">
        <f aca="false">IF(AC214="N",(MIN((($F$3*G214*AE214+ROUNDUP((F214/10000),0)*G214)*2),F214)),0)</f>
        <v>0</v>
      </c>
      <c r="L214" s="61" t="n">
        <f aca="false">IF(AC214="Y",(MIN((($F$3*G214*AE214+ROUNDUP((F214/10000),0)*G214)*2),F214))*$L$2,0)</f>
        <v>71618.3653846154</v>
      </c>
      <c r="M214" s="61" t="n">
        <f aca="false">IF(AC214="N",IF((F214/10000*G214*$M$2)&gt;F214*$M$1,F214*$M$1,(F214/10000*G214*$M$2)),0)</f>
        <v>0</v>
      </c>
      <c r="N214" s="61" t="n">
        <f aca="false">IF(AC214="Y",(IF((F214/10000*G214*$M$2)&gt;F214*$M$1,F214*$M$1,(F214/10000*G214*$M$2)))*$L$2,0)</f>
        <v>39513.7620057692</v>
      </c>
      <c r="O214" s="61" t="n">
        <f aca="false">MAX(IF(F214&lt;$G$3,$F$3*G214*AE214,IF(F214&lt;$G$2,$F$2*G214*AE214,$F$1*G214*AE214)),IF((F214/10000*G214*$M$2)&gt;F214*$M$1,F214*$M$1,(F214/10000*G214*$M$2)))</f>
        <v>26342.5080038462</v>
      </c>
      <c r="P214" s="61" t="n">
        <f aca="false">MIN(IF(F214&lt;$G$3,$F$3*G214*AE214,IF(F214&lt;$G$2,$F$2*G214*AE214,$F$1*G214*AE214)),IF((F214/10000*G214*$M$2)&gt;F214*$M$1,F214*$M$1,(F214/10000*G214*$M$2)))</f>
        <v>19098.2307692308</v>
      </c>
      <c r="Q214" s="61" t="n">
        <f aca="false">MAX(I214,N214)</f>
        <v>39513.7620057692</v>
      </c>
      <c r="R214" s="61" t="n">
        <f aca="false">MIN(I214,N214)</f>
        <v>28647.3461538462</v>
      </c>
      <c r="S214" s="62" t="n">
        <f aca="false">F214/10000</f>
        <v>8.2759</v>
      </c>
      <c r="T214" s="62" t="n">
        <f aca="false">ROUNDUP(S214,0)</f>
        <v>9</v>
      </c>
      <c r="U214" s="44" t="s">
        <v>40</v>
      </c>
      <c r="V214" s="44" t="n">
        <f aca="false">F214</f>
        <v>82759</v>
      </c>
      <c r="W214" s="45" t="n">
        <v>30000</v>
      </c>
      <c r="Y214" s="45" t="n">
        <f aca="false">(W214+X214)</f>
        <v>30000</v>
      </c>
      <c r="Z214" s="45"/>
      <c r="AA214" s="45"/>
      <c r="AB214" s="45" t="n">
        <v>28410</v>
      </c>
      <c r="AC214" s="46" t="s">
        <v>420</v>
      </c>
      <c r="AD214" s="47" t="n">
        <v>34869</v>
      </c>
      <c r="AE214" s="63" t="n">
        <f aca="false">ROUNDUP(DAYS360(AD214,$AE$3)/365,0)</f>
        <v>6</v>
      </c>
      <c r="AL214" s="43" t="n">
        <f aca="false">IF(AC214="N",V214,0)</f>
        <v>0</v>
      </c>
      <c r="AM214" s="43" t="n">
        <f aca="false">IF(AL214&gt;0,1,0)</f>
        <v>0</v>
      </c>
    </row>
    <row r="215" customFormat="false" ht="12.75" hidden="false" customHeight="false" outlineLevel="0" collapsed="false">
      <c r="A215" s="83"/>
      <c r="B215" s="43" t="s">
        <v>337</v>
      </c>
      <c r="F215" s="48" t="n">
        <v>51552</v>
      </c>
      <c r="G215" s="48" t="n">
        <f aca="false">F215/52</f>
        <v>991.384615384615</v>
      </c>
      <c r="H215" s="61" t="n">
        <f aca="false">IF(AC215="N",IF(F215&lt;$G$3,$F$3*G215*AE215,IF(F215&lt;$G$2,$F$2*G215*AE215,$F$1*G215*AE215)),0)</f>
        <v>11896.6153846154</v>
      </c>
      <c r="I215" s="61" t="n">
        <f aca="false">IF(AC215="Y",(IF(F215&lt;$G$3,$F$3*G215*AE215,IF(F215&lt;$G$2,$F$2*G215*AE215,$F$1*G215*AE215))*$L$2),0)</f>
        <v>0</v>
      </c>
      <c r="J215" s="61"/>
      <c r="K215" s="61" t="n">
        <f aca="false">IF(AC215="N",(MIN((($F$3*G215*AE215+ROUNDUP((F215/10000),0)*G215)*2),F215)),0)</f>
        <v>23793.2307692308</v>
      </c>
      <c r="L215" s="61" t="n">
        <f aca="false">IF(AC215="Y",(MIN((($F$3*G215*AE215+ROUNDUP((F215/10000),0)*G215)*2),F215))*$L$2,0)</f>
        <v>0</v>
      </c>
      <c r="M215" s="61" t="n">
        <f aca="false">IF(AC215="N",IF((F215/10000*G215*$M$2)&gt;F215*$M$1,F215*$M$1,(F215/10000*G215*$M$2)),0)</f>
        <v>10221.5719384615</v>
      </c>
      <c r="N215" s="61" t="n">
        <f aca="false">IF(AC215="Y",(IF((F215/10000*G215*$M$2)&gt;F215*$M$1,F215*$M$1,(F215/10000*G215*$M$2)))*$L$2,0)</f>
        <v>0</v>
      </c>
      <c r="O215" s="61" t="n">
        <f aca="false">MAX(IF(F215&lt;$G$3,$F$3*G215*AE215,IF(F215&lt;$G$2,$F$2*G215*AE215,$F$1*G215*AE215)),IF((F215/10000*G215*$M$2)&gt;F215*$M$1,F215*$M$1,(F215/10000*G215*$M$2)))</f>
        <v>11896.6153846154</v>
      </c>
      <c r="P215" s="61" t="n">
        <f aca="false">MIN(IF(F215&lt;$G$3,$F$3*G215*AE215,IF(F215&lt;$G$2,$F$2*G215*AE215,$F$1*G215*AE215)),IF((F215/10000*G215*$M$2)&gt;F215*$M$1,F215*$M$1,(F215/10000*G215*$M$2)))</f>
        <v>10221.5719384615</v>
      </c>
      <c r="Q215" s="61" t="n">
        <f aca="false">MAX(I215,N215)</f>
        <v>0</v>
      </c>
      <c r="R215" s="61" t="n">
        <f aca="false">MIN(I215,N215)</f>
        <v>0</v>
      </c>
      <c r="S215" s="62" t="n">
        <f aca="false">F215/10000</f>
        <v>5.1552</v>
      </c>
      <c r="T215" s="62" t="n">
        <f aca="false">ROUNDUP(S215,0)</f>
        <v>6</v>
      </c>
      <c r="U215" s="44" t="s">
        <v>40</v>
      </c>
      <c r="V215" s="44" t="n">
        <f aca="false">F215</f>
        <v>51552</v>
      </c>
      <c r="W215" s="45" t="n">
        <v>7500</v>
      </c>
      <c r="Y215" s="45" t="n">
        <f aca="false">(W215+X215)</f>
        <v>7500</v>
      </c>
      <c r="Z215" s="45"/>
      <c r="AA215" s="45"/>
      <c r="AB215" s="45"/>
      <c r="AC215" s="46" t="s">
        <v>419</v>
      </c>
      <c r="AD215" s="47" t="n">
        <v>35023</v>
      </c>
      <c r="AE215" s="63" t="n">
        <f aca="false">ROUNDUP(DAYS360(AD215,$AE$3)/365,0)</f>
        <v>6</v>
      </c>
      <c r="AF215" s="62" t="n">
        <f aca="false">(G215*AE215)+(G215*T215)</f>
        <v>11896.6153846154</v>
      </c>
      <c r="AG215" s="62" t="n">
        <f aca="false">26*G215</f>
        <v>25776</v>
      </c>
      <c r="AH215" s="62" t="n">
        <f aca="false">G215*52</f>
        <v>51552</v>
      </c>
      <c r="AI215" s="62" t="n">
        <f aca="false">AF215*2</f>
        <v>23793.2307692308</v>
      </c>
      <c r="AJ215" s="62"/>
      <c r="AL215" s="43" t="n">
        <f aca="false">IF(AC215="N",V215,0)</f>
        <v>51552</v>
      </c>
      <c r="AM215" s="43" t="n">
        <f aca="false">IF(AL215&gt;0,1,0)</f>
        <v>1</v>
      </c>
    </row>
    <row r="216" customFormat="false" ht="12.75" hidden="false" customHeight="false" outlineLevel="0" collapsed="false">
      <c r="A216" s="83"/>
      <c r="B216" s="43" t="s">
        <v>346</v>
      </c>
      <c r="F216" s="48" t="n">
        <v>44828</v>
      </c>
      <c r="G216" s="48" t="n">
        <f aca="false">F216/52</f>
        <v>862.076923076923</v>
      </c>
      <c r="H216" s="61" t="n">
        <f aca="false">IF(AC216="N",IF(F216&lt;$G$3,$F$3*G216*AE216,IF(F216&lt;$G$2,$F$2*G216*AE216,$F$1*G216*AE216)),0)</f>
        <v>5172.46153846154</v>
      </c>
      <c r="I216" s="61" t="n">
        <f aca="false">IF(AC216="Y",(IF(F216&lt;$G$3,$F$3*G216*AE216,IF(F216&lt;$G$2,$F$2*G216*AE216,$F$1*G216*AE216))*$L$2),0)</f>
        <v>0</v>
      </c>
      <c r="J216" s="61"/>
      <c r="K216" s="61" t="n">
        <f aca="false">IF(AC216="N",(MIN((($F$3*G216*AE216+ROUNDUP((F216/10000),0)*G216)*2),F216)),0)</f>
        <v>18965.6923076923</v>
      </c>
      <c r="L216" s="61" t="n">
        <f aca="false">IF(AC216="Y",(MIN((($F$3*G216*AE216+ROUNDUP((F216/10000),0)*G216)*2),F216))*$L$2,0)</f>
        <v>0</v>
      </c>
      <c r="M216" s="61" t="n">
        <f aca="false">IF(AC216="N",IF((F216/10000*G216*$M$2)&gt;F216*$M$1,F216*$M$1,(F216/10000*G216*$M$2)),0)</f>
        <v>7729.03686153846</v>
      </c>
      <c r="N216" s="61" t="n">
        <f aca="false">IF(AC216="Y",(IF((F216/10000*G216*$M$2)&gt;F216*$M$1,F216*$M$1,(F216/10000*G216*$M$2)))*$L$2,0)</f>
        <v>0</v>
      </c>
      <c r="O216" s="61" t="n">
        <f aca="false">MAX(IF(F216&lt;$G$3,$F$3*G216*AE216,IF(F216&lt;$G$2,$F$2*G216*AE216,$F$1*G216*AE216)),IF((F216/10000*G216*$M$2)&gt;F216*$M$1,F216*$M$1,(F216/10000*G216*$M$2)))</f>
        <v>7729.03686153846</v>
      </c>
      <c r="P216" s="61" t="n">
        <f aca="false">MIN(IF(F216&lt;$G$3,$F$3*G216*AE216,IF(F216&lt;$G$2,$F$2*G216*AE216,$F$1*G216*AE216)),IF((F216/10000*G216*$M$2)&gt;F216*$M$1,F216*$M$1,(F216/10000*G216*$M$2)))</f>
        <v>5172.46153846154</v>
      </c>
      <c r="Q216" s="61" t="n">
        <f aca="false">MAX(I216,N216)</f>
        <v>0</v>
      </c>
      <c r="R216" s="61" t="n">
        <f aca="false">MIN(I216,N216)</f>
        <v>0</v>
      </c>
      <c r="S216" s="62" t="n">
        <f aca="false">F216/10000</f>
        <v>4.4828</v>
      </c>
      <c r="T216" s="62" t="n">
        <f aca="false">ROUNDUP(S216,0)</f>
        <v>5</v>
      </c>
      <c r="U216" s="44" t="s">
        <v>40</v>
      </c>
      <c r="V216" s="44" t="n">
        <f aca="false">F216</f>
        <v>44828</v>
      </c>
      <c r="Y216" s="45" t="n">
        <f aca="false">(W216+X216)</f>
        <v>0</v>
      </c>
      <c r="Z216" s="45"/>
      <c r="AA216" s="45"/>
      <c r="AB216" s="45"/>
      <c r="AC216" s="46" t="s">
        <v>419</v>
      </c>
      <c r="AD216" s="47" t="n">
        <v>35093</v>
      </c>
      <c r="AE216" s="63" t="n">
        <f aca="false">ROUNDUP(DAYS360(AD216,$AE$3)/365,0)</f>
        <v>6</v>
      </c>
      <c r="AF216" s="62" t="n">
        <f aca="false">(G216*AE216)+(G216*T216)</f>
        <v>9482.84615384615</v>
      </c>
      <c r="AG216" s="62" t="n">
        <f aca="false">26*G216</f>
        <v>22414</v>
      </c>
      <c r="AH216" s="62" t="n">
        <f aca="false">G216*52</f>
        <v>44828</v>
      </c>
      <c r="AI216" s="62" t="n">
        <f aca="false">AF216*2</f>
        <v>18965.6923076923</v>
      </c>
      <c r="AJ216" s="62"/>
      <c r="AL216" s="43" t="n">
        <f aca="false">IF(AC216="N",V216,0)</f>
        <v>44828</v>
      </c>
      <c r="AM216" s="43" t="n">
        <f aca="false">IF(AL216&gt;0,1,0)</f>
        <v>1</v>
      </c>
    </row>
    <row r="217" customFormat="false" ht="12.75" hidden="false" customHeight="false" outlineLevel="0" collapsed="false">
      <c r="A217" s="83"/>
      <c r="B217" s="43" t="s">
        <v>365</v>
      </c>
      <c r="F217" s="48" t="n">
        <v>32557</v>
      </c>
      <c r="G217" s="48" t="n">
        <f aca="false">F217/52</f>
        <v>626.096153846154</v>
      </c>
      <c r="H217" s="61" t="n">
        <f aca="false">IF(AC217="N",IF(F217&lt;$G$3,$F$3*G217*AE217,IF(F217&lt;$G$2,$F$2*G217*AE217,$F$1*G217*AE217)),0)</f>
        <v>2504.38461538462</v>
      </c>
      <c r="I217" s="61" t="n">
        <f aca="false">IF(AC217="Y",(IF(F217&lt;$G$3,$F$3*G217*AE217,IF(F217&lt;$G$2,$F$2*G217*AE217,$F$1*G217*AE217))*$L$2),0)</f>
        <v>0</v>
      </c>
      <c r="J217" s="61"/>
      <c r="K217" s="61" t="n">
        <f aca="false">IF(AC217="N",(MIN((($F$3*G217*AE217+ROUNDUP((F217/10000),0)*G217)*2),F217)),0)</f>
        <v>10017.5384615385</v>
      </c>
      <c r="L217" s="61" t="n">
        <f aca="false">IF(AC217="Y",(MIN((($F$3*G217*AE217+ROUNDUP((F217/10000),0)*G217)*2),F217))*$L$2,0)</f>
        <v>0</v>
      </c>
      <c r="M217" s="61" t="n">
        <f aca="false">IF(AC217="N",IF((F217/10000*G217*$M$2)&gt;F217*$M$1,F217*$M$1,(F217/10000*G217*$M$2)),0)</f>
        <v>4076.76249615385</v>
      </c>
      <c r="N217" s="61" t="n">
        <f aca="false">IF(AC217="Y",(IF((F217/10000*G217*$M$2)&gt;F217*$M$1,F217*$M$1,(F217/10000*G217*$M$2)))*$L$2,0)</f>
        <v>0</v>
      </c>
      <c r="O217" s="61" t="n">
        <f aca="false">MAX(IF(F217&lt;$G$3,$F$3*G217*AE217,IF(F217&lt;$G$2,$F$2*G217*AE217,$F$1*G217*AE217)),IF((F217/10000*G217*$M$2)&gt;F217*$M$1,F217*$M$1,(F217/10000*G217*$M$2)))</f>
        <v>4076.76249615385</v>
      </c>
      <c r="P217" s="61" t="n">
        <f aca="false">MIN(IF(F217&lt;$G$3,$F$3*G217*AE217,IF(F217&lt;$G$2,$F$2*G217*AE217,$F$1*G217*AE217)),IF((F217/10000*G217*$M$2)&gt;F217*$M$1,F217*$M$1,(F217/10000*G217*$M$2)))</f>
        <v>2504.38461538462</v>
      </c>
      <c r="Q217" s="61" t="n">
        <f aca="false">MAX(I217,N217)</f>
        <v>0</v>
      </c>
      <c r="R217" s="61" t="n">
        <f aca="false">MIN(I217,N217)</f>
        <v>0</v>
      </c>
      <c r="S217" s="62" t="n">
        <f aca="false">F217/10000</f>
        <v>3.2557</v>
      </c>
      <c r="T217" s="62" t="n">
        <f aca="false">ROUNDUP(S217,0)</f>
        <v>4</v>
      </c>
      <c r="U217" s="44" t="s">
        <v>40</v>
      </c>
      <c r="V217" s="44" t="n">
        <f aca="false">F217</f>
        <v>32557</v>
      </c>
      <c r="Y217" s="45" t="n">
        <f aca="false">(W217+X217)</f>
        <v>0</v>
      </c>
      <c r="Z217" s="45"/>
      <c r="AA217" s="45"/>
      <c r="AB217" s="45"/>
      <c r="AC217" s="46" t="s">
        <v>419</v>
      </c>
      <c r="AD217" s="47" t="n">
        <v>35674</v>
      </c>
      <c r="AE217" s="63" t="n">
        <f aca="false">ROUNDUP(DAYS360(AD217,$AE$3)/365,0)</f>
        <v>4</v>
      </c>
      <c r="AF217" s="62" t="n">
        <f aca="false">(G217*AE217)+(G217*T217)</f>
        <v>5008.76923076923</v>
      </c>
      <c r="AG217" s="62" t="n">
        <f aca="false">26*G217</f>
        <v>16278.5</v>
      </c>
      <c r="AH217" s="62" t="n">
        <f aca="false">G217*52</f>
        <v>32557</v>
      </c>
      <c r="AI217" s="62" t="n">
        <f aca="false">AF217*2</f>
        <v>10017.5384615385</v>
      </c>
      <c r="AJ217" s="62"/>
      <c r="AL217" s="43" t="n">
        <f aca="false">IF(AC217="N",V217,0)</f>
        <v>32557</v>
      </c>
      <c r="AM217" s="43" t="n">
        <f aca="false">IF(AL217&gt;0,1,0)</f>
        <v>1</v>
      </c>
    </row>
    <row r="218" customFormat="false" ht="12.75" hidden="false" customHeight="false" outlineLevel="0" collapsed="false">
      <c r="A218" s="83"/>
      <c r="B218" s="43" t="s">
        <v>350</v>
      </c>
      <c r="F218" s="48" t="n">
        <v>41401</v>
      </c>
      <c r="G218" s="48" t="n">
        <f aca="false">F218/52</f>
        <v>796.173076923077</v>
      </c>
      <c r="H218" s="61" t="n">
        <f aca="false">IF(AC218="N",IF(F218&lt;$G$3,$F$3*G218*AE218,IF(F218&lt;$G$2,$F$2*G218*AE218,$F$1*G218*AE218)),0)</f>
        <v>1592.34615384615</v>
      </c>
      <c r="I218" s="61" t="n">
        <f aca="false">IF(AC218="Y",(IF(F218&lt;$G$3,$F$3*G218*AE218,IF(F218&lt;$G$2,$F$2*G218*AE218,$F$1*G218*AE218))*$L$2),0)</f>
        <v>0</v>
      </c>
      <c r="J218" s="61"/>
      <c r="K218" s="61" t="n">
        <f aca="false">IF(AC218="N",(MIN((($F$3*G218*AE218+ROUNDUP((F218/10000),0)*G218)*2),F218)),0)</f>
        <v>11146.4230769231</v>
      </c>
      <c r="L218" s="61" t="n">
        <f aca="false">IF(AC218="Y",(MIN((($F$3*G218*AE218+ROUNDUP((F218/10000),0)*G218)*2),F218))*$L$2,0)</f>
        <v>0</v>
      </c>
      <c r="M218" s="61" t="n">
        <f aca="false">IF(AC218="N",IF((F218/10000*G218*$M$2)&gt;F218*$M$1,F218*$M$1,(F218/10000*G218*$M$2)),0)</f>
        <v>6592.47231153846</v>
      </c>
      <c r="N218" s="61" t="n">
        <f aca="false">IF(AC218="Y",(IF((F218/10000*G218*$M$2)&gt;F218*$M$1,F218*$M$1,(F218/10000*G218*$M$2)))*$L$2,0)</f>
        <v>0</v>
      </c>
      <c r="O218" s="61" t="n">
        <f aca="false">MAX(IF(F218&lt;$G$3,$F$3*G218*AE218,IF(F218&lt;$G$2,$F$2*G218*AE218,$F$1*G218*AE218)),IF((F218/10000*G218*$M$2)&gt;F218*$M$1,F218*$M$1,(F218/10000*G218*$M$2)))</f>
        <v>6592.47231153846</v>
      </c>
      <c r="P218" s="61" t="n">
        <f aca="false">MIN(IF(F218&lt;$G$3,$F$3*G218*AE218,IF(F218&lt;$G$2,$F$2*G218*AE218,$F$1*G218*AE218)),IF((F218/10000*G218*$M$2)&gt;F218*$M$1,F218*$M$1,(F218/10000*G218*$M$2)))</f>
        <v>1592.34615384615</v>
      </c>
      <c r="Q218" s="61" t="n">
        <f aca="false">MAX(I218,N218)</f>
        <v>0</v>
      </c>
      <c r="R218" s="61" t="n">
        <f aca="false">MIN(I218,N218)</f>
        <v>0</v>
      </c>
      <c r="S218" s="62" t="n">
        <f aca="false">F218/10000</f>
        <v>4.1401</v>
      </c>
      <c r="T218" s="62" t="n">
        <f aca="false">ROUNDUP(S218,0)</f>
        <v>5</v>
      </c>
      <c r="U218" s="44" t="s">
        <v>40</v>
      </c>
      <c r="V218" s="44" t="n">
        <f aca="false">F218</f>
        <v>41401</v>
      </c>
      <c r="Y218" s="45" t="n">
        <f aca="false">(W218+X218)</f>
        <v>0</v>
      </c>
      <c r="Z218" s="45"/>
      <c r="AA218" s="45"/>
      <c r="AB218" s="45"/>
      <c r="AC218" s="46" t="s">
        <v>419</v>
      </c>
      <c r="AD218" s="47" t="n">
        <v>36570</v>
      </c>
      <c r="AE218" s="63" t="n">
        <f aca="false">ROUNDUP(DAYS360(AD218,$AE$3)/365,0)</f>
        <v>2</v>
      </c>
      <c r="AF218" s="62" t="n">
        <f aca="false">(G218*AE218)+(G218*T218)</f>
        <v>5573.21153846154</v>
      </c>
      <c r="AG218" s="62" t="n">
        <f aca="false">26*G218</f>
        <v>20700.5</v>
      </c>
      <c r="AH218" s="62" t="n">
        <f aca="false">G218*52</f>
        <v>41401</v>
      </c>
      <c r="AI218" s="62" t="n">
        <f aca="false">AF218*2</f>
        <v>11146.4230769231</v>
      </c>
      <c r="AJ218" s="62"/>
      <c r="AL218" s="43" t="n">
        <f aca="false">IF(AC218="N",V218,0)</f>
        <v>41401</v>
      </c>
      <c r="AM218" s="43" t="n">
        <f aca="false">IF(AL218&gt;0,1,0)</f>
        <v>1</v>
      </c>
    </row>
    <row r="219" customFormat="false" ht="12.75" hidden="false" customHeight="false" outlineLevel="0" collapsed="false">
      <c r="A219" s="83"/>
      <c r="B219" s="43" t="s">
        <v>358</v>
      </c>
      <c r="F219" s="48" t="n">
        <v>37723</v>
      </c>
      <c r="G219" s="48" t="n">
        <f aca="false">F219/52</f>
        <v>725.442307692308</v>
      </c>
      <c r="H219" s="61" t="n">
        <f aca="false">IF(AC219="N",IF(F219&lt;$G$3,$F$3*G219*AE219,IF(F219&lt;$G$2,$F$2*G219*AE219,$F$1*G219*AE219)),0)</f>
        <v>2901.76923076923</v>
      </c>
      <c r="I219" s="61" t="n">
        <f aca="false">IF(AC219="Y",(IF(F219&lt;$G$3,$F$3*G219*AE219,IF(F219&lt;$G$2,$F$2*G219*AE219,$F$1*G219*AE219))*$L$2),0)</f>
        <v>0</v>
      </c>
      <c r="J219" s="61"/>
      <c r="K219" s="61" t="n">
        <f aca="false">IF(AC219="N",(MIN((($F$3*G219*AE219+ROUNDUP((F219/10000),0)*G219)*2),F219)),0)</f>
        <v>11607.0769230769</v>
      </c>
      <c r="L219" s="61" t="n">
        <f aca="false">IF(AC219="Y",(MIN((($F$3*G219*AE219+ROUNDUP((F219/10000),0)*G219)*2),F219))*$L$2,0)</f>
        <v>0</v>
      </c>
      <c r="M219" s="61" t="n">
        <f aca="false">IF(AC219="N",IF((F219/10000*G219*$M$2)&gt;F219*$M$1,F219*$M$1,(F219/10000*G219*$M$2)),0)</f>
        <v>5473.17203461539</v>
      </c>
      <c r="N219" s="61" t="n">
        <f aca="false">IF(AC219="Y",(IF((F219/10000*G219*$M$2)&gt;F219*$M$1,F219*$M$1,(F219/10000*G219*$M$2)))*$L$2,0)</f>
        <v>0</v>
      </c>
      <c r="O219" s="61" t="n">
        <f aca="false">MAX(IF(F219&lt;$G$3,$F$3*G219*AE219,IF(F219&lt;$G$2,$F$2*G219*AE219,$F$1*G219*AE219)),IF((F219/10000*G219*$M$2)&gt;F219*$M$1,F219*$M$1,(F219/10000*G219*$M$2)))</f>
        <v>5473.17203461539</v>
      </c>
      <c r="P219" s="61" t="n">
        <f aca="false">MIN(IF(F219&lt;$G$3,$F$3*G219*AE219,IF(F219&lt;$G$2,$F$2*G219*AE219,$F$1*G219*AE219)),IF((F219/10000*G219*$M$2)&gt;F219*$M$1,F219*$M$1,(F219/10000*G219*$M$2)))</f>
        <v>2901.76923076923</v>
      </c>
      <c r="Q219" s="61" t="n">
        <f aca="false">MAX(I219,N219)</f>
        <v>0</v>
      </c>
      <c r="R219" s="61" t="n">
        <f aca="false">MIN(I219,N219)</f>
        <v>0</v>
      </c>
      <c r="S219" s="62" t="n">
        <f aca="false">F219/10000</f>
        <v>3.7723</v>
      </c>
      <c r="T219" s="62" t="n">
        <f aca="false">ROUNDUP(S219,0)</f>
        <v>4</v>
      </c>
      <c r="U219" s="44" t="s">
        <v>40</v>
      </c>
      <c r="V219" s="44" t="n">
        <f aca="false">F219</f>
        <v>37723</v>
      </c>
      <c r="Y219" s="45" t="n">
        <f aca="false">(W219+X219)</f>
        <v>0</v>
      </c>
      <c r="Z219" s="45"/>
      <c r="AA219" s="45"/>
      <c r="AB219" s="45"/>
      <c r="AC219" s="46" t="s">
        <v>419</v>
      </c>
      <c r="AD219" s="47" t="n">
        <v>35947</v>
      </c>
      <c r="AE219" s="63" t="n">
        <f aca="false">ROUNDUP(DAYS360(AD219,$AE$3)/365,0)</f>
        <v>4</v>
      </c>
      <c r="AF219" s="62" t="n">
        <f aca="false">(G219*AE219)+(G219*T219)</f>
        <v>5803.53846153846</v>
      </c>
      <c r="AG219" s="62" t="n">
        <f aca="false">26*G219</f>
        <v>18861.5</v>
      </c>
      <c r="AH219" s="62" t="n">
        <f aca="false">G219*52</f>
        <v>37723</v>
      </c>
      <c r="AI219" s="62" t="n">
        <f aca="false">AF219*2</f>
        <v>11607.0769230769</v>
      </c>
      <c r="AJ219" s="62"/>
      <c r="AL219" s="43" t="n">
        <f aca="false">IF(AC219="N",V219,0)</f>
        <v>37723</v>
      </c>
      <c r="AM219" s="43" t="n">
        <f aca="false">IF(AL219&gt;0,1,0)</f>
        <v>1</v>
      </c>
    </row>
    <row r="220" customFormat="false" ht="12.75" hidden="false" customHeight="false" outlineLevel="0" collapsed="false">
      <c r="A220" s="83"/>
      <c r="B220" s="43" t="s">
        <v>161</v>
      </c>
      <c r="F220" s="48" t="n">
        <v>68471</v>
      </c>
      <c r="G220" s="48" t="n">
        <f aca="false">F220/52</f>
        <v>1316.75</v>
      </c>
      <c r="H220" s="61" t="n">
        <f aca="false">IF(AC220="N",IF(F220&lt;$G$3,$F$3*G220*AE220,IF(F220&lt;$G$2,$F$2*G220*AE220,$F$1*G220*AE220)),0)</f>
        <v>0</v>
      </c>
      <c r="I220" s="61" t="n">
        <f aca="false">IF(AC220="Y",(IF(F220&lt;$G$3,$F$3*G220*AE220,IF(F220&lt;$G$2,$F$2*G220*AE220,$F$1*G220*AE220))*$L$2),0)</f>
        <v>7900.5</v>
      </c>
      <c r="J220" s="61"/>
      <c r="K220" s="61" t="n">
        <f aca="false">IF(AC220="N",(MIN((($F$3*G220*AE220+ROUNDUP((F220/10000),0)*G220)*2),F220)),0)</f>
        <v>0</v>
      </c>
      <c r="L220" s="61" t="n">
        <f aca="false">IF(AC220="Y",(MIN((($F$3*G220*AE220+ROUNDUP((F220/10000),0)*G220)*2),F220))*$L$2,0)</f>
        <v>35552.25</v>
      </c>
      <c r="M220" s="61" t="n">
        <f aca="false">IF(AC220="N",IF((F220/10000*G220*$M$2)&gt;F220*$M$1,F220*$M$1,(F220/10000*G220*$M$2)),0)</f>
        <v>0</v>
      </c>
      <c r="N220" s="61" t="n">
        <f aca="false">IF(AC220="Y",(IF((F220/10000*G220*$M$2)&gt;F220*$M$1,F220*$M$1,(F220/10000*G220*$M$2)))*$L$2,0)</f>
        <v>27047.756775</v>
      </c>
      <c r="O220" s="61" t="n">
        <f aca="false">MAX(IF(F220&lt;$G$3,$F$3*G220*AE220,IF(F220&lt;$G$2,$F$2*G220*AE220,$F$1*G220*AE220)),IF((F220/10000*G220*$M$2)&gt;F220*$M$1,F220*$M$1,(F220/10000*G220*$M$2)))</f>
        <v>18031.83785</v>
      </c>
      <c r="P220" s="61" t="n">
        <f aca="false">MIN(IF(F220&lt;$G$3,$F$3*G220*AE220,IF(F220&lt;$G$2,$F$2*G220*AE220,$F$1*G220*AE220)),IF((F220/10000*G220*$M$2)&gt;F220*$M$1,F220*$M$1,(F220/10000*G220*$M$2)))</f>
        <v>5267</v>
      </c>
      <c r="Q220" s="61" t="n">
        <f aca="false">MAX(I220,N220)</f>
        <v>27047.756775</v>
      </c>
      <c r="R220" s="61" t="n">
        <f aca="false">MIN(I220,N220)</f>
        <v>7900.5</v>
      </c>
      <c r="S220" s="62" t="n">
        <f aca="false">F220/10000</f>
        <v>6.8471</v>
      </c>
      <c r="T220" s="62" t="n">
        <f aca="false">ROUNDUP(S220,0)</f>
        <v>7</v>
      </c>
      <c r="U220" s="44" t="s">
        <v>40</v>
      </c>
      <c r="V220" s="44" t="n">
        <f aca="false">F220</f>
        <v>68471</v>
      </c>
      <c r="Y220" s="45" t="n">
        <f aca="false">(W220+X220)</f>
        <v>0</v>
      </c>
      <c r="Z220" s="45"/>
      <c r="AA220" s="45"/>
      <c r="AB220" s="45"/>
      <c r="AC220" s="46" t="s">
        <v>420</v>
      </c>
      <c r="AD220" s="47" t="n">
        <v>36526</v>
      </c>
      <c r="AE220" s="63" t="n">
        <f aca="false">ROUNDUP(DAYS360(AD220,$AE$3)/365,0)</f>
        <v>2</v>
      </c>
      <c r="AL220" s="43" t="n">
        <f aca="false">IF(AC220="N",V220,0)</f>
        <v>0</v>
      </c>
      <c r="AM220" s="43" t="n">
        <f aca="false">IF(AL220&gt;0,1,0)</f>
        <v>0</v>
      </c>
    </row>
    <row r="221" customFormat="false" ht="12.75" hidden="false" customHeight="false" outlineLevel="0" collapsed="false">
      <c r="A221" s="83"/>
      <c r="B221" s="76" t="s">
        <v>103</v>
      </c>
      <c r="C221" s="76"/>
      <c r="D221" s="76"/>
      <c r="E221" s="76"/>
      <c r="F221" s="77" t="n">
        <v>155839</v>
      </c>
      <c r="G221" s="77" t="n">
        <f aca="false">F221/52</f>
        <v>2996.90384615385</v>
      </c>
      <c r="H221" s="61" t="n">
        <f aca="false">IF(AC221="N",IF(F221&lt;$G$3,$F$3*G221*AE221,IF(F221&lt;$G$2,$F$2*G221*AE221,$F$1*G221*AE221)),0)</f>
        <v>0</v>
      </c>
      <c r="I221" s="61" t="n">
        <f aca="false">IF(AC221="Y",(IF(F221&lt;$G$3,$F$3*G221*AE221,IF(F221&lt;$G$2,$F$2*G221*AE221,$F$1*G221*AE221))*$L$2),0)</f>
        <v>53944.2692307692</v>
      </c>
      <c r="J221" s="61"/>
      <c r="K221" s="61" t="n">
        <f aca="false">IF(AC221="N",(MIN((($F$3*G221*AE221+ROUNDUP((F221/10000),0)*G221)*2),F221)),0)</f>
        <v>0</v>
      </c>
      <c r="L221" s="61" t="n">
        <f aca="false">IF(AC221="Y",(MIN((($F$3*G221*AE221+ROUNDUP((F221/10000),0)*G221)*2),F221))*$L$2,0)</f>
        <v>170823.519230769</v>
      </c>
      <c r="M221" s="61" t="n">
        <f aca="false">IF(AC221="N",IF((F221/10000*G221*$M$2)&gt;F221*$M$1,F221*$M$1,(F221/10000*G221*$M$2)),0)</f>
        <v>0</v>
      </c>
      <c r="N221" s="61" t="n">
        <f aca="false">IF(AC221="Y",(IF((F221/10000*G221*$M$2)&gt;F221*$M$1,F221*$M$1,(F221/10000*G221*$M$2)))*$L$2,0)</f>
        <v>140110.349544231</v>
      </c>
      <c r="O221" s="61" t="n">
        <f aca="false">MAX(IF(F221&lt;$G$3,$F$3*G221*AE221,IF(F221&lt;$G$2,$F$2*G221*AE221,$F$1*G221*AE221)),IF((F221/10000*G221*$M$2)&gt;F221*$M$1,F221*$M$1,(F221/10000*G221*$M$2)))</f>
        <v>93406.8996961539</v>
      </c>
      <c r="P221" s="61" t="n">
        <f aca="false">MIN(IF(F221&lt;$G$3,$F$3*G221*AE221,IF(F221&lt;$G$2,$F$2*G221*AE221,$F$1*G221*AE221)),IF((F221/10000*G221*$M$2)&gt;F221*$M$1,F221*$M$1,(F221/10000*G221*$M$2)))</f>
        <v>35962.8461538462</v>
      </c>
      <c r="Q221" s="61" t="n">
        <f aca="false">MAX(I221,N221)</f>
        <v>140110.349544231</v>
      </c>
      <c r="R221" s="61" t="n">
        <f aca="false">MIN(I221,N221)</f>
        <v>53944.2692307692</v>
      </c>
      <c r="S221" s="78" t="n">
        <f aca="false">F221/10000</f>
        <v>15.5839</v>
      </c>
      <c r="T221" s="78" t="n">
        <f aca="false">ROUNDUP(S221,0)</f>
        <v>16</v>
      </c>
      <c r="U221" s="79" t="s">
        <v>40</v>
      </c>
      <c r="V221" s="79" t="n">
        <f aca="false">F221</f>
        <v>155839</v>
      </c>
      <c r="W221" s="80" t="n">
        <v>40000</v>
      </c>
      <c r="X221" s="80" t="n">
        <v>17525</v>
      </c>
      <c r="Y221" s="80" t="n">
        <f aca="false">(W221+X221)</f>
        <v>57525</v>
      </c>
      <c r="Z221" s="80"/>
      <c r="AA221" s="80" t="n">
        <v>17525</v>
      </c>
      <c r="AB221" s="80" t="n">
        <v>66290</v>
      </c>
      <c r="AC221" s="81" t="s">
        <v>420</v>
      </c>
      <c r="AD221" s="47" t="n">
        <v>36008</v>
      </c>
      <c r="AE221" s="63" t="n">
        <f aca="false">ROUNDUP(DAYS360(AD221,$AE$3)/365,0)</f>
        <v>3</v>
      </c>
      <c r="AF221" s="81"/>
      <c r="AG221" s="81"/>
      <c r="AH221" s="81"/>
      <c r="AI221" s="81"/>
      <c r="AJ221" s="81"/>
      <c r="AK221" s="76"/>
      <c r="AL221" s="43" t="n">
        <f aca="false">IF(AC221="N",V221,0)</f>
        <v>0</v>
      </c>
      <c r="AM221" s="43" t="n">
        <f aca="false">IF(AL221&gt;0,1,0)</f>
        <v>0</v>
      </c>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6"/>
      <c r="BR221" s="76"/>
      <c r="BS221" s="76"/>
      <c r="BT221" s="76"/>
      <c r="BU221" s="76"/>
      <c r="BV221" s="76"/>
      <c r="BW221" s="76"/>
      <c r="BX221" s="76"/>
      <c r="BY221" s="76"/>
      <c r="BZ221" s="76"/>
      <c r="CA221" s="76"/>
      <c r="CB221" s="76"/>
      <c r="CC221" s="76"/>
      <c r="CD221" s="76"/>
      <c r="CE221" s="76"/>
      <c r="CF221" s="76"/>
      <c r="CG221" s="76"/>
      <c r="CH221" s="76"/>
      <c r="CI221" s="76"/>
      <c r="CJ221" s="76"/>
      <c r="CK221" s="76"/>
      <c r="CL221" s="76"/>
      <c r="CM221" s="76"/>
      <c r="CN221" s="76"/>
      <c r="CO221" s="76"/>
      <c r="CP221" s="76"/>
      <c r="CQ221" s="76"/>
      <c r="CR221" s="76"/>
      <c r="CS221" s="76"/>
      <c r="CT221" s="76"/>
      <c r="CU221" s="76"/>
      <c r="CV221" s="76"/>
      <c r="CW221" s="76"/>
      <c r="CX221" s="76"/>
      <c r="CY221" s="76"/>
      <c r="CZ221" s="76"/>
      <c r="DA221" s="76"/>
      <c r="DB221" s="76"/>
      <c r="DC221" s="76"/>
      <c r="DD221" s="76"/>
      <c r="DE221" s="76"/>
      <c r="DF221" s="76"/>
      <c r="DG221" s="76"/>
      <c r="DH221" s="76"/>
      <c r="DI221" s="76"/>
      <c r="DJ221" s="76"/>
      <c r="DK221" s="76"/>
      <c r="DL221" s="76"/>
      <c r="DM221" s="76"/>
      <c r="DN221" s="76"/>
      <c r="DO221" s="76"/>
      <c r="DP221" s="76"/>
      <c r="DQ221" s="76"/>
      <c r="DR221" s="76"/>
      <c r="DS221" s="76"/>
      <c r="DT221" s="76"/>
      <c r="DU221" s="76"/>
      <c r="DV221" s="76"/>
      <c r="DW221" s="76"/>
      <c r="DX221" s="76"/>
      <c r="DY221" s="76"/>
      <c r="DZ221" s="76"/>
      <c r="EA221" s="76"/>
      <c r="EB221" s="76"/>
      <c r="EC221" s="76"/>
      <c r="ED221" s="76"/>
      <c r="EE221" s="76"/>
      <c r="EF221" s="76"/>
      <c r="EG221" s="76"/>
      <c r="EH221" s="76"/>
      <c r="EI221" s="76"/>
      <c r="EJ221" s="76"/>
      <c r="EK221" s="76"/>
      <c r="EL221" s="76"/>
      <c r="EM221" s="76"/>
      <c r="EN221" s="76"/>
      <c r="EO221" s="76"/>
      <c r="EP221" s="76"/>
      <c r="EQ221" s="76"/>
      <c r="ER221" s="76"/>
      <c r="ES221" s="76"/>
      <c r="ET221" s="76"/>
      <c r="EU221" s="76"/>
      <c r="EV221" s="76"/>
      <c r="EW221" s="76"/>
      <c r="EX221" s="76"/>
      <c r="EY221" s="76"/>
      <c r="EZ221" s="76"/>
      <c r="FA221" s="76"/>
      <c r="FB221" s="76"/>
      <c r="FC221" s="76"/>
      <c r="FD221" s="76"/>
      <c r="FE221" s="76"/>
      <c r="FF221" s="76"/>
      <c r="FG221" s="76"/>
      <c r="FH221" s="76"/>
      <c r="FI221" s="76"/>
      <c r="FJ221" s="76"/>
      <c r="FK221" s="76"/>
      <c r="FL221" s="76"/>
      <c r="FM221" s="76"/>
      <c r="FN221" s="76"/>
      <c r="FO221" s="76"/>
      <c r="FP221" s="76"/>
      <c r="FQ221" s="76"/>
      <c r="FR221" s="76"/>
      <c r="FS221" s="76"/>
      <c r="FT221" s="76"/>
      <c r="FU221" s="76"/>
      <c r="FV221" s="76"/>
      <c r="FW221" s="76"/>
      <c r="FX221" s="76"/>
      <c r="FY221" s="76"/>
      <c r="FZ221" s="76"/>
      <c r="GA221" s="76"/>
      <c r="GB221" s="76"/>
      <c r="GC221" s="76"/>
      <c r="GD221" s="76"/>
      <c r="GE221" s="76"/>
      <c r="GF221" s="76"/>
      <c r="GG221" s="76"/>
      <c r="GH221" s="76"/>
      <c r="GI221" s="76"/>
      <c r="GJ221" s="76"/>
      <c r="GK221" s="76"/>
      <c r="GL221" s="76"/>
      <c r="GM221" s="76"/>
      <c r="GN221" s="76"/>
      <c r="GO221" s="76"/>
      <c r="GP221" s="76"/>
      <c r="GQ221" s="76"/>
      <c r="GR221" s="76"/>
      <c r="GS221" s="76"/>
      <c r="GT221" s="76"/>
      <c r="GU221" s="76"/>
      <c r="GV221" s="76"/>
      <c r="GW221" s="76"/>
      <c r="GX221" s="76"/>
      <c r="GY221" s="76"/>
      <c r="GZ221" s="76"/>
      <c r="HA221" s="76"/>
      <c r="HB221" s="76"/>
      <c r="HC221" s="76"/>
      <c r="HD221" s="76"/>
      <c r="HE221" s="76"/>
      <c r="HF221" s="76"/>
      <c r="HG221" s="76"/>
      <c r="HH221" s="76"/>
      <c r="HI221" s="76"/>
      <c r="HJ221" s="76"/>
      <c r="HK221" s="76"/>
      <c r="HL221" s="76"/>
      <c r="HM221" s="76"/>
      <c r="HN221" s="76"/>
      <c r="HO221" s="76"/>
      <c r="HP221" s="76"/>
      <c r="HQ221" s="76"/>
      <c r="HR221" s="76"/>
      <c r="HS221" s="76"/>
      <c r="HT221" s="76"/>
      <c r="HU221" s="76"/>
      <c r="HV221" s="76"/>
      <c r="HW221" s="76"/>
      <c r="HX221" s="76"/>
      <c r="HY221" s="76"/>
      <c r="HZ221" s="76"/>
      <c r="IA221" s="76"/>
      <c r="IB221" s="76"/>
      <c r="IC221" s="76"/>
      <c r="ID221" s="76"/>
      <c r="IE221" s="76"/>
      <c r="IF221" s="76"/>
      <c r="IG221" s="76"/>
      <c r="IH221" s="76"/>
      <c r="II221" s="76"/>
      <c r="IJ221" s="76"/>
      <c r="IK221" s="76"/>
      <c r="IL221" s="76"/>
      <c r="IM221" s="76"/>
      <c r="IN221" s="76"/>
      <c r="IO221" s="76"/>
      <c r="IP221" s="76"/>
      <c r="IQ221" s="76"/>
      <c r="IR221" s="76"/>
      <c r="IS221" s="76"/>
      <c r="IT221" s="76"/>
      <c r="IU221" s="76"/>
      <c r="IV221" s="76"/>
      <c r="IW221" s="76"/>
    </row>
    <row r="222" customFormat="false" ht="12.75" hidden="false" customHeight="false" outlineLevel="0" collapsed="false">
      <c r="A222" s="83"/>
      <c r="B222" s="43" t="s">
        <v>108</v>
      </c>
      <c r="F222" s="48" t="n">
        <v>137931</v>
      </c>
      <c r="G222" s="48" t="n">
        <f aca="false">F222/52</f>
        <v>2652.51923076923</v>
      </c>
      <c r="H222" s="61" t="n">
        <f aca="false">IF(AC222="N",IF(F222&lt;$G$3,$F$3*G222*AE222,IF(F222&lt;$G$2,$F$2*G222*AE222,$F$1*G222*AE222)),0)</f>
        <v>0</v>
      </c>
      <c r="I222" s="61" t="n">
        <f aca="false">IF(AC222="Y",(IF(F222&lt;$G$3,$F$3*G222*AE222,IF(F222&lt;$G$2,$F$2*G222*AE222,$F$1*G222*AE222))*$L$2),0)</f>
        <v>47745.3461538462</v>
      </c>
      <c r="J222" s="61"/>
      <c r="K222" s="61" t="n">
        <f aca="false">IF(AC222="N",(MIN((($F$3*G222*AE222+ROUNDUP((F222/10000),0)*G222)*2),F222)),0)</f>
        <v>0</v>
      </c>
      <c r="L222" s="61" t="n">
        <f aca="false">IF(AC222="Y",(MIN((($F$3*G222*AE222+ROUNDUP((F222/10000),0)*G222)*2),F222))*$L$2,0)</f>
        <v>135278.480769231</v>
      </c>
      <c r="M222" s="61" t="n">
        <f aca="false">IF(AC222="N",IF((F222/10000*G222*$M$2)&gt;F222*$M$1,F222*$M$1,(F222/10000*G222*$M$2)),0)</f>
        <v>0</v>
      </c>
      <c r="N222" s="61" t="n">
        <f aca="false">IF(AC222="Y",(IF((F222/10000*G222*$M$2)&gt;F222*$M$1,F222*$M$1,(F222/10000*G222*$M$2)))*$L$2,0)</f>
        <v>109759.389005769</v>
      </c>
      <c r="O222" s="61" t="n">
        <f aca="false">MAX(IF(F222&lt;$G$3,$F$3*G222*AE222,IF(F222&lt;$G$2,$F$2*G222*AE222,$F$1*G222*AE222)),IF((F222/10000*G222*$M$2)&gt;F222*$M$1,F222*$M$1,(F222/10000*G222*$M$2)))</f>
        <v>73172.9260038462</v>
      </c>
      <c r="P222" s="61" t="n">
        <f aca="false">MIN(IF(F222&lt;$G$3,$F$3*G222*AE222,IF(F222&lt;$G$2,$F$2*G222*AE222,$F$1*G222*AE222)),IF((F222/10000*G222*$M$2)&gt;F222*$M$1,F222*$M$1,(F222/10000*G222*$M$2)))</f>
        <v>31830.2307692308</v>
      </c>
      <c r="Q222" s="61" t="n">
        <f aca="false">MAX(I222,N222)</f>
        <v>109759.389005769</v>
      </c>
      <c r="R222" s="61" t="n">
        <f aca="false">MIN(I222,N222)</f>
        <v>47745.3461538462</v>
      </c>
      <c r="S222" s="62" t="n">
        <f aca="false">F222/10000</f>
        <v>13.7931</v>
      </c>
      <c r="T222" s="62" t="n">
        <f aca="false">ROUNDUP(S222,0)</f>
        <v>14</v>
      </c>
      <c r="U222" s="44" t="s">
        <v>40</v>
      </c>
      <c r="V222" s="44" t="n">
        <f aca="false">F222</f>
        <v>137931</v>
      </c>
      <c r="Y222" s="45" t="n">
        <v>60000</v>
      </c>
      <c r="Z222" s="45"/>
      <c r="AA222" s="45" t="n">
        <v>42060</v>
      </c>
      <c r="AB222" s="45" t="n">
        <v>113640</v>
      </c>
      <c r="AC222" s="46" t="s">
        <v>420</v>
      </c>
      <c r="AD222" s="47" t="n">
        <v>36100</v>
      </c>
      <c r="AE222" s="63" t="n">
        <f aca="false">ROUNDUP(DAYS360(AD222,$AE$3)/365,0)</f>
        <v>3</v>
      </c>
      <c r="AL222" s="43" t="n">
        <f aca="false">IF(AC222="N",V222,0)</f>
        <v>0</v>
      </c>
      <c r="AM222" s="43" t="n">
        <f aca="false">IF(AL222&gt;0,1,0)</f>
        <v>0</v>
      </c>
    </row>
    <row r="223" customFormat="false" ht="12.75" hidden="false" customHeight="false" outlineLevel="0" collapsed="false">
      <c r="A223" s="83"/>
      <c r="B223" s="43" t="s">
        <v>179</v>
      </c>
      <c r="F223" s="48" t="n">
        <v>56886</v>
      </c>
      <c r="G223" s="48" t="n">
        <f aca="false">F223/52</f>
        <v>1093.96153846154</v>
      </c>
      <c r="H223" s="61" t="n">
        <f aca="false">IF(AC223="N",IF(F223&lt;$G$3,$F$3*G223*AE223,IF(F223&lt;$G$2,$F$2*G223*AE223,$F$1*G223*AE223)),0)</f>
        <v>0</v>
      </c>
      <c r="I223" s="61" t="n">
        <f aca="false">IF(AC223="Y",(IF(F223&lt;$G$3,$F$3*G223*AE223,IF(F223&lt;$G$2,$F$2*G223*AE223,$F$1*G223*AE223))*$L$2),0)</f>
        <v>9845.65384615385</v>
      </c>
      <c r="J223" s="61"/>
      <c r="K223" s="61" t="n">
        <f aca="false">IF(AC223="N",(MIN((($F$3*G223*AE223+ROUNDUP((F223/10000),0)*G223)*2),F223)),0)</f>
        <v>0</v>
      </c>
      <c r="L223" s="61" t="n">
        <f aca="false">IF(AC223="Y",(MIN((($F$3*G223*AE223+ROUNDUP((F223/10000),0)*G223)*2),F223))*$L$2,0)</f>
        <v>29536.9615384615</v>
      </c>
      <c r="M223" s="61" t="n">
        <f aca="false">IF(AC223="N",IF((F223/10000*G223*$M$2)&gt;F223*$M$1,F223*$M$1,(F223/10000*G223*$M$2)),0)</f>
        <v>0</v>
      </c>
      <c r="N223" s="61" t="n">
        <f aca="false">IF(AC223="Y",(IF((F223/10000*G223*$M$2)&gt;F223*$M$1,F223*$M$1,(F223/10000*G223*$M$2)))*$L$2,0)</f>
        <v>18669.3288230769</v>
      </c>
      <c r="O223" s="61" t="n">
        <f aca="false">MAX(IF(F223&lt;$G$3,$F$3*G223*AE223,IF(F223&lt;$G$2,$F$2*G223*AE223,$F$1*G223*AE223)),IF((F223/10000*G223*$M$2)&gt;F223*$M$1,F223*$M$1,(F223/10000*G223*$M$2)))</f>
        <v>12446.2192153846</v>
      </c>
      <c r="P223" s="61" t="n">
        <f aca="false">MIN(IF(F223&lt;$G$3,$F$3*G223*AE223,IF(F223&lt;$G$2,$F$2*G223*AE223,$F$1*G223*AE223)),IF((F223/10000*G223*$M$2)&gt;F223*$M$1,F223*$M$1,(F223/10000*G223*$M$2)))</f>
        <v>6563.76923076923</v>
      </c>
      <c r="Q223" s="61" t="n">
        <f aca="false">MAX(I223,N223)</f>
        <v>18669.3288230769</v>
      </c>
      <c r="R223" s="61" t="n">
        <f aca="false">MIN(I223,N223)</f>
        <v>9845.65384615385</v>
      </c>
      <c r="S223" s="62" t="n">
        <f aca="false">F223/10000</f>
        <v>5.6886</v>
      </c>
      <c r="T223" s="62" t="n">
        <f aca="false">ROUNDUP(S223,0)</f>
        <v>6</v>
      </c>
      <c r="U223" s="44" t="s">
        <v>40</v>
      </c>
      <c r="V223" s="44" t="n">
        <f aca="false">F223</f>
        <v>56886</v>
      </c>
      <c r="Y223" s="45" t="n">
        <v>10000</v>
      </c>
      <c r="Z223" s="45"/>
      <c r="AA223" s="45"/>
      <c r="AB223" s="45"/>
      <c r="AC223" s="46" t="s">
        <v>420</v>
      </c>
      <c r="AD223" s="47" t="n">
        <v>36100</v>
      </c>
      <c r="AE223" s="63" t="n">
        <f aca="false">ROUNDUP(DAYS360(AD223,$AE$3)/365,0)</f>
        <v>3</v>
      </c>
      <c r="AL223" s="43" t="n">
        <f aca="false">IF(AC223="N",V223,0)</f>
        <v>0</v>
      </c>
      <c r="AM223" s="43" t="n">
        <f aca="false">IF(AL223&gt;0,1,0)</f>
        <v>0</v>
      </c>
    </row>
    <row r="224" customFormat="false" ht="12.75" hidden="false" customHeight="false" outlineLevel="0" collapsed="false">
      <c r="A224" s="83"/>
      <c r="B224" s="43" t="s">
        <v>341</v>
      </c>
      <c r="F224" s="48" t="n">
        <v>46885</v>
      </c>
      <c r="G224" s="48" t="n">
        <f aca="false">F224/52</f>
        <v>901.634615384615</v>
      </c>
      <c r="H224" s="61" t="n">
        <f aca="false">IF(AC224="N",IF(F224&lt;$G$3,$F$3*G224*AE224,IF(F224&lt;$G$2,$F$2*G224*AE224,$F$1*G224*AE224)),0)</f>
        <v>1803.26923076923</v>
      </c>
      <c r="I224" s="61" t="n">
        <f aca="false">IF(AC224="Y",(IF(F224&lt;$G$3,$F$3*G224*AE224,IF(F224&lt;$G$2,$F$2*G224*AE224,$F$1*G224*AE224))*$L$2),0)</f>
        <v>0</v>
      </c>
      <c r="J224" s="61"/>
      <c r="K224" s="61" t="n">
        <f aca="false">IF(AC224="N",(MIN((($F$3*G224*AE224+ROUNDUP((F224/10000),0)*G224)*2),F224)),0)</f>
        <v>12622.8846153846</v>
      </c>
      <c r="L224" s="61" t="n">
        <f aca="false">IF(AC224="Y",(MIN((($F$3*G224*AE224+ROUNDUP((F224/10000),0)*G224)*2),F224))*$L$2,0)</f>
        <v>0</v>
      </c>
      <c r="M224" s="61" t="n">
        <f aca="false">IF(AC224="N",IF((F224/10000*G224*$M$2)&gt;F224*$M$1,F224*$M$1,(F224/10000*G224*$M$2)),0)</f>
        <v>8454.62778846154</v>
      </c>
      <c r="N224" s="61" t="n">
        <f aca="false">IF(AC224="Y",(IF((F224/10000*G224*$M$2)&gt;F224*$M$1,F224*$M$1,(F224/10000*G224*$M$2)))*$L$2,0)</f>
        <v>0</v>
      </c>
      <c r="O224" s="61" t="n">
        <f aca="false">MAX(IF(F224&lt;$G$3,$F$3*G224*AE224,IF(F224&lt;$G$2,$F$2*G224*AE224,$F$1*G224*AE224)),IF((F224/10000*G224*$M$2)&gt;F224*$M$1,F224*$M$1,(F224/10000*G224*$M$2)))</f>
        <v>8454.62778846154</v>
      </c>
      <c r="P224" s="61" t="n">
        <f aca="false">MIN(IF(F224&lt;$G$3,$F$3*G224*AE224,IF(F224&lt;$G$2,$F$2*G224*AE224,$F$1*G224*AE224)),IF((F224/10000*G224*$M$2)&gt;F224*$M$1,F224*$M$1,(F224/10000*G224*$M$2)))</f>
        <v>1803.26923076923</v>
      </c>
      <c r="Q224" s="61" t="n">
        <f aca="false">MAX(I224,N224)</f>
        <v>0</v>
      </c>
      <c r="R224" s="61" t="n">
        <f aca="false">MIN(I224,N224)</f>
        <v>0</v>
      </c>
      <c r="S224" s="62" t="n">
        <f aca="false">F224/10000</f>
        <v>4.6885</v>
      </c>
      <c r="T224" s="62" t="n">
        <f aca="false">ROUNDUP(S224,0)</f>
        <v>5</v>
      </c>
      <c r="U224" s="44" t="s">
        <v>40</v>
      </c>
      <c r="V224" s="44" t="n">
        <f aca="false">F224</f>
        <v>46885</v>
      </c>
      <c r="Y224" s="45" t="n">
        <f aca="false">(W224+X224)</f>
        <v>0</v>
      </c>
      <c r="Z224" s="45"/>
      <c r="AA224" s="45"/>
      <c r="AB224" s="45"/>
      <c r="AC224" s="46" t="s">
        <v>419</v>
      </c>
      <c r="AD224" s="47" t="n">
        <v>36647</v>
      </c>
      <c r="AE224" s="63" t="n">
        <f aca="false">ROUNDUP(DAYS360(AD224,$AE$3)/365,0)</f>
        <v>2</v>
      </c>
      <c r="AF224" s="62" t="n">
        <f aca="false">(G224*AE224)+(G224*T224)</f>
        <v>6311.44230769231</v>
      </c>
      <c r="AG224" s="62" t="n">
        <f aca="false">26*G224</f>
        <v>23442.5</v>
      </c>
      <c r="AH224" s="62" t="n">
        <f aca="false">G224*52</f>
        <v>46885</v>
      </c>
      <c r="AI224" s="62" t="n">
        <f aca="false">AF224*2</f>
        <v>12622.8846153846</v>
      </c>
      <c r="AJ224" s="62"/>
      <c r="AL224" s="43" t="n">
        <f aca="false">IF(AC224="N",V224,0)</f>
        <v>46885</v>
      </c>
      <c r="AM224" s="43" t="n">
        <f aca="false">IF(AL224&gt;0,1,0)</f>
        <v>1</v>
      </c>
    </row>
    <row r="225" customFormat="false" ht="12.75" hidden="false" customHeight="false" outlineLevel="0" collapsed="false">
      <c r="A225" s="83"/>
      <c r="B225" s="43" t="s">
        <v>104</v>
      </c>
      <c r="F225" s="48" t="n">
        <v>143312</v>
      </c>
      <c r="G225" s="48" t="n">
        <f aca="false">F225/52</f>
        <v>2756</v>
      </c>
      <c r="H225" s="61" t="n">
        <f aca="false">IF(AC225="N",IF(F225&lt;$G$3,$F$3*G225*AE225,IF(F225&lt;$G$2,$F$2*G225*AE225,$F$1*G225*AE225)),0)</f>
        <v>0</v>
      </c>
      <c r="I225" s="61" t="n">
        <f aca="false">IF(AC225="Y",(IF(F225&lt;$G$3,$F$3*G225*AE225,IF(F225&lt;$G$2,$F$2*G225*AE225,$F$1*G225*AE225))*$L$2),0)</f>
        <v>99216</v>
      </c>
      <c r="J225" s="61"/>
      <c r="K225" s="61" t="n">
        <f aca="false">IF(AC225="N",(MIN((($F$3*G225*AE225+ROUNDUP((F225/10000),0)*G225)*2),F225)),0)</f>
        <v>0</v>
      </c>
      <c r="L225" s="61" t="n">
        <f aca="false">IF(AC225="Y",(MIN((($F$3*G225*AE225+ROUNDUP((F225/10000),0)*G225)*2),F225))*$L$2,0)</f>
        <v>173628</v>
      </c>
      <c r="M225" s="61" t="n">
        <f aca="false">IF(AC225="N",IF((F225/10000*G225*$M$2)&gt;F225*$M$1,F225*$M$1,(F225/10000*G225*$M$2)),0)</f>
        <v>0</v>
      </c>
      <c r="N225" s="61" t="n">
        <f aca="false">IF(AC225="Y",(IF((F225/10000*G225*$M$2)&gt;F225*$M$1,F225*$M$1,(F225/10000*G225*$M$2)))*$L$2,0)</f>
        <v>118490.3616</v>
      </c>
      <c r="O225" s="61" t="n">
        <f aca="false">MAX(IF(F225&lt;$G$3,$F$3*G225*AE225,IF(F225&lt;$G$2,$F$2*G225*AE225,$F$1*G225*AE225)),IF((F225/10000*G225*$M$2)&gt;F225*$M$1,F225*$M$1,(F225/10000*G225*$M$2)))</f>
        <v>78993.5744</v>
      </c>
      <c r="P225" s="61" t="n">
        <f aca="false">MIN(IF(F225&lt;$G$3,$F$3*G225*AE225,IF(F225&lt;$G$2,$F$2*G225*AE225,$F$1*G225*AE225)),IF((F225/10000*G225*$M$2)&gt;F225*$M$1,F225*$M$1,(F225/10000*G225*$M$2)))</f>
        <v>66144</v>
      </c>
      <c r="Q225" s="61" t="n">
        <f aca="false">MAX(I225,N225)</f>
        <v>118490.3616</v>
      </c>
      <c r="R225" s="61" t="n">
        <f aca="false">MIN(I225,N225)</f>
        <v>99216</v>
      </c>
      <c r="S225" s="62" t="n">
        <f aca="false">F225/10000</f>
        <v>14.3312</v>
      </c>
      <c r="T225" s="62" t="n">
        <f aca="false">ROUNDUP(S225,0)</f>
        <v>15</v>
      </c>
      <c r="U225" s="44" t="s">
        <v>40</v>
      </c>
      <c r="V225" s="44" t="n">
        <f aca="false">F225</f>
        <v>143312</v>
      </c>
      <c r="W225" s="45" t="n">
        <v>42500</v>
      </c>
      <c r="X225" s="45" t="n">
        <v>17525</v>
      </c>
      <c r="Y225" s="45" t="n">
        <f aca="false">(W225+X225)</f>
        <v>60025</v>
      </c>
      <c r="Z225" s="45"/>
      <c r="AA225" s="45" t="n">
        <v>17525</v>
      </c>
      <c r="AB225" s="45" t="n">
        <v>56820</v>
      </c>
      <c r="AC225" s="46" t="s">
        <v>420</v>
      </c>
      <c r="AD225" s="47" t="n">
        <v>35073</v>
      </c>
      <c r="AE225" s="63" t="n">
        <f aca="false">ROUNDUP(DAYS360(AD225,$AE$3)/365,0)</f>
        <v>6</v>
      </c>
      <c r="AL225" s="43" t="n">
        <f aca="false">IF(AC225="N",V225,0)</f>
        <v>0</v>
      </c>
      <c r="AM225" s="43" t="n">
        <f aca="false">IF(AL225&gt;0,1,0)</f>
        <v>0</v>
      </c>
    </row>
    <row r="226" customFormat="false" ht="12.75" hidden="false" customHeight="false" outlineLevel="0" collapsed="false">
      <c r="A226" s="83"/>
      <c r="B226" s="43" t="s">
        <v>347</v>
      </c>
      <c r="F226" s="48" t="n">
        <v>42868</v>
      </c>
      <c r="G226" s="48" t="n">
        <f aca="false">F226/52</f>
        <v>824.384615384615</v>
      </c>
      <c r="H226" s="61" t="n">
        <f aca="false">IF(AC226="N",IF(F226&lt;$G$3,$F$3*G226*AE226,IF(F226&lt;$G$2,$F$2*G226*AE226,$F$1*G226*AE226)),0)</f>
        <v>2473.15384615385</v>
      </c>
      <c r="I226" s="61" t="n">
        <f aca="false">IF(AC226="Y",(IF(F226&lt;$G$3,$F$3*G226*AE226,IF(F226&lt;$G$2,$F$2*G226*AE226,$F$1*G226*AE226))*$L$2),0)</f>
        <v>0</v>
      </c>
      <c r="J226" s="61"/>
      <c r="K226" s="61" t="n">
        <f aca="false">IF(AC226="N",(MIN((($F$3*G226*AE226+ROUNDUP((F226/10000),0)*G226)*2),F226)),0)</f>
        <v>13190.1538461538</v>
      </c>
      <c r="L226" s="61" t="n">
        <f aca="false">IF(AC226="Y",(MIN((($F$3*G226*AE226+ROUNDUP((F226/10000),0)*G226)*2),F226))*$L$2,0)</f>
        <v>0</v>
      </c>
      <c r="M226" s="61" t="n">
        <f aca="false">IF(AC226="N",IF((F226/10000*G226*$M$2)&gt;F226*$M$1,F226*$M$1,(F226/10000*G226*$M$2)),0)</f>
        <v>7067.94393846154</v>
      </c>
      <c r="N226" s="61" t="n">
        <f aca="false">IF(AC226="Y",(IF((F226/10000*G226*$M$2)&gt;F226*$M$1,F226*$M$1,(F226/10000*G226*$M$2)))*$L$2,0)</f>
        <v>0</v>
      </c>
      <c r="O226" s="61" t="n">
        <f aca="false">MAX(IF(F226&lt;$G$3,$F$3*G226*AE226,IF(F226&lt;$G$2,$F$2*G226*AE226,$F$1*G226*AE226)),IF((F226/10000*G226*$M$2)&gt;F226*$M$1,F226*$M$1,(F226/10000*G226*$M$2)))</f>
        <v>7067.94393846154</v>
      </c>
      <c r="P226" s="61" t="n">
        <f aca="false">MIN(IF(F226&lt;$G$3,$F$3*G226*AE226,IF(F226&lt;$G$2,$F$2*G226*AE226,$F$1*G226*AE226)),IF((F226/10000*G226*$M$2)&gt;F226*$M$1,F226*$M$1,(F226/10000*G226*$M$2)))</f>
        <v>2473.15384615385</v>
      </c>
      <c r="Q226" s="61" t="n">
        <f aca="false">MAX(I226,N226)</f>
        <v>0</v>
      </c>
      <c r="R226" s="61" t="n">
        <f aca="false">MIN(I226,N226)</f>
        <v>0</v>
      </c>
      <c r="S226" s="62" t="n">
        <f aca="false">F226/10000</f>
        <v>4.2868</v>
      </c>
      <c r="T226" s="62" t="n">
        <f aca="false">ROUNDUP(S226,0)</f>
        <v>5</v>
      </c>
      <c r="U226" s="44" t="s">
        <v>40</v>
      </c>
      <c r="V226" s="44" t="n">
        <f aca="false">F226</f>
        <v>42868</v>
      </c>
      <c r="Y226" s="45" t="n">
        <f aca="false">(W226+X226)</f>
        <v>0</v>
      </c>
      <c r="Z226" s="45"/>
      <c r="AA226" s="45"/>
      <c r="AB226" s="45"/>
      <c r="AC226" s="46" t="s">
        <v>419</v>
      </c>
      <c r="AD226" s="47" t="n">
        <v>36130</v>
      </c>
      <c r="AE226" s="63" t="n">
        <f aca="false">ROUNDUP(DAYS360(AD226,$AE$3)/365,0)</f>
        <v>3</v>
      </c>
      <c r="AF226" s="62" t="n">
        <f aca="false">(G226*AE226)+(G226*T226)</f>
        <v>6595.07692307692</v>
      </c>
      <c r="AG226" s="62" t="n">
        <f aca="false">26*G226</f>
        <v>21434</v>
      </c>
      <c r="AH226" s="62" t="n">
        <f aca="false">G226*52</f>
        <v>42868</v>
      </c>
      <c r="AI226" s="62" t="n">
        <f aca="false">AF226*2</f>
        <v>13190.1538461538</v>
      </c>
      <c r="AJ226" s="62"/>
      <c r="AL226" s="43" t="n">
        <f aca="false">IF(AC226="N",V226,0)</f>
        <v>42868</v>
      </c>
      <c r="AM226" s="43" t="n">
        <f aca="false">IF(AL226&gt;0,1,0)</f>
        <v>1</v>
      </c>
    </row>
    <row r="227" customFormat="false" ht="12.75" hidden="false" customHeight="false" outlineLevel="0" collapsed="false">
      <c r="A227" s="83"/>
      <c r="B227" s="43" t="s">
        <v>324</v>
      </c>
      <c r="F227" s="48" t="n">
        <v>61815</v>
      </c>
      <c r="G227" s="48" t="n">
        <f aca="false">F227/52</f>
        <v>1188.75</v>
      </c>
      <c r="H227" s="61" t="n">
        <f aca="false">IF(AC227="N",IF(F227&lt;$G$3,$F$3*G227*AE227,IF(F227&lt;$G$2,$F$2*G227*AE227,$F$1*G227*AE227)),0)</f>
        <v>7132.5</v>
      </c>
      <c r="I227" s="61" t="n">
        <f aca="false">IF(AC227="Y",(IF(F227&lt;$G$3,$F$3*G227*AE227,IF(F227&lt;$G$2,$F$2*G227*AE227,$F$1*G227*AE227))*$L$2),0)</f>
        <v>0</v>
      </c>
      <c r="J227" s="61"/>
      <c r="K227" s="61" t="n">
        <f aca="false">IF(AC227="N",(MIN((($F$3*G227*AE227+ROUNDUP((F227/10000),0)*G227)*2),F227)),0)</f>
        <v>23775</v>
      </c>
      <c r="L227" s="61" t="n">
        <f aca="false">IF(AC227="Y",(MIN((($F$3*G227*AE227+ROUNDUP((F227/10000),0)*G227)*2),F227))*$L$2,0)</f>
        <v>0</v>
      </c>
      <c r="M227" s="61" t="n">
        <f aca="false">IF(AC227="N",IF((F227/10000*G227*$M$2)&gt;F227*$M$1,F227*$M$1,(F227/10000*G227*$M$2)),0)</f>
        <v>14696.51625</v>
      </c>
      <c r="N227" s="61" t="n">
        <f aca="false">IF(AC227="Y",(IF((F227/10000*G227*$M$2)&gt;F227*$M$1,F227*$M$1,(F227/10000*G227*$M$2)))*$L$2,0)</f>
        <v>0</v>
      </c>
      <c r="O227" s="61" t="n">
        <f aca="false">MAX(IF(F227&lt;$G$3,$F$3*G227*AE227,IF(F227&lt;$G$2,$F$2*G227*AE227,$F$1*G227*AE227)),IF((F227/10000*G227*$M$2)&gt;F227*$M$1,F227*$M$1,(F227/10000*G227*$M$2)))</f>
        <v>14696.51625</v>
      </c>
      <c r="P227" s="61" t="n">
        <f aca="false">MIN(IF(F227&lt;$G$3,$F$3*G227*AE227,IF(F227&lt;$G$2,$F$2*G227*AE227,$F$1*G227*AE227)),IF((F227/10000*G227*$M$2)&gt;F227*$M$1,F227*$M$1,(F227/10000*G227*$M$2)))</f>
        <v>7132.5</v>
      </c>
      <c r="Q227" s="61" t="n">
        <f aca="false">MAX(I227,N227)</f>
        <v>0</v>
      </c>
      <c r="R227" s="61" t="n">
        <f aca="false">MIN(I227,N227)</f>
        <v>0</v>
      </c>
      <c r="S227" s="62" t="n">
        <f aca="false">F227/10000</f>
        <v>6.1815</v>
      </c>
      <c r="T227" s="62" t="n">
        <f aca="false">ROUNDUP(S227,0)</f>
        <v>7</v>
      </c>
      <c r="U227" s="44" t="s">
        <v>40</v>
      </c>
      <c r="V227" s="44" t="n">
        <f aca="false">F227</f>
        <v>61815</v>
      </c>
      <c r="Y227" s="45" t="n">
        <f aca="false">(W227+X227)</f>
        <v>0</v>
      </c>
      <c r="Z227" s="45"/>
      <c r="AA227" s="45"/>
      <c r="AB227" s="45"/>
      <c r="AC227" s="46" t="s">
        <v>419</v>
      </c>
      <c r="AD227" s="47" t="n">
        <v>36251</v>
      </c>
      <c r="AE227" s="63" t="n">
        <f aca="false">ROUNDUP(DAYS360(AD227,$AE$3)/365,0)</f>
        <v>3</v>
      </c>
      <c r="AF227" s="62" t="n">
        <f aca="false">(G227*AE227)+(G227*T227)</f>
        <v>11887.5</v>
      </c>
      <c r="AG227" s="62" t="n">
        <f aca="false">26*G227</f>
        <v>30907.5</v>
      </c>
      <c r="AH227" s="62" t="n">
        <f aca="false">G227*52</f>
        <v>61815</v>
      </c>
      <c r="AI227" s="62" t="n">
        <f aca="false">AF227*2</f>
        <v>23775</v>
      </c>
      <c r="AJ227" s="62"/>
      <c r="AL227" s="43" t="n">
        <f aca="false">IF(AC227="N",V227,0)</f>
        <v>61815</v>
      </c>
      <c r="AM227" s="43" t="n">
        <f aca="false">IF(AL227&gt;0,1,0)</f>
        <v>1</v>
      </c>
    </row>
    <row r="228" customFormat="false" ht="12.75" hidden="false" customHeight="false" outlineLevel="0" collapsed="false">
      <c r="A228" s="93"/>
      <c r="B228" s="76" t="s">
        <v>130</v>
      </c>
      <c r="C228" s="76"/>
      <c r="D228" s="76"/>
      <c r="E228" s="76"/>
      <c r="F228" s="77" t="n">
        <v>85987</v>
      </c>
      <c r="G228" s="77" t="n">
        <f aca="false">F228/52</f>
        <v>1653.59615384615</v>
      </c>
      <c r="H228" s="61" t="n">
        <f aca="false">IF(AC228="N",IF(F228&lt;$G$3,$F$3*G228*AE228,IF(F228&lt;$G$2,$F$2*G228*AE228,$F$1*G228*AE228)),0)</f>
        <v>0</v>
      </c>
      <c r="I228" s="61" t="n">
        <f aca="false">IF(AC228="Y",(IF(F228&lt;$G$3,$F$3*G228*AE228,IF(F228&lt;$G$2,$F$2*G228*AE228,$F$1*G228*AE228))*$L$2),0)</f>
        <v>34725.5192307692</v>
      </c>
      <c r="J228" s="61"/>
      <c r="K228" s="61" t="n">
        <f aca="false">IF(AC228="N",(MIN((($F$3*G228*AE228+ROUNDUP((F228/10000),0)*G228)*2),F228)),0)</f>
        <v>0</v>
      </c>
      <c r="L228" s="61" t="n">
        <f aca="false">IF(AC228="Y",(MIN((($F$3*G228*AE228+ROUNDUP((F228/10000),0)*G228)*2),F228))*$L$2,0)</f>
        <v>79372.6153846154</v>
      </c>
      <c r="M228" s="61" t="n">
        <f aca="false">IF(AC228="N",IF((F228/10000*G228*$M$2)&gt;F228*$M$1,F228*$M$1,(F228/10000*G228*$M$2)),0)</f>
        <v>0</v>
      </c>
      <c r="N228" s="61" t="n">
        <f aca="false">IF(AC228="Y",(IF((F228/10000*G228*$M$2)&gt;F228*$M$1,F228*$M$1,(F228/10000*G228*$M$2)))*$L$2,0)</f>
        <v>42656.3317442308</v>
      </c>
      <c r="O228" s="61" t="n">
        <f aca="false">MAX(IF(F228&lt;$G$3,$F$3*G228*AE228,IF(F228&lt;$G$2,$F$2*G228*AE228,$F$1*G228*AE228)),IF((F228/10000*G228*$M$2)&gt;F228*$M$1,F228*$M$1,(F228/10000*G228*$M$2)))</f>
        <v>28437.5544961538</v>
      </c>
      <c r="P228" s="61" t="n">
        <f aca="false">MIN(IF(F228&lt;$G$3,$F$3*G228*AE228,IF(F228&lt;$G$2,$F$2*G228*AE228,$F$1*G228*AE228)),IF((F228/10000*G228*$M$2)&gt;F228*$M$1,F228*$M$1,(F228/10000*G228*$M$2)))</f>
        <v>23150.3461538462</v>
      </c>
      <c r="Q228" s="61" t="n">
        <f aca="false">MAX(I228,N228)</f>
        <v>42656.3317442308</v>
      </c>
      <c r="R228" s="61" t="n">
        <f aca="false">MIN(I228,N228)</f>
        <v>34725.5192307692</v>
      </c>
      <c r="S228" s="78" t="n">
        <f aca="false">F228/10000</f>
        <v>8.5987</v>
      </c>
      <c r="T228" s="78" t="n">
        <f aca="false">ROUNDUP(S228,0)</f>
        <v>9</v>
      </c>
      <c r="U228" s="79" t="s">
        <v>40</v>
      </c>
      <c r="V228" s="79" t="n">
        <f aca="false">F228</f>
        <v>85987</v>
      </c>
      <c r="W228" s="80" t="n">
        <v>65000</v>
      </c>
      <c r="X228" s="80"/>
      <c r="Y228" s="80" t="n">
        <f aca="false">(W228+X228)</f>
        <v>65000</v>
      </c>
      <c r="Z228" s="80"/>
      <c r="AA228" s="80"/>
      <c r="AB228" s="80" t="n">
        <v>37880</v>
      </c>
      <c r="AC228" s="81" t="s">
        <v>420</v>
      </c>
      <c r="AD228" s="47" t="n">
        <v>34547</v>
      </c>
      <c r="AE228" s="63" t="n">
        <f aca="false">ROUNDUP(DAYS360(AD228,$AE$3)/365,0)</f>
        <v>7</v>
      </c>
      <c r="AF228" s="81"/>
      <c r="AG228" s="81"/>
      <c r="AH228" s="81"/>
      <c r="AI228" s="81"/>
      <c r="AJ228" s="81"/>
      <c r="AK228" s="76"/>
      <c r="AL228" s="43" t="n">
        <f aca="false">IF(AC228="N",V228,0)</f>
        <v>0</v>
      </c>
      <c r="AM228" s="43" t="n">
        <f aca="false">IF(AL228&gt;0,1,0)</f>
        <v>0</v>
      </c>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6"/>
      <c r="BR228" s="76"/>
      <c r="BS228" s="76"/>
      <c r="BT228" s="76"/>
      <c r="BU228" s="76"/>
      <c r="BV228" s="76"/>
      <c r="BW228" s="76"/>
      <c r="BX228" s="76"/>
      <c r="BY228" s="76"/>
      <c r="BZ228" s="76"/>
      <c r="CA228" s="76"/>
      <c r="CB228" s="76"/>
      <c r="CC228" s="76"/>
      <c r="CD228" s="76"/>
      <c r="CE228" s="76"/>
      <c r="CF228" s="76"/>
      <c r="CG228" s="76"/>
      <c r="CH228" s="76"/>
      <c r="CI228" s="76"/>
      <c r="CJ228" s="76"/>
      <c r="CK228" s="76"/>
      <c r="CL228" s="76"/>
      <c r="CM228" s="76"/>
      <c r="CN228" s="76"/>
      <c r="CO228" s="76"/>
      <c r="CP228" s="76"/>
      <c r="CQ228" s="76"/>
      <c r="CR228" s="76"/>
      <c r="CS228" s="76"/>
      <c r="CT228" s="76"/>
      <c r="CU228" s="76"/>
      <c r="CV228" s="76"/>
      <c r="CW228" s="76"/>
      <c r="CX228" s="76"/>
      <c r="CY228" s="76"/>
      <c r="CZ228" s="76"/>
      <c r="DA228" s="76"/>
      <c r="DB228" s="76"/>
      <c r="DC228" s="76"/>
      <c r="DD228" s="76"/>
      <c r="DE228" s="76"/>
      <c r="DF228" s="76"/>
      <c r="DG228" s="76"/>
      <c r="DH228" s="76"/>
      <c r="DI228" s="76"/>
      <c r="DJ228" s="76"/>
      <c r="DK228" s="76"/>
      <c r="DL228" s="76"/>
      <c r="DM228" s="76"/>
      <c r="DN228" s="76"/>
      <c r="DO228" s="76"/>
      <c r="DP228" s="76"/>
      <c r="DQ228" s="76"/>
      <c r="DR228" s="76"/>
      <c r="DS228" s="76"/>
      <c r="DT228" s="76"/>
      <c r="DU228" s="76"/>
      <c r="DV228" s="76"/>
      <c r="DW228" s="76"/>
      <c r="DX228" s="76"/>
      <c r="DY228" s="76"/>
      <c r="DZ228" s="76"/>
      <c r="EA228" s="76"/>
      <c r="EB228" s="76"/>
      <c r="EC228" s="76"/>
      <c r="ED228" s="76"/>
      <c r="EE228" s="76"/>
      <c r="EF228" s="76"/>
      <c r="EG228" s="76"/>
      <c r="EH228" s="76"/>
      <c r="EI228" s="76"/>
      <c r="EJ228" s="76"/>
      <c r="EK228" s="76"/>
      <c r="EL228" s="76"/>
      <c r="EM228" s="76"/>
      <c r="EN228" s="76"/>
      <c r="EO228" s="76"/>
      <c r="EP228" s="76"/>
      <c r="EQ228" s="76"/>
      <c r="ER228" s="76"/>
      <c r="ES228" s="76"/>
      <c r="ET228" s="76"/>
      <c r="EU228" s="76"/>
      <c r="EV228" s="76"/>
      <c r="EW228" s="76"/>
      <c r="EX228" s="76"/>
      <c r="EY228" s="76"/>
      <c r="EZ228" s="76"/>
      <c r="FA228" s="76"/>
      <c r="FB228" s="76"/>
      <c r="FC228" s="76"/>
      <c r="FD228" s="76"/>
      <c r="FE228" s="76"/>
      <c r="FF228" s="76"/>
      <c r="FG228" s="76"/>
      <c r="FH228" s="76"/>
      <c r="FI228" s="76"/>
      <c r="FJ228" s="76"/>
      <c r="FK228" s="76"/>
      <c r="FL228" s="76"/>
      <c r="FM228" s="76"/>
      <c r="FN228" s="76"/>
      <c r="FO228" s="76"/>
      <c r="FP228" s="76"/>
      <c r="FQ228" s="76"/>
      <c r="FR228" s="76"/>
      <c r="FS228" s="76"/>
      <c r="FT228" s="76"/>
      <c r="FU228" s="76"/>
      <c r="FV228" s="76"/>
      <c r="FW228" s="76"/>
      <c r="FX228" s="76"/>
      <c r="FY228" s="76"/>
      <c r="FZ228" s="76"/>
      <c r="GA228" s="76"/>
      <c r="GB228" s="76"/>
      <c r="GC228" s="76"/>
      <c r="GD228" s="76"/>
      <c r="GE228" s="76"/>
      <c r="GF228" s="76"/>
      <c r="GG228" s="76"/>
      <c r="GH228" s="76"/>
      <c r="GI228" s="76"/>
      <c r="GJ228" s="76"/>
      <c r="GK228" s="76"/>
      <c r="GL228" s="76"/>
      <c r="GM228" s="76"/>
      <c r="GN228" s="76"/>
      <c r="GO228" s="76"/>
      <c r="GP228" s="76"/>
      <c r="GQ228" s="76"/>
      <c r="GR228" s="76"/>
      <c r="GS228" s="76"/>
      <c r="GT228" s="76"/>
      <c r="GU228" s="76"/>
      <c r="GV228" s="76"/>
      <c r="GW228" s="76"/>
      <c r="GX228" s="76"/>
      <c r="GY228" s="76"/>
      <c r="GZ228" s="76"/>
      <c r="HA228" s="76"/>
      <c r="HB228" s="76"/>
      <c r="HC228" s="76"/>
      <c r="HD228" s="76"/>
      <c r="HE228" s="76"/>
      <c r="HF228" s="76"/>
      <c r="HG228" s="76"/>
      <c r="HH228" s="76"/>
      <c r="HI228" s="76"/>
      <c r="HJ228" s="76"/>
      <c r="HK228" s="76"/>
      <c r="HL228" s="76"/>
      <c r="HM228" s="76"/>
      <c r="HN228" s="76"/>
      <c r="HO228" s="76"/>
      <c r="HP228" s="76"/>
      <c r="HQ228" s="76"/>
      <c r="HR228" s="76"/>
      <c r="HS228" s="76"/>
      <c r="HT228" s="76"/>
      <c r="HU228" s="76"/>
      <c r="HV228" s="76"/>
      <c r="HW228" s="76"/>
      <c r="HX228" s="76"/>
      <c r="HY228" s="76"/>
      <c r="HZ228" s="76"/>
      <c r="IA228" s="76"/>
      <c r="IB228" s="76"/>
      <c r="IC228" s="76"/>
      <c r="ID228" s="76"/>
      <c r="IE228" s="76"/>
      <c r="IF228" s="76"/>
      <c r="IG228" s="76"/>
      <c r="IH228" s="76"/>
      <c r="II228" s="76"/>
      <c r="IJ228" s="76"/>
      <c r="IK228" s="76"/>
      <c r="IL228" s="76"/>
      <c r="IM228" s="76"/>
      <c r="IN228" s="76"/>
      <c r="IO228" s="76"/>
      <c r="IP228" s="76"/>
      <c r="IQ228" s="76"/>
      <c r="IR228" s="76"/>
      <c r="IS228" s="76"/>
      <c r="IT228" s="76"/>
      <c r="IU228" s="76"/>
      <c r="IV228" s="76"/>
      <c r="IW228" s="76"/>
    </row>
    <row r="229" customFormat="false" ht="12.75" hidden="false" customHeight="false" outlineLevel="0" collapsed="false">
      <c r="B229" s="43" t="s">
        <v>228</v>
      </c>
      <c r="F229" s="48" t="n">
        <v>41786</v>
      </c>
      <c r="G229" s="48" t="n">
        <f aca="false">F229/52</f>
        <v>803.576923076923</v>
      </c>
      <c r="H229" s="61" t="n">
        <f aca="false">IF(AC229="N",IF(F229&lt;$G$3,$F$3*G229*AE229,IF(F229&lt;$G$2,$F$2*G229*AE229,$F$1*G229*AE229)),0)</f>
        <v>0</v>
      </c>
      <c r="I229" s="61" t="n">
        <f aca="false">IF(AC229="Y",(IF(F229&lt;$G$3,$F$3*G229*AE229,IF(F229&lt;$G$2,$F$2*G229*AE229,$F$1*G229*AE229))*$L$2),0)</f>
        <v>4821.46153846154</v>
      </c>
      <c r="J229" s="61"/>
      <c r="K229" s="61" t="n">
        <f aca="false">IF(AC229="N",(MIN((($F$3*G229*AE229+ROUNDUP((F229/10000),0)*G229)*2),F229)),0)</f>
        <v>0</v>
      </c>
      <c r="L229" s="61" t="n">
        <f aca="false">IF(AC229="Y",(MIN((($F$3*G229*AE229+ROUNDUP((F229/10000),0)*G229)*2),F229))*$L$2,0)</f>
        <v>21696.5769230769</v>
      </c>
      <c r="M229" s="61" t="n">
        <f aca="false">IF(AC229="N",IF((F229/10000*G229*$M$2)&gt;F229*$M$1,F229*$M$1,(F229/10000*G229*$M$2)),0)</f>
        <v>0</v>
      </c>
      <c r="N229" s="61" t="n">
        <f aca="false">IF(AC229="Y",(IF((F229/10000*G229*$M$2)&gt;F229*$M$1,F229*$M$1,(F229/10000*G229*$M$2)))*$L$2,0)</f>
        <v>10073.4795923077</v>
      </c>
      <c r="O229" s="61" t="n">
        <f aca="false">MAX(IF(F229&lt;$G$3,$F$3*G229*AE229,IF(F229&lt;$G$2,$F$2*G229*AE229,$F$1*G229*AE229)),IF((F229/10000*G229*$M$2)&gt;F229*$M$1,F229*$M$1,(F229/10000*G229*$M$2)))</f>
        <v>6715.65306153846</v>
      </c>
      <c r="P229" s="61" t="n">
        <f aca="false">MIN(IF(F229&lt;$G$3,$F$3*G229*AE229,IF(F229&lt;$G$2,$F$2*G229*AE229,$F$1*G229*AE229)),IF((F229/10000*G229*$M$2)&gt;F229*$M$1,F229*$M$1,(F229/10000*G229*$M$2)))</f>
        <v>3214.30769230769</v>
      </c>
      <c r="Q229" s="61" t="n">
        <f aca="false">MAX(I229,N229)</f>
        <v>10073.4795923077</v>
      </c>
      <c r="R229" s="61" t="n">
        <f aca="false">MIN(I229,N229)</f>
        <v>4821.46153846154</v>
      </c>
      <c r="S229" s="62" t="n">
        <f aca="false">F229/10000</f>
        <v>4.1786</v>
      </c>
      <c r="T229" s="62" t="n">
        <f aca="false">ROUNDUP(S229,0)</f>
        <v>5</v>
      </c>
      <c r="U229" s="44" t="s">
        <v>40</v>
      </c>
      <c r="V229" s="44" t="n">
        <f aca="false">F229</f>
        <v>41786</v>
      </c>
      <c r="W229" s="45" t="n">
        <v>18000</v>
      </c>
      <c r="Y229" s="45" t="n">
        <f aca="false">(W229+X229)</f>
        <v>18000</v>
      </c>
      <c r="Z229" s="45"/>
      <c r="AA229" s="45"/>
      <c r="AB229" s="45"/>
      <c r="AC229" s="46" t="s">
        <v>420</v>
      </c>
      <c r="AD229" s="47" t="n">
        <v>35657</v>
      </c>
      <c r="AE229" s="63" t="n">
        <f aca="false">ROUNDUP(DAYS360(AD229,$AE$3)/365,0)</f>
        <v>4</v>
      </c>
      <c r="AL229" s="43" t="n">
        <f aca="false">IF(AC229="N",V229,0)</f>
        <v>0</v>
      </c>
      <c r="AM229" s="43" t="n">
        <f aca="false">IF(AL229&gt;0,1,0)</f>
        <v>0</v>
      </c>
    </row>
    <row r="230" customFormat="false" ht="12.75" hidden="false" customHeight="false" outlineLevel="0" collapsed="false">
      <c r="G230" s="48"/>
      <c r="H230" s="61"/>
      <c r="I230" s="61"/>
      <c r="J230" s="61"/>
      <c r="K230" s="61"/>
      <c r="L230" s="61"/>
      <c r="M230" s="61"/>
      <c r="N230" s="61"/>
      <c r="O230" s="61"/>
      <c r="P230" s="61"/>
      <c r="Q230" s="61"/>
      <c r="R230" s="61"/>
      <c r="S230" s="48"/>
      <c r="T230" s="48"/>
      <c r="Z230" s="45"/>
      <c r="AA230" s="45"/>
      <c r="AB230" s="45"/>
      <c r="AE230" s="63"/>
      <c r="AL230" s="43" t="n">
        <f aca="false">IF(AC230="N",V230,0)</f>
        <v>0</v>
      </c>
      <c r="AM230" s="43" t="n">
        <f aca="false">IF(AL230&gt;0,1,0)</f>
        <v>0</v>
      </c>
    </row>
    <row r="231" customFormat="false" ht="12.75" hidden="false" customHeight="false" outlineLevel="0" collapsed="false">
      <c r="B231" s="94"/>
      <c r="H231" s="61"/>
      <c r="I231" s="61"/>
      <c r="J231" s="61"/>
      <c r="K231" s="61"/>
      <c r="L231" s="61"/>
      <c r="M231" s="61"/>
      <c r="N231" s="61"/>
      <c r="O231" s="61"/>
      <c r="P231" s="61"/>
      <c r="Q231" s="61"/>
      <c r="R231" s="61"/>
      <c r="Z231" s="45"/>
      <c r="AA231" s="45"/>
      <c r="AB231" s="45"/>
      <c r="AE231" s="63"/>
      <c r="AL231" s="43" t="n">
        <f aca="false">IF(AC231="N",V231,0)</f>
        <v>0</v>
      </c>
      <c r="AM231" s="43" t="n">
        <f aca="false">IF(AL231&gt;0,1,0)</f>
        <v>0</v>
      </c>
    </row>
    <row r="232" customFormat="false" ht="37.5" hidden="false" customHeight="false" outlineLevel="0" collapsed="false">
      <c r="A232" s="83" t="s">
        <v>169</v>
      </c>
      <c r="B232" s="94" t="s">
        <v>170</v>
      </c>
      <c r="F232" s="48" t="n">
        <v>64400</v>
      </c>
      <c r="G232" s="48" t="n">
        <f aca="false">F232/52</f>
        <v>1238.46153846154</v>
      </c>
      <c r="H232" s="61" t="n">
        <f aca="false">IF(AC232="N",IF(F232&lt;$G$3,$F$3*G232*AE232,IF(F232&lt;$G$2,$F$2*G232*AE232,$F$1*G232*AE232)),0)</f>
        <v>0</v>
      </c>
      <c r="I232" s="61" t="n">
        <f aca="false">IF(AC232="Y",(IF(F232&lt;$G$3,$F$3*G232*AE232,IF(F232&lt;$G$2,$F$2*G232*AE232,$F$1*G232*AE232))*$L$2),0)</f>
        <v>37153.8461538462</v>
      </c>
      <c r="J232" s="61"/>
      <c r="K232" s="61" t="n">
        <f aca="false">IF(AC232="N",(MIN((($F$3*G232*AE232+ROUNDUP((F232/10000),0)*G232)*2),F232)),0)</f>
        <v>0</v>
      </c>
      <c r="L232" s="61" t="n">
        <f aca="false">IF(AC232="Y",(MIN((($F$3*G232*AE232+ROUNDUP((F232/10000),0)*G232)*2),F232))*$L$2,0)</f>
        <v>63161.5384615385</v>
      </c>
      <c r="M232" s="61" t="n">
        <f aca="false">IF(AC232="N",IF((F232/10000*G232*$M$2)&gt;F232*$M$1,F232*$M$1,(F232/10000*G232*$M$2)),0)</f>
        <v>0</v>
      </c>
      <c r="N232" s="61" t="n">
        <f aca="false">IF(AC232="Y",(IF((F232/10000*G232*$M$2)&gt;F232*$M$1,F232*$M$1,(F232/10000*G232*$M$2)))*$L$2,0)</f>
        <v>23927.0769230769</v>
      </c>
      <c r="O232" s="61" t="n">
        <f aca="false">MAX(IF(F232&lt;$G$3,$F$3*G232*AE232,IF(F232&lt;$G$2,$F$2*G232*AE232,$F$1*G232*AE232)),IF((F232/10000*G232*$M$2)&gt;F232*$M$1,F232*$M$1,(F232/10000*G232*$M$2)))</f>
        <v>24769.2307692308</v>
      </c>
      <c r="P232" s="61" t="n">
        <f aca="false">MIN(IF(F232&lt;$G$3,$F$3*G232*AE232,IF(F232&lt;$G$2,$F$2*G232*AE232,$F$1*G232*AE232)),IF((F232/10000*G232*$M$2)&gt;F232*$M$1,F232*$M$1,(F232/10000*G232*$M$2)))</f>
        <v>15951.3846153846</v>
      </c>
      <c r="Q232" s="61" t="n">
        <f aca="false">MAX(I232,N232)</f>
        <v>37153.8461538462</v>
      </c>
      <c r="R232" s="61" t="n">
        <f aca="false">MIN(I232,N232)</f>
        <v>23927.0769230769</v>
      </c>
      <c r="S232" s="62" t="n">
        <f aca="false">F232/10000</f>
        <v>6.44</v>
      </c>
      <c r="T232" s="62" t="n">
        <f aca="false">ROUNDUP(S232,0)</f>
        <v>7</v>
      </c>
      <c r="U232" s="44" t="s">
        <v>40</v>
      </c>
      <c r="V232" s="44" t="n">
        <f aca="false">F232</f>
        <v>64400</v>
      </c>
      <c r="W232" s="45" t="n">
        <v>45000</v>
      </c>
      <c r="Y232" s="45" t="n">
        <f aca="false">(W232+X232)</f>
        <v>45000</v>
      </c>
      <c r="Z232" s="45"/>
      <c r="AA232" s="45"/>
      <c r="AB232" s="45"/>
      <c r="AC232" s="46" t="s">
        <v>420</v>
      </c>
      <c r="AD232" s="47" t="n">
        <v>33695</v>
      </c>
      <c r="AE232" s="63" t="n">
        <f aca="false">ROUNDUP(DAYS360(AD232,$AE$3)/365,0)</f>
        <v>10</v>
      </c>
      <c r="AL232" s="43" t="n">
        <f aca="false">IF(AC232="N",V232,0)</f>
        <v>0</v>
      </c>
      <c r="AM232" s="43" t="n">
        <f aca="false">IF(AL232&gt;0,1,0)</f>
        <v>0</v>
      </c>
    </row>
    <row r="233" customFormat="false" ht="12.75" hidden="false" customHeight="false" outlineLevel="0" collapsed="false">
      <c r="A233" s="83"/>
      <c r="B233" s="94" t="s">
        <v>201</v>
      </c>
      <c r="F233" s="48" t="n">
        <v>49800</v>
      </c>
      <c r="G233" s="48" t="n">
        <f aca="false">F233/52</f>
        <v>957.692307692308</v>
      </c>
      <c r="H233" s="61" t="n">
        <f aca="false">IF(AC233="N",IF(F233&lt;$G$3,$F$3*G233*AE233,IF(F233&lt;$G$2,$F$2*G233*AE233,$F$1*G233*AE233)),0)</f>
        <v>0</v>
      </c>
      <c r="I233" s="61" t="n">
        <f aca="false">IF(AC233="Y",(IF(F233&lt;$G$3,$F$3*G233*AE233,IF(F233&lt;$G$2,$F$2*G233*AE233,$F$1*G233*AE233))*$L$2),0)</f>
        <v>12928.8461538462</v>
      </c>
      <c r="J233" s="61"/>
      <c r="K233" s="61" t="n">
        <f aca="false">IF(AC233="N",(MIN((($F$3*G233*AE233+ROUNDUP((F233/10000),0)*G233)*2),F233)),0)</f>
        <v>0</v>
      </c>
      <c r="L233" s="61" t="n">
        <f aca="false">IF(AC233="Y",(MIN((($F$3*G233*AE233+ROUNDUP((F233/10000),0)*G233)*2),F233))*$L$2,0)</f>
        <v>40223.0769230769</v>
      </c>
      <c r="M233" s="61" t="n">
        <f aca="false">IF(AC233="N",IF((F233/10000*G233*$M$2)&gt;F233*$M$1,F233*$M$1,(F233/10000*G233*$M$2)),0)</f>
        <v>0</v>
      </c>
      <c r="N233" s="61" t="n">
        <f aca="false">IF(AC233="Y",(IF((F233/10000*G233*$M$2)&gt;F233*$M$1,F233*$M$1,(F233/10000*G233*$M$2)))*$L$2,0)</f>
        <v>14307.9230769231</v>
      </c>
      <c r="O233" s="61" t="n">
        <f aca="false">MAX(IF(F233&lt;$G$3,$F$3*G233*AE233,IF(F233&lt;$G$2,$F$2*G233*AE233,$F$1*G233*AE233)),IF((F233/10000*G233*$M$2)&gt;F233*$M$1,F233*$M$1,(F233/10000*G233*$M$2)))</f>
        <v>9538.61538461539</v>
      </c>
      <c r="P233" s="61" t="n">
        <f aca="false">MIN(IF(F233&lt;$G$3,$F$3*G233*AE233,IF(F233&lt;$G$2,$F$2*G233*AE233,$F$1*G233*AE233)),IF((F233/10000*G233*$M$2)&gt;F233*$M$1,F233*$M$1,(F233/10000*G233*$M$2)))</f>
        <v>8619.23076923077</v>
      </c>
      <c r="Q233" s="61" t="n">
        <f aca="false">MAX(I233,N233)</f>
        <v>14307.9230769231</v>
      </c>
      <c r="R233" s="61" t="n">
        <f aca="false">MIN(I233,N233)</f>
        <v>12928.8461538462</v>
      </c>
      <c r="S233" s="62" t="n">
        <f aca="false">F233/10000</f>
        <v>4.98</v>
      </c>
      <c r="T233" s="62" t="n">
        <f aca="false">ROUNDUP(S233,0)</f>
        <v>5</v>
      </c>
      <c r="U233" s="44" t="s">
        <v>40</v>
      </c>
      <c r="V233" s="44" t="n">
        <f aca="false">F233</f>
        <v>49800</v>
      </c>
      <c r="Y233" s="45" t="n">
        <v>20000</v>
      </c>
      <c r="Z233" s="45"/>
      <c r="AA233" s="45"/>
      <c r="AB233" s="45"/>
      <c r="AC233" s="46" t="s">
        <v>420</v>
      </c>
      <c r="AD233" s="47" t="n">
        <v>33771</v>
      </c>
      <c r="AE233" s="63" t="n">
        <f aca="false">ROUNDUP(DAYS360(AD233,$AE$3)/365,0)</f>
        <v>9</v>
      </c>
      <c r="AL233" s="43" t="n">
        <f aca="false">IF(AC233="N",V233,0)</f>
        <v>0</v>
      </c>
      <c r="AM233" s="43" t="n">
        <f aca="false">IF(AL233&gt;0,1,0)</f>
        <v>0</v>
      </c>
    </row>
    <row r="234" customFormat="false" ht="12.75" hidden="false" customHeight="false" outlineLevel="0" collapsed="false">
      <c r="A234" s="83"/>
      <c r="B234" s="94" t="s">
        <v>271</v>
      </c>
      <c r="F234" s="48" t="n">
        <v>6600</v>
      </c>
      <c r="G234" s="48" t="n">
        <f aca="false">F234/52</f>
        <v>126.923076923077</v>
      </c>
      <c r="H234" s="61" t="n">
        <f aca="false">IF(AC234="N",IF(F234&lt;$G$3,$F$3*G234*AE234,IF(F234&lt;$G$2,$F$2*G234*AE234,$F$1*G234*AE234)),0)</f>
        <v>0</v>
      </c>
      <c r="I234" s="61" t="n">
        <f aca="false">IF(AC234="Y",(IF(F234&lt;$G$3,$F$3*G234*AE234,IF(F234&lt;$G$2,$F$2*G234*AE234,$F$1*G234*AE234))*$L$2),0)</f>
        <v>1142.30769230769</v>
      </c>
      <c r="J234" s="61"/>
      <c r="K234" s="61" t="n">
        <f aca="false">IF(AC234="N",(MIN((($F$3*G234*AE234+ROUNDUP((F234/10000),0)*G234)*2),F234)),0)</f>
        <v>0</v>
      </c>
      <c r="L234" s="61" t="n">
        <f aca="false">IF(AC234="Y",(MIN((($F$3*G234*AE234+ROUNDUP((F234/10000),0)*G234)*2),F234))*$L$2,0)</f>
        <v>2665.38461538462</v>
      </c>
      <c r="M234" s="61" t="n">
        <f aca="false">IF(AC234="N",IF((F234/10000*G234*$M$2)&gt;F234*$M$1,F234*$M$1,(F234/10000*G234*$M$2)),0)</f>
        <v>0</v>
      </c>
      <c r="N234" s="61" t="n">
        <f aca="false">IF(AC234="Y",(IF((F234/10000*G234*$M$2)&gt;F234*$M$1,F234*$M$1,(F234/10000*G234*$M$2)))*$L$2,0)</f>
        <v>251.307692307692</v>
      </c>
      <c r="O234" s="61" t="n">
        <f aca="false">MAX(IF(F234&lt;$G$3,$F$3*G234*AE234,IF(F234&lt;$G$2,$F$2*G234*AE234,$F$1*G234*AE234)),IF((F234/10000*G234*$M$2)&gt;F234*$M$1,F234*$M$1,(F234/10000*G234*$M$2)))</f>
        <v>761.538461538462</v>
      </c>
      <c r="P234" s="61" t="n">
        <f aca="false">MIN(IF(F234&lt;$G$3,$F$3*G234*AE234,IF(F234&lt;$G$2,$F$2*G234*AE234,$F$1*G234*AE234)),IF((F234/10000*G234*$M$2)&gt;F234*$M$1,F234*$M$1,(F234/10000*G234*$M$2)))</f>
        <v>167.538461538462</v>
      </c>
      <c r="Q234" s="61" t="n">
        <f aca="false">MAX(I234,N234)</f>
        <v>1142.30769230769</v>
      </c>
      <c r="R234" s="61" t="n">
        <f aca="false">MIN(I234,N234)</f>
        <v>251.307692307692</v>
      </c>
      <c r="S234" s="62" t="n">
        <f aca="false">F234/10000</f>
        <v>0.66</v>
      </c>
      <c r="T234" s="62" t="n">
        <f aca="false">ROUNDUP(S234,0)</f>
        <v>1</v>
      </c>
      <c r="U234" s="44" t="s">
        <v>40</v>
      </c>
      <c r="V234" s="44" t="n">
        <f aca="false">F234</f>
        <v>6600</v>
      </c>
      <c r="Y234" s="45" t="n">
        <f aca="false">(W234+X234)</f>
        <v>0</v>
      </c>
      <c r="AC234" s="46" t="s">
        <v>420</v>
      </c>
      <c r="AD234" s="47" t="n">
        <v>35025</v>
      </c>
      <c r="AE234" s="63" t="n">
        <f aca="false">ROUNDUP(DAYS360(AD234,$AE$3)/365,0)</f>
        <v>6</v>
      </c>
      <c r="AL234" s="43" t="n">
        <f aca="false">IF(AC234="N",V234,0)</f>
        <v>0</v>
      </c>
      <c r="AM234" s="43" t="n">
        <f aca="false">IF(AL234&gt;0,1,0)</f>
        <v>0</v>
      </c>
    </row>
    <row r="235" customFormat="false" ht="12.75" hidden="false" customHeight="false" outlineLevel="0" collapsed="false">
      <c r="A235" s="83"/>
      <c r="B235" s="94" t="s">
        <v>272</v>
      </c>
      <c r="F235" s="48" t="n">
        <v>6000</v>
      </c>
      <c r="G235" s="48" t="n">
        <f aca="false">F235/52</f>
        <v>115.384615384615</v>
      </c>
      <c r="H235" s="61" t="n">
        <f aca="false">IF(AC235="N",IF(F235&lt;$G$3,$F$3*G235*AE235,IF(F235&lt;$G$2,$F$2*G235*AE235,$F$1*G235*AE235)),0)</f>
        <v>0</v>
      </c>
      <c r="I235" s="61" t="n">
        <f aca="false">IF(AC235="Y",(IF(F235&lt;$G$3,$F$3*G235*AE235,IF(F235&lt;$G$2,$F$2*G235*AE235,$F$1*G235*AE235))*$L$2),0)</f>
        <v>1557.69230769231</v>
      </c>
      <c r="J235" s="61"/>
      <c r="K235" s="61" t="n">
        <f aca="false">IF(AC235="N",(MIN((($F$3*G235*AE235+ROUNDUP((F235/10000),0)*G235)*2),F235)),0)</f>
        <v>0</v>
      </c>
      <c r="L235" s="61" t="n">
        <f aca="false">IF(AC235="Y",(MIN((($F$3*G235*AE235+ROUNDUP((F235/10000),0)*G235)*2),F235))*$L$2,0)</f>
        <v>3461.53846153846</v>
      </c>
      <c r="M235" s="61" t="n">
        <f aca="false">IF(AC235="N",IF((F235/10000*G235*$M$2)&gt;F235*$M$1,F235*$M$1,(F235/10000*G235*$M$2)),0)</f>
        <v>0</v>
      </c>
      <c r="N235" s="61" t="n">
        <f aca="false">IF(AC235="Y",(IF((F235/10000*G235*$M$2)&gt;F235*$M$1,F235*$M$1,(F235/10000*G235*$M$2)))*$L$2,0)</f>
        <v>207.692307692308</v>
      </c>
      <c r="O235" s="61" t="n">
        <f aca="false">MAX(IF(F235&lt;$G$3,$F$3*G235*AE235,IF(F235&lt;$G$2,$F$2*G235*AE235,$F$1*G235*AE235)),IF((F235/10000*G235*$M$2)&gt;F235*$M$1,F235*$M$1,(F235/10000*G235*$M$2)))</f>
        <v>1038.46153846154</v>
      </c>
      <c r="P235" s="61" t="n">
        <f aca="false">MIN(IF(F235&lt;$G$3,$F$3*G235*AE235,IF(F235&lt;$G$2,$F$2*G235*AE235,$F$1*G235*AE235)),IF((F235/10000*G235*$M$2)&gt;F235*$M$1,F235*$M$1,(F235/10000*G235*$M$2)))</f>
        <v>138.461538461538</v>
      </c>
      <c r="Q235" s="61" t="n">
        <f aca="false">MAX(I235,N235)</f>
        <v>1557.69230769231</v>
      </c>
      <c r="R235" s="61" t="n">
        <f aca="false">MIN(I235,N235)</f>
        <v>207.692307692308</v>
      </c>
      <c r="S235" s="62" t="n">
        <f aca="false">F235/10000</f>
        <v>0.6</v>
      </c>
      <c r="T235" s="62" t="n">
        <f aca="false">ROUNDUP(S235,0)</f>
        <v>1</v>
      </c>
      <c r="U235" s="44" t="s">
        <v>40</v>
      </c>
      <c r="V235" s="44" t="n">
        <f aca="false">F235</f>
        <v>6000</v>
      </c>
      <c r="Y235" s="45" t="n">
        <f aca="false">(W235+X235)</f>
        <v>0</v>
      </c>
      <c r="AC235" s="46" t="s">
        <v>420</v>
      </c>
      <c r="AD235" s="47" t="n">
        <v>33771</v>
      </c>
      <c r="AE235" s="63" t="n">
        <f aca="false">ROUNDUP(DAYS360(AD235,$AE$3)/365,0)</f>
        <v>9</v>
      </c>
      <c r="AL235" s="43" t="n">
        <f aca="false">IF(AC235="N",V235,0)</f>
        <v>0</v>
      </c>
      <c r="AM235" s="43" t="n">
        <f aca="false">IF(AL235&gt;0,1,0)</f>
        <v>0</v>
      </c>
    </row>
    <row r="236" customFormat="false" ht="12.75" hidden="false" customHeight="false" outlineLevel="0" collapsed="false">
      <c r="A236" s="83"/>
      <c r="B236" s="94" t="s">
        <v>263</v>
      </c>
      <c r="F236" s="48" t="n">
        <v>12780</v>
      </c>
      <c r="G236" s="48" t="n">
        <f aca="false">F236/52</f>
        <v>245.769230769231</v>
      </c>
      <c r="H236" s="61" t="n">
        <f aca="false">IF(AC236="N",IF(F236&lt;$G$3,$F$3*G236*AE236,IF(F236&lt;$G$2,$F$2*G236*AE236,$F$1*G236*AE236)),0)</f>
        <v>0</v>
      </c>
      <c r="I236" s="61" t="n">
        <f aca="false">IF(AC236="Y",(IF(F236&lt;$G$3,$F$3*G236*AE236,IF(F236&lt;$G$2,$F$2*G236*AE236,$F$1*G236*AE236))*$L$2),0)</f>
        <v>3317.88461538462</v>
      </c>
      <c r="J236" s="61"/>
      <c r="K236" s="61" t="n">
        <f aca="false">IF(AC236="N",(MIN((($F$3*G236*AE236+ROUNDUP((F236/10000),0)*G236)*2),F236)),0)</f>
        <v>0</v>
      </c>
      <c r="L236" s="61" t="n">
        <f aca="false">IF(AC236="Y",(MIN((($F$3*G236*AE236+ROUNDUP((F236/10000),0)*G236)*2),F236))*$L$2,0)</f>
        <v>8110.38461538462</v>
      </c>
      <c r="M236" s="61" t="n">
        <f aca="false">IF(AC236="N",IF((F236/10000*G236*$M$2)&gt;F236*$M$1,F236*$M$1,(F236/10000*G236*$M$2)),0)</f>
        <v>0</v>
      </c>
      <c r="N236" s="61" t="n">
        <f aca="false">IF(AC236="Y",(IF((F236/10000*G236*$M$2)&gt;F236*$M$1,F236*$M$1,(F236/10000*G236*$M$2)))*$L$2,0)</f>
        <v>942.279230769231</v>
      </c>
      <c r="O236" s="61" t="n">
        <f aca="false">MAX(IF(F236&lt;$G$3,$F$3*G236*AE236,IF(F236&lt;$G$2,$F$2*G236*AE236,$F$1*G236*AE236)),IF((F236/10000*G236*$M$2)&gt;F236*$M$1,F236*$M$1,(F236/10000*G236*$M$2)))</f>
        <v>2211.92307692308</v>
      </c>
      <c r="P236" s="61" t="n">
        <f aca="false">MIN(IF(F236&lt;$G$3,$F$3*G236*AE236,IF(F236&lt;$G$2,$F$2*G236*AE236,$F$1*G236*AE236)),IF((F236/10000*G236*$M$2)&gt;F236*$M$1,F236*$M$1,(F236/10000*G236*$M$2)))</f>
        <v>628.186153846154</v>
      </c>
      <c r="Q236" s="61" t="n">
        <f aca="false">MAX(I236,N236)</f>
        <v>3317.88461538462</v>
      </c>
      <c r="R236" s="61" t="n">
        <f aca="false">MIN(I236,N236)</f>
        <v>942.279230769231</v>
      </c>
      <c r="S236" s="62" t="n">
        <f aca="false">F236/10000</f>
        <v>1.278</v>
      </c>
      <c r="T236" s="62" t="n">
        <f aca="false">ROUNDUP(S236,0)</f>
        <v>2</v>
      </c>
      <c r="U236" s="44" t="s">
        <v>40</v>
      </c>
      <c r="V236" s="44" t="n">
        <f aca="false">F236</f>
        <v>12780</v>
      </c>
      <c r="Y236" s="45" t="n">
        <f aca="false">(W236+X236)</f>
        <v>0</v>
      </c>
      <c r="AC236" s="46" t="s">
        <v>420</v>
      </c>
      <c r="AD236" s="47" t="n">
        <v>33785</v>
      </c>
      <c r="AE236" s="63" t="n">
        <f aca="false">ROUNDUP(DAYS360(AD236,$AE$3)/365,0)</f>
        <v>9</v>
      </c>
      <c r="AL236" s="43" t="n">
        <f aca="false">IF(AC236="N",V236,0)</f>
        <v>0</v>
      </c>
      <c r="AM236" s="43" t="n">
        <f aca="false">IF(AL236&gt;0,1,0)</f>
        <v>0</v>
      </c>
    </row>
    <row r="237" customFormat="false" ht="12.75" hidden="false" customHeight="false" outlineLevel="0" collapsed="false">
      <c r="A237" s="83"/>
      <c r="B237" s="94" t="s">
        <v>265</v>
      </c>
      <c r="F237" s="48" t="n">
        <v>12000</v>
      </c>
      <c r="G237" s="48" t="n">
        <f aca="false">F237/52</f>
        <v>230.769230769231</v>
      </c>
      <c r="H237" s="61" t="n">
        <f aca="false">IF(AC237="N",IF(F237&lt;$G$3,$F$3*G237*AE237,IF(F237&lt;$G$2,$F$2*G237*AE237,$F$1*G237*AE237)),0)</f>
        <v>0</v>
      </c>
      <c r="I237" s="61" t="n">
        <f aca="false">IF(AC237="Y",(IF(F237&lt;$G$3,$F$3*G237*AE237,IF(F237&lt;$G$2,$F$2*G237*AE237,$F$1*G237*AE237))*$L$2),0)</f>
        <v>1384.61538461538</v>
      </c>
      <c r="J237" s="61"/>
      <c r="K237" s="61" t="n">
        <f aca="false">IF(AC237="N",(MIN((($F$3*G237*AE237+ROUNDUP((F237/10000),0)*G237)*2),F237)),0)</f>
        <v>0</v>
      </c>
      <c r="L237" s="61" t="n">
        <f aca="false">IF(AC237="Y",(MIN((($F$3*G237*AE237+ROUNDUP((F237/10000),0)*G237)*2),F237))*$L$2,0)</f>
        <v>4153.84615384615</v>
      </c>
      <c r="M237" s="61" t="n">
        <f aca="false">IF(AC237="N",IF((F237/10000*G237*$M$2)&gt;F237*$M$1,F237*$M$1,(F237/10000*G237*$M$2)),0)</f>
        <v>0</v>
      </c>
      <c r="N237" s="61" t="n">
        <f aca="false">IF(AC237="Y",(IF((F237/10000*G237*$M$2)&gt;F237*$M$1,F237*$M$1,(F237/10000*G237*$M$2)))*$L$2,0)</f>
        <v>830.769230769231</v>
      </c>
      <c r="O237" s="61" t="n">
        <f aca="false">MAX(IF(F237&lt;$G$3,$F$3*G237*AE237,IF(F237&lt;$G$2,$F$2*G237*AE237,$F$1*G237*AE237)),IF((F237/10000*G237*$M$2)&gt;F237*$M$1,F237*$M$1,(F237/10000*G237*$M$2)))</f>
        <v>923.076923076923</v>
      </c>
      <c r="P237" s="61" t="n">
        <f aca="false">MIN(IF(F237&lt;$G$3,$F$3*G237*AE237,IF(F237&lt;$G$2,$F$2*G237*AE237,$F$1*G237*AE237)),IF((F237/10000*G237*$M$2)&gt;F237*$M$1,F237*$M$1,(F237/10000*G237*$M$2)))</f>
        <v>553.846153846154</v>
      </c>
      <c r="Q237" s="61" t="n">
        <f aca="false">MAX(I237,N237)</f>
        <v>1384.61538461538</v>
      </c>
      <c r="R237" s="61" t="n">
        <f aca="false">MIN(I237,N237)</f>
        <v>830.769230769231</v>
      </c>
      <c r="S237" s="62" t="n">
        <f aca="false">F237/10000</f>
        <v>1.2</v>
      </c>
      <c r="T237" s="62" t="n">
        <f aca="false">ROUNDUP(S237,0)</f>
        <v>2</v>
      </c>
      <c r="U237" s="44" t="s">
        <v>40</v>
      </c>
      <c r="V237" s="44" t="n">
        <f aca="false">F237</f>
        <v>12000</v>
      </c>
      <c r="Y237" s="45" t="n">
        <f aca="false">(W237+X237)</f>
        <v>0</v>
      </c>
      <c r="AC237" s="46" t="s">
        <v>420</v>
      </c>
      <c r="AD237" s="47" t="n">
        <v>35780</v>
      </c>
      <c r="AE237" s="63" t="n">
        <f aca="false">ROUNDUP(DAYS360(AD237,$AE$3)/365,0)</f>
        <v>4</v>
      </c>
      <c r="AL237" s="43" t="n">
        <f aca="false">IF(AC237="N",V237,0)</f>
        <v>0</v>
      </c>
      <c r="AM237" s="43" t="n">
        <f aca="false">IF(AL237&gt;0,1,0)</f>
        <v>0</v>
      </c>
    </row>
    <row r="238" customFormat="false" ht="12.75" hidden="false" customHeight="false" outlineLevel="0" collapsed="false">
      <c r="A238" s="83"/>
      <c r="B238" s="94" t="s">
        <v>269</v>
      </c>
      <c r="F238" s="48" t="n">
        <v>8400</v>
      </c>
      <c r="G238" s="48" t="n">
        <f aca="false">F238/52</f>
        <v>161.538461538462</v>
      </c>
      <c r="H238" s="61" t="n">
        <f aca="false">IF(AC238="N",IF(F238&lt;$G$3,$F$3*G238*AE238,IF(F238&lt;$G$2,$F$2*G238*AE238,$F$1*G238*AE238)),0)</f>
        <v>0</v>
      </c>
      <c r="I238" s="61" t="n">
        <f aca="false">IF(AC238="Y",(IF(F238&lt;$G$3,$F$3*G238*AE238,IF(F238&lt;$G$2,$F$2*G238*AE238,$F$1*G238*AE238))*$L$2),0)</f>
        <v>1211.53846153846</v>
      </c>
      <c r="J238" s="61"/>
      <c r="K238" s="61" t="n">
        <f aca="false">IF(AC238="N",(MIN((($F$3*G238*AE238+ROUNDUP((F238/10000),0)*G238)*2),F238)),0)</f>
        <v>0</v>
      </c>
      <c r="L238" s="61" t="n">
        <f aca="false">IF(AC238="Y",(MIN((($F$3*G238*AE238+ROUNDUP((F238/10000),0)*G238)*2),F238))*$L$2,0)</f>
        <v>2907.69230769231</v>
      </c>
      <c r="M238" s="61" t="n">
        <f aca="false">IF(AC238="N",IF((F238/10000*G238*$M$2)&gt;F238*$M$1,F238*$M$1,(F238/10000*G238*$M$2)),0)</f>
        <v>0</v>
      </c>
      <c r="N238" s="61" t="n">
        <f aca="false">IF(AC238="Y",(IF((F238/10000*G238*$M$2)&gt;F238*$M$1,F238*$M$1,(F238/10000*G238*$M$2)))*$L$2,0)</f>
        <v>407.076923076923</v>
      </c>
      <c r="O238" s="61" t="n">
        <f aca="false">MAX(IF(F238&lt;$G$3,$F$3*G238*AE238,IF(F238&lt;$G$2,$F$2*G238*AE238,$F$1*G238*AE238)),IF((F238/10000*G238*$M$2)&gt;F238*$M$1,F238*$M$1,(F238/10000*G238*$M$2)))</f>
        <v>807.692307692308</v>
      </c>
      <c r="P238" s="61" t="n">
        <f aca="false">MIN(IF(F238&lt;$G$3,$F$3*G238*AE238,IF(F238&lt;$G$2,$F$2*G238*AE238,$F$1*G238*AE238)),IF((F238/10000*G238*$M$2)&gt;F238*$M$1,F238*$M$1,(F238/10000*G238*$M$2)))</f>
        <v>271.384615384615</v>
      </c>
      <c r="Q238" s="61" t="n">
        <f aca="false">MAX(I238,N238)</f>
        <v>1211.53846153846</v>
      </c>
      <c r="R238" s="61" t="n">
        <f aca="false">MIN(I238,N238)</f>
        <v>407.076923076923</v>
      </c>
      <c r="S238" s="62" t="n">
        <f aca="false">F238/10000</f>
        <v>0.84</v>
      </c>
      <c r="T238" s="62" t="n">
        <f aca="false">ROUNDUP(S238,0)</f>
        <v>1</v>
      </c>
      <c r="U238" s="44" t="s">
        <v>40</v>
      </c>
      <c r="V238" s="44" t="n">
        <f aca="false">F238</f>
        <v>8400</v>
      </c>
      <c r="Y238" s="45" t="n">
        <f aca="false">(W238+X238)</f>
        <v>0</v>
      </c>
      <c r="AC238" s="46" t="s">
        <v>420</v>
      </c>
      <c r="AD238" s="47" t="n">
        <v>35359</v>
      </c>
      <c r="AE238" s="63" t="n">
        <f aca="false">ROUNDUP(DAYS360(AD238,$AE$3)/365,0)</f>
        <v>5</v>
      </c>
      <c r="AL238" s="43" t="n">
        <f aca="false">IF(AC238="N",V238,0)</f>
        <v>0</v>
      </c>
      <c r="AM238" s="43" t="n">
        <f aca="false">IF(AL238&gt;0,1,0)</f>
        <v>0</v>
      </c>
    </row>
    <row r="239" customFormat="false" ht="12.75" hidden="false" customHeight="false" outlineLevel="0" collapsed="false">
      <c r="H239" s="61"/>
      <c r="I239" s="61"/>
      <c r="J239" s="61"/>
      <c r="K239" s="61"/>
      <c r="L239" s="61"/>
      <c r="M239" s="61"/>
      <c r="N239" s="61"/>
      <c r="O239" s="61"/>
      <c r="P239" s="61"/>
      <c r="Q239" s="61"/>
      <c r="R239" s="61"/>
      <c r="AE239" s="63"/>
      <c r="AL239" s="43" t="n">
        <f aca="false">IF(AC239="N",V239,0)</f>
        <v>0</v>
      </c>
      <c r="AM239" s="43" t="n">
        <f aca="false">IF(AL239&gt;0,1,0)</f>
        <v>0</v>
      </c>
    </row>
    <row r="240" customFormat="false" ht="12.75" hidden="false" customHeight="false" outlineLevel="0" collapsed="false">
      <c r="H240" s="61"/>
      <c r="I240" s="61"/>
      <c r="J240" s="61"/>
      <c r="K240" s="61"/>
      <c r="L240" s="61"/>
      <c r="M240" s="61"/>
      <c r="N240" s="61"/>
      <c r="O240" s="61"/>
      <c r="P240" s="61"/>
      <c r="Q240" s="61"/>
      <c r="R240" s="61"/>
      <c r="AE240" s="63"/>
      <c r="AL240" s="43" t="n">
        <f aca="false">IF(AC240="N",V240,0)</f>
        <v>0</v>
      </c>
      <c r="AM240" s="43" t="n">
        <f aca="false">IF(AL240&gt;0,1,0)</f>
        <v>0</v>
      </c>
    </row>
    <row r="241" customFormat="false" ht="12.75" hidden="false" customHeight="false" outlineLevel="0" collapsed="false">
      <c r="B241" s="12" t="s">
        <v>428</v>
      </c>
      <c r="H241" s="61"/>
      <c r="I241" s="61"/>
      <c r="J241" s="61"/>
      <c r="K241" s="61"/>
      <c r="L241" s="61"/>
      <c r="M241" s="61"/>
      <c r="N241" s="61"/>
      <c r="O241" s="61"/>
      <c r="P241" s="61"/>
      <c r="Q241" s="61"/>
      <c r="R241" s="61"/>
      <c r="S241" s="62"/>
      <c r="T241" s="62"/>
      <c r="AE241" s="63"/>
      <c r="AL241" s="43" t="n">
        <f aca="false">IF(AC241="N",V241,0)</f>
        <v>0</v>
      </c>
      <c r="AM241" s="43" t="n">
        <f aca="false">IF(AL241&gt;0,1,0)</f>
        <v>0</v>
      </c>
    </row>
    <row r="242" customFormat="false" ht="12.75" hidden="false" customHeight="false" outlineLevel="0" collapsed="false">
      <c r="B242" s="43" t="s">
        <v>264</v>
      </c>
      <c r="F242" s="48" t="n">
        <v>12500</v>
      </c>
      <c r="G242" s="48" t="n">
        <f aca="false">F242/52</f>
        <v>240.384615384615</v>
      </c>
      <c r="H242" s="61" t="n">
        <f aca="false">IF(AC242="N",IF(F242&lt;$G$3,$F$3*G242*AE242,IF(F242&lt;$G$2,$F$2*G242*AE242,$F$1*G242*AE242)),0)</f>
        <v>0</v>
      </c>
      <c r="I242" s="61" t="n">
        <f aca="false">IF(AC242="Y",(IF(F242&lt;$G$3,$F$3*G242*AE242,IF(F242&lt;$G$2,$F$2*G242*AE242,$F$1*G242*AE242))*$L$2),0)</f>
        <v>11538.4615384615</v>
      </c>
      <c r="J242" s="61"/>
      <c r="K242" s="61" t="n">
        <f aca="false">IF(AC242="N",(MIN((($F$3*G242*AE242+ROUNDUP((F242/10000),0)*G242)*2),F242)),0)</f>
        <v>0</v>
      </c>
      <c r="L242" s="61" t="n">
        <f aca="false">IF(AC242="Y",(MIN((($F$3*G242*AE242+ROUNDUP((F242/10000),0)*G242)*2),F242))*$L$2,0)</f>
        <v>18750</v>
      </c>
      <c r="M242" s="61" t="n">
        <f aca="false">IF(AC242="N",IF((F242/10000*G242*$M$2)&gt;F242*$M$1,F242*$M$1,(F242/10000*G242*$M$2)),0)</f>
        <v>0</v>
      </c>
      <c r="N242" s="61" t="n">
        <f aca="false">IF(AC242="Y",(IF((F242/10000*G242*$M$2)&gt;F242*$M$1,F242*$M$1,(F242/10000*G242*$M$2)))*$L$2,0)</f>
        <v>901.442307692308</v>
      </c>
      <c r="O242" s="61" t="n">
        <f aca="false">MAX(IF(F242&lt;$G$3,$F$3*G242*AE242,IF(F242&lt;$G$2,$F$2*G242*AE242,$F$1*G242*AE242)),IF((F242/10000*G242*$M$2)&gt;F242*$M$1,F242*$M$1,(F242/10000*G242*$M$2)))</f>
        <v>7692.30769230769</v>
      </c>
      <c r="P242" s="61" t="n">
        <f aca="false">MIN(IF(F242&lt;$G$3,$F$3*G242*AE242,IF(F242&lt;$G$2,$F$2*G242*AE242,$F$1*G242*AE242)),IF((F242/10000*G242*$M$2)&gt;F242*$M$1,F242*$M$1,(F242/10000*G242*$M$2)))</f>
        <v>600.961538461539</v>
      </c>
      <c r="Q242" s="61" t="n">
        <f aca="false">MAX(I242,N242)</f>
        <v>11538.4615384615</v>
      </c>
      <c r="R242" s="61" t="n">
        <f aca="false">MIN(I242,N242)</f>
        <v>901.442307692308</v>
      </c>
      <c r="S242" s="62"/>
      <c r="T242" s="62"/>
      <c r="U242" s="44" t="s">
        <v>40</v>
      </c>
      <c r="V242" s="44" t="n">
        <f aca="false">F242</f>
        <v>12500</v>
      </c>
      <c r="Y242" s="45" t="n">
        <f aca="false">(W242+X242)</f>
        <v>0</v>
      </c>
      <c r="AC242" s="46" t="s">
        <v>420</v>
      </c>
      <c r="AD242" s="47" t="n">
        <v>25569</v>
      </c>
      <c r="AE242" s="63" t="n">
        <f aca="false">ROUNDUP(DAYS360(AD242,$AE$3)/365,0)</f>
        <v>32</v>
      </c>
      <c r="AL242" s="43" t="n">
        <f aca="false">IF(AC242="N",V242,0)</f>
        <v>0</v>
      </c>
      <c r="AM242" s="43" t="n">
        <f aca="false">IF(AL242&gt;0,1,0)</f>
        <v>0</v>
      </c>
    </row>
    <row r="243" customFormat="false" ht="12.75" hidden="false" customHeight="false" outlineLevel="0" collapsed="false">
      <c r="H243" s="61"/>
      <c r="I243" s="61"/>
      <c r="J243" s="61"/>
      <c r="K243" s="61"/>
      <c r="L243" s="61"/>
      <c r="M243" s="61"/>
      <c r="N243" s="61"/>
      <c r="O243" s="61"/>
      <c r="P243" s="61"/>
      <c r="Q243" s="61"/>
      <c r="R243" s="61"/>
      <c r="AE243" s="63"/>
      <c r="AL243" s="43" t="n">
        <f aca="false">IF(AC243="N",V243,0)</f>
        <v>0</v>
      </c>
      <c r="AM243" s="43" t="n">
        <f aca="false">IF(AL243&gt;0,1,0)</f>
        <v>0</v>
      </c>
    </row>
    <row r="244" customFormat="false" ht="12.75" hidden="false" customHeight="false" outlineLevel="0" collapsed="false">
      <c r="H244" s="61"/>
      <c r="I244" s="61"/>
      <c r="J244" s="61"/>
      <c r="K244" s="61"/>
      <c r="L244" s="61"/>
      <c r="M244" s="61"/>
      <c r="N244" s="61"/>
      <c r="O244" s="61"/>
      <c r="P244" s="61"/>
      <c r="Q244" s="61"/>
      <c r="R244" s="61"/>
      <c r="AE244" s="63"/>
      <c r="AL244" s="43" t="n">
        <f aca="false">IF(AC244="N",V244,0)</f>
        <v>0</v>
      </c>
      <c r="AM244" s="43" t="n">
        <f aca="false">IF(AL244&gt;0,1,0)</f>
        <v>0</v>
      </c>
    </row>
    <row r="245" customFormat="false" ht="43.5" hidden="false" customHeight="false" outlineLevel="0" collapsed="false">
      <c r="A245" s="83" t="s">
        <v>254</v>
      </c>
      <c r="B245" s="43" t="s">
        <v>255</v>
      </c>
      <c r="F245" s="44" t="n">
        <f aca="false">V245+V246+V247</f>
        <v>54628.02</v>
      </c>
      <c r="G245" s="48" t="n">
        <f aca="false">F245/52</f>
        <v>1050.53884615385</v>
      </c>
      <c r="H245" s="61" t="n">
        <f aca="false">IF(AC245="N",IF(F245&lt;$G$3,$F$3*G245*AE245,IF(F245&lt;$G$2,$F$2*G245*AE245,$F$1*G245*AE245)),0)</f>
        <v>0</v>
      </c>
      <c r="I245" s="61" t="n">
        <f aca="false">IF(AC245="Y",(IF(F245&lt;$G$3,$F$3*G245*AE245,IF(F245&lt;$G$2,$F$2*G245*AE245,$F$1*G245*AE245))*$L$2),0)</f>
        <v>22061.3157692308</v>
      </c>
      <c r="J245" s="61"/>
      <c r="K245" s="61" t="n">
        <f aca="false">IF(AC245="N",(MIN((($F$3*G245*AE245+ROUNDUP((F245/10000),0)*G245)*2),F245)),0)</f>
        <v>0</v>
      </c>
      <c r="L245" s="61" t="n">
        <f aca="false">IF(AC245="Y",(MIN((($F$3*G245*AE245+ROUNDUP((F245/10000),0)*G245)*2),F245))*$L$2,0)</f>
        <v>40971.015</v>
      </c>
      <c r="M245" s="61" t="n">
        <f aca="false">IF(AC245="N",IF((F245/10000*G245*$M$2)&gt;F245*$M$1,F245*$M$1,(F245/10000*G245*$M$2)),0)</f>
        <v>0</v>
      </c>
      <c r="N245" s="61" t="n">
        <f aca="false">IF(AC245="Y",(IF((F245/10000*G245*$M$2)&gt;F245*$M$1,F245*$M$1,(F245/10000*G245*$M$2)))*$L$2,0)</f>
        <v>17216.6571295408</v>
      </c>
      <c r="O245" s="61" t="n">
        <f aca="false">MAX(IF(F245&lt;$G$3,$F$3*G245*AE245,IF(F245&lt;$G$2,$F$2*G245*AE245,$F$1*G245*AE245)),IF((F245/10000*G245*$M$2)&gt;F245*$M$1,F245*$M$1,(F245/10000*G245*$M$2)))</f>
        <v>14707.5438461538</v>
      </c>
      <c r="P245" s="61" t="n">
        <f aca="false">MIN(IF(F245&lt;$G$3,$F$3*G245*AE245,IF(F245&lt;$G$2,$F$2*G245*AE245,$F$1*G245*AE245)),IF((F245/10000*G245*$M$2)&gt;F245*$M$1,F245*$M$1,(F245/10000*G245*$M$2)))</f>
        <v>11477.7714196938</v>
      </c>
      <c r="Q245" s="61" t="n">
        <f aca="false">MAX(I245,N245)</f>
        <v>22061.3157692308</v>
      </c>
      <c r="R245" s="61" t="n">
        <f aca="false">MIN(I245,N245)</f>
        <v>17216.6571295408</v>
      </c>
      <c r="S245" s="62"/>
      <c r="T245" s="62"/>
      <c r="U245" s="95" t="s">
        <v>256</v>
      </c>
      <c r="V245" s="44" t="n">
        <f aca="false">(AO245*Calculations!$AR$4)</f>
        <v>628.02</v>
      </c>
      <c r="W245" s="45" t="n">
        <v>17500</v>
      </c>
      <c r="Y245" s="45" t="n">
        <f aca="false">(W245+X245)</f>
        <v>17500</v>
      </c>
      <c r="AC245" s="46" t="s">
        <v>420</v>
      </c>
      <c r="AD245" s="47" t="n">
        <v>34608</v>
      </c>
      <c r="AE245" s="63" t="n">
        <f aca="false">ROUNDUP(DAYS360(AD245,$AE$3)/365,0)</f>
        <v>7</v>
      </c>
      <c r="AL245" s="43" t="n">
        <f aca="false">IF(AC245="N",V245,0)</f>
        <v>0</v>
      </c>
      <c r="AM245" s="43" t="n">
        <f aca="false">IF(AL245&gt;0,1,0)</f>
        <v>0</v>
      </c>
      <c r="AO245" s="61" t="n">
        <v>18000</v>
      </c>
      <c r="AP245" s="95" t="s">
        <v>256</v>
      </c>
    </row>
    <row r="246" customFormat="false" ht="12.75" hidden="false" customHeight="false" outlineLevel="0" collapsed="false">
      <c r="A246" s="92"/>
      <c r="G246" s="48"/>
      <c r="H246" s="61" t="n">
        <f aca="false">IF(AC246="N",IF(F246&lt;$G$3,$F$3*G246*AE246,IF(F246&lt;$G$2,$F$2*G246*AE246,$F$1*G246*AE246)),0)</f>
        <v>0</v>
      </c>
      <c r="I246" s="61" t="n">
        <f aca="false">IF(AC246="Y",(IF(F246&lt;$G$3,$F$3*G246*AE246,IF(F246&lt;$G$2,$F$2*G246*AE246,$F$1*G246*AE246))*$L$2),0)</f>
        <v>0</v>
      </c>
      <c r="J246" s="61"/>
      <c r="K246" s="61" t="n">
        <f aca="false">IF(AC246="N",(MIN((($F$3*G246*AE246+ROUNDUP((F246/10000),0)*G246)*2),F246)),0)</f>
        <v>0</v>
      </c>
      <c r="L246" s="61" t="n">
        <f aca="false">IF(AC246="Y",(MIN((($F$3*G246*AE246+ROUNDUP((F246/10000),0)*G246)*2),F246))*$L$2,0)</f>
        <v>0</v>
      </c>
      <c r="M246" s="61" t="n">
        <f aca="false">IF(AC246="N",IF((F246/10000*G246*$M$2)&gt;F246*$M$1,F246*$M$1,(F246/10000*G246*$M$2)),0)</f>
        <v>0</v>
      </c>
      <c r="N246" s="61" t="n">
        <f aca="false">IF(AC246="Y",(IF((F246/10000*G246*$M$2)&gt;F246*$M$1,F246*$M$1,(F246/10000*G246*$M$2)))*$L$2,0)</f>
        <v>0</v>
      </c>
      <c r="O246" s="61" t="n">
        <f aca="false">MAX(IF(F246&lt;$G$3,$F$3*G246*AE246,IF(F246&lt;$G$2,$F$2*G246*AE246,$F$1*G246*AE246)),IF((F246/10000*G246*$M$2)&gt;F246*$M$1,F246*$M$1,(F246/10000*G246*$M$2)))</f>
        <v>0</v>
      </c>
      <c r="P246" s="61" t="n">
        <f aca="false">MIN(IF(F246&lt;$G$3,$F$3*G246*AE246,IF(F246&lt;$G$2,$F$2*G246*AE246,$F$1*G246*AE246)),IF((F246/10000*G246*$M$2)&gt;F246*$M$1,F246*$M$1,(F246/10000*G246*$M$2)))</f>
        <v>0</v>
      </c>
      <c r="Q246" s="61" t="n">
        <f aca="false">MAX(I246,N246)</f>
        <v>0</v>
      </c>
      <c r="R246" s="61" t="n">
        <f aca="false">MIN(I246,N246)</f>
        <v>0</v>
      </c>
      <c r="S246" s="48"/>
      <c r="T246" s="48"/>
      <c r="U246" s="95" t="s">
        <v>40</v>
      </c>
      <c r="V246" s="44" t="n">
        <f aca="false">AO246</f>
        <v>18000</v>
      </c>
      <c r="Y246" s="45" t="n">
        <f aca="false">(W246+X246)</f>
        <v>0</v>
      </c>
      <c r="AE246" s="63"/>
      <c r="AL246" s="43" t="n">
        <f aca="false">IF(AC246="N",V246,0)</f>
        <v>0</v>
      </c>
      <c r="AM246" s="43" t="n">
        <f aca="false">IF(AL246&gt;0,1,0)</f>
        <v>0</v>
      </c>
      <c r="AO246" s="61" t="n">
        <v>18000</v>
      </c>
      <c r="AP246" s="95" t="s">
        <v>40</v>
      </c>
    </row>
    <row r="247" customFormat="false" ht="12.75" hidden="false" customHeight="false" outlineLevel="0" collapsed="false">
      <c r="A247" s="92"/>
      <c r="G247" s="48"/>
      <c r="H247" s="61" t="n">
        <f aca="false">IF(AC247="N",IF(F247&lt;$G$3,$F$3*G247*AE247,IF(F247&lt;$G$2,$F$2*G247*AE247,$F$1*G247*AE247)),0)</f>
        <v>0</v>
      </c>
      <c r="I247" s="61" t="n">
        <f aca="false">IF(AC247="Y",(IF(F247&lt;$G$3,$F$3*G247*AE247,IF(F247&lt;$G$2,$F$2*G247*AE247,$F$1*G247*AE247))*$L$2),0)</f>
        <v>0</v>
      </c>
      <c r="J247" s="61"/>
      <c r="K247" s="61" t="n">
        <f aca="false">IF(AC247="N",(MIN((($F$3*G247*AE247+ROUNDUP((F247/10000),0)*G247)*2),F247)),0)</f>
        <v>0</v>
      </c>
      <c r="L247" s="61" t="n">
        <f aca="false">IF(AC247="Y",(MIN((($F$3*G247*AE247+ROUNDUP((F247/10000),0)*G247)*2),F247))*$L$2,0)</f>
        <v>0</v>
      </c>
      <c r="M247" s="61" t="n">
        <f aca="false">IF(AC247="N",IF((F247/10000*G247*$M$2)&gt;F247*$M$1,F247*$M$1,(F247/10000*G247*$M$2)),0)</f>
        <v>0</v>
      </c>
      <c r="N247" s="61" t="n">
        <f aca="false">IF(AC247="Y",(IF((F247/10000*G247*$M$2)&gt;F247*$M$1,F247*$M$1,(F247/10000*G247*$M$2)))*$L$2,0)</f>
        <v>0</v>
      </c>
      <c r="O247" s="61" t="n">
        <f aca="false">MAX(IF(F247&lt;$G$3,$F$3*G247*AE247,IF(F247&lt;$G$2,$F$2*G247*AE247,$F$1*G247*AE247)),IF((F247/10000*G247*$M$2)&gt;F247*$M$1,F247*$M$1,(F247/10000*G247*$M$2)))</f>
        <v>0</v>
      </c>
      <c r="P247" s="61" t="n">
        <f aca="false">MIN(IF(F247&lt;$G$3,$F$3*G247*AE247,IF(F247&lt;$G$2,$F$2*G247*AE247,$F$1*G247*AE247)),IF((F247/10000*G247*$M$2)&gt;F247*$M$1,F247*$M$1,(F247/10000*G247*$M$2)))</f>
        <v>0</v>
      </c>
      <c r="Q247" s="61" t="n">
        <f aca="false">MAX(I247,N247)</f>
        <v>0</v>
      </c>
      <c r="R247" s="61" t="n">
        <f aca="false">MIN(I247,N247)</f>
        <v>0</v>
      </c>
      <c r="S247" s="48"/>
      <c r="T247" s="48"/>
      <c r="U247" s="95" t="s">
        <v>429</v>
      </c>
      <c r="V247" s="44" t="n">
        <f aca="false">AO247</f>
        <v>36000</v>
      </c>
      <c r="Y247" s="45" t="n">
        <f aca="false">(W247+X247)</f>
        <v>0</v>
      </c>
      <c r="AE247" s="63"/>
      <c r="AL247" s="43" t="n">
        <f aca="false">IF(AC247="N",V247,0)</f>
        <v>0</v>
      </c>
      <c r="AM247" s="43" t="n">
        <f aca="false">IF(AL247&gt;0,1,0)</f>
        <v>0</v>
      </c>
      <c r="AO247" s="61" t="n">
        <v>36000</v>
      </c>
      <c r="AP247" s="95" t="s">
        <v>429</v>
      </c>
    </row>
    <row r="248" customFormat="false" ht="12.75" hidden="false" customHeight="false" outlineLevel="0" collapsed="false">
      <c r="A248" s="92"/>
      <c r="B248" s="43" t="s">
        <v>280</v>
      </c>
      <c r="F248" s="44" t="n">
        <f aca="false">V248+V249</f>
        <v>9000</v>
      </c>
      <c r="G248" s="48" t="n">
        <f aca="false">F248/52</f>
        <v>173.076923076923</v>
      </c>
      <c r="H248" s="61" t="n">
        <f aca="false">IF(AC248="N",IF(F248&lt;$G$3,$F$3*G248*AE248,IF(F248&lt;$G$2,$F$2*G248*AE248,$F$1*G248*AE248)),0)</f>
        <v>0</v>
      </c>
      <c r="I248" s="61" t="n">
        <f aca="false">IF(AC248="Y",(IF(F248&lt;$G$3,$F$3*G248*AE248,IF(F248&lt;$G$2,$F$2*G248*AE248,$F$1*G248*AE248))*$L$2),0)</f>
        <v>1038.46153846154</v>
      </c>
      <c r="J248" s="61"/>
      <c r="K248" s="61" t="n">
        <f aca="false">IF(AC248="N",(MIN((($F$3*G248*AE248+ROUNDUP((F248/10000),0)*G248)*2),F248)),0)</f>
        <v>0</v>
      </c>
      <c r="L248" s="61" t="n">
        <f aca="false">IF(AC248="Y",(MIN((($F$3*G248*AE248+ROUNDUP((F248/10000),0)*G248)*2),F248))*$L$2,0)</f>
        <v>2596.15384615385</v>
      </c>
      <c r="M248" s="61" t="n">
        <f aca="false">IF(AC248="N",IF((F248/10000*G248*$M$2)&gt;F248*$M$1,F248*$M$1,(F248/10000*G248*$M$2)),0)</f>
        <v>0</v>
      </c>
      <c r="N248" s="61" t="n">
        <f aca="false">IF(AC248="Y",(IF((F248/10000*G248*$M$2)&gt;F248*$M$1,F248*$M$1,(F248/10000*G248*$M$2)))*$L$2,0)</f>
        <v>467.307692307692</v>
      </c>
      <c r="O248" s="61" t="n">
        <f aca="false">MAX(IF(F248&lt;$G$3,$F$3*G248*AE248,IF(F248&lt;$G$2,$F$2*G248*AE248,$F$1*G248*AE248)),IF((F248/10000*G248*$M$2)&gt;F248*$M$1,F248*$M$1,(F248/10000*G248*$M$2)))</f>
        <v>692.307692307692</v>
      </c>
      <c r="P248" s="61" t="n">
        <f aca="false">MIN(IF(F248&lt;$G$3,$F$3*G248*AE248,IF(F248&lt;$G$2,$F$2*G248*AE248,$F$1*G248*AE248)),IF((F248/10000*G248*$M$2)&gt;F248*$M$1,F248*$M$1,(F248/10000*G248*$M$2)))</f>
        <v>311.538461538462</v>
      </c>
      <c r="Q248" s="61" t="n">
        <f aca="false">MAX(I248,N248)</f>
        <v>1038.46153846154</v>
      </c>
      <c r="R248" s="61" t="n">
        <f aca="false">MIN(I248,N248)</f>
        <v>467.307692307692</v>
      </c>
      <c r="S248" s="62"/>
      <c r="T248" s="62"/>
      <c r="U248" s="44" t="s">
        <v>281</v>
      </c>
      <c r="V248" s="44" t="n">
        <f aca="false">AO248</f>
        <v>4200</v>
      </c>
      <c r="Y248" s="45" t="n">
        <f aca="false">(W248+X248)</f>
        <v>0</v>
      </c>
      <c r="AC248" s="46" t="s">
        <v>420</v>
      </c>
      <c r="AD248" s="47" t="n">
        <v>35612</v>
      </c>
      <c r="AE248" s="63" t="n">
        <f aca="false">ROUNDUP(DAYS360(AD248,$AE$3)/365,0)</f>
        <v>4</v>
      </c>
      <c r="AL248" s="43" t="n">
        <f aca="false">IF(AC248="N",V248,0)</f>
        <v>0</v>
      </c>
      <c r="AM248" s="43" t="n">
        <f aca="false">IF(AL248&gt;0,1,0)</f>
        <v>0</v>
      </c>
      <c r="AO248" s="61" t="n">
        <v>4200</v>
      </c>
      <c r="AP248" s="44" t="s">
        <v>281</v>
      </c>
    </row>
    <row r="249" customFormat="false" ht="12.75" hidden="false" customHeight="false" outlineLevel="0" collapsed="false">
      <c r="A249" s="92"/>
      <c r="G249" s="48"/>
      <c r="H249" s="61" t="n">
        <f aca="false">IF(AC249="N",IF(F249&lt;$G$3,$F$3*G249*AE249,IF(F249&lt;$G$2,$F$2*G249*AE249,$F$1*G249*AE249)),0)</f>
        <v>0</v>
      </c>
      <c r="I249" s="61" t="n">
        <f aca="false">IF(AC249="Y",(IF(F249&lt;$G$3,$F$3*G249*AE249,IF(F249&lt;$G$2,$F$2*G249*AE249,$F$1*G249*AE249))*$L$2),0)</f>
        <v>0</v>
      </c>
      <c r="J249" s="61"/>
      <c r="K249" s="61" t="n">
        <f aca="false">IF(AC249="N",(MIN((($F$3*G249*AE249+ROUNDUP((F249/10000),0)*G249)*2),F249)),0)</f>
        <v>0</v>
      </c>
      <c r="L249" s="61" t="n">
        <f aca="false">IF(AC249="Y",(MIN((($F$3*G249*AE249+ROUNDUP((F249/10000),0)*G249)*2),F249))*$L$2,0)</f>
        <v>0</v>
      </c>
      <c r="M249" s="61" t="n">
        <f aca="false">IF(AC249="N",IF((F249/10000*G249*$M$2)&gt;F249*$M$1,F249*$M$1,(F249/10000*G249*$M$2)),0)</f>
        <v>0</v>
      </c>
      <c r="N249" s="61" t="n">
        <f aca="false">IF(AC249="Y",(IF((F249/10000*G249*$M$2)&gt;F249*$M$1,F249*$M$1,(F249/10000*G249*$M$2)))*$L$2,0)</f>
        <v>0</v>
      </c>
      <c r="O249" s="61" t="n">
        <f aca="false">MAX(IF(F249&lt;$G$3,$F$3*G249*AE249,IF(F249&lt;$G$2,$F$2*G249*AE249,$F$1*G249*AE249)),IF((F249/10000*G249*$M$2)&gt;F249*$M$1,F249*$M$1,(F249/10000*G249*$M$2)))</f>
        <v>0</v>
      </c>
      <c r="P249" s="61" t="n">
        <f aca="false">MIN(IF(F249&lt;$G$3,$F$3*G249*AE249,IF(F249&lt;$G$2,$F$2*G249*AE249,$F$1*G249*AE249)),IF((F249/10000*G249*$M$2)&gt;F249*$M$1,F249*$M$1,(F249/10000*G249*$M$2)))</f>
        <v>0</v>
      </c>
      <c r="Q249" s="61" t="n">
        <f aca="false">MAX(I249,N249)</f>
        <v>0</v>
      </c>
      <c r="R249" s="61" t="n">
        <f aca="false">MIN(I249,N249)</f>
        <v>0</v>
      </c>
      <c r="S249" s="48"/>
      <c r="T249" s="48"/>
      <c r="U249" s="44" t="s">
        <v>430</v>
      </c>
      <c r="V249" s="44" t="n">
        <f aca="false">AO249</f>
        <v>4800</v>
      </c>
      <c r="Y249" s="45" t="n">
        <f aca="false">(W249+X249)</f>
        <v>0</v>
      </c>
      <c r="AE249" s="63"/>
      <c r="AL249" s="43" t="n">
        <f aca="false">IF(AC249="N",V249,0)</f>
        <v>0</v>
      </c>
      <c r="AM249" s="43" t="n">
        <f aca="false">IF(AL249&gt;0,1,0)</f>
        <v>0</v>
      </c>
      <c r="AO249" s="61" t="n">
        <v>4800</v>
      </c>
      <c r="AP249" s="44" t="s">
        <v>430</v>
      </c>
    </row>
    <row r="250" customFormat="false" ht="12.75" hidden="false" customHeight="false" outlineLevel="0" collapsed="false">
      <c r="A250" s="92"/>
      <c r="B250" s="43" t="s">
        <v>279</v>
      </c>
      <c r="F250" s="44" t="n">
        <f aca="false">V250+V251</f>
        <v>25367.472</v>
      </c>
      <c r="G250" s="48" t="n">
        <f aca="false">F250/52</f>
        <v>487.836</v>
      </c>
      <c r="H250" s="61" t="n">
        <f aca="false">IF(AC250="N",IF(F250&lt;$G$3,$F$3*G250*AE250,IF(F250&lt;$G$2,$F$2*G250*AE250,$F$1*G250*AE250)),0)</f>
        <v>0</v>
      </c>
      <c r="I250" s="61" t="n">
        <f aca="false">IF(AC250="Y",(IF(F250&lt;$G$3,$F$3*G250*AE250,IF(F250&lt;$G$2,$F$2*G250*AE250,$F$1*G250*AE250))*$L$2),0)</f>
        <v>4390.524</v>
      </c>
      <c r="J250" s="61"/>
      <c r="K250" s="61" t="n">
        <f aca="false">IF(AC250="N",(MIN((($F$3*G250*AE250+ROUNDUP((F250/10000),0)*G250)*2),F250)),0)</f>
        <v>0</v>
      </c>
      <c r="L250" s="61" t="n">
        <f aca="false">IF(AC250="Y",(MIN((($F$3*G250*AE250+ROUNDUP((F250/10000),0)*G250)*2),F250))*$L$2,0)</f>
        <v>13171.572</v>
      </c>
      <c r="M250" s="61" t="n">
        <f aca="false">IF(AC250="N",IF((F250/10000*G250*$M$2)&gt;F250*$M$1,F250*$M$1,(F250/10000*G250*$M$2)),0)</f>
        <v>0</v>
      </c>
      <c r="N250" s="61" t="n">
        <f aca="false">IF(AC250="Y",(IF((F250/10000*G250*$M$2)&gt;F250*$M$1,F250*$M$1,(F250/10000*G250*$M$2)))*$L$2,0)</f>
        <v>3712.5498211776</v>
      </c>
      <c r="O250" s="61" t="n">
        <f aca="false">MAX(IF(F250&lt;$G$3,$F$3*G250*AE250,IF(F250&lt;$G$2,$F$2*G250*AE250,$F$1*G250*AE250)),IF((F250/10000*G250*$M$2)&gt;F250*$M$1,F250*$M$1,(F250/10000*G250*$M$2)))</f>
        <v>2927.016</v>
      </c>
      <c r="P250" s="61" t="n">
        <f aca="false">MIN(IF(F250&lt;$G$3,$F$3*G250*AE250,IF(F250&lt;$G$2,$F$2*G250*AE250,$F$1*G250*AE250)),IF((F250/10000*G250*$M$2)&gt;F250*$M$1,F250*$M$1,(F250/10000*G250*$M$2)))</f>
        <v>2475.0332141184</v>
      </c>
      <c r="Q250" s="61" t="n">
        <f aca="false">MAX(I250,N250)</f>
        <v>4390.524</v>
      </c>
      <c r="R250" s="61" t="n">
        <f aca="false">MIN(I250,N250)</f>
        <v>3712.5498211776</v>
      </c>
      <c r="S250" s="48"/>
      <c r="T250" s="48"/>
      <c r="U250" s="44" t="s">
        <v>256</v>
      </c>
      <c r="V250" s="44" t="n">
        <f aca="false">(AO250*Calculations!$AR$4)</f>
        <v>167.472</v>
      </c>
      <c r="Y250" s="45" t="n">
        <v>7500</v>
      </c>
      <c r="AC250" s="46" t="s">
        <v>420</v>
      </c>
      <c r="AD250" s="47" t="n">
        <v>35067</v>
      </c>
      <c r="AE250" s="63" t="n">
        <f aca="false">ROUNDUP(DAYS360(AD250,$AE$3)/365,0)</f>
        <v>6</v>
      </c>
      <c r="AL250" s="43" t="n">
        <f aca="false">IF(AC250="N",V250,0)</f>
        <v>0</v>
      </c>
      <c r="AM250" s="43" t="n">
        <f aca="false">IF(AL250&gt;0,1,0)</f>
        <v>0</v>
      </c>
      <c r="AO250" s="61" t="n">
        <v>4800</v>
      </c>
      <c r="AP250" s="44" t="s">
        <v>256</v>
      </c>
    </row>
    <row r="251" customFormat="false" ht="12.75" hidden="false" customHeight="false" outlineLevel="0" collapsed="false">
      <c r="A251" s="92"/>
      <c r="G251" s="48"/>
      <c r="H251" s="61" t="n">
        <f aca="false">IF(AC251="N",IF(F251&lt;$G$3,$F$3*G251*AE251,IF(F251&lt;$G$2,$F$2*G251*AE251,$F$1*G251*AE251)),0)</f>
        <v>0</v>
      </c>
      <c r="I251" s="61" t="n">
        <f aca="false">IF(AC251="Y",(IF(F251&lt;$G$3,$F$3*G251*AE251,IF(F251&lt;$G$2,$F$2*G251*AE251,$F$1*G251*AE251))*$L$2),0)</f>
        <v>0</v>
      </c>
      <c r="J251" s="61"/>
      <c r="K251" s="61" t="n">
        <f aca="false">IF(AC251="N",(MIN((($F$3*G251*AE251+ROUNDUP((F251/10000),0)*G251)*2),F251)),0)</f>
        <v>0</v>
      </c>
      <c r="L251" s="61" t="n">
        <f aca="false">IF(AC251="Y",(MIN((($F$3*G251*AE251+ROUNDUP((F251/10000),0)*G251)*2),F251))*$L$2,0)</f>
        <v>0</v>
      </c>
      <c r="M251" s="61" t="n">
        <f aca="false">IF(AC251="N",IF((F251/10000*G251*$M$2)&gt;F251*$M$1,F251*$M$1,(F251/10000*G251*$M$2)),0)</f>
        <v>0</v>
      </c>
      <c r="N251" s="61" t="n">
        <f aca="false">IF(AC251="Y",(IF((F251/10000*G251*$M$2)&gt;F251*$M$1,F251*$M$1,(F251/10000*G251*$M$2)))*$L$2,0)</f>
        <v>0</v>
      </c>
      <c r="O251" s="61" t="n">
        <f aca="false">MAX(IF(F251&lt;$G$3,$F$3*G251*AE251,IF(F251&lt;$G$2,$F$2*G251*AE251,$F$1*G251*AE251)),IF((F251/10000*G251*$M$2)&gt;F251*$M$1,F251*$M$1,(F251/10000*G251*$M$2)))</f>
        <v>0</v>
      </c>
      <c r="P251" s="61" t="n">
        <f aca="false">MIN(IF(F251&lt;$G$3,$F$3*G251*AE251,IF(F251&lt;$G$2,$F$2*G251*AE251,$F$1*G251*AE251)),IF((F251/10000*G251*$M$2)&gt;F251*$M$1,F251*$M$1,(F251/10000*G251*$M$2)))</f>
        <v>0</v>
      </c>
      <c r="Q251" s="61" t="n">
        <f aca="false">MAX(I251,N251)</f>
        <v>0</v>
      </c>
      <c r="R251" s="61" t="n">
        <f aca="false">MIN(I251,N251)</f>
        <v>0</v>
      </c>
      <c r="S251" s="48"/>
      <c r="T251" s="48"/>
      <c r="U251" s="44" t="s">
        <v>40</v>
      </c>
      <c r="V251" s="44" t="n">
        <f aca="false">AO251</f>
        <v>25200</v>
      </c>
      <c r="Y251" s="45" t="n">
        <f aca="false">(W251+X251)</f>
        <v>0</v>
      </c>
      <c r="AE251" s="63"/>
      <c r="AL251" s="43" t="n">
        <f aca="false">IF(AC251="N",V251,0)</f>
        <v>0</v>
      </c>
      <c r="AM251" s="43" t="n">
        <f aca="false">IF(AL251&gt;0,1,0)</f>
        <v>0</v>
      </c>
      <c r="AO251" s="61" t="n">
        <v>25200</v>
      </c>
      <c r="AP251" s="44" t="s">
        <v>40</v>
      </c>
    </row>
    <row r="252" customFormat="false" ht="12.75" hidden="false" customHeight="false" outlineLevel="0" collapsed="false">
      <c r="A252" s="92"/>
      <c r="B252" s="43" t="s">
        <v>285</v>
      </c>
      <c r="F252" s="44" t="n">
        <f aca="false">V252+V253</f>
        <v>16529.604</v>
      </c>
      <c r="G252" s="48" t="n">
        <f aca="false">F252/52</f>
        <v>317.877</v>
      </c>
      <c r="H252" s="61" t="n">
        <f aca="false">IF(AC252="N",IF(F252&lt;$G$3,$F$3*G252*AE252,IF(F252&lt;$G$2,$F$2*G252*AE252,$F$1*G252*AE252)),0)</f>
        <v>0</v>
      </c>
      <c r="I252" s="61" t="n">
        <f aca="false">IF(AC252="Y",(IF(F252&lt;$G$3,$F$3*G252*AE252,IF(F252&lt;$G$2,$F$2*G252*AE252,$F$1*G252*AE252))*$L$2),0)</f>
        <v>2860.893</v>
      </c>
      <c r="J252" s="61"/>
      <c r="K252" s="61" t="n">
        <f aca="false">IF(AC252="N",(MIN((($F$3*G252*AE252+ROUNDUP((F252/10000),0)*G252)*2),F252)),0)</f>
        <v>0</v>
      </c>
      <c r="L252" s="61" t="n">
        <f aca="false">IF(AC252="Y",(MIN((($F$3*G252*AE252+ROUNDUP((F252/10000),0)*G252)*2),F252))*$L$2,0)</f>
        <v>7629.048</v>
      </c>
      <c r="M252" s="61" t="n">
        <f aca="false">IF(AC252="N",IF((F252/10000*G252*$M$2)&gt;F252*$M$1,F252*$M$1,(F252/10000*G252*$M$2)),0)</f>
        <v>0</v>
      </c>
      <c r="N252" s="61" t="n">
        <f aca="false">IF(AC252="Y",(IF((F252/10000*G252*$M$2)&gt;F252*$M$1,F252*$M$1,(F252/10000*G252*$M$2)))*$L$2,0)</f>
        <v>1576.3142792124</v>
      </c>
      <c r="O252" s="61" t="n">
        <f aca="false">MAX(IF(F252&lt;$G$3,$F$3*G252*AE252,IF(F252&lt;$G$2,$F$2*G252*AE252,$F$1*G252*AE252)),IF((F252/10000*G252*$M$2)&gt;F252*$M$1,F252*$M$1,(F252/10000*G252*$M$2)))</f>
        <v>1907.262</v>
      </c>
      <c r="P252" s="61" t="n">
        <f aca="false">MIN(IF(F252&lt;$G$3,$F$3*G252*AE252,IF(F252&lt;$G$2,$F$2*G252*AE252,$F$1*G252*AE252)),IF((F252/10000*G252*$M$2)&gt;F252*$M$1,F252*$M$1,(F252/10000*G252*$M$2)))</f>
        <v>1050.8761861416</v>
      </c>
      <c r="Q252" s="61" t="n">
        <f aca="false">MAX(I252,N252)</f>
        <v>2860.893</v>
      </c>
      <c r="R252" s="61" t="n">
        <f aca="false">MIN(I252,N252)</f>
        <v>1576.3142792124</v>
      </c>
      <c r="S252" s="48"/>
      <c r="T252" s="48"/>
      <c r="U252" s="44" t="s">
        <v>256</v>
      </c>
      <c r="V252" s="44" t="n">
        <f aca="false">(AO252*Calculations!$AR$4)</f>
        <v>125.604</v>
      </c>
      <c r="Y252" s="45" t="n">
        <f aca="false">(W252+X252)</f>
        <v>0</v>
      </c>
      <c r="AC252" s="46" t="s">
        <v>420</v>
      </c>
      <c r="AD252" s="47" t="n">
        <v>35058</v>
      </c>
      <c r="AE252" s="63" t="n">
        <f aca="false">ROUNDUP(DAYS360(AD252,$AE$3)/365,0)</f>
        <v>6</v>
      </c>
      <c r="AL252" s="43" t="n">
        <f aca="false">IF(AC252="N",V252,0)</f>
        <v>0</v>
      </c>
      <c r="AM252" s="43" t="n">
        <f aca="false">IF(AL252&gt;0,1,0)</f>
        <v>0</v>
      </c>
      <c r="AO252" s="61" t="n">
        <v>3600</v>
      </c>
      <c r="AP252" s="44" t="s">
        <v>256</v>
      </c>
    </row>
    <row r="253" customFormat="false" ht="12.75" hidden="false" customHeight="false" outlineLevel="0" collapsed="false">
      <c r="A253" s="92"/>
      <c r="B253" s="46"/>
      <c r="C253" s="46"/>
      <c r="G253" s="48"/>
      <c r="H253" s="61" t="n">
        <f aca="false">IF(AC253="N",IF(F253&lt;$G$3,$F$3*G253*AE253,IF(F253&lt;$G$2,$F$2*G253*AE253,$F$1*G253*AE253)),0)</f>
        <v>0</v>
      </c>
      <c r="I253" s="61" t="n">
        <f aca="false">IF(AC253="Y",(IF(F253&lt;$G$3,$F$3*G253*AE253,IF(F253&lt;$G$2,$F$2*G253*AE253,$F$1*G253*AE253))*$L$2),0)</f>
        <v>0</v>
      </c>
      <c r="J253" s="61"/>
      <c r="K253" s="61" t="n">
        <f aca="false">IF(AC253="N",(MIN((($F$3*G253*AE253+ROUNDUP((F253/10000),0)*G253)*2),F253)),0)</f>
        <v>0</v>
      </c>
      <c r="L253" s="61" t="n">
        <f aca="false">IF(AC253="Y",(MIN((($F$3*G253*AE253+ROUNDUP((F253/10000),0)*G253)*2),F253))*$L$2,0)</f>
        <v>0</v>
      </c>
      <c r="M253" s="61" t="n">
        <f aca="false">IF(AC253="N",IF((F253/10000*G253*$M$2)&gt;F253*$M$1,F253*$M$1,(F253/10000*G253*$M$2)),0)</f>
        <v>0</v>
      </c>
      <c r="N253" s="61" t="n">
        <f aca="false">IF(AC253="Y",(IF((F253/10000*G253*$M$2)&gt;F253*$M$1,F253*$M$1,(F253/10000*G253*$M$2)))*$L$2,0)</f>
        <v>0</v>
      </c>
      <c r="O253" s="61" t="n">
        <f aca="false">MAX(IF(F253&lt;$G$3,$F$3*G253*AE253,IF(F253&lt;$G$2,$F$2*G253*AE253,$F$1*G253*AE253)),IF((F253/10000*G253*$M$2)&gt;F253*$M$1,F253*$M$1,(F253/10000*G253*$M$2)))</f>
        <v>0</v>
      </c>
      <c r="P253" s="61" t="n">
        <f aca="false">MIN(IF(F253&lt;$G$3,$F$3*G253*AE253,IF(F253&lt;$G$2,$F$2*G253*AE253,$F$1*G253*AE253)),IF((F253/10000*G253*$M$2)&gt;F253*$M$1,F253*$M$1,(F253/10000*G253*$M$2)))</f>
        <v>0</v>
      </c>
      <c r="Q253" s="61" t="n">
        <f aca="false">MAX(I253,N253)</f>
        <v>0</v>
      </c>
      <c r="R253" s="61" t="n">
        <f aca="false">MIN(I253,N253)</f>
        <v>0</v>
      </c>
      <c r="S253" s="48"/>
      <c r="T253" s="48"/>
      <c r="U253" s="44" t="s">
        <v>40</v>
      </c>
      <c r="V253" s="44" t="n">
        <f aca="false">AO253</f>
        <v>16404</v>
      </c>
      <c r="Y253" s="45" t="n">
        <f aca="false">(W253+X253)</f>
        <v>0</v>
      </c>
      <c r="AE253" s="63"/>
      <c r="AL253" s="43" t="n">
        <f aca="false">IF(AC253="N",V253,0)</f>
        <v>0</v>
      </c>
      <c r="AM253" s="43" t="n">
        <f aca="false">IF(AL253&gt;0,1,0)</f>
        <v>0</v>
      </c>
      <c r="AO253" s="61" t="n">
        <v>16404</v>
      </c>
      <c r="AP253" s="44" t="s">
        <v>40</v>
      </c>
    </row>
    <row r="254" customFormat="false" ht="12.75" hidden="false" customHeight="false" outlineLevel="0" collapsed="false">
      <c r="A254" s="92"/>
      <c r="B254" s="43" t="s">
        <v>287</v>
      </c>
      <c r="F254" s="44" t="n">
        <f aca="false">V254</f>
        <v>3600</v>
      </c>
      <c r="G254" s="48" t="n">
        <f aca="false">F254/52</f>
        <v>69.2307692307692</v>
      </c>
      <c r="H254" s="61" t="n">
        <f aca="false">IF(AC254="N",IF(F254&lt;$G$3,$F$3*G254*AE254,IF(F254&lt;$G$2,$F$2*G254*AE254,$F$1*G254*AE254)),0)</f>
        <v>0</v>
      </c>
      <c r="I254" s="61" t="n">
        <f aca="false">IF(AC254="Y",(IF(F254&lt;$G$3,$F$3*G254*AE254,IF(F254&lt;$G$2,$F$2*G254*AE254,$F$1*G254*AE254))*$L$2),0)</f>
        <v>207.692307692308</v>
      </c>
      <c r="J254" s="61"/>
      <c r="K254" s="61" t="n">
        <f aca="false">IF(AC254="N",(MIN((($F$3*G254*AE254+ROUNDUP((F254/10000),0)*G254)*2),F254)),0)</f>
        <v>0</v>
      </c>
      <c r="L254" s="61" t="n">
        <f aca="false">IF(AC254="Y",(MIN((($F$3*G254*AE254+ROUNDUP((F254/10000),0)*G254)*2),F254))*$L$2,0)</f>
        <v>623.076923076923</v>
      </c>
      <c r="M254" s="61" t="n">
        <f aca="false">IF(AC254="N",IF((F254/10000*G254*$M$2)&gt;F254*$M$1,F254*$M$1,(F254/10000*G254*$M$2)),0)</f>
        <v>0</v>
      </c>
      <c r="N254" s="61" t="n">
        <f aca="false">IF(AC254="Y",(IF((F254/10000*G254*$M$2)&gt;F254*$M$1,F254*$M$1,(F254/10000*G254*$M$2)))*$L$2,0)</f>
        <v>74.7692307692308</v>
      </c>
      <c r="O254" s="61" t="n">
        <f aca="false">MAX(IF(F254&lt;$G$3,$F$3*G254*AE254,IF(F254&lt;$G$2,$F$2*G254*AE254,$F$1*G254*AE254)),IF((F254/10000*G254*$M$2)&gt;F254*$M$1,F254*$M$1,(F254/10000*G254*$M$2)))</f>
        <v>138.461538461538</v>
      </c>
      <c r="P254" s="61" t="n">
        <f aca="false">MIN(IF(F254&lt;$G$3,$F$3*G254*AE254,IF(F254&lt;$G$2,$F$2*G254*AE254,$F$1*G254*AE254)),IF((F254/10000*G254*$M$2)&gt;F254*$M$1,F254*$M$1,(F254/10000*G254*$M$2)))</f>
        <v>49.8461538461538</v>
      </c>
      <c r="Q254" s="61" t="n">
        <f aca="false">MAX(I254,N254)</f>
        <v>207.692307692308</v>
      </c>
      <c r="R254" s="61" t="n">
        <f aca="false">MIN(I254,N254)</f>
        <v>74.7692307692308</v>
      </c>
      <c r="S254" s="48"/>
      <c r="T254" s="48"/>
      <c r="U254" s="44" t="s">
        <v>431</v>
      </c>
      <c r="V254" s="44" t="n">
        <f aca="false">AO254</f>
        <v>3600</v>
      </c>
      <c r="Y254" s="45" t="n">
        <f aca="false">(W254+X254)</f>
        <v>0</v>
      </c>
      <c r="AC254" s="46" t="s">
        <v>420</v>
      </c>
      <c r="AD254" s="47" t="n">
        <v>36586</v>
      </c>
      <c r="AE254" s="63" t="n">
        <f aca="false">ROUNDUP(DAYS360(AD254,$AE$3)/365,0)</f>
        <v>2</v>
      </c>
      <c r="AL254" s="43" t="n">
        <f aca="false">IF(AC254="N",V254,0)</f>
        <v>0</v>
      </c>
      <c r="AM254" s="43" t="n">
        <f aca="false">IF(AL254&gt;0,1,0)</f>
        <v>0</v>
      </c>
      <c r="AO254" s="61" t="n">
        <v>3600</v>
      </c>
      <c r="AP254" s="44"/>
    </row>
    <row r="255" customFormat="false" ht="12.75" hidden="false" customHeight="false" outlineLevel="0" collapsed="false">
      <c r="A255" s="92"/>
      <c r="B255" s="43" t="s">
        <v>274</v>
      </c>
      <c r="F255" s="44" t="n">
        <f aca="false">V255+V256</f>
        <v>8595.384</v>
      </c>
      <c r="G255" s="48" t="n">
        <f aca="false">F255/52</f>
        <v>165.295846153846</v>
      </c>
      <c r="H255" s="61" t="n">
        <f aca="false">IF(AC255="N",IF(F255&lt;$G$3,$F$3*G255*AE255,IF(F255&lt;$G$2,$F$2*G255*AE255,$F$1*G255*AE255)),0)</f>
        <v>0</v>
      </c>
      <c r="I255" s="61" t="n">
        <f aca="false">IF(AC255="Y",(IF(F255&lt;$G$3,$F$3*G255*AE255,IF(F255&lt;$G$2,$F$2*G255*AE255,$F$1*G255*AE255))*$L$2),0)</f>
        <v>1487.66261538462</v>
      </c>
      <c r="J255" s="61"/>
      <c r="K255" s="61" t="n">
        <f aca="false">IF(AC255="N",(MIN((($F$3*G255*AE255+ROUNDUP((F255/10000),0)*G255)*2),F255)),0)</f>
        <v>0</v>
      </c>
      <c r="L255" s="61" t="n">
        <f aca="false">IF(AC255="Y",(MIN((($F$3*G255*AE255+ROUNDUP((F255/10000),0)*G255)*2),F255))*$L$2,0)</f>
        <v>3471.21276923077</v>
      </c>
      <c r="M255" s="61" t="n">
        <f aca="false">IF(AC255="N",IF((F255/10000*G255*$M$2)&gt;F255*$M$1,F255*$M$1,(F255/10000*G255*$M$2)),0)</f>
        <v>0</v>
      </c>
      <c r="N255" s="61" t="n">
        <f aca="false">IF(AC255="Y",(IF((F255/10000*G255*$M$2)&gt;F255*$M$1,F255*$M$1,(F255/10000*G255*$M$2)))*$L$2,0)</f>
        <v>426.234381389169</v>
      </c>
      <c r="O255" s="61" t="n">
        <f aca="false">MAX(IF(F255&lt;$G$3,$F$3*G255*AE255,IF(F255&lt;$G$2,$F$2*G255*AE255,$F$1*G255*AE255)),IF((F255/10000*G255*$M$2)&gt;F255*$M$1,F255*$M$1,(F255/10000*G255*$M$2)))</f>
        <v>991.775076923077</v>
      </c>
      <c r="P255" s="61" t="n">
        <f aca="false">MIN(IF(F255&lt;$G$3,$F$3*G255*AE255,IF(F255&lt;$G$2,$F$2*G255*AE255,$F$1*G255*AE255)),IF((F255/10000*G255*$M$2)&gt;F255*$M$1,F255*$M$1,(F255/10000*G255*$M$2)))</f>
        <v>284.156254259446</v>
      </c>
      <c r="Q255" s="61" t="n">
        <f aca="false">MAX(I255,N255)</f>
        <v>1487.66261538462</v>
      </c>
      <c r="R255" s="61" t="n">
        <f aca="false">MIN(I255,N255)</f>
        <v>426.234381389169</v>
      </c>
      <c r="S255" s="48"/>
      <c r="T255" s="48"/>
      <c r="U255" s="44" t="s">
        <v>256</v>
      </c>
      <c r="V255" s="44" t="n">
        <f aca="false">(AO255*Calculations!$AR$4)</f>
        <v>195.384</v>
      </c>
      <c r="Y255" s="45" t="n">
        <f aca="false">(W255+X255)</f>
        <v>0</v>
      </c>
      <c r="AC255" s="46" t="s">
        <v>420</v>
      </c>
      <c r="AD255" s="47" t="n">
        <v>35121</v>
      </c>
      <c r="AE255" s="63" t="n">
        <f aca="false">ROUNDUP(DAYS360(AD255,$AE$3)/365,0)</f>
        <v>6</v>
      </c>
      <c r="AL255" s="43" t="n">
        <f aca="false">IF(AC255="N",V255,0)</f>
        <v>0</v>
      </c>
      <c r="AM255" s="43" t="n">
        <f aca="false">IF(AL255&gt;0,1,0)</f>
        <v>0</v>
      </c>
      <c r="AO255" s="61" t="n">
        <v>5600</v>
      </c>
      <c r="AP255" s="44" t="s">
        <v>256</v>
      </c>
    </row>
    <row r="256" customFormat="false" ht="12.75" hidden="false" customHeight="false" outlineLevel="0" collapsed="false">
      <c r="A256" s="92"/>
      <c r="G256" s="48"/>
      <c r="H256" s="61" t="n">
        <f aca="false">IF(AC256="N",IF(F256&lt;$G$3,$F$3*G256*AE256,IF(F256&lt;$G$2,$F$2*G256*AE256,$F$1*G256*AE256)),0)</f>
        <v>0</v>
      </c>
      <c r="I256" s="61" t="n">
        <f aca="false">IF(AC256="Y",(IF(F256&lt;$G$3,$F$3*G256*AE256,IF(F256&lt;$G$2,$F$2*G256*AE256,$F$1*G256*AE256))*$L$2),0)</f>
        <v>0</v>
      </c>
      <c r="J256" s="61"/>
      <c r="K256" s="61" t="n">
        <f aca="false">IF(AC256="N",(MIN((($F$3*G256*AE256+ROUNDUP((F256/10000),0)*G256)*2),F256)),0)</f>
        <v>0</v>
      </c>
      <c r="L256" s="61" t="n">
        <f aca="false">IF(AC256="Y",(MIN((($F$3*G256*AE256+ROUNDUP((F256/10000),0)*G256)*2),F256))*$L$2,0)</f>
        <v>0</v>
      </c>
      <c r="M256" s="61" t="n">
        <f aca="false">IF(AC256="N",IF((F256/10000*G256*$M$2)&gt;F256*$M$1,F256*$M$1,(F256/10000*G256*$M$2)),0)</f>
        <v>0</v>
      </c>
      <c r="N256" s="61" t="n">
        <f aca="false">IF(AC256="Y",(IF((F256/10000*G256*$M$2)&gt;F256*$M$1,F256*$M$1,(F256/10000*G256*$M$2)))*$L$2,0)</f>
        <v>0</v>
      </c>
      <c r="O256" s="61" t="n">
        <f aca="false">MAX(IF(F256&lt;$G$3,$F$3*G256*AE256,IF(F256&lt;$G$2,$F$2*G256*AE256,$F$1*G256*AE256)),IF((F256/10000*G256*$M$2)&gt;F256*$M$1,F256*$M$1,(F256/10000*G256*$M$2)))</f>
        <v>0</v>
      </c>
      <c r="P256" s="61" t="n">
        <f aca="false">MIN(IF(F256&lt;$G$3,$F$3*G256*AE256,IF(F256&lt;$G$2,$F$2*G256*AE256,$F$1*G256*AE256)),IF((F256/10000*G256*$M$2)&gt;F256*$M$1,F256*$M$1,(F256/10000*G256*$M$2)))</f>
        <v>0</v>
      </c>
      <c r="Q256" s="61" t="n">
        <f aca="false">MAX(I256,N256)</f>
        <v>0</v>
      </c>
      <c r="R256" s="61" t="n">
        <f aca="false">MIN(I256,N256)</f>
        <v>0</v>
      </c>
      <c r="S256" s="48"/>
      <c r="T256" s="48"/>
      <c r="U256" s="44" t="s">
        <v>40</v>
      </c>
      <c r="V256" s="44" t="n">
        <f aca="false">AO256</f>
        <v>8400</v>
      </c>
      <c r="Y256" s="45" t="n">
        <f aca="false">(W256+X256)</f>
        <v>0</v>
      </c>
      <c r="AE256" s="63"/>
      <c r="AL256" s="43" t="n">
        <f aca="false">IF(AC256="N",V256,0)</f>
        <v>0</v>
      </c>
      <c r="AM256" s="43" t="n">
        <f aca="false">IF(AL256&gt;0,1,0)</f>
        <v>0</v>
      </c>
      <c r="AO256" s="61" t="n">
        <v>8400</v>
      </c>
      <c r="AP256" s="44" t="s">
        <v>40</v>
      </c>
    </row>
    <row r="257" customFormat="false" ht="12.75" hidden="false" customHeight="false" outlineLevel="0" collapsed="false">
      <c r="A257" s="92"/>
      <c r="B257" s="43" t="s">
        <v>290</v>
      </c>
      <c r="F257" s="44" t="n">
        <f aca="false">V257+V258</f>
        <v>13283.736</v>
      </c>
      <c r="G257" s="48" t="n">
        <f aca="false">F257/52</f>
        <v>255.456461538462</v>
      </c>
      <c r="H257" s="61" t="n">
        <f aca="false">IF(AC257="N",IF(F257&lt;$G$3,$F$3*G257*AE257,IF(F257&lt;$G$2,$F$2*G257*AE257,$F$1*G257*AE257)),0)</f>
        <v>0</v>
      </c>
      <c r="I257" s="61" t="n">
        <f aca="false">IF(AC257="Y",(IF(F257&lt;$G$3,$F$3*G257*AE257,IF(F257&lt;$G$2,$F$2*G257*AE257,$F$1*G257*AE257))*$L$2),0)</f>
        <v>2682.29284615385</v>
      </c>
      <c r="J257" s="61"/>
      <c r="K257" s="61" t="n">
        <f aca="false">IF(AC257="N",(MIN((($F$3*G257*AE257+ROUNDUP((F257/10000),0)*G257)*2),F257)),0)</f>
        <v>0</v>
      </c>
      <c r="L257" s="61" t="n">
        <f aca="false">IF(AC257="Y",(MIN((($F$3*G257*AE257+ROUNDUP((F257/10000),0)*G257)*2),F257))*$L$2,0)</f>
        <v>6897.32446153846</v>
      </c>
      <c r="M257" s="61" t="n">
        <f aca="false">IF(AC257="N",IF((F257/10000*G257*$M$2)&gt;F257*$M$1,F257*$M$1,(F257/10000*G257*$M$2)),0)</f>
        <v>0</v>
      </c>
      <c r="N257" s="61" t="n">
        <f aca="false">IF(AC257="Y",(IF((F257/10000*G257*$M$2)&gt;F257*$M$1,F257*$M$1,(F257/10000*G257*$M$2)))*$L$2,0)</f>
        <v>1018.02485837132</v>
      </c>
      <c r="O257" s="61" t="n">
        <f aca="false">MAX(IF(F257&lt;$G$3,$F$3*G257*AE257,IF(F257&lt;$G$2,$F$2*G257*AE257,$F$1*G257*AE257)),IF((F257/10000*G257*$M$2)&gt;F257*$M$1,F257*$M$1,(F257/10000*G257*$M$2)))</f>
        <v>1788.19523076923</v>
      </c>
      <c r="P257" s="61" t="n">
        <f aca="false">MIN(IF(F257&lt;$G$3,$F$3*G257*AE257,IF(F257&lt;$G$2,$F$2*G257*AE257,$F$1*G257*AE257)),IF((F257/10000*G257*$M$2)&gt;F257*$M$1,F257*$M$1,(F257/10000*G257*$M$2)))</f>
        <v>678.683238914216</v>
      </c>
      <c r="Q257" s="61" t="n">
        <f aca="false">MAX(I257,N257)</f>
        <v>2682.29284615385</v>
      </c>
      <c r="R257" s="61" t="n">
        <f aca="false">MIN(I257,N257)</f>
        <v>1018.02485837132</v>
      </c>
      <c r="S257" s="48"/>
      <c r="T257" s="48"/>
      <c r="U257" s="44" t="s">
        <v>256</v>
      </c>
      <c r="V257" s="44" t="n">
        <f aca="false">(AO257*Calculations!$AR$4)</f>
        <v>83.736</v>
      </c>
      <c r="Y257" s="45" t="n">
        <v>10000</v>
      </c>
      <c r="AC257" s="46" t="s">
        <v>420</v>
      </c>
      <c r="AD257" s="47" t="n">
        <v>34731</v>
      </c>
      <c r="AE257" s="63" t="n">
        <f aca="false">ROUNDUP(DAYS360(AD257,$AE$3)/365,0)</f>
        <v>7</v>
      </c>
      <c r="AL257" s="43" t="n">
        <f aca="false">IF(AC257="N",V257,0)</f>
        <v>0</v>
      </c>
      <c r="AM257" s="43" t="n">
        <f aca="false">IF(AL257&gt;0,1,0)</f>
        <v>0</v>
      </c>
      <c r="AO257" s="61" t="n">
        <v>2400</v>
      </c>
      <c r="AP257" s="44" t="s">
        <v>256</v>
      </c>
    </row>
    <row r="258" customFormat="false" ht="12.75" hidden="false" customHeight="false" outlineLevel="0" collapsed="false">
      <c r="A258" s="92"/>
      <c r="G258" s="48"/>
      <c r="H258" s="61" t="n">
        <f aca="false">IF(AC258="N",IF(F258&lt;$G$3,$F$3*G258*AE258,IF(F258&lt;$G$2,$F$2*G258*AE258,$F$1*G258*AE258)),0)</f>
        <v>0</v>
      </c>
      <c r="I258" s="61" t="n">
        <f aca="false">IF(AC258="Y",(IF(F258&lt;$G$3,$F$3*G258*AE258,IF(F258&lt;$G$2,$F$2*G258*AE258,$F$1*G258*AE258))*$L$2),0)</f>
        <v>0</v>
      </c>
      <c r="J258" s="61"/>
      <c r="K258" s="61" t="n">
        <f aca="false">IF(AC258="N",(MIN((($F$3*G258*AE258+ROUNDUP((F258/10000),0)*G258)*2),F258)),0)</f>
        <v>0</v>
      </c>
      <c r="L258" s="61" t="n">
        <f aca="false">IF(AC258="Y",(MIN((($F$3*G258*AE258+ROUNDUP((F258/10000),0)*G258)*2),F258))*$L$2,0)</f>
        <v>0</v>
      </c>
      <c r="M258" s="61" t="n">
        <f aca="false">IF(AC258="N",IF((F258/10000*G258*$M$2)&gt;F258*$M$1,F258*$M$1,(F258/10000*G258*$M$2)),0)</f>
        <v>0</v>
      </c>
      <c r="N258" s="61" t="n">
        <f aca="false">IF(AC258="Y",(IF((F258/10000*G258*$M$2)&gt;F258*$M$1,F258*$M$1,(F258/10000*G258*$M$2)))*$L$2,0)</f>
        <v>0</v>
      </c>
      <c r="O258" s="61" t="n">
        <f aca="false">MAX(IF(F258&lt;$G$3,$F$3*G258*AE258,IF(F258&lt;$G$2,$F$2*G258*AE258,$F$1*G258*AE258)),IF((F258/10000*G258*$M$2)&gt;F258*$M$1,F258*$M$1,(F258/10000*G258*$M$2)))</f>
        <v>0</v>
      </c>
      <c r="P258" s="61" t="n">
        <f aca="false">MIN(IF(F258&lt;$G$3,$F$3*G258*AE258,IF(F258&lt;$G$2,$F$2*G258*AE258,$F$1*G258*AE258)),IF((F258/10000*G258*$M$2)&gt;F258*$M$1,F258*$M$1,(F258/10000*G258*$M$2)))</f>
        <v>0</v>
      </c>
      <c r="Q258" s="61" t="n">
        <f aca="false">MAX(I258,N258)</f>
        <v>0</v>
      </c>
      <c r="R258" s="61" t="n">
        <f aca="false">MIN(I258,N258)</f>
        <v>0</v>
      </c>
      <c r="S258" s="48"/>
      <c r="T258" s="48"/>
      <c r="U258" s="44" t="s">
        <v>40</v>
      </c>
      <c r="V258" s="44" t="n">
        <f aca="false">AO258</f>
        <v>13200</v>
      </c>
      <c r="Y258" s="45" t="n">
        <f aca="false">(W258+X258)</f>
        <v>0</v>
      </c>
      <c r="AE258" s="63"/>
      <c r="AL258" s="43" t="n">
        <f aca="false">IF(AC258="N",V258,0)</f>
        <v>0</v>
      </c>
      <c r="AM258" s="43" t="n">
        <f aca="false">IF(AL258&gt;0,1,0)</f>
        <v>0</v>
      </c>
      <c r="AO258" s="61" t="n">
        <v>13200</v>
      </c>
      <c r="AP258" s="44" t="s">
        <v>40</v>
      </c>
    </row>
    <row r="259" customFormat="false" ht="12.75" hidden="false" customHeight="false" outlineLevel="0" collapsed="false">
      <c r="A259" s="92"/>
      <c r="B259" s="43" t="s">
        <v>282</v>
      </c>
      <c r="F259" s="44" t="n">
        <f aca="false">V259</f>
        <v>4200</v>
      </c>
      <c r="G259" s="48" t="n">
        <f aca="false">F259/52</f>
        <v>80.7692307692308</v>
      </c>
      <c r="H259" s="61" t="n">
        <f aca="false">IF(AC259="N",IF(F259&lt;$G$3,$F$3*G259*AE259,IF(F259&lt;$G$2,$F$2*G259*AE259,$F$1*G259*AE259)),0)</f>
        <v>0</v>
      </c>
      <c r="I259" s="61" t="n">
        <f aca="false">IF(AC259="Y",(IF(F259&lt;$G$3,$F$3*G259*AE259,IF(F259&lt;$G$2,$F$2*G259*AE259,$F$1*G259*AE259))*$L$2),0)</f>
        <v>242.307692307692</v>
      </c>
      <c r="J259" s="61"/>
      <c r="K259" s="61" t="n">
        <f aca="false">IF(AC259="N",(MIN((($F$3*G259*AE259+ROUNDUP((F259/10000),0)*G259)*2),F259)),0)</f>
        <v>0</v>
      </c>
      <c r="L259" s="61" t="n">
        <f aca="false">IF(AC259="Y",(MIN((($F$3*G259*AE259+ROUNDUP((F259/10000),0)*G259)*2),F259))*$L$2,0)</f>
        <v>726.923076923077</v>
      </c>
      <c r="M259" s="61" t="n">
        <f aca="false">IF(AC259="N",IF((F259/10000*G259*$M$2)&gt;F259*$M$1,F259*$M$1,(F259/10000*G259*$M$2)),0)</f>
        <v>0</v>
      </c>
      <c r="N259" s="61" t="n">
        <f aca="false">IF(AC259="Y",(IF((F259/10000*G259*$M$2)&gt;F259*$M$1,F259*$M$1,(F259/10000*G259*$M$2)))*$L$2,0)</f>
        <v>101.769230769231</v>
      </c>
      <c r="O259" s="61" t="n">
        <f aca="false">MAX(IF(F259&lt;$G$3,$F$3*G259*AE259,IF(F259&lt;$G$2,$F$2*G259*AE259,$F$1*G259*AE259)),IF((F259/10000*G259*$M$2)&gt;F259*$M$1,F259*$M$1,(F259/10000*G259*$M$2)))</f>
        <v>161.538461538462</v>
      </c>
      <c r="P259" s="61" t="n">
        <f aca="false">MIN(IF(F259&lt;$G$3,$F$3*G259*AE259,IF(F259&lt;$G$2,$F$2*G259*AE259,$F$1*G259*AE259)),IF((F259/10000*G259*$M$2)&gt;F259*$M$1,F259*$M$1,(F259/10000*G259*$M$2)))</f>
        <v>67.8461538461539</v>
      </c>
      <c r="Q259" s="61" t="n">
        <f aca="false">MAX(I259,N259)</f>
        <v>242.307692307692</v>
      </c>
      <c r="R259" s="61" t="n">
        <f aca="false">MIN(I259,N259)</f>
        <v>101.769230769231</v>
      </c>
      <c r="S259" s="48"/>
      <c r="T259" s="48"/>
      <c r="U259" s="44" t="s">
        <v>178</v>
      </c>
      <c r="V259" s="44" t="n">
        <f aca="false">AO259</f>
        <v>4200</v>
      </c>
      <c r="Y259" s="45" t="n">
        <f aca="false">(W259+X259)</f>
        <v>0</v>
      </c>
      <c r="AC259" s="46" t="s">
        <v>420</v>
      </c>
      <c r="AD259" s="47" t="n">
        <v>36700</v>
      </c>
      <c r="AE259" s="63" t="n">
        <f aca="false">ROUNDUP(DAYS360(AD259,$AE$3)/365,0)</f>
        <v>2</v>
      </c>
      <c r="AL259" s="43" t="n">
        <f aca="false">IF(AC259="N",V259,0)</f>
        <v>0</v>
      </c>
      <c r="AM259" s="43" t="n">
        <f aca="false">IF(AL259&gt;0,1,0)</f>
        <v>0</v>
      </c>
      <c r="AO259" s="61" t="n">
        <v>4200</v>
      </c>
      <c r="AP259" s="44" t="s">
        <v>178</v>
      </c>
    </row>
    <row r="260" customFormat="false" ht="12.75" hidden="false" customHeight="false" outlineLevel="0" collapsed="false">
      <c r="A260" s="92"/>
      <c r="B260" s="43" t="s">
        <v>289</v>
      </c>
      <c r="F260" s="44" t="n">
        <f aca="false">V260+V261</f>
        <v>7883.736</v>
      </c>
      <c r="G260" s="48" t="n">
        <f aca="false">F260/52</f>
        <v>151.610307692308</v>
      </c>
      <c r="H260" s="61" t="n">
        <f aca="false">IF(AC260="N",IF(F260&lt;$G$3,$F$3*G260*AE260,IF(F260&lt;$G$2,$F$2*G260*AE260,$F$1*G260*AE260)),0)</f>
        <v>0</v>
      </c>
      <c r="I260" s="61" t="n">
        <f aca="false">IF(AC260="Y",(IF(F260&lt;$G$3,$F$3*G260*AE260,IF(F260&lt;$G$2,$F$2*G260*AE260,$F$1*G260*AE260))*$L$2),0)</f>
        <v>1364.49276923077</v>
      </c>
      <c r="J260" s="61"/>
      <c r="K260" s="61" t="n">
        <f aca="false">IF(AC260="N",(MIN((($F$3*G260*AE260+ROUNDUP((F260/10000),0)*G260)*2),F260)),0)</f>
        <v>0</v>
      </c>
      <c r="L260" s="61" t="n">
        <f aca="false">IF(AC260="Y",(MIN((($F$3*G260*AE260+ROUNDUP((F260/10000),0)*G260)*2),F260))*$L$2,0)</f>
        <v>3183.81646153846</v>
      </c>
      <c r="M260" s="61" t="n">
        <f aca="false">IF(AC260="N",IF((F260/10000*G260*$M$2)&gt;F260*$M$1,F260*$M$1,(F260/10000*G260*$M$2)),0)</f>
        <v>0</v>
      </c>
      <c r="N260" s="61" t="n">
        <f aca="false">IF(AC260="Y",(IF((F260/10000*G260*$M$2)&gt;F260*$M$1,F260*$M$1,(F260/10000*G260*$M$2)))*$L$2,0)</f>
        <v>358.576692217477</v>
      </c>
      <c r="O260" s="61" t="n">
        <f aca="false">MAX(IF(F260&lt;$G$3,$F$3*G260*AE260,IF(F260&lt;$G$2,$F$2*G260*AE260,$F$1*G260*AE260)),IF((F260/10000*G260*$M$2)&gt;F260*$M$1,F260*$M$1,(F260/10000*G260*$M$2)))</f>
        <v>909.661846153846</v>
      </c>
      <c r="P260" s="61" t="n">
        <f aca="false">MIN(IF(F260&lt;$G$3,$F$3*G260*AE260,IF(F260&lt;$G$2,$F$2*G260*AE260,$F$1*G260*AE260)),IF((F260/10000*G260*$M$2)&gt;F260*$M$1,F260*$M$1,(F260/10000*G260*$M$2)))</f>
        <v>239.051128144985</v>
      </c>
      <c r="Q260" s="61" t="n">
        <f aca="false">MAX(I260,N260)</f>
        <v>1364.49276923077</v>
      </c>
      <c r="R260" s="61" t="n">
        <f aca="false">MIN(I260,N260)</f>
        <v>358.576692217477</v>
      </c>
      <c r="S260" s="48"/>
      <c r="T260" s="48"/>
      <c r="U260" s="44" t="s">
        <v>256</v>
      </c>
      <c r="V260" s="44" t="n">
        <f aca="false">(AO260*Calculations!$AR$4)</f>
        <v>83.736</v>
      </c>
      <c r="Y260" s="45" t="n">
        <f aca="false">(W260+X260)</f>
        <v>0</v>
      </c>
      <c r="AC260" s="46" t="s">
        <v>420</v>
      </c>
      <c r="AD260" s="47" t="n">
        <v>34851</v>
      </c>
      <c r="AE260" s="63" t="n">
        <f aca="false">ROUNDUP(DAYS360(AD260,$AE$3)/365,0)</f>
        <v>6</v>
      </c>
      <c r="AL260" s="43" t="n">
        <f aca="false">IF(AC260="N",V260,0)</f>
        <v>0</v>
      </c>
      <c r="AM260" s="43" t="n">
        <f aca="false">IF(AL260&gt;0,1,0)</f>
        <v>0</v>
      </c>
      <c r="AO260" s="61" t="n">
        <v>2400</v>
      </c>
      <c r="AP260" s="44" t="s">
        <v>256</v>
      </c>
    </row>
    <row r="261" customFormat="false" ht="12.75" hidden="false" customHeight="false" outlineLevel="0" collapsed="false">
      <c r="A261" s="92"/>
      <c r="G261" s="48"/>
      <c r="H261" s="61" t="n">
        <f aca="false">IF(AC261="N",IF(F261&lt;$G$3,$F$3*G261*AE261,IF(F261&lt;$G$2,$F$2*G261*AE261,$F$1*G261*AE261)),0)</f>
        <v>0</v>
      </c>
      <c r="I261" s="61" t="n">
        <f aca="false">IF(AC261="Y",(IF(F261&lt;$G$3,$F$3*G261*AE261,IF(F261&lt;$G$2,$F$2*G261*AE261,$F$1*G261*AE261))*$L$2),0)</f>
        <v>0</v>
      </c>
      <c r="J261" s="61"/>
      <c r="K261" s="61" t="n">
        <f aca="false">IF(AC261="N",(MIN((($F$3*G261*AE261+ROUNDUP((F261/10000),0)*G261)*2),F261)),0)</f>
        <v>0</v>
      </c>
      <c r="L261" s="61" t="n">
        <f aca="false">IF(AC261="Y",(MIN((($F$3*G261*AE261+ROUNDUP((F261/10000),0)*G261)*2),F261))*$L$2,0)</f>
        <v>0</v>
      </c>
      <c r="M261" s="61" t="n">
        <f aca="false">IF(AC261="N",IF((F261/10000*G261*$M$2)&gt;F261*$M$1,F261*$M$1,(F261/10000*G261*$M$2)),0)</f>
        <v>0</v>
      </c>
      <c r="N261" s="61" t="n">
        <f aca="false">IF(AC261="Y",(IF((F261/10000*G261*$M$2)&gt;F261*$M$1,F261*$M$1,(F261/10000*G261*$M$2)))*$L$2,0)</f>
        <v>0</v>
      </c>
      <c r="O261" s="61" t="n">
        <f aca="false">MAX(IF(F261&lt;$G$3,$F$3*G261*AE261,IF(F261&lt;$G$2,$F$2*G261*AE261,$F$1*G261*AE261)),IF((F261/10000*G261*$M$2)&gt;F261*$M$1,F261*$M$1,(F261/10000*G261*$M$2)))</f>
        <v>0</v>
      </c>
      <c r="P261" s="61" t="n">
        <f aca="false">MIN(IF(F261&lt;$G$3,$F$3*G261*AE261,IF(F261&lt;$G$2,$F$2*G261*AE261,$F$1*G261*AE261)),IF((F261/10000*G261*$M$2)&gt;F261*$M$1,F261*$M$1,(F261/10000*G261*$M$2)))</f>
        <v>0</v>
      </c>
      <c r="Q261" s="61" t="n">
        <f aca="false">MAX(I261,N261)</f>
        <v>0</v>
      </c>
      <c r="R261" s="61" t="n">
        <f aca="false">MIN(I261,N261)</f>
        <v>0</v>
      </c>
      <c r="S261" s="48"/>
      <c r="T261" s="48"/>
      <c r="U261" s="44" t="s">
        <v>40</v>
      </c>
      <c r="V261" s="44" t="n">
        <f aca="false">AO261</f>
        <v>7800</v>
      </c>
      <c r="Y261" s="45" t="n">
        <f aca="false">(W261+X261)</f>
        <v>0</v>
      </c>
      <c r="AE261" s="63"/>
      <c r="AL261" s="43" t="n">
        <f aca="false">IF(AC261="N",V261,0)</f>
        <v>0</v>
      </c>
      <c r="AM261" s="43" t="n">
        <f aca="false">IF(AL261&gt;0,1,0)</f>
        <v>0</v>
      </c>
      <c r="AO261" s="61" t="n">
        <v>7800</v>
      </c>
      <c r="AP261" s="44" t="s">
        <v>40</v>
      </c>
    </row>
    <row r="262" customFormat="false" ht="12.75" hidden="false" customHeight="false" outlineLevel="0" collapsed="false">
      <c r="A262" s="92"/>
      <c r="B262" s="43" t="s">
        <v>286</v>
      </c>
      <c r="F262" s="44" t="n">
        <f aca="false">V262</f>
        <v>3600</v>
      </c>
      <c r="G262" s="48" t="n">
        <f aca="false">F262/52</f>
        <v>69.2307692307692</v>
      </c>
      <c r="H262" s="61" t="n">
        <f aca="false">IF(AC262="N",IF(F262&lt;$G$3,$F$3*G262*AE262,IF(F262&lt;$G$2,$F$2*G262*AE262,$F$1*G262*AE262)),0)</f>
        <v>0</v>
      </c>
      <c r="I262" s="61" t="n">
        <f aca="false">IF(AC262="Y",(IF(F262&lt;$G$3,$F$3*G262*AE262,IF(F262&lt;$G$2,$F$2*G262*AE262,$F$1*G262*AE262))*$L$2),0)</f>
        <v>103.846153846154</v>
      </c>
      <c r="J262" s="61"/>
      <c r="K262" s="61" t="n">
        <f aca="false">IF(AC262="N",(MIN((($F$3*G262*AE262+ROUNDUP((F262/10000),0)*G262)*2),F262)),0)</f>
        <v>0</v>
      </c>
      <c r="L262" s="61" t="n">
        <f aca="false">IF(AC262="Y",(MIN((($F$3*G262*AE262+ROUNDUP((F262/10000),0)*G262)*2),F262))*$L$2,0)</f>
        <v>415.384615384615</v>
      </c>
      <c r="M262" s="61" t="n">
        <f aca="false">IF(AC262="N",IF((F262/10000*G262*$M$2)&gt;F262*$M$1,F262*$M$1,(F262/10000*G262*$M$2)),0)</f>
        <v>0</v>
      </c>
      <c r="N262" s="61" t="n">
        <f aca="false">IF(AC262="Y",(IF((F262/10000*G262*$M$2)&gt;F262*$M$1,F262*$M$1,(F262/10000*G262*$M$2)))*$L$2,0)</f>
        <v>74.7692307692308</v>
      </c>
      <c r="O262" s="61" t="n">
        <f aca="false">MAX(IF(F262&lt;$G$3,$F$3*G262*AE262,IF(F262&lt;$G$2,$F$2*G262*AE262,$F$1*G262*AE262)),IF((F262/10000*G262*$M$2)&gt;F262*$M$1,F262*$M$1,(F262/10000*G262*$M$2)))</f>
        <v>69.2307692307692</v>
      </c>
      <c r="P262" s="61" t="n">
        <f aca="false">MIN(IF(F262&lt;$G$3,$F$3*G262*AE262,IF(F262&lt;$G$2,$F$2*G262*AE262,$F$1*G262*AE262)),IF((F262/10000*G262*$M$2)&gt;F262*$M$1,F262*$M$1,(F262/10000*G262*$M$2)))</f>
        <v>49.8461538461538</v>
      </c>
      <c r="Q262" s="61" t="n">
        <f aca="false">MAX(I262,N262)</f>
        <v>103.846153846154</v>
      </c>
      <c r="R262" s="61" t="n">
        <f aca="false">MIN(I262,N262)</f>
        <v>74.7692307692308</v>
      </c>
      <c r="S262" s="48"/>
      <c r="T262" s="48"/>
      <c r="U262" s="44" t="s">
        <v>178</v>
      </c>
      <c r="V262" s="44" t="n">
        <f aca="false">AO262</f>
        <v>3600</v>
      </c>
      <c r="Y262" s="45" t="n">
        <f aca="false">(W262+X262)</f>
        <v>0</v>
      </c>
      <c r="AC262" s="46" t="s">
        <v>420</v>
      </c>
      <c r="AD262" s="47" t="n">
        <v>36867</v>
      </c>
      <c r="AE262" s="63" t="n">
        <f aca="false">ROUNDUP(DAYS360(AD262,$AE$3)/365,0)</f>
        <v>1</v>
      </c>
      <c r="AL262" s="43" t="n">
        <f aca="false">IF(AC262="N",V262,0)</f>
        <v>0</v>
      </c>
      <c r="AM262" s="43" t="n">
        <f aca="false">IF(AL262&gt;0,1,0)</f>
        <v>0</v>
      </c>
      <c r="AO262" s="61" t="n">
        <v>3600</v>
      </c>
      <c r="AP262" s="44" t="s">
        <v>178</v>
      </c>
    </row>
    <row r="263" customFormat="false" ht="12.75" hidden="false" customHeight="false" outlineLevel="0" collapsed="false">
      <c r="A263" s="92"/>
      <c r="B263" s="43" t="s">
        <v>270</v>
      </c>
      <c r="F263" s="44" t="n">
        <f aca="false">V263+V264</f>
        <v>29051.208</v>
      </c>
      <c r="G263" s="48" t="n">
        <f aca="false">F263/52</f>
        <v>558.677076923077</v>
      </c>
      <c r="H263" s="61" t="n">
        <f aca="false">IF(AC263="N",IF(F263&lt;$G$3,$F$3*G263*AE263,IF(F263&lt;$G$2,$F$2*G263*AE263,$F$1*G263*AE263)),0)</f>
        <v>0</v>
      </c>
      <c r="I263" s="61" t="n">
        <f aca="false">IF(AC263="Y",(IF(F263&lt;$G$3,$F$3*G263*AE263,IF(F263&lt;$G$2,$F$2*G263*AE263,$F$1*G263*AE263))*$L$2),0)</f>
        <v>5028.09369230769</v>
      </c>
      <c r="J263" s="61"/>
      <c r="K263" s="61" t="n">
        <f aca="false">IF(AC263="N",(MIN((($F$3*G263*AE263+ROUNDUP((F263/10000),0)*G263)*2),F263)),0)</f>
        <v>0</v>
      </c>
      <c r="L263" s="61" t="n">
        <f aca="false">IF(AC263="Y",(MIN((($F$3*G263*AE263+ROUNDUP((F263/10000),0)*G263)*2),F263))*$L$2,0)</f>
        <v>15084.2810769231</v>
      </c>
      <c r="M263" s="61" t="n">
        <f aca="false">IF(AC263="N",IF((F263/10000*G263*$M$2)&gt;F263*$M$1,F263*$M$1,(F263/10000*G263*$M$2)),0)</f>
        <v>0</v>
      </c>
      <c r="N263" s="61" t="n">
        <f aca="false">IF(AC263="Y",(IF((F263/10000*G263*$M$2)&gt;F263*$M$1,F263*$M$1,(F263/10000*G263*$M$2)))*$L$2,0)</f>
        <v>4869.07318995729</v>
      </c>
      <c r="O263" s="61" t="n">
        <f aca="false">MAX(IF(F263&lt;$G$3,$F$3*G263*AE263,IF(F263&lt;$G$2,$F$2*G263*AE263,$F$1*G263*AE263)),IF((F263/10000*G263*$M$2)&gt;F263*$M$1,F263*$M$1,(F263/10000*G263*$M$2)))</f>
        <v>3352.06246153846</v>
      </c>
      <c r="P263" s="61" t="n">
        <f aca="false">MIN(IF(F263&lt;$G$3,$F$3*G263*AE263,IF(F263&lt;$G$2,$F$2*G263*AE263,$F$1*G263*AE263)),IF((F263/10000*G263*$M$2)&gt;F263*$M$1,F263*$M$1,(F263/10000*G263*$M$2)))</f>
        <v>3246.04879330486</v>
      </c>
      <c r="Q263" s="61" t="n">
        <f aca="false">MAX(I263,N263)</f>
        <v>5028.09369230769</v>
      </c>
      <c r="R263" s="61" t="n">
        <f aca="false">MIN(I263,N263)</f>
        <v>4869.07318995729</v>
      </c>
      <c r="S263" s="48"/>
      <c r="T263" s="48"/>
      <c r="U263" s="44" t="s">
        <v>256</v>
      </c>
      <c r="V263" s="44" t="n">
        <f aca="false">(AO263*Calculations!$AR$4)</f>
        <v>251.208</v>
      </c>
      <c r="Y263" s="45" t="n">
        <v>10000</v>
      </c>
      <c r="AC263" s="46" t="s">
        <v>420</v>
      </c>
      <c r="AD263" s="47" t="n">
        <v>34876</v>
      </c>
      <c r="AE263" s="63" t="n">
        <f aca="false">ROUNDUP(DAYS360(AD263,$AE$3)/365,0)</f>
        <v>6</v>
      </c>
      <c r="AL263" s="43" t="n">
        <f aca="false">IF(AC263="N",V263,0)</f>
        <v>0</v>
      </c>
      <c r="AM263" s="43" t="n">
        <f aca="false">IF(AL263&gt;0,1,0)</f>
        <v>0</v>
      </c>
      <c r="AO263" s="61" t="n">
        <v>7200</v>
      </c>
      <c r="AP263" s="44" t="s">
        <v>256</v>
      </c>
    </row>
    <row r="264" customFormat="false" ht="12.75" hidden="false" customHeight="false" outlineLevel="0" collapsed="false">
      <c r="A264" s="92"/>
      <c r="G264" s="48"/>
      <c r="H264" s="61" t="n">
        <f aca="false">IF(AC264="N",IF(F264&lt;$G$3,$F$3*G264*AE264,IF(F264&lt;$G$2,$F$2*G264*AE264,$F$1*G264*AE264)),0)</f>
        <v>0</v>
      </c>
      <c r="I264" s="61" t="n">
        <f aca="false">IF(AC264="Y",(IF(F264&lt;$G$3,$F$3*G264*AE264,IF(F264&lt;$G$2,$F$2*G264*AE264,$F$1*G264*AE264))*$L$2),0)</f>
        <v>0</v>
      </c>
      <c r="J264" s="61"/>
      <c r="K264" s="61" t="n">
        <f aca="false">IF(AC264="N",(MIN((($F$3*G264*AE264+ROUNDUP((F264/10000),0)*G264)*2),F264)),0)</f>
        <v>0</v>
      </c>
      <c r="L264" s="61" t="n">
        <f aca="false">IF(AC264="Y",(MIN((($F$3*G264*AE264+ROUNDUP((F264/10000),0)*G264)*2),F264))*$L$2,0)</f>
        <v>0</v>
      </c>
      <c r="M264" s="61" t="n">
        <f aca="false">IF(AC264="N",IF((F264/10000*G264*$M$2)&gt;F264*$M$1,F264*$M$1,(F264/10000*G264*$M$2)),0)</f>
        <v>0</v>
      </c>
      <c r="N264" s="61" t="n">
        <f aca="false">IF(AC264="Y",(IF((F264/10000*G264*$M$2)&gt;F264*$M$1,F264*$M$1,(F264/10000*G264*$M$2)))*$L$2,0)</f>
        <v>0</v>
      </c>
      <c r="O264" s="61" t="n">
        <f aca="false">MAX(IF(F264&lt;$G$3,$F$3*G264*AE264,IF(F264&lt;$G$2,$F$2*G264*AE264,$F$1*G264*AE264)),IF((F264/10000*G264*$M$2)&gt;F264*$M$1,F264*$M$1,(F264/10000*G264*$M$2)))</f>
        <v>0</v>
      </c>
      <c r="P264" s="61" t="n">
        <f aca="false">MIN(IF(F264&lt;$G$3,$F$3*G264*AE264,IF(F264&lt;$G$2,$F$2*G264*AE264,$F$1*G264*AE264)),IF((F264/10000*G264*$M$2)&gt;F264*$M$1,F264*$M$1,(F264/10000*G264*$M$2)))</f>
        <v>0</v>
      </c>
      <c r="Q264" s="61" t="n">
        <f aca="false">MAX(I264,N264)</f>
        <v>0</v>
      </c>
      <c r="R264" s="61" t="n">
        <f aca="false">MIN(I264,N264)</f>
        <v>0</v>
      </c>
      <c r="S264" s="48"/>
      <c r="T264" s="48"/>
      <c r="U264" s="44" t="s">
        <v>40</v>
      </c>
      <c r="V264" s="44" t="n">
        <f aca="false">AO264</f>
        <v>28800</v>
      </c>
      <c r="Y264" s="45" t="n">
        <f aca="false">(W264+X264)</f>
        <v>0</v>
      </c>
      <c r="AC264" s="46" t="s">
        <v>420</v>
      </c>
      <c r="AE264" s="63"/>
      <c r="AL264" s="43" t="n">
        <f aca="false">IF(AC264="N",V264,0)</f>
        <v>0</v>
      </c>
      <c r="AM264" s="43" t="n">
        <f aca="false">IF(AL264&gt;0,1,0)</f>
        <v>0</v>
      </c>
      <c r="AO264" s="61" t="n">
        <v>28800</v>
      </c>
      <c r="AP264" s="44" t="s">
        <v>40</v>
      </c>
    </row>
    <row r="265" customFormat="false" ht="12.75" hidden="false" customHeight="false" outlineLevel="0" collapsed="false">
      <c r="A265" s="92"/>
      <c r="B265" s="43" t="s">
        <v>283</v>
      </c>
      <c r="F265" s="44" t="n">
        <f aca="false">V265</f>
        <v>4200</v>
      </c>
      <c r="G265" s="48" t="n">
        <f aca="false">F265/52</f>
        <v>80.7692307692308</v>
      </c>
      <c r="H265" s="61" t="n">
        <f aca="false">IF(AC265="N",IF(F265&lt;$G$3,$F$3*G265*AE265,IF(F265&lt;$G$2,$F$2*G265*AE265,$F$1*G265*AE265)),0)</f>
        <v>0</v>
      </c>
      <c r="I265" s="61" t="n">
        <f aca="false">IF(AC265="Y",(IF(F265&lt;$G$3,$F$3*G265*AE265,IF(F265&lt;$G$2,$F$2*G265*AE265,$F$1*G265*AE265))*$L$2),0)</f>
        <v>242.307692307692</v>
      </c>
      <c r="J265" s="61"/>
      <c r="K265" s="61" t="n">
        <f aca="false">IF(AC265="N",(MIN((($F$3*G265*AE265+ROUNDUP((F265/10000),0)*G265)*2),F265)),0)</f>
        <v>0</v>
      </c>
      <c r="L265" s="61" t="n">
        <f aca="false">IF(AC265="Y",(MIN((($F$3*G265*AE265+ROUNDUP((F265/10000),0)*G265)*2),F265))*$L$2,0)</f>
        <v>726.923076923077</v>
      </c>
      <c r="M265" s="61" t="n">
        <f aca="false">IF(AC265="N",IF((F265/10000*G265*$M$2)&gt;F265*$M$1,F265*$M$1,(F265/10000*G265*$M$2)),0)</f>
        <v>0</v>
      </c>
      <c r="N265" s="61" t="n">
        <f aca="false">IF(AC265="Y",(IF((F265/10000*G265*$M$2)&gt;F265*$M$1,F265*$M$1,(F265/10000*G265*$M$2)))*$L$2,0)</f>
        <v>101.769230769231</v>
      </c>
      <c r="O265" s="61" t="n">
        <f aca="false">MAX(IF(F265&lt;$G$3,$F$3*G265*AE265,IF(F265&lt;$G$2,$F$2*G265*AE265,$F$1*G265*AE265)),IF((F265/10000*G265*$M$2)&gt;F265*$M$1,F265*$M$1,(F265/10000*G265*$M$2)))</f>
        <v>161.538461538462</v>
      </c>
      <c r="P265" s="61" t="n">
        <f aca="false">MIN(IF(F265&lt;$G$3,$F$3*G265*AE265,IF(F265&lt;$G$2,$F$2*G265*AE265,$F$1*G265*AE265)),IF((F265/10000*G265*$M$2)&gt;F265*$M$1,F265*$M$1,(F265/10000*G265*$M$2)))</f>
        <v>67.8461538461539</v>
      </c>
      <c r="Q265" s="61" t="n">
        <f aca="false">MAX(I265,N265)</f>
        <v>242.307692307692</v>
      </c>
      <c r="R265" s="61" t="n">
        <f aca="false">MIN(I265,N265)</f>
        <v>101.769230769231</v>
      </c>
      <c r="S265" s="48"/>
      <c r="T265" s="48"/>
      <c r="U265" s="44" t="s">
        <v>431</v>
      </c>
      <c r="V265" s="44" t="n">
        <f aca="false">AO265</f>
        <v>4200</v>
      </c>
      <c r="Y265" s="45" t="n">
        <f aca="false">(W265+X265)</f>
        <v>0</v>
      </c>
      <c r="AC265" s="46" t="s">
        <v>420</v>
      </c>
      <c r="AD265" s="47" t="n">
        <v>36356</v>
      </c>
      <c r="AE265" s="63" t="n">
        <f aca="false">ROUNDUP(DAYS360(AD265,$AE$3)/365,0)</f>
        <v>2</v>
      </c>
      <c r="AL265" s="43" t="n">
        <f aca="false">IF(AC265="N",V265,0)</f>
        <v>0</v>
      </c>
      <c r="AM265" s="43" t="n">
        <f aca="false">IF(AL265&gt;0,1,0)</f>
        <v>0</v>
      </c>
      <c r="AO265" s="61" t="n">
        <v>4200</v>
      </c>
      <c r="AP265" s="44"/>
    </row>
    <row r="266" customFormat="false" ht="12.75" hidden="false" customHeight="false" outlineLevel="0" collapsed="false">
      <c r="A266" s="92"/>
      <c r="B266" s="43" t="s">
        <v>288</v>
      </c>
      <c r="F266" s="44" t="n">
        <f aca="false">V266+V267</f>
        <v>5483.736</v>
      </c>
      <c r="G266" s="48" t="n">
        <f aca="false">F266/52</f>
        <v>105.456461538462</v>
      </c>
      <c r="H266" s="61" t="n">
        <f aca="false">IF(AC266="N",IF(F266&lt;$G$3,$F$3*G266*AE266,IF(F266&lt;$G$2,$F$2*G266*AE266,$F$1*G266*AE266)),0)</f>
        <v>0</v>
      </c>
      <c r="I266" s="61" t="n">
        <f aca="false">IF(AC266="Y",(IF(F266&lt;$G$3,$F$3*G266*AE266,IF(F266&lt;$G$2,$F$2*G266*AE266,$F$1*G266*AE266))*$L$2),0)</f>
        <v>316.369384615385</v>
      </c>
      <c r="J266" s="61"/>
      <c r="K266" s="61" t="n">
        <f aca="false">IF(AC266="N",(MIN((($F$3*G266*AE266+ROUNDUP((F266/10000),0)*G266)*2),F266)),0)</f>
        <v>0</v>
      </c>
      <c r="L266" s="61" t="n">
        <f aca="false">IF(AC266="Y",(MIN((($F$3*G266*AE266+ROUNDUP((F266/10000),0)*G266)*2),F266))*$L$2,0)</f>
        <v>949.108153846154</v>
      </c>
      <c r="M266" s="61" t="n">
        <f aca="false">IF(AC266="N",IF((F266/10000*G266*$M$2)&gt;F266*$M$1,F266*$M$1,(F266/10000*G266*$M$2)),0)</f>
        <v>0</v>
      </c>
      <c r="N266" s="61" t="n">
        <f aca="false">IF(AC266="Y",(IF((F266/10000*G266*$M$2)&gt;F266*$M$1,F266*$M$1,(F266/10000*G266*$M$2)))*$L$2,0)</f>
        <v>173.488618371323</v>
      </c>
      <c r="O266" s="61" t="n">
        <f aca="false">MAX(IF(F266&lt;$G$3,$F$3*G266*AE266,IF(F266&lt;$G$2,$F$2*G266*AE266,$F$1*G266*AE266)),IF((F266/10000*G266*$M$2)&gt;F266*$M$1,F266*$M$1,(F266/10000*G266*$M$2)))</f>
        <v>210.912923076923</v>
      </c>
      <c r="P266" s="61" t="n">
        <f aca="false">MIN(IF(F266&lt;$G$3,$F$3*G266*AE266,IF(F266&lt;$G$2,$F$2*G266*AE266,$F$1*G266*AE266)),IF((F266/10000*G266*$M$2)&gt;F266*$M$1,F266*$M$1,(F266/10000*G266*$M$2)))</f>
        <v>115.659078914215</v>
      </c>
      <c r="Q266" s="61" t="n">
        <f aca="false">MAX(I266,N266)</f>
        <v>316.369384615385</v>
      </c>
      <c r="R266" s="61" t="n">
        <f aca="false">MIN(I266,N266)</f>
        <v>173.488618371323</v>
      </c>
      <c r="S266" s="48"/>
      <c r="T266" s="48"/>
      <c r="U266" s="44" t="s">
        <v>256</v>
      </c>
      <c r="V266" s="44" t="n">
        <f aca="false">(AO266*Calculations!$AR$4)</f>
        <v>83.736</v>
      </c>
      <c r="Y266" s="45" t="n">
        <f aca="false">(W266+X266)</f>
        <v>0</v>
      </c>
      <c r="AC266" s="46" t="s">
        <v>420</v>
      </c>
      <c r="AD266" s="47" t="n">
        <v>36526</v>
      </c>
      <c r="AE266" s="63" t="n">
        <f aca="false">ROUNDUP(DAYS360(AD266,$AE$3)/365,0)</f>
        <v>2</v>
      </c>
      <c r="AL266" s="43" t="n">
        <f aca="false">IF(AC266="N",V266,0)</f>
        <v>0</v>
      </c>
      <c r="AM266" s="43" t="n">
        <f aca="false">IF(AL266&gt;0,1,0)</f>
        <v>0</v>
      </c>
      <c r="AO266" s="61" t="n">
        <v>2400</v>
      </c>
      <c r="AP266" s="44" t="s">
        <v>256</v>
      </c>
    </row>
    <row r="267" customFormat="false" ht="12.75" hidden="false" customHeight="false" outlineLevel="0" collapsed="false">
      <c r="A267" s="92"/>
      <c r="G267" s="48"/>
      <c r="H267" s="61" t="n">
        <f aca="false">IF(AC267="N",IF(F267&lt;$G$3,$F$3*G267*AE267,IF(F267&lt;$G$2,$F$2*G267*AE267,$F$1*G267*AE267)),0)</f>
        <v>0</v>
      </c>
      <c r="I267" s="61" t="n">
        <f aca="false">IF(AC267="Y",(IF(F267&lt;$G$3,$F$3*G267*AE267,IF(F267&lt;$G$2,$F$2*G267*AE267,$F$1*G267*AE267))*$L$2),0)</f>
        <v>0</v>
      </c>
      <c r="J267" s="61"/>
      <c r="K267" s="61" t="n">
        <f aca="false">IF(AC267="N",(MIN((($F$3*G267*AE267+ROUNDUP((F267/10000),0)*G267)*2),F267)),0)</f>
        <v>0</v>
      </c>
      <c r="L267" s="61" t="n">
        <f aca="false">IF(AC267="Y",(MIN((($F$3*G267*AE267+ROUNDUP((F267/10000),0)*G267)*2),F267))*$L$2,0)</f>
        <v>0</v>
      </c>
      <c r="M267" s="61" t="n">
        <f aca="false">IF(AC267="N",IF((F267/10000*G267*$M$2)&gt;F267*$M$1,F267*$M$1,(F267/10000*G267*$M$2)),0)</f>
        <v>0</v>
      </c>
      <c r="N267" s="61" t="n">
        <f aca="false">IF(AC267="Y",(IF((F267/10000*G267*$M$2)&gt;F267*$M$1,F267*$M$1,(F267/10000*G267*$M$2)))*$L$2,0)</f>
        <v>0</v>
      </c>
      <c r="O267" s="61" t="n">
        <f aca="false">MAX(IF(F267&lt;$G$3,$F$3*G267*AE267,IF(F267&lt;$G$2,$F$2*G267*AE267,$F$1*G267*AE267)),IF((F267/10000*G267*$M$2)&gt;F267*$M$1,F267*$M$1,(F267/10000*G267*$M$2)))</f>
        <v>0</v>
      </c>
      <c r="P267" s="61" t="n">
        <f aca="false">MIN(IF(F267&lt;$G$3,$F$3*G267*AE267,IF(F267&lt;$G$2,$F$2*G267*AE267,$F$1*G267*AE267)),IF((F267/10000*G267*$M$2)&gt;F267*$M$1,F267*$M$1,(F267/10000*G267*$M$2)))</f>
        <v>0</v>
      </c>
      <c r="Q267" s="61" t="n">
        <f aca="false">MAX(I267,N267)</f>
        <v>0</v>
      </c>
      <c r="R267" s="61" t="n">
        <f aca="false">MIN(I267,N267)</f>
        <v>0</v>
      </c>
      <c r="S267" s="48"/>
      <c r="T267" s="48"/>
      <c r="U267" s="44" t="s">
        <v>40</v>
      </c>
      <c r="V267" s="44" t="n">
        <f aca="false">AO267</f>
        <v>5400</v>
      </c>
      <c r="Y267" s="45" t="n">
        <f aca="false">(W267+X267)</f>
        <v>0</v>
      </c>
      <c r="AC267" s="46" t="s">
        <v>420</v>
      </c>
      <c r="AE267" s="63"/>
      <c r="AL267" s="43" t="n">
        <f aca="false">IF(AC267="N",V267,0)</f>
        <v>0</v>
      </c>
      <c r="AM267" s="43" t="n">
        <f aca="false">IF(AL267&gt;0,1,0)</f>
        <v>0</v>
      </c>
      <c r="AO267" s="61" t="n">
        <v>5400</v>
      </c>
      <c r="AP267" s="44" t="s">
        <v>40</v>
      </c>
    </row>
    <row r="268" customFormat="false" ht="12.75" hidden="false" customHeight="false" outlineLevel="0" collapsed="false">
      <c r="A268" s="92"/>
      <c r="B268" s="43" t="s">
        <v>267</v>
      </c>
      <c r="F268" s="44" t="n">
        <f aca="false">V268</f>
        <v>9000</v>
      </c>
      <c r="G268" s="48" t="n">
        <f aca="false">F268/52</f>
        <v>173.076923076923</v>
      </c>
      <c r="H268" s="61" t="n">
        <f aca="false">IF(AC268="N",IF(F268&lt;$G$3,$F$3*G268*AE268,IF(F268&lt;$G$2,$F$2*G268*AE268,$F$1*G268*AE268)),0)</f>
        <v>0</v>
      </c>
      <c r="I268" s="61" t="n">
        <f aca="false">IF(AC268="Y",(IF(F268&lt;$G$3,$F$3*G268*AE268,IF(F268&lt;$G$2,$F$2*G268*AE268,$F$1*G268*AE268))*$L$2),0)</f>
        <v>2336.53846153846</v>
      </c>
      <c r="J268" s="61"/>
      <c r="K268" s="61" t="n">
        <f aca="false">IF(AC268="N",(MIN((($F$3*G268*AE268+ROUNDUP((F268/10000),0)*G268)*2),F268)),0)</f>
        <v>0</v>
      </c>
      <c r="L268" s="61" t="n">
        <f aca="false">IF(AC268="Y",(MIN((($F$3*G268*AE268+ROUNDUP((F268/10000),0)*G268)*2),F268))*$L$2,0)</f>
        <v>5192.30769230769</v>
      </c>
      <c r="M268" s="61" t="n">
        <f aca="false">IF(AC268="N",IF((F268/10000*G268*$M$2)&gt;F268*$M$1,F268*$M$1,(F268/10000*G268*$M$2)),0)</f>
        <v>0</v>
      </c>
      <c r="N268" s="61" t="n">
        <f aca="false">IF(AC268="Y",(IF((F268/10000*G268*$M$2)&gt;F268*$M$1,F268*$M$1,(F268/10000*G268*$M$2)))*$L$2,0)</f>
        <v>467.307692307692</v>
      </c>
      <c r="O268" s="61" t="n">
        <f aca="false">MAX(IF(F268&lt;$G$3,$F$3*G268*AE268,IF(F268&lt;$G$2,$F$2*G268*AE268,$F$1*G268*AE268)),IF((F268/10000*G268*$M$2)&gt;F268*$M$1,F268*$M$1,(F268/10000*G268*$M$2)))</f>
        <v>1557.69230769231</v>
      </c>
      <c r="P268" s="61" t="n">
        <f aca="false">MIN(IF(F268&lt;$G$3,$F$3*G268*AE268,IF(F268&lt;$G$2,$F$2*G268*AE268,$F$1*G268*AE268)),IF((F268/10000*G268*$M$2)&gt;F268*$M$1,F268*$M$1,(F268/10000*G268*$M$2)))</f>
        <v>311.538461538462</v>
      </c>
      <c r="Q268" s="61" t="n">
        <f aca="false">MAX(I268,N268)</f>
        <v>2336.53846153846</v>
      </c>
      <c r="R268" s="61" t="n">
        <f aca="false">MIN(I268,N268)</f>
        <v>467.307692307692</v>
      </c>
      <c r="S268" s="48"/>
      <c r="T268" s="48"/>
      <c r="U268" s="44" t="s">
        <v>40</v>
      </c>
      <c r="V268" s="44" t="n">
        <f aca="false">AO268</f>
        <v>9000</v>
      </c>
      <c r="Y268" s="45" t="n">
        <f aca="false">(W268+X268)</f>
        <v>0</v>
      </c>
      <c r="AC268" s="46" t="s">
        <v>420</v>
      </c>
      <c r="AD268" s="47" t="n">
        <v>33989</v>
      </c>
      <c r="AE268" s="63" t="n">
        <f aca="false">ROUNDUP(DAYS360(AD268,$AE$3)/365,0)</f>
        <v>9</v>
      </c>
      <c r="AL268" s="43" t="n">
        <f aca="false">IF(AC268="N",V268,0)</f>
        <v>0</v>
      </c>
      <c r="AM268" s="43" t="n">
        <f aca="false">IF(AL268&gt;0,1,0)</f>
        <v>0</v>
      </c>
      <c r="AO268" s="61" t="n">
        <v>9000</v>
      </c>
      <c r="AP268" s="44" t="s">
        <v>40</v>
      </c>
    </row>
    <row r="269" customFormat="false" ht="12.75" hidden="false" customHeight="false" outlineLevel="0" collapsed="false">
      <c r="A269" s="92"/>
      <c r="F269" s="48"/>
      <c r="G269" s="48"/>
      <c r="H269" s="61"/>
      <c r="I269" s="61"/>
      <c r="J269" s="61"/>
      <c r="K269" s="61"/>
      <c r="L269" s="61"/>
      <c r="M269" s="61"/>
      <c r="N269" s="61"/>
      <c r="O269" s="61"/>
      <c r="P269" s="61"/>
      <c r="Q269" s="61"/>
      <c r="R269" s="61"/>
      <c r="S269" s="48"/>
      <c r="T269" s="48"/>
      <c r="AE269" s="63"/>
      <c r="AL269" s="43" t="n">
        <f aca="false">IF(AC269="N",V269,0)</f>
        <v>0</v>
      </c>
      <c r="AM269" s="43" t="n">
        <f aca="false">IF(AL269&gt;0,1,0)</f>
        <v>0</v>
      </c>
    </row>
    <row r="270" customFormat="false" ht="42" hidden="false" customHeight="false" outlineLevel="0" collapsed="false">
      <c r="A270" s="83" t="s">
        <v>159</v>
      </c>
      <c r="B270" s="43" t="s">
        <v>293</v>
      </c>
      <c r="F270" s="48" t="n">
        <v>1200</v>
      </c>
      <c r="G270" s="48" t="n">
        <f aca="false">F270/52</f>
        <v>23.0769230769231</v>
      </c>
      <c r="H270" s="61" t="n">
        <f aca="false">IF(AC270="N",IF(F270&lt;$G$3,$F$3*G270*AE270,IF(F270&lt;$G$2,$F$2*G270*AE270,$F$1*G270*AE270)),0)</f>
        <v>0</v>
      </c>
      <c r="I270" s="61" t="n">
        <f aca="false">IF(AC270="Y",(IF(F270&lt;$G$3,$F$3*G270*AE270,IF(F270&lt;$G$2,$F$2*G270*AE270,$F$1*G270*AE270))*$L$2),0)</f>
        <v>138.461538461538</v>
      </c>
      <c r="J270" s="61"/>
      <c r="K270" s="61" t="n">
        <f aca="false">IF(AC270="N",(MIN((($F$3*G270*AE270+ROUNDUP((F270/10000),0)*G270)*2),F270)),0)</f>
        <v>0</v>
      </c>
      <c r="L270" s="61" t="n">
        <f aca="false">IF(AC270="Y",(MIN((($F$3*G270*AE270+ROUNDUP((F270/10000),0)*G270)*2),F270))*$L$2,0)</f>
        <v>346.153846153846</v>
      </c>
      <c r="M270" s="61" t="n">
        <f aca="false">IF(AC270="N",IF((F270/10000*G270*$M$2)&gt;F270*$M$1,F270*$M$1,(F270/10000*G270*$M$2)),0)</f>
        <v>0</v>
      </c>
      <c r="N270" s="61" t="n">
        <f aca="false">IF(AC270="Y",(IF((F270/10000*G270*$M$2)&gt;F270*$M$1,F270*$M$1,(F270/10000*G270*$M$2)))*$L$2,0)</f>
        <v>8.30769230769231</v>
      </c>
      <c r="O270" s="61" t="n">
        <f aca="false">MAX(IF(F270&lt;$G$3,$F$3*G270*AE270,IF(F270&lt;$G$2,$F$2*G270*AE270,$F$1*G270*AE270)),IF((F270/10000*G270*$M$2)&gt;F270*$M$1,F270*$M$1,(F270/10000*G270*$M$2)))</f>
        <v>92.3076923076923</v>
      </c>
      <c r="P270" s="61" t="n">
        <f aca="false">MIN(IF(F270&lt;$G$3,$F$3*G270*AE270,IF(F270&lt;$G$2,$F$2*G270*AE270,$F$1*G270*AE270)),IF((F270/10000*G270*$M$2)&gt;F270*$M$1,F270*$M$1,(F270/10000*G270*$M$2)))</f>
        <v>5.53846153846154</v>
      </c>
      <c r="Q270" s="61" t="n">
        <f aca="false">MAX(I270,N270)</f>
        <v>138.461538461538</v>
      </c>
      <c r="R270" s="61" t="n">
        <f aca="false">MIN(I270,N270)</f>
        <v>8.30769230769231</v>
      </c>
      <c r="S270" s="48"/>
      <c r="T270" s="48"/>
      <c r="U270" s="44" t="s">
        <v>40</v>
      </c>
      <c r="V270" s="44" t="n">
        <f aca="false">F270</f>
        <v>1200</v>
      </c>
      <c r="Y270" s="45" t="n">
        <f aca="false">(W270+X270)</f>
        <v>0</v>
      </c>
      <c r="AC270" s="46" t="s">
        <v>420</v>
      </c>
      <c r="AD270" s="47" t="n">
        <v>35620</v>
      </c>
      <c r="AE270" s="63" t="n">
        <f aca="false">ROUNDUP(DAYS360(AD270,$AE$3)/365,0)</f>
        <v>4</v>
      </c>
      <c r="AL270" s="43" t="n">
        <f aca="false">IF(AC270="N",V270,0)</f>
        <v>0</v>
      </c>
      <c r="AM270" s="43" t="n">
        <f aca="false">IF(AL270&gt;0,1,0)</f>
        <v>0</v>
      </c>
    </row>
    <row r="271" customFormat="false" ht="12.75" hidden="false" customHeight="false" outlineLevel="0" collapsed="false">
      <c r="A271" s="83"/>
      <c r="B271" s="43" t="s">
        <v>284</v>
      </c>
      <c r="F271" s="48" t="n">
        <v>3600</v>
      </c>
      <c r="G271" s="48" t="n">
        <f aca="false">F271/52</f>
        <v>69.2307692307692</v>
      </c>
      <c r="H271" s="61" t="n">
        <f aca="false">IF(AC271="N",IF(F271&lt;$G$3,$F$3*G271*AE271,IF(F271&lt;$G$2,$F$2*G271*AE271,$F$1*G271*AE271)),0)</f>
        <v>0</v>
      </c>
      <c r="I271" s="61" t="n">
        <f aca="false">IF(AC271="Y",(IF(F271&lt;$G$3,$F$3*G271*AE271,IF(F271&lt;$G$2,$F$2*G271*AE271,$F$1*G271*AE271))*$L$2),0)</f>
        <v>519.230769230769</v>
      </c>
      <c r="J271" s="61"/>
      <c r="K271" s="61" t="n">
        <f aca="false">IF(AC271="N",(MIN((($F$3*G271*AE271+ROUNDUP((F271/10000),0)*G271)*2),F271)),0)</f>
        <v>0</v>
      </c>
      <c r="L271" s="61" t="n">
        <f aca="false">IF(AC271="Y",(MIN((($F$3*G271*AE271+ROUNDUP((F271/10000),0)*G271)*2),F271))*$L$2,0)</f>
        <v>1246.15384615385</v>
      </c>
      <c r="M271" s="61" t="n">
        <f aca="false">IF(AC271="N",IF((F271/10000*G271*$M$2)&gt;F271*$M$1,F271*$M$1,(F271/10000*G271*$M$2)),0)</f>
        <v>0</v>
      </c>
      <c r="N271" s="61" t="n">
        <f aca="false">IF(AC271="Y",(IF((F271/10000*G271*$M$2)&gt;F271*$M$1,F271*$M$1,(F271/10000*G271*$M$2)))*$L$2,0)</f>
        <v>74.7692307692308</v>
      </c>
      <c r="O271" s="61" t="n">
        <f aca="false">MAX(IF(F271&lt;$G$3,$F$3*G271*AE271,IF(F271&lt;$G$2,$F$2*G271*AE271,$F$1*G271*AE271)),IF((F271/10000*G271*$M$2)&gt;F271*$M$1,F271*$M$1,(F271/10000*G271*$M$2)))</f>
        <v>346.153846153846</v>
      </c>
      <c r="P271" s="61" t="n">
        <f aca="false">MIN(IF(F271&lt;$G$3,$F$3*G271*AE271,IF(F271&lt;$G$2,$F$2*G271*AE271,$F$1*G271*AE271)),IF((F271/10000*G271*$M$2)&gt;F271*$M$1,F271*$M$1,(F271/10000*G271*$M$2)))</f>
        <v>49.8461538461538</v>
      </c>
      <c r="Q271" s="61" t="n">
        <f aca="false">MAX(I271,N271)</f>
        <v>519.230769230769</v>
      </c>
      <c r="R271" s="61" t="n">
        <f aca="false">MIN(I271,N271)</f>
        <v>74.7692307692308</v>
      </c>
      <c r="S271" s="48"/>
      <c r="T271" s="48"/>
      <c r="U271" s="44" t="s">
        <v>40</v>
      </c>
      <c r="V271" s="44" t="n">
        <f aca="false">F271</f>
        <v>3600</v>
      </c>
      <c r="W271" s="45" t="n">
        <v>15000</v>
      </c>
      <c r="Y271" s="45" t="n">
        <f aca="false">(W271+X271)</f>
        <v>15000</v>
      </c>
      <c r="AC271" s="46" t="s">
        <v>420</v>
      </c>
      <c r="AD271" s="47" t="n">
        <v>35247</v>
      </c>
      <c r="AE271" s="63" t="n">
        <f aca="false">ROUNDUP(DAYS360(AD271,$AE$3)/365,0)</f>
        <v>5</v>
      </c>
      <c r="AL271" s="43" t="n">
        <f aca="false">IF(AC271="N",V271,0)</f>
        <v>0</v>
      </c>
      <c r="AM271" s="43" t="n">
        <f aca="false">IF(AL271&gt;0,1,0)</f>
        <v>0</v>
      </c>
    </row>
    <row r="272" customFormat="false" ht="12.75" hidden="false" customHeight="false" outlineLevel="0" collapsed="false">
      <c r="A272" s="83"/>
      <c r="B272" s="43" t="s">
        <v>278</v>
      </c>
      <c r="F272" s="48" t="n">
        <v>4800</v>
      </c>
      <c r="G272" s="48" t="n">
        <f aca="false">F272/52</f>
        <v>92.3076923076923</v>
      </c>
      <c r="H272" s="61" t="n">
        <f aca="false">IF(AC272="N",IF(F272&lt;$G$3,$F$3*G272*AE272,IF(F272&lt;$G$2,$F$2*G272*AE272,$F$1*G272*AE272)),0)</f>
        <v>0</v>
      </c>
      <c r="I272" s="61" t="n">
        <f aca="false">IF(AC272="Y",(IF(F272&lt;$G$3,$F$3*G272*AE272,IF(F272&lt;$G$2,$F$2*G272*AE272,$F$1*G272*AE272))*$L$2),0)</f>
        <v>830.769230769231</v>
      </c>
      <c r="J272" s="61"/>
      <c r="K272" s="61" t="n">
        <f aca="false">IF(AC272="N",(MIN((($F$3*G272*AE272+ROUNDUP((F272/10000),0)*G272)*2),F272)),0)</f>
        <v>0</v>
      </c>
      <c r="L272" s="61" t="n">
        <f aca="false">IF(AC272="Y",(MIN((($F$3*G272*AE272+ROUNDUP((F272/10000),0)*G272)*2),F272))*$L$2,0)</f>
        <v>1938.46153846154</v>
      </c>
      <c r="M272" s="61" t="n">
        <f aca="false">IF(AC272="N",IF((F272/10000*G272*$M$2)&gt;F272*$M$1,F272*$M$1,(F272/10000*G272*$M$2)),0)</f>
        <v>0</v>
      </c>
      <c r="N272" s="61" t="n">
        <f aca="false">IF(AC272="Y",(IF((F272/10000*G272*$M$2)&gt;F272*$M$1,F272*$M$1,(F272/10000*G272*$M$2)))*$L$2,0)</f>
        <v>132.923076923077</v>
      </c>
      <c r="O272" s="61" t="n">
        <f aca="false">MAX(IF(F272&lt;$G$3,$F$3*G272*AE272,IF(F272&lt;$G$2,$F$2*G272*AE272,$F$1*G272*AE272)),IF((F272/10000*G272*$M$2)&gt;F272*$M$1,F272*$M$1,(F272/10000*G272*$M$2)))</f>
        <v>553.846153846154</v>
      </c>
      <c r="P272" s="61" t="n">
        <f aca="false">MIN(IF(F272&lt;$G$3,$F$3*G272*AE272,IF(F272&lt;$G$2,$F$2*G272*AE272,$F$1*G272*AE272)),IF((F272/10000*G272*$M$2)&gt;F272*$M$1,F272*$M$1,(F272/10000*G272*$M$2)))</f>
        <v>88.6153846153846</v>
      </c>
      <c r="Q272" s="61" t="n">
        <f aca="false">MAX(I272,N272)</f>
        <v>830.769230769231</v>
      </c>
      <c r="R272" s="61" t="n">
        <f aca="false">MIN(I272,N272)</f>
        <v>132.923076923077</v>
      </c>
      <c r="S272" s="48"/>
      <c r="T272" s="48"/>
      <c r="U272" s="44" t="s">
        <v>40</v>
      </c>
      <c r="V272" s="44" t="n">
        <f aca="false">F272</f>
        <v>4800</v>
      </c>
      <c r="Y272" s="45" t="n">
        <f aca="false">(W272+X272)</f>
        <v>0</v>
      </c>
      <c r="AC272" s="46" t="s">
        <v>420</v>
      </c>
      <c r="AD272" s="47" t="n">
        <v>34912</v>
      </c>
      <c r="AE272" s="63" t="n">
        <f aca="false">ROUNDUP(DAYS360(AD272,$AE$3)/365,0)</f>
        <v>6</v>
      </c>
      <c r="AL272" s="43" t="n">
        <f aca="false">IF(AC272="N",V272,0)</f>
        <v>0</v>
      </c>
      <c r="AM272" s="43" t="n">
        <f aca="false">IF(AL272&gt;0,1,0)</f>
        <v>0</v>
      </c>
    </row>
    <row r="273" customFormat="false" ht="12.75" hidden="false" customHeight="false" outlineLevel="0" collapsed="false">
      <c r="A273" s="83"/>
      <c r="B273" s="43" t="s">
        <v>160</v>
      </c>
      <c r="F273" s="48" t="n">
        <v>70000</v>
      </c>
      <c r="G273" s="48" t="n">
        <f aca="false">F273/52</f>
        <v>1346.15384615385</v>
      </c>
      <c r="H273" s="61" t="n">
        <f aca="false">IF(AC273="N",IF(F273&lt;$G$3,$F$3*G273*AE273,IF(F273&lt;$G$2,$F$2*G273*AE273,$F$1*G273*AE273)),0)</f>
        <v>0</v>
      </c>
      <c r="I273" s="61" t="n">
        <f aca="false">IF(AC273="Y",(IF(F273&lt;$G$3,$F$3*G273*AE273,IF(F273&lt;$G$2,$F$2*G273*AE273,$F$1*G273*AE273))*$L$2),0)</f>
        <v>24230.7692307692</v>
      </c>
      <c r="J273" s="61"/>
      <c r="K273" s="61" t="n">
        <f aca="false">IF(AC273="N",(MIN((($F$3*G273*AE273+ROUNDUP((F273/10000),0)*G273)*2),F273)),0)</f>
        <v>0</v>
      </c>
      <c r="L273" s="61" t="n">
        <f aca="false">IF(AC273="Y",(MIN((($F$3*G273*AE273+ROUNDUP((F273/10000),0)*G273)*2),F273))*$L$2,0)</f>
        <v>52500</v>
      </c>
      <c r="M273" s="61" t="n">
        <f aca="false">IF(AC273="N",IF((F273/10000*G273*$M$2)&gt;F273*$M$1,F273*$M$1,(F273/10000*G273*$M$2)),0)</f>
        <v>0</v>
      </c>
      <c r="N273" s="61" t="n">
        <f aca="false">IF(AC273="Y",(IF((F273/10000*G273*$M$2)&gt;F273*$M$1,F273*$M$1,(F273/10000*G273*$M$2)))*$L$2,0)</f>
        <v>28269.2307692308</v>
      </c>
      <c r="O273" s="61" t="n">
        <f aca="false">MAX(IF(F273&lt;$G$3,$F$3*G273*AE273,IF(F273&lt;$G$2,$F$2*G273*AE273,$F$1*G273*AE273)),IF((F273/10000*G273*$M$2)&gt;F273*$M$1,F273*$M$1,(F273/10000*G273*$M$2)))</f>
        <v>18846.1538461538</v>
      </c>
      <c r="P273" s="61" t="n">
        <f aca="false">MIN(IF(F273&lt;$G$3,$F$3*G273*AE273,IF(F273&lt;$G$2,$F$2*G273*AE273,$F$1*G273*AE273)),IF((F273/10000*G273*$M$2)&gt;F273*$M$1,F273*$M$1,(F273/10000*G273*$M$2)))</f>
        <v>16153.8461538462</v>
      </c>
      <c r="Q273" s="61" t="n">
        <f aca="false">MAX(I273,N273)</f>
        <v>28269.2307692308</v>
      </c>
      <c r="R273" s="61" t="n">
        <f aca="false">MIN(I273,N273)</f>
        <v>24230.7692307692</v>
      </c>
      <c r="S273" s="48"/>
      <c r="T273" s="48"/>
      <c r="U273" s="44" t="s">
        <v>40</v>
      </c>
      <c r="V273" s="44" t="n">
        <f aca="false">F273</f>
        <v>70000</v>
      </c>
      <c r="W273" s="45" t="n">
        <v>30000</v>
      </c>
      <c r="X273" s="45" t="n">
        <v>21030</v>
      </c>
      <c r="Y273" s="45" t="n">
        <f aca="false">(W273+X273)</f>
        <v>51030</v>
      </c>
      <c r="Z273" s="45"/>
      <c r="AA273" s="45" t="n">
        <v>21030</v>
      </c>
      <c r="AB273" s="45" t="n">
        <v>56820</v>
      </c>
      <c r="AC273" s="46" t="s">
        <v>420</v>
      </c>
      <c r="AD273" s="47" t="n">
        <v>34912</v>
      </c>
      <c r="AE273" s="63" t="n">
        <f aca="false">ROUNDUP(DAYS360(AD273,$AE$3)/365,0)</f>
        <v>6</v>
      </c>
      <c r="AL273" s="43" t="n">
        <f aca="false">IF(AC273="N",V273,0)</f>
        <v>0</v>
      </c>
      <c r="AM273" s="43" t="n">
        <f aca="false">IF(AL273&gt;0,1,0)</f>
        <v>0</v>
      </c>
    </row>
    <row r="274" customFormat="false" ht="12.75" hidden="false" customHeight="false" outlineLevel="0" collapsed="false">
      <c r="A274" s="83"/>
      <c r="B274" s="43" t="s">
        <v>277</v>
      </c>
      <c r="F274" s="48" t="n">
        <v>4800</v>
      </c>
      <c r="G274" s="48" t="n">
        <f aca="false">F274/52</f>
        <v>92.3076923076923</v>
      </c>
      <c r="H274" s="61" t="n">
        <f aca="false">IF(AC274="N",IF(F274&lt;$G$3,$F$3*G274*AE274,IF(F274&lt;$G$2,$F$2*G274*AE274,$F$1*G274*AE274)),0)</f>
        <v>0</v>
      </c>
      <c r="I274" s="61" t="n">
        <f aca="false">IF(AC274="Y",(IF(F274&lt;$G$3,$F$3*G274*AE274,IF(F274&lt;$G$2,$F$2*G274*AE274,$F$1*G274*AE274))*$L$2),0)</f>
        <v>692.307692307692</v>
      </c>
      <c r="J274" s="61"/>
      <c r="K274" s="61" t="n">
        <f aca="false">IF(AC274="N",(MIN((($F$3*G274*AE274+ROUNDUP((F274/10000),0)*G274)*2),F274)),0)</f>
        <v>0</v>
      </c>
      <c r="L274" s="61" t="n">
        <f aca="false">IF(AC274="Y",(MIN((($F$3*G274*AE274+ROUNDUP((F274/10000),0)*G274)*2),F274))*$L$2,0)</f>
        <v>1661.53846153846</v>
      </c>
      <c r="M274" s="61" t="n">
        <f aca="false">IF(AC274="N",IF((F274/10000*G274*$M$2)&gt;F274*$M$1,F274*$M$1,(F274/10000*G274*$M$2)),0)</f>
        <v>0</v>
      </c>
      <c r="N274" s="61" t="n">
        <f aca="false">IF(AC274="Y",(IF((F274/10000*G274*$M$2)&gt;F274*$M$1,F274*$M$1,(F274/10000*G274*$M$2)))*$L$2,0)</f>
        <v>132.923076923077</v>
      </c>
      <c r="O274" s="61" t="n">
        <f aca="false">MAX(IF(F274&lt;$G$3,$F$3*G274*AE274,IF(F274&lt;$G$2,$F$2*G274*AE274,$F$1*G274*AE274)),IF((F274/10000*G274*$M$2)&gt;F274*$M$1,F274*$M$1,(F274/10000*G274*$M$2)))</f>
        <v>461.538461538462</v>
      </c>
      <c r="P274" s="61" t="n">
        <f aca="false">MIN(IF(F274&lt;$G$3,$F$3*G274*AE274,IF(F274&lt;$G$2,$F$2*G274*AE274,$F$1*G274*AE274)),IF((F274/10000*G274*$M$2)&gt;F274*$M$1,F274*$M$1,(F274/10000*G274*$M$2)))</f>
        <v>88.6153846153846</v>
      </c>
      <c r="Q274" s="61" t="n">
        <f aca="false">MAX(I274,N274)</f>
        <v>692.307692307692</v>
      </c>
      <c r="R274" s="61" t="n">
        <f aca="false">MIN(I274,N274)</f>
        <v>132.923076923077</v>
      </c>
      <c r="S274" s="48"/>
      <c r="T274" s="48"/>
      <c r="U274" s="44" t="s">
        <v>40</v>
      </c>
      <c r="V274" s="44" t="n">
        <f aca="false">F274</f>
        <v>4800</v>
      </c>
      <c r="Y274" s="45" t="n">
        <f aca="false">(W274+X274)</f>
        <v>0</v>
      </c>
      <c r="AC274" s="46" t="s">
        <v>420</v>
      </c>
      <c r="AD274" s="47" t="n">
        <v>35309</v>
      </c>
      <c r="AE274" s="63" t="n">
        <f aca="false">ROUNDUP(DAYS360(AD274,$AE$3)/365,0)</f>
        <v>5</v>
      </c>
      <c r="AL274" s="43" t="n">
        <f aca="false">IF(AC274="N",V274,0)</f>
        <v>0</v>
      </c>
      <c r="AM274" s="43" t="n">
        <f aca="false">IF(AL274&gt;0,1,0)</f>
        <v>0</v>
      </c>
    </row>
    <row r="275" customFormat="false" ht="12.75" hidden="false" customHeight="false" outlineLevel="0" collapsed="false">
      <c r="H275" s="61"/>
      <c r="I275" s="61"/>
      <c r="J275" s="61"/>
      <c r="K275" s="61"/>
      <c r="L275" s="61"/>
      <c r="M275" s="61"/>
      <c r="N275" s="61"/>
      <c r="O275" s="61"/>
      <c r="P275" s="61"/>
      <c r="Q275" s="61"/>
      <c r="R275" s="61"/>
      <c r="AE275" s="63"/>
      <c r="AL275" s="43" t="n">
        <f aca="false">IF(AC275="N",V275,0)</f>
        <v>0</v>
      </c>
      <c r="AM275" s="43" t="n">
        <f aca="false">IF(AL275&gt;0,1,0)</f>
        <v>0</v>
      </c>
    </row>
    <row r="276" customFormat="false" ht="12.75" hidden="false" customHeight="false" outlineLevel="0" collapsed="false">
      <c r="H276" s="61"/>
      <c r="I276" s="61"/>
      <c r="J276" s="61"/>
      <c r="K276" s="61"/>
      <c r="L276" s="61"/>
      <c r="M276" s="61"/>
      <c r="N276" s="61"/>
      <c r="O276" s="61"/>
      <c r="P276" s="61"/>
      <c r="Q276" s="61"/>
      <c r="R276" s="61"/>
      <c r="AE276" s="63"/>
      <c r="AL276" s="43" t="n">
        <f aca="false">IF(AC276="N",V276,0)</f>
        <v>0</v>
      </c>
      <c r="AM276" s="43" t="n">
        <f aca="false">IF(AL276&gt;0,1,0)</f>
        <v>0</v>
      </c>
    </row>
    <row r="277" customFormat="false" ht="65.25" hidden="false" customHeight="false" outlineLevel="0" collapsed="false">
      <c r="A277" s="91" t="s">
        <v>432</v>
      </c>
      <c r="B277" s="51" t="s">
        <v>433</v>
      </c>
      <c r="C277" s="51"/>
      <c r="D277" s="51"/>
      <c r="E277" s="51"/>
      <c r="F277" s="51"/>
      <c r="G277" s="51"/>
      <c r="H277" s="61"/>
      <c r="I277" s="61"/>
      <c r="J277" s="61"/>
      <c r="K277" s="61"/>
      <c r="L277" s="61"/>
      <c r="M277" s="61"/>
      <c r="N277" s="61"/>
      <c r="O277" s="61"/>
      <c r="P277" s="61"/>
      <c r="Q277" s="61"/>
      <c r="R277" s="61"/>
      <c r="S277" s="51"/>
      <c r="T277" s="51"/>
      <c r="U277" s="51"/>
      <c r="V277" s="51"/>
      <c r="W277" s="51"/>
      <c r="X277" s="51"/>
      <c r="Y277" s="51"/>
      <c r="Z277" s="51"/>
      <c r="AA277" s="51"/>
      <c r="AB277" s="51"/>
      <c r="AC277" s="51"/>
      <c r="AE277" s="63"/>
      <c r="AF277" s="51"/>
      <c r="AG277" s="51"/>
      <c r="AH277" s="51"/>
      <c r="AI277" s="51"/>
      <c r="AJ277" s="51"/>
      <c r="AK277" s="51"/>
      <c r="AL277" s="51"/>
      <c r="AM277" s="51"/>
    </row>
    <row r="278" customFormat="false" ht="12.75" hidden="false" customHeight="false" outlineLevel="0" collapsed="false">
      <c r="A278" s="46"/>
      <c r="B278" s="94"/>
      <c r="H278" s="61"/>
      <c r="I278" s="61"/>
      <c r="J278" s="61"/>
      <c r="K278" s="61"/>
      <c r="L278" s="61"/>
      <c r="M278" s="61"/>
      <c r="N278" s="61"/>
      <c r="O278" s="61"/>
      <c r="P278" s="61"/>
      <c r="Q278" s="61"/>
      <c r="R278" s="61"/>
      <c r="AE278" s="63"/>
      <c r="AL278" s="43" t="n">
        <f aca="false">IF(AC278="N",V278,0)</f>
        <v>0</v>
      </c>
      <c r="AM278" s="43" t="n">
        <f aca="false">IF(AL278&gt;0,1,0)</f>
        <v>0</v>
      </c>
    </row>
    <row r="279" customFormat="false" ht="12.75" hidden="false" customHeight="false" outlineLevel="0" collapsed="false">
      <c r="A279" s="46"/>
      <c r="B279" s="94" t="s">
        <v>115</v>
      </c>
      <c r="F279" s="48" t="n">
        <v>105423</v>
      </c>
      <c r="G279" s="48" t="n">
        <f aca="false">F279/52</f>
        <v>2027.36538461538</v>
      </c>
      <c r="H279" s="61" t="n">
        <f aca="false">IF(AC279="N",IF(F279&lt;$G$3,$F$3*G279*AE279,IF(F279&lt;$G$2,$F$2*G279*AE279,$F$1*G279*AE279)),0)</f>
        <v>0</v>
      </c>
      <c r="I279" s="61" t="n">
        <f aca="false">IF(AC279="Y",(IF(F279&lt;$G$3,$F$3*G279*AE279,IF(F279&lt;$G$2,$F$2*G279*AE279,$F$1*G279*AE279))*$L$2),0)</f>
        <v>121641.923076923</v>
      </c>
      <c r="J279" s="61"/>
      <c r="K279" s="61" t="n">
        <f aca="false">IF(AC279="N",(MIN((($F$3*G279*AE279+ROUNDUP((F279/10000),0)*G279)*2),F279)),0)</f>
        <v>0</v>
      </c>
      <c r="L279" s="61" t="n">
        <f aca="false">IF(AC279="Y",(MIN((($F$3*G279*AE279+ROUNDUP((F279/10000),0)*G279)*2),F279))*$L$2,0)</f>
        <v>127724.019230769</v>
      </c>
      <c r="M279" s="61" t="n">
        <f aca="false">IF(AC279="N",IF((F279/10000*G279*$M$2)&gt;F279*$M$1,F279*$M$1,(F279/10000*G279*$M$2)),0)</f>
        <v>0</v>
      </c>
      <c r="N279" s="61" t="n">
        <f aca="false">IF(AC279="Y",(IF((F279/10000*G279*$M$2)&gt;F279*$M$1,F279*$M$1,(F279/10000*G279*$M$2)))*$L$2,0)</f>
        <v>64119.2822826923</v>
      </c>
      <c r="O279" s="61" t="n">
        <f aca="false">MAX(IF(F279&lt;$G$3,$F$3*G279*AE279,IF(F279&lt;$G$2,$F$2*G279*AE279,$F$1*G279*AE279)),IF((F279/10000*G279*$M$2)&gt;F279*$M$1,F279*$M$1,(F279/10000*G279*$M$2)))</f>
        <v>81094.6153846154</v>
      </c>
      <c r="P279" s="61" t="n">
        <f aca="false">MIN(IF(F279&lt;$G$3,$F$3*G279*AE279,IF(F279&lt;$G$2,$F$2*G279*AE279,$F$1*G279*AE279)),IF((F279/10000*G279*$M$2)&gt;F279*$M$1,F279*$M$1,(F279/10000*G279*$M$2)))</f>
        <v>42746.1881884615</v>
      </c>
      <c r="Q279" s="61" t="n">
        <f aca="false">MAX(I279,N279)</f>
        <v>121641.923076923</v>
      </c>
      <c r="R279" s="61" t="n">
        <f aca="false">MIN(I279,N279)</f>
        <v>64119.2822826923</v>
      </c>
      <c r="S279" s="48"/>
      <c r="T279" s="48"/>
      <c r="U279" s="44" t="s">
        <v>40</v>
      </c>
      <c r="V279" s="44" t="n">
        <f aca="false">F279</f>
        <v>105423</v>
      </c>
      <c r="W279" s="45" t="n">
        <v>45000</v>
      </c>
      <c r="Y279" s="45" t="n">
        <f aca="false">(W279+X279)</f>
        <v>45000</v>
      </c>
      <c r="AC279" s="46" t="s">
        <v>420</v>
      </c>
      <c r="AD279" s="47" t="n">
        <v>33451</v>
      </c>
      <c r="AE279" s="63" t="n">
        <f aca="false">ROUNDUP(DAYS360(AD279,$AE$3)/365,0)</f>
        <v>10</v>
      </c>
      <c r="AL279" s="43" t="n">
        <f aca="false">IF(AC279="N",V279,0)</f>
        <v>0</v>
      </c>
      <c r="AM279" s="43" t="n">
        <f aca="false">IF(AL279&gt;0,1,0)</f>
        <v>0</v>
      </c>
    </row>
    <row r="280" customFormat="false" ht="12.75" hidden="false" customHeight="false" outlineLevel="0" collapsed="false">
      <c r="A280" s="46"/>
      <c r="B280" s="43" t="s">
        <v>262</v>
      </c>
      <c r="F280" s="48" t="n">
        <v>13255</v>
      </c>
      <c r="G280" s="48" t="n">
        <f aca="false">F280/52</f>
        <v>254.903846153846</v>
      </c>
      <c r="H280" s="61" t="n">
        <f aca="false">IF(AC280="N",IF(F280&lt;$G$3,$F$3*G280*AE280,IF(F280&lt;$G$2,$F$2*G280*AE280,$F$1*G280*AE280)),0)</f>
        <v>0</v>
      </c>
      <c r="I280" s="61" t="n">
        <f aca="false">IF(AC280="Y",(IF(F280&lt;$G$3,$F$3*G280*AE280,IF(F280&lt;$G$2,$F$2*G280*AE280,$F$1*G280*AE280))*$L$2),0)</f>
        <v>3823.55769230769</v>
      </c>
      <c r="J280" s="61"/>
      <c r="K280" s="61" t="n">
        <f aca="false">IF(AC280="N",(MIN((($F$3*G280*AE280+ROUNDUP((F280/10000),0)*G280)*2),F280)),0)</f>
        <v>0</v>
      </c>
      <c r="L280" s="61" t="n">
        <f aca="false">IF(AC280="Y",(MIN((($F$3*G280*AE280+ROUNDUP((F280/10000),0)*G280)*2),F280))*$L$2,0)</f>
        <v>9176.53846153846</v>
      </c>
      <c r="M280" s="61" t="n">
        <f aca="false">IF(AC280="N",IF((F280/10000*G280*$M$2)&gt;F280*$M$1,F280*$M$1,(F280/10000*G280*$M$2)),0)</f>
        <v>0</v>
      </c>
      <c r="N280" s="61" t="n">
        <f aca="false">IF(AC280="Y",(IF((F280/10000*G280*$M$2)&gt;F280*$M$1,F280*$M$1,(F280/10000*G280*$M$2)))*$L$2,0)</f>
        <v>1013.62514423077</v>
      </c>
      <c r="O280" s="61" t="n">
        <f aca="false">MAX(IF(F280&lt;$G$3,$F$3*G280*AE280,IF(F280&lt;$G$2,$F$2*G280*AE280,$F$1*G280*AE280)),IF((F280/10000*G280*$M$2)&gt;F280*$M$1,F280*$M$1,(F280/10000*G280*$M$2)))</f>
        <v>2549.03846153846</v>
      </c>
      <c r="P280" s="61" t="n">
        <f aca="false">MIN(IF(F280&lt;$G$3,$F$3*G280*AE280,IF(F280&lt;$G$2,$F$2*G280*AE280,$F$1*G280*AE280)),IF((F280/10000*G280*$M$2)&gt;F280*$M$1,F280*$M$1,(F280/10000*G280*$M$2)))</f>
        <v>675.750096153846</v>
      </c>
      <c r="Q280" s="61" t="n">
        <f aca="false">MAX(I280,N280)</f>
        <v>3823.55769230769</v>
      </c>
      <c r="R280" s="61" t="n">
        <f aca="false">MIN(I280,N280)</f>
        <v>1013.62514423077</v>
      </c>
      <c r="S280" s="48"/>
      <c r="T280" s="48"/>
      <c r="U280" s="44" t="s">
        <v>40</v>
      </c>
      <c r="V280" s="44" t="n">
        <f aca="false">F280</f>
        <v>13255</v>
      </c>
      <c r="Y280" s="45" t="n">
        <f aca="false">(W280+X280)</f>
        <v>0</v>
      </c>
      <c r="AC280" s="46" t="s">
        <v>420</v>
      </c>
      <c r="AD280" s="47" t="n">
        <v>33451</v>
      </c>
      <c r="AE280" s="63" t="n">
        <f aca="false">ROUNDUP(DAYS360(AD280,$AE$3)/365,0)</f>
        <v>10</v>
      </c>
      <c r="AL280" s="43" t="n">
        <f aca="false">IF(AC280="N",V280,0)</f>
        <v>0</v>
      </c>
      <c r="AM280" s="43" t="n">
        <f aca="false">IF(AL280&gt;0,1,0)</f>
        <v>0</v>
      </c>
    </row>
    <row r="281" customFormat="false" ht="12.75" hidden="false" customHeight="false" outlineLevel="0" collapsed="false">
      <c r="A281" s="46"/>
      <c r="B281" s="43" t="s">
        <v>266</v>
      </c>
      <c r="F281" s="48" t="n">
        <v>9237</v>
      </c>
      <c r="G281" s="48" t="n">
        <f aca="false">F281/52</f>
        <v>177.634615384615</v>
      </c>
      <c r="H281" s="61" t="n">
        <f aca="false">IF(AC281="N",IF(F281&lt;$G$3,$F$3*G281*AE281,IF(F281&lt;$G$2,$F$2*G281*AE281,$F$1*G281*AE281)),0)</f>
        <v>0</v>
      </c>
      <c r="I281" s="61" t="n">
        <f aca="false">IF(AC281="Y",(IF(F281&lt;$G$3,$F$3*G281*AE281,IF(F281&lt;$G$2,$F$2*G281*AE281,$F$1*G281*AE281))*$L$2),0)</f>
        <v>1598.71153846154</v>
      </c>
      <c r="J281" s="61"/>
      <c r="K281" s="61" t="n">
        <f aca="false">IF(AC281="N",(MIN((($F$3*G281*AE281+ROUNDUP((F281/10000),0)*G281)*2),F281)),0)</f>
        <v>0</v>
      </c>
      <c r="L281" s="61" t="n">
        <f aca="false">IF(AC281="Y",(MIN((($F$3*G281*AE281+ROUNDUP((F281/10000),0)*G281)*2),F281))*$L$2,0)</f>
        <v>3730.32692307692</v>
      </c>
      <c r="M281" s="61" t="n">
        <f aca="false">IF(AC281="N",IF((F281/10000*G281*$M$2)&gt;F281*$M$1,F281*$M$1,(F281/10000*G281*$M$2)),0)</f>
        <v>0</v>
      </c>
      <c r="N281" s="61" t="n">
        <f aca="false">IF(AC281="Y",(IF((F281/10000*G281*$M$2)&gt;F281*$M$1,F281*$M$1,(F281/10000*G281*$M$2)))*$L$2,0)</f>
        <v>492.243282692308</v>
      </c>
      <c r="O281" s="61" t="n">
        <f aca="false">MAX(IF(F281&lt;$G$3,$F$3*G281*AE281,IF(F281&lt;$G$2,$F$2*G281*AE281,$F$1*G281*AE281)),IF((F281/10000*G281*$M$2)&gt;F281*$M$1,F281*$M$1,(F281/10000*G281*$M$2)))</f>
        <v>1065.80769230769</v>
      </c>
      <c r="P281" s="61" t="n">
        <f aca="false">MIN(IF(F281&lt;$G$3,$F$3*G281*AE281,IF(F281&lt;$G$2,$F$2*G281*AE281,$F$1*G281*AE281)),IF((F281/10000*G281*$M$2)&gt;F281*$M$1,F281*$M$1,(F281/10000*G281*$M$2)))</f>
        <v>328.162188461538</v>
      </c>
      <c r="Q281" s="61" t="n">
        <f aca="false">MAX(I281,N281)</f>
        <v>1598.71153846154</v>
      </c>
      <c r="R281" s="61" t="n">
        <f aca="false">MIN(I281,N281)</f>
        <v>492.243282692308</v>
      </c>
      <c r="S281" s="48"/>
      <c r="T281" s="48"/>
      <c r="U281" s="44" t="s">
        <v>40</v>
      </c>
      <c r="V281" s="44" t="n">
        <f aca="false">F281</f>
        <v>9237</v>
      </c>
      <c r="Y281" s="45" t="n">
        <f aca="false">(W281+X281)</f>
        <v>0</v>
      </c>
      <c r="AC281" s="46" t="s">
        <v>420</v>
      </c>
      <c r="AD281" s="47" t="n">
        <v>34856</v>
      </c>
      <c r="AE281" s="63" t="n">
        <f aca="false">ROUNDUP(DAYS360(AD281,$AE$3)/365,0)</f>
        <v>6</v>
      </c>
      <c r="AL281" s="43" t="n">
        <f aca="false">IF(AC281="N",V281,0)</f>
        <v>0</v>
      </c>
      <c r="AM281" s="43" t="n">
        <f aca="false">IF(AL281&gt;0,1,0)</f>
        <v>0</v>
      </c>
    </row>
    <row r="282" customFormat="false" ht="12.75" hidden="false" customHeight="false" outlineLevel="0" collapsed="false">
      <c r="A282" s="46"/>
      <c r="B282" s="43" t="s">
        <v>177</v>
      </c>
      <c r="F282" s="48" t="n">
        <v>60000</v>
      </c>
      <c r="G282" s="48" t="n">
        <f aca="false">F282/52</f>
        <v>1153.84615384615</v>
      </c>
      <c r="H282" s="61" t="n">
        <f aca="false">IF(AC282="N",IF(F282&lt;$G$3,$F$3*G282*AE282,IF(F282&lt;$G$2,$F$2*G282*AE282,$F$1*G282*AE282)),0)</f>
        <v>0</v>
      </c>
      <c r="I282" s="61" t="n">
        <f aca="false">IF(AC282="Y",(IF(F282&lt;$G$3,$F$3*G282*AE282,IF(F282&lt;$G$2,$F$2*G282*AE282,$F$1*G282*AE282))*$L$2),0)</f>
        <v>3461.53846153846</v>
      </c>
      <c r="J282" s="61"/>
      <c r="K282" s="61" t="n">
        <f aca="false">IF(AC282="N",(MIN((($F$3*G282*AE282+ROUNDUP((F282/10000),0)*G282)*2),F282)),0)</f>
        <v>0</v>
      </c>
      <c r="L282" s="61" t="n">
        <f aca="false">IF(AC282="Y",(MIN((($F$3*G282*AE282+ROUNDUP((F282/10000),0)*G282)*2),F282))*$L$2,0)</f>
        <v>24230.7692307692</v>
      </c>
      <c r="M282" s="61" t="n">
        <f aca="false">IF(AC282="N",IF((F282/10000*G282*$M$2)&gt;F282*$M$1,F282*$M$1,(F282/10000*G282*$M$2)),0)</f>
        <v>0</v>
      </c>
      <c r="N282" s="61" t="n">
        <f aca="false">IF(AC282="Y",(IF((F282/10000*G282*$M$2)&gt;F282*$M$1,F282*$M$1,(F282/10000*G282*$M$2)))*$L$2,0)</f>
        <v>20769.2307692308</v>
      </c>
      <c r="O282" s="61" t="n">
        <f aca="false">MAX(IF(F282&lt;$G$3,$F$3*G282*AE282,IF(F282&lt;$G$2,$F$2*G282*AE282,$F$1*G282*AE282)),IF((F282/10000*G282*$M$2)&gt;F282*$M$1,F282*$M$1,(F282/10000*G282*$M$2)))</f>
        <v>13846.1538461538</v>
      </c>
      <c r="P282" s="61" t="n">
        <f aca="false">MIN(IF(F282&lt;$G$3,$F$3*G282*AE282,IF(F282&lt;$G$2,$F$2*G282*AE282,$F$1*G282*AE282)),IF((F282/10000*G282*$M$2)&gt;F282*$M$1,F282*$M$1,(F282/10000*G282*$M$2)))</f>
        <v>2307.69230769231</v>
      </c>
      <c r="Q282" s="61" t="n">
        <f aca="false">MAX(I282,N282)</f>
        <v>20769.2307692308</v>
      </c>
      <c r="R282" s="61" t="n">
        <f aca="false">MIN(I282,N282)</f>
        <v>3461.53846153846</v>
      </c>
      <c r="S282" s="48"/>
      <c r="T282" s="48"/>
      <c r="U282" s="44" t="s">
        <v>178</v>
      </c>
      <c r="Y282" s="45" t="n">
        <f aca="false">(W282+X282)</f>
        <v>0</v>
      </c>
      <c r="AC282" s="46" t="s">
        <v>420</v>
      </c>
      <c r="AD282" s="47" t="n">
        <v>36982</v>
      </c>
      <c r="AE282" s="63" t="n">
        <f aca="false">ROUNDUP(DAYS360(AD282,$AE$3)/365,0)</f>
        <v>1</v>
      </c>
      <c r="AL282" s="43" t="n">
        <f aca="false">IF(AC282="N",V282,0)</f>
        <v>0</v>
      </c>
      <c r="AM282" s="43" t="n">
        <f aca="false">IF(AL282&gt;0,1,0)</f>
        <v>0</v>
      </c>
    </row>
    <row r="283" customFormat="false" ht="12.75" hidden="false" customHeight="false" outlineLevel="0" collapsed="false">
      <c r="A283" s="46"/>
      <c r="B283" s="43" t="s">
        <v>245</v>
      </c>
      <c r="D283" s="96"/>
      <c r="F283" s="48" t="n">
        <v>30000</v>
      </c>
      <c r="G283" s="48" t="n">
        <f aca="false">F283/52</f>
        <v>576.923076923077</v>
      </c>
      <c r="H283" s="61" t="n">
        <f aca="false">IF(AC283="N",IF(F283&lt;$G$3,$F$3*G283*AE283,IF(F283&lt;$G$2,$F$2*G283*AE283,$F$1*G283*AE283)),0)</f>
        <v>0</v>
      </c>
      <c r="I283" s="61" t="n">
        <f aca="false">IF(AC283="Y",(IF(F283&lt;$G$3,$F$3*G283*AE283,IF(F283&lt;$G$2,$F$2*G283*AE283,$F$1*G283*AE283))*$L$2),0)</f>
        <v>5192.30769230769</v>
      </c>
      <c r="J283" s="61"/>
      <c r="K283" s="61" t="n">
        <f aca="false">IF(AC283="N",(MIN((($F$3*G283*AE283+ROUNDUP((F283/10000),0)*G283)*2),F283)),0)</f>
        <v>0</v>
      </c>
      <c r="L283" s="61" t="n">
        <f aca="false">IF(AC283="Y",(MIN((($F$3*G283*AE283+ROUNDUP((F283/10000),0)*G283)*2),F283))*$L$2,0)</f>
        <v>15576.9230769231</v>
      </c>
      <c r="M283" s="61" t="n">
        <f aca="false">IF(AC283="N",IF((F283/10000*G283*$M$2)&gt;F283*$M$1,F283*$M$1,(F283/10000*G283*$M$2)),0)</f>
        <v>0</v>
      </c>
      <c r="N283" s="61" t="n">
        <f aca="false">IF(AC283="Y",(IF((F283/10000*G283*$M$2)&gt;F283*$M$1,F283*$M$1,(F283/10000*G283*$M$2)))*$L$2,0)</f>
        <v>5192.30769230769</v>
      </c>
      <c r="O283" s="61" t="n">
        <f aca="false">MAX(IF(F283&lt;$G$3,$F$3*G283*AE283,IF(F283&lt;$G$2,$F$2*G283*AE283,$F$1*G283*AE283)),IF((F283/10000*G283*$M$2)&gt;F283*$M$1,F283*$M$1,(F283/10000*G283*$M$2)))</f>
        <v>3461.53846153846</v>
      </c>
      <c r="P283" s="61" t="n">
        <f aca="false">MIN(IF(F283&lt;$G$3,$F$3*G283*AE283,IF(F283&lt;$G$2,$F$2*G283*AE283,$F$1*G283*AE283)),IF((F283/10000*G283*$M$2)&gt;F283*$M$1,F283*$M$1,(F283/10000*G283*$M$2)))</f>
        <v>3461.53846153846</v>
      </c>
      <c r="Q283" s="61" t="n">
        <f aca="false">MAX(I283,N283)</f>
        <v>5192.30769230769</v>
      </c>
      <c r="R283" s="61" t="n">
        <f aca="false">MIN(I283,N283)</f>
        <v>5192.30769230769</v>
      </c>
      <c r="S283" s="48"/>
      <c r="T283" s="48"/>
      <c r="U283" s="44" t="s">
        <v>178</v>
      </c>
      <c r="Y283" s="45" t="n">
        <f aca="false">(W283+X283)</f>
        <v>0</v>
      </c>
      <c r="AC283" s="46" t="s">
        <v>420</v>
      </c>
      <c r="AD283" s="59" t="n">
        <v>35065</v>
      </c>
      <c r="AE283" s="63" t="n">
        <f aca="false">ROUNDUP(DAYS360(AD283,$AE$3)/365,0)</f>
        <v>6</v>
      </c>
      <c r="AL283" s="43" t="n">
        <f aca="false">IF(AC283="N",V283,0)</f>
        <v>0</v>
      </c>
      <c r="AM283" s="43" t="n">
        <f aca="false">IF(AL283&gt;0,1,0)</f>
        <v>0</v>
      </c>
    </row>
    <row r="284" customFormat="false" ht="12.75" hidden="false" customHeight="false" outlineLevel="0" collapsed="false">
      <c r="A284" s="46"/>
      <c r="D284" s="96"/>
      <c r="F284" s="48"/>
      <c r="G284" s="48"/>
      <c r="H284" s="61"/>
      <c r="I284" s="61"/>
      <c r="J284" s="61"/>
      <c r="K284" s="61"/>
      <c r="L284" s="61"/>
      <c r="M284" s="61"/>
      <c r="N284" s="61"/>
      <c r="O284" s="61"/>
      <c r="P284" s="61"/>
      <c r="Q284" s="61"/>
      <c r="R284" s="61"/>
      <c r="S284" s="48"/>
      <c r="T284" s="48"/>
      <c r="AE284" s="63"/>
      <c r="AL284" s="43" t="n">
        <f aca="false">IF(AC284="N",V284,0)</f>
        <v>0</v>
      </c>
      <c r="AM284" s="43" t="n">
        <f aca="false">IF(AL284&gt;0,1,0)</f>
        <v>0</v>
      </c>
    </row>
    <row r="285" customFormat="false" ht="48" hidden="false" customHeight="false" outlineLevel="0" collapsed="false">
      <c r="A285" s="83" t="s">
        <v>145</v>
      </c>
      <c r="H285" s="61"/>
      <c r="I285" s="61"/>
      <c r="J285" s="61"/>
      <c r="K285" s="61"/>
      <c r="L285" s="61"/>
      <c r="M285" s="61"/>
      <c r="N285" s="61"/>
      <c r="O285" s="61"/>
      <c r="P285" s="61"/>
      <c r="Q285" s="61"/>
      <c r="R285" s="61"/>
      <c r="AE285" s="63"/>
      <c r="AL285" s="43" t="n">
        <f aca="false">IF(AC285="N",V285,0)</f>
        <v>0</v>
      </c>
      <c r="AM285" s="43" t="n">
        <f aca="false">IF(AL285&gt;0,1,0)</f>
        <v>0</v>
      </c>
    </row>
    <row r="286" customFormat="false" ht="12.75" hidden="false" customHeight="true" outlineLevel="0" collapsed="false">
      <c r="A286" s="46"/>
      <c r="B286" s="43" t="s">
        <v>294</v>
      </c>
      <c r="F286" s="97" t="n">
        <v>1200</v>
      </c>
      <c r="G286" s="48" t="n">
        <f aca="false">F286/52</f>
        <v>23.0769230769231</v>
      </c>
      <c r="H286" s="61" t="n">
        <f aca="false">IF(AC286="N",IF(F286&lt;$G$3,$F$3*G286*AE286,IF(F286&lt;$G$2,$F$2*G286*AE286,$F$1*G286*AE286)),0)</f>
        <v>0</v>
      </c>
      <c r="I286" s="61" t="n">
        <f aca="false">IF(AC286="Y",(IF(F286&lt;$G$3,$F$3*G286*AE286,IF(F286&lt;$G$2,$F$2*G286*AE286,$F$1*G286*AE286))*$L$2),0)</f>
        <v>69.2307692307692</v>
      </c>
      <c r="J286" s="61"/>
      <c r="K286" s="61" t="n">
        <f aca="false">IF(AC286="N",(MIN((($F$3*G286*AE286+ROUNDUP((F286/10000),0)*G286)*2),F286)),0)</f>
        <v>0</v>
      </c>
      <c r="L286" s="61" t="n">
        <f aca="false">IF(AC286="Y",(MIN((($F$3*G286*AE286+ROUNDUP((F286/10000),0)*G286)*2),F286))*$L$2,0)</f>
        <v>207.692307692308</v>
      </c>
      <c r="M286" s="61" t="n">
        <f aca="false">IF(AC286="N",IF((F286/10000*G286*$M$2)&gt;F286*$M$1,F286*$M$1,(F286/10000*G286*$M$2)),0)</f>
        <v>0</v>
      </c>
      <c r="N286" s="61" t="n">
        <f aca="false">IF(AC286="Y",(IF((F286/10000*G286*$M$2)&gt;F286*$M$1,F286*$M$1,(F286/10000*G286*$M$2)))*$L$2,0)</f>
        <v>8.30769230769231</v>
      </c>
      <c r="O286" s="61" t="n">
        <f aca="false">MAX(IF(F286&lt;$G$3,$F$3*G286*AE286,IF(F286&lt;$G$2,$F$2*G286*AE286,$F$1*G286*AE286)),IF((F286/10000*G286*$M$2)&gt;F286*$M$1,F286*$M$1,(F286/10000*G286*$M$2)))</f>
        <v>46.1538461538462</v>
      </c>
      <c r="P286" s="61" t="n">
        <f aca="false">MIN(IF(F286&lt;$G$3,$F$3*G286*AE286,IF(F286&lt;$G$2,$F$2*G286*AE286,$F$1*G286*AE286)),IF((F286/10000*G286*$M$2)&gt;F286*$M$1,F286*$M$1,(F286/10000*G286*$M$2)))</f>
        <v>5.53846153846154</v>
      </c>
      <c r="Q286" s="61" t="n">
        <f aca="false">MAX(I286,N286)</f>
        <v>69.2307692307692</v>
      </c>
      <c r="R286" s="61" t="n">
        <f aca="false">MIN(I286,N286)</f>
        <v>8.30769230769231</v>
      </c>
      <c r="S286" s="48"/>
      <c r="T286" s="48"/>
      <c r="Y286" s="45" t="n">
        <f aca="false">(W286+X286)</f>
        <v>0</v>
      </c>
      <c r="AC286" s="46" t="s">
        <v>420</v>
      </c>
      <c r="AD286" s="47" t="n">
        <v>36557</v>
      </c>
      <c r="AE286" s="63" t="n">
        <f aca="false">ROUNDUP(DAYS360(AD286,$AE$3)/365,0)</f>
        <v>2</v>
      </c>
      <c r="AL286" s="43" t="n">
        <f aca="false">IF(AC286="N",V286,0)</f>
        <v>0</v>
      </c>
      <c r="AM286" s="43" t="n">
        <f aca="false">IF(AL286&gt;0,1,0)</f>
        <v>0</v>
      </c>
    </row>
    <row r="287" customFormat="false" ht="12.75" hidden="false" customHeight="false" outlineLevel="0" collapsed="false">
      <c r="A287" s="46"/>
      <c r="B287" s="43" t="s">
        <v>146</v>
      </c>
      <c r="F287" s="48" t="n">
        <v>76800</v>
      </c>
      <c r="G287" s="48" t="n">
        <f aca="false">F287/52</f>
        <v>1476.92307692308</v>
      </c>
      <c r="H287" s="61" t="n">
        <f aca="false">IF(AC287="N",IF(F287&lt;$G$3,$F$3*G287*AE287,IF(F287&lt;$G$2,$F$2*G287*AE287,$F$1*G287*AE287)),0)</f>
        <v>0</v>
      </c>
      <c r="I287" s="61" t="n">
        <f aca="false">IF(AC287="Y",(IF(F287&lt;$G$3,$F$3*G287*AE287,IF(F287&lt;$G$2,$F$2*G287*AE287,$F$1*G287*AE287))*$L$2),0)</f>
        <v>8861.53846153846</v>
      </c>
      <c r="J287" s="61"/>
      <c r="K287" s="61" t="n">
        <f aca="false">IF(AC287="N",(MIN((($F$3*G287*AE287+ROUNDUP((F287/10000),0)*G287)*2),F287)),0)</f>
        <v>0</v>
      </c>
      <c r="L287" s="61" t="n">
        <f aca="false">IF(AC287="Y",(MIN((($F$3*G287*AE287+ROUNDUP((F287/10000),0)*G287)*2),F287))*$L$2,0)</f>
        <v>44307.6923076923</v>
      </c>
      <c r="M287" s="61" t="n">
        <f aca="false">IF(AC287="N",IF((F287/10000*G287*$M$2)&gt;F287*$M$1,F287*$M$1,(F287/10000*G287*$M$2)),0)</f>
        <v>0</v>
      </c>
      <c r="N287" s="61" t="n">
        <f aca="false">IF(AC287="Y",(IF((F287/10000*G287*$M$2)&gt;F287*$M$1,F287*$M$1,(F287/10000*G287*$M$2)))*$L$2,0)</f>
        <v>34028.3076923077</v>
      </c>
      <c r="O287" s="61" t="n">
        <f aca="false">MAX(IF(F287&lt;$G$3,$F$3*G287*AE287,IF(F287&lt;$G$2,$F$2*G287*AE287,$F$1*G287*AE287)),IF((F287/10000*G287*$M$2)&gt;F287*$M$1,F287*$M$1,(F287/10000*G287*$M$2)))</f>
        <v>22685.5384615385</v>
      </c>
      <c r="P287" s="61" t="n">
        <f aca="false">MIN(IF(F287&lt;$G$3,$F$3*G287*AE287,IF(F287&lt;$G$2,$F$2*G287*AE287,$F$1*G287*AE287)),IF((F287/10000*G287*$M$2)&gt;F287*$M$1,F287*$M$1,(F287/10000*G287*$M$2)))</f>
        <v>5907.69230769231</v>
      </c>
      <c r="Q287" s="61" t="n">
        <f aca="false">MAX(I287,N287)</f>
        <v>34028.3076923077</v>
      </c>
      <c r="R287" s="61" t="n">
        <f aca="false">MIN(I287,N287)</f>
        <v>8861.53846153846</v>
      </c>
      <c r="S287" s="48"/>
      <c r="T287" s="48"/>
      <c r="U287" s="44" t="s">
        <v>147</v>
      </c>
      <c r="Y287" s="45" t="n">
        <f aca="false">(W287+X287)</f>
        <v>0</v>
      </c>
      <c r="AC287" s="46" t="s">
        <v>420</v>
      </c>
      <c r="AD287" s="47" t="n">
        <v>36617</v>
      </c>
      <c r="AE287" s="63" t="n">
        <f aca="false">ROUNDUP(DAYS360(AD287,$AE$3)/365,0)</f>
        <v>2</v>
      </c>
      <c r="AL287" s="43" t="n">
        <f aca="false">IF(AC287="N",V287,0)</f>
        <v>0</v>
      </c>
      <c r="AM287" s="43" t="n">
        <f aca="false">IF(AL287&gt;0,1,0)</f>
        <v>0</v>
      </c>
    </row>
    <row r="288" customFormat="false" ht="12.75" hidden="false" customHeight="false" outlineLevel="0" collapsed="false">
      <c r="A288" s="46"/>
      <c r="B288" s="43" t="s">
        <v>295</v>
      </c>
      <c r="H288" s="61" t="n">
        <f aca="false">IF(AC288="N",IF(F288&lt;$G$3,$F$3*G288*AE288,IF(F288&lt;$G$2,$F$2*G288*AE288,$F$1*G288*AE288)),0)</f>
        <v>0</v>
      </c>
      <c r="I288" s="61" t="n">
        <f aca="false">IF(AC288="Y",(IF(F288&lt;$G$3,$F$3*G288*AE288,IF(F288&lt;$G$2,$F$2*G288*AE288,$F$1*G288*AE288))*$L$2),0)</f>
        <v>0</v>
      </c>
      <c r="J288" s="61"/>
      <c r="K288" s="61" t="n">
        <f aca="false">IF(AC288="N",(MIN((($F$3*G288*AE288+ROUNDUP((F288/10000),0)*G288)*2),F288)),0)</f>
        <v>0</v>
      </c>
      <c r="L288" s="61" t="n">
        <f aca="false">IF(AC288="Y",(MIN((($F$3*G288*AE288+ROUNDUP((F288/10000),0)*G288)*2),F288))*$L$2,0)</f>
        <v>0</v>
      </c>
      <c r="M288" s="61" t="n">
        <f aca="false">IF(AC288="N",IF((F288/10000*G288*$M$2)&gt;F288*$M$1,F288*$M$1,(F288/10000*G288*$M$2)),0)</f>
        <v>0</v>
      </c>
      <c r="N288" s="61" t="n">
        <f aca="false">IF(AC288="Y",(IF((F288/10000*G288*$M$2)&gt;F288*$M$1,F288*$M$1,(F288/10000*G288*$M$2)))*$L$2,0)</f>
        <v>0</v>
      </c>
      <c r="O288" s="61" t="n">
        <f aca="false">MAX(IF(F288&lt;$G$3,$F$3*G288*AE288,IF(F288&lt;$G$2,$F$2*G288*AE288,$F$1*G288*AE288)),IF((F288/10000*G288*$M$2)&gt;F288*$M$1,F288*$M$1,(F288/10000*G288*$M$2)))</f>
        <v>0</v>
      </c>
      <c r="P288" s="61" t="n">
        <f aca="false">MIN(IF(F288&lt;$G$3,$F$3*G288*AE288,IF(F288&lt;$G$2,$F$2*G288*AE288,$F$1*G288*AE288)),IF((F288/10000*G288*$M$2)&gt;F288*$M$1,F288*$M$1,(F288/10000*G288*$M$2)))</f>
        <v>0</v>
      </c>
      <c r="Q288" s="61" t="n">
        <f aca="false">MAX(I288,N288)</f>
        <v>0</v>
      </c>
      <c r="R288" s="61" t="n">
        <f aca="false">MIN(I288,N288)</f>
        <v>0</v>
      </c>
      <c r="U288" s="44" t="s">
        <v>296</v>
      </c>
      <c r="Y288" s="45" t="n">
        <v>10000</v>
      </c>
      <c r="AC288" s="46" t="s">
        <v>420</v>
      </c>
      <c r="AD288" s="47" t="n">
        <v>34759</v>
      </c>
      <c r="AE288" s="63" t="n">
        <f aca="false">ROUNDUP(DAYS360(AD288,$AE$3)/365,0)</f>
        <v>7</v>
      </c>
      <c r="AL288" s="43" t="n">
        <f aca="false">IF(AC288="N",V288,0)</f>
        <v>0</v>
      </c>
      <c r="AM288" s="43" t="n">
        <f aca="false">IF(AL288&gt;0,1,0)</f>
        <v>0</v>
      </c>
    </row>
    <row r="289" customFormat="false" ht="12.75" hidden="false" customHeight="false" outlineLevel="0" collapsed="false">
      <c r="H289" s="61"/>
      <c r="I289" s="61"/>
      <c r="J289" s="61"/>
      <c r="K289" s="61"/>
      <c r="L289" s="61"/>
      <c r="M289" s="61"/>
      <c r="N289" s="61"/>
      <c r="O289" s="61"/>
      <c r="P289" s="61"/>
      <c r="Q289" s="61"/>
      <c r="R289" s="61"/>
      <c r="AE289" s="63"/>
      <c r="AL289" s="43" t="n">
        <f aca="false">IF(AC289="N",V289,0)</f>
        <v>0</v>
      </c>
      <c r="AM289" s="43" t="n">
        <f aca="false">IF(AL289&gt;0,1,0)</f>
        <v>0</v>
      </c>
    </row>
    <row r="290" customFormat="false" ht="12.75" hidden="false" customHeight="false" outlineLevel="0" collapsed="false">
      <c r="H290" s="61"/>
      <c r="I290" s="61"/>
      <c r="J290" s="61"/>
      <c r="K290" s="61"/>
      <c r="L290" s="61"/>
      <c r="M290" s="61"/>
      <c r="N290" s="61"/>
      <c r="O290" s="61"/>
      <c r="P290" s="61"/>
      <c r="Q290" s="61"/>
      <c r="R290" s="61"/>
      <c r="AE290" s="63"/>
      <c r="AL290" s="43" t="n">
        <f aca="false">IF(AC290="N",V290,0)</f>
        <v>0</v>
      </c>
      <c r="AM290" s="43" t="n">
        <f aca="false">IF(AL290&gt;0,1,0)</f>
        <v>0</v>
      </c>
    </row>
    <row r="291" customFormat="false" ht="15.75" hidden="false" customHeight="false" outlineLevel="0" collapsed="false">
      <c r="B291" s="90" t="s">
        <v>389</v>
      </c>
      <c r="C291" s="90"/>
      <c r="D291" s="90"/>
      <c r="E291" s="90"/>
      <c r="F291" s="90"/>
      <c r="G291" s="90"/>
      <c r="H291" s="61"/>
      <c r="I291" s="61"/>
      <c r="J291" s="61"/>
      <c r="K291" s="61"/>
      <c r="L291" s="61"/>
      <c r="M291" s="61"/>
      <c r="N291" s="61"/>
      <c r="O291" s="61"/>
      <c r="P291" s="61"/>
      <c r="Q291" s="61"/>
      <c r="R291" s="61"/>
      <c r="S291" s="90"/>
      <c r="T291" s="90"/>
      <c r="U291" s="90"/>
      <c r="V291" s="90"/>
      <c r="W291" s="90"/>
      <c r="X291" s="90"/>
      <c r="Y291" s="90"/>
      <c r="Z291" s="90"/>
      <c r="AA291" s="90"/>
      <c r="AB291" s="90"/>
      <c r="AC291" s="90"/>
      <c r="AE291" s="63"/>
      <c r="AF291" s="90"/>
      <c r="AG291" s="90"/>
      <c r="AH291" s="90"/>
      <c r="AI291" s="90"/>
      <c r="AJ291" s="90"/>
      <c r="AK291" s="90"/>
      <c r="AL291" s="90"/>
      <c r="AM291" s="90"/>
    </row>
    <row r="292" customFormat="false" ht="12.75" hidden="false" customHeight="false" outlineLevel="0" collapsed="false">
      <c r="H292" s="61"/>
      <c r="I292" s="61"/>
      <c r="J292" s="61"/>
      <c r="K292" s="61"/>
      <c r="L292" s="61"/>
      <c r="M292" s="61"/>
      <c r="N292" s="61"/>
      <c r="O292" s="61"/>
      <c r="P292" s="61"/>
      <c r="Q292" s="61"/>
      <c r="R292" s="61"/>
      <c r="AE292" s="63"/>
      <c r="AL292" s="43" t="n">
        <f aca="false">IF(AC292="N",V292,0)</f>
        <v>0</v>
      </c>
      <c r="AM292" s="43" t="n">
        <f aca="false">IF(AL292&gt;0,1,0)</f>
        <v>0</v>
      </c>
    </row>
    <row r="293" customFormat="false" ht="38.25" hidden="false" customHeight="false" outlineLevel="0" collapsed="false">
      <c r="A293" s="83" t="s">
        <v>50</v>
      </c>
      <c r="B293" s="43" t="s">
        <v>380</v>
      </c>
      <c r="D293" s="43" t="s">
        <v>236</v>
      </c>
      <c r="F293" s="48" t="n">
        <v>24000</v>
      </c>
      <c r="G293" s="48" t="n">
        <f aca="false">F293/52</f>
        <v>461.538461538462</v>
      </c>
      <c r="H293" s="61" t="n">
        <f aca="false">IF(AC293="N",IF(F293&lt;$G$3,$F$3*G293*AE293,IF(F293&lt;$G$2,$F$2*G293*AE293,$F$1*G293*AE293)),0)</f>
        <v>1384.61538461538</v>
      </c>
      <c r="I293" s="61" t="n">
        <f aca="false">IF(AC293="Y",(IF(F293&lt;$G$3,$F$3*G293*AE293,IF(F293&lt;$G$2,$F$2*G293*AE293,$F$1*G293*AE293))*$L$2),0)</f>
        <v>0</v>
      </c>
      <c r="J293" s="61"/>
      <c r="K293" s="61" t="n">
        <f aca="false">IF(AC293="N",(MIN((($F$3*G293*AE293+ROUNDUP((F293/10000),0)*G293)*2),F293)),0)</f>
        <v>5538.46153846154</v>
      </c>
      <c r="L293" s="61" t="n">
        <f aca="false">IF(AC293="Y",(MIN((($F$3*G293*AE293+ROUNDUP((F293/10000),0)*G293)*2),F293))*$L$2,0)</f>
        <v>0</v>
      </c>
      <c r="M293" s="61" t="n">
        <f aca="false">IF(AC293="N",IF((F293/10000*G293*$M$2)&gt;F293*$M$1,F293*$M$1,(F293/10000*G293*$M$2)),0)</f>
        <v>2215.38461538462</v>
      </c>
      <c r="N293" s="61" t="n">
        <f aca="false">IF(AC293="Y",(IF((F293/10000*G293*$M$2)&gt;F293*$M$1,F293*$M$1,(F293/10000*G293*$M$2)))*$L$2,0)</f>
        <v>0</v>
      </c>
      <c r="O293" s="61" t="n">
        <f aca="false">MAX(IF(F293&lt;$G$3,$F$3*G293*AE293,IF(F293&lt;$G$2,$F$2*G293*AE293,$F$1*G293*AE293)),IF((F293/10000*G293*$M$2)&gt;F293*$M$1,F293*$M$1,(F293/10000*G293*$M$2)))</f>
        <v>2215.38461538462</v>
      </c>
      <c r="P293" s="61" t="n">
        <f aca="false">MIN(IF(F293&lt;$G$3,$F$3*G293*AE293,IF(F293&lt;$G$2,$F$2*G293*AE293,$F$1*G293*AE293)),IF((F293/10000*G293*$M$2)&gt;F293*$M$1,F293*$M$1,(F293/10000*G293*$M$2)))</f>
        <v>1384.61538461538</v>
      </c>
      <c r="Q293" s="61" t="n">
        <f aca="false">MAX(I293,N293)</f>
        <v>0</v>
      </c>
      <c r="R293" s="61" t="n">
        <f aca="false">MIN(I293,N293)</f>
        <v>0</v>
      </c>
      <c r="S293" s="62" t="n">
        <f aca="false">F293/10000</f>
        <v>2.4</v>
      </c>
      <c r="T293" s="62" t="n">
        <f aca="false">ROUNDUP(S293,0)</f>
        <v>3</v>
      </c>
      <c r="U293" s="44" t="s">
        <v>40</v>
      </c>
      <c r="V293" s="44" t="n">
        <f aca="false">F293</f>
        <v>24000</v>
      </c>
      <c r="Y293" s="45" t="n">
        <f aca="false">(W293+X293)</f>
        <v>0</v>
      </c>
      <c r="AC293" s="46" t="s">
        <v>419</v>
      </c>
      <c r="AD293" s="47" t="n">
        <v>36101</v>
      </c>
      <c r="AE293" s="63" t="n">
        <f aca="false">ROUNDUP(DAYS360(AD293,$AE$3)/365,0)</f>
        <v>3</v>
      </c>
      <c r="AF293" s="62" t="n">
        <f aca="false">(G293*AE293)+(G293*T293)</f>
        <v>2769.23076923077</v>
      </c>
      <c r="AG293" s="62" t="n">
        <f aca="false">26*G293</f>
        <v>12000</v>
      </c>
      <c r="AH293" s="62" t="n">
        <f aca="false">G293*52</f>
        <v>24000</v>
      </c>
      <c r="AI293" s="62" t="n">
        <f aca="false">AF293*2</f>
        <v>5538.46153846154</v>
      </c>
      <c r="AJ293" s="62"/>
      <c r="AL293" s="43" t="n">
        <f aca="false">IF(AC293="N",V293,0)</f>
        <v>24000</v>
      </c>
      <c r="AM293" s="43" t="n">
        <f aca="false">IF(AL293&gt;0,1,0)</f>
        <v>1</v>
      </c>
    </row>
    <row r="294" customFormat="false" ht="12.75" hidden="false" customHeight="false" outlineLevel="0" collapsed="false">
      <c r="A294" s="98"/>
      <c r="B294" s="66" t="s">
        <v>66</v>
      </c>
      <c r="C294" s="66"/>
      <c r="D294" s="66" t="s">
        <v>67</v>
      </c>
      <c r="E294" s="66"/>
      <c r="F294" s="67" t="n">
        <v>137000</v>
      </c>
      <c r="G294" s="67" t="n">
        <f aca="false">F294/52</f>
        <v>2634.61538461538</v>
      </c>
      <c r="H294" s="69"/>
      <c r="I294" s="69"/>
      <c r="J294" s="69"/>
      <c r="K294" s="69"/>
      <c r="L294" s="69"/>
      <c r="M294" s="99"/>
      <c r="N294" s="99"/>
      <c r="O294" s="99"/>
      <c r="P294" s="99"/>
      <c r="Q294" s="61" t="n">
        <f aca="false">MAX(I294,N294)</f>
        <v>0</v>
      </c>
      <c r="R294" s="61" t="n">
        <f aca="false">MIN(I294,N294)</f>
        <v>0</v>
      </c>
      <c r="S294" s="70" t="n">
        <f aca="false">F294/10000</f>
        <v>13.7</v>
      </c>
      <c r="T294" s="70" t="n">
        <f aca="false">ROUNDUP(S294,0)</f>
        <v>14</v>
      </c>
      <c r="U294" s="71" t="s">
        <v>40</v>
      </c>
      <c r="V294" s="71" t="n">
        <f aca="false">F294</f>
        <v>137000</v>
      </c>
      <c r="W294" s="72"/>
      <c r="X294" s="72"/>
      <c r="Y294" s="72" t="n">
        <v>35000</v>
      </c>
      <c r="Z294" s="73"/>
      <c r="AA294" s="73"/>
      <c r="AB294" s="73"/>
      <c r="AC294" s="73" t="s">
        <v>420</v>
      </c>
      <c r="AD294" s="59" t="n">
        <v>31315</v>
      </c>
      <c r="AE294" s="75" t="n">
        <f aca="false">ROUNDUP(DAYS360(AD294,$AE$3)/365,0)</f>
        <v>16</v>
      </c>
      <c r="AF294" s="73"/>
      <c r="AG294" s="73"/>
      <c r="AH294" s="73"/>
      <c r="AI294" s="73"/>
      <c r="AJ294" s="73"/>
      <c r="AK294" s="66"/>
      <c r="AL294" s="66" t="n">
        <f aca="false">IF(AC294="N",V294,0)</f>
        <v>0</v>
      </c>
      <c r="AM294" s="66" t="n">
        <f aca="false">IF(AL294&gt;0,1,0)</f>
        <v>0</v>
      </c>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6"/>
      <c r="CA294" s="66"/>
      <c r="CB294" s="66"/>
      <c r="CC294" s="66"/>
      <c r="CD294" s="66"/>
      <c r="CE294" s="66"/>
      <c r="CF294" s="66"/>
      <c r="CG294" s="66"/>
      <c r="CH294" s="66"/>
      <c r="CI294" s="66"/>
      <c r="CJ294" s="66"/>
      <c r="CK294" s="66"/>
      <c r="CL294" s="66"/>
      <c r="CM294" s="66"/>
      <c r="CN294" s="66"/>
      <c r="CO294" s="66"/>
      <c r="CP294" s="66"/>
      <c r="CQ294" s="66"/>
      <c r="CR294" s="66"/>
      <c r="CS294" s="66"/>
      <c r="CT294" s="66"/>
      <c r="CU294" s="66"/>
      <c r="CV294" s="66"/>
      <c r="CW294" s="66"/>
      <c r="CX294" s="66"/>
      <c r="CY294" s="66"/>
      <c r="CZ294" s="66"/>
      <c r="DA294" s="66"/>
      <c r="DB294" s="66"/>
      <c r="DC294" s="66"/>
      <c r="DD294" s="66"/>
      <c r="DE294" s="66"/>
      <c r="DF294" s="66"/>
      <c r="DG294" s="66"/>
      <c r="DH294" s="66"/>
      <c r="DI294" s="66"/>
      <c r="DJ294" s="66"/>
      <c r="DK294" s="66"/>
      <c r="DL294" s="66"/>
      <c r="DM294" s="66"/>
      <c r="DN294" s="66"/>
      <c r="DO294" s="66"/>
      <c r="DP294" s="66"/>
      <c r="DQ294" s="66"/>
      <c r="DR294" s="66"/>
      <c r="DS294" s="66"/>
      <c r="DT294" s="66"/>
      <c r="DU294" s="66"/>
      <c r="DV294" s="66"/>
      <c r="DW294" s="66"/>
      <c r="DX294" s="66"/>
      <c r="DY294" s="66"/>
      <c r="DZ294" s="66"/>
      <c r="EA294" s="66"/>
      <c r="EB294" s="66"/>
      <c r="EC294" s="66"/>
      <c r="ED294" s="66"/>
      <c r="EE294" s="66"/>
      <c r="EF294" s="66"/>
      <c r="EG294" s="66"/>
      <c r="EH294" s="66"/>
      <c r="EI294" s="66"/>
      <c r="EJ294" s="66"/>
      <c r="EK294" s="66"/>
      <c r="EL294" s="66"/>
      <c r="EM294" s="66"/>
      <c r="EN294" s="66"/>
      <c r="EO294" s="66"/>
      <c r="EP294" s="66"/>
      <c r="EQ294" s="66"/>
      <c r="ER294" s="66"/>
      <c r="ES294" s="66"/>
      <c r="ET294" s="66"/>
      <c r="EU294" s="66"/>
      <c r="EV294" s="66"/>
      <c r="EW294" s="66"/>
      <c r="EX294" s="66"/>
      <c r="EY294" s="66"/>
      <c r="EZ294" s="66"/>
      <c r="FA294" s="66"/>
      <c r="FB294" s="66"/>
      <c r="FC294" s="66"/>
      <c r="FD294" s="66"/>
      <c r="FE294" s="66"/>
      <c r="FF294" s="66"/>
      <c r="FG294" s="66"/>
      <c r="FH294" s="66"/>
      <c r="FI294" s="66"/>
      <c r="FJ294" s="66"/>
      <c r="FK294" s="66"/>
      <c r="FL294" s="66"/>
      <c r="FM294" s="66"/>
      <c r="FN294" s="66"/>
      <c r="FO294" s="66"/>
      <c r="FP294" s="66"/>
      <c r="FQ294" s="66"/>
      <c r="FR294" s="66"/>
      <c r="FS294" s="66"/>
      <c r="FT294" s="66"/>
      <c r="FU294" s="66"/>
      <c r="FV294" s="66"/>
      <c r="FW294" s="66"/>
      <c r="FX294" s="66"/>
      <c r="FY294" s="66"/>
      <c r="FZ294" s="66"/>
      <c r="GA294" s="66"/>
      <c r="GB294" s="66"/>
      <c r="GC294" s="66"/>
      <c r="GD294" s="66"/>
      <c r="GE294" s="66"/>
      <c r="GF294" s="66"/>
      <c r="GG294" s="66"/>
      <c r="GH294" s="66"/>
      <c r="GI294" s="66"/>
      <c r="GJ294" s="66"/>
      <c r="GK294" s="66"/>
      <c r="GL294" s="66"/>
      <c r="GM294" s="66"/>
      <c r="GN294" s="66"/>
      <c r="GO294" s="66"/>
      <c r="GP294" s="66"/>
      <c r="GQ294" s="66"/>
      <c r="GR294" s="66"/>
      <c r="GS294" s="66"/>
      <c r="GT294" s="66"/>
      <c r="GU294" s="66"/>
      <c r="GV294" s="66"/>
      <c r="GW294" s="66"/>
      <c r="GX294" s="66"/>
      <c r="GY294" s="66"/>
      <c r="GZ294" s="66"/>
      <c r="HA294" s="66"/>
      <c r="HB294" s="66"/>
      <c r="HC294" s="66"/>
      <c r="HD294" s="66"/>
      <c r="HE294" s="66"/>
      <c r="HF294" s="66"/>
      <c r="HG294" s="66"/>
      <c r="HH294" s="66"/>
      <c r="HI294" s="66"/>
      <c r="HJ294" s="66"/>
      <c r="HK294" s="66"/>
      <c r="HL294" s="66"/>
      <c r="HM294" s="66"/>
      <c r="HN294" s="66"/>
      <c r="HO294" s="66"/>
      <c r="HP294" s="66"/>
      <c r="HQ294" s="66"/>
      <c r="HR294" s="66"/>
      <c r="HS294" s="66"/>
      <c r="HT294" s="66"/>
      <c r="HU294" s="66"/>
      <c r="HV294" s="66"/>
      <c r="HW294" s="66"/>
      <c r="HX294" s="66"/>
      <c r="HY294" s="66"/>
      <c r="HZ294" s="66"/>
      <c r="IA294" s="66"/>
      <c r="IB294" s="66"/>
      <c r="IC294" s="66"/>
      <c r="ID294" s="66"/>
      <c r="IE294" s="66"/>
      <c r="IF294" s="66"/>
      <c r="IG294" s="66"/>
      <c r="IH294" s="66"/>
      <c r="II294" s="66"/>
      <c r="IJ294" s="66"/>
      <c r="IK294" s="66"/>
      <c r="IL294" s="66"/>
      <c r="IM294" s="66"/>
      <c r="IN294" s="66"/>
      <c r="IO294" s="66"/>
      <c r="IP294" s="66"/>
      <c r="IQ294" s="66"/>
      <c r="IR294" s="66"/>
      <c r="IS294" s="66"/>
      <c r="IT294" s="66"/>
      <c r="IU294" s="66"/>
      <c r="IV294" s="66"/>
      <c r="IW294" s="66"/>
    </row>
    <row r="295" customFormat="false" ht="12.75" hidden="false" customHeight="false" outlineLevel="0" collapsed="false">
      <c r="A295" s="83"/>
      <c r="B295" s="43" t="s">
        <v>342</v>
      </c>
      <c r="D295" s="43" t="s">
        <v>175</v>
      </c>
      <c r="F295" s="48" t="n">
        <v>46500</v>
      </c>
      <c r="G295" s="48" t="n">
        <f aca="false">F295/52</f>
        <v>894.230769230769</v>
      </c>
      <c r="H295" s="61" t="n">
        <f aca="false">IF(AC295="N",IF(F295&lt;$G$3,$F$3*G295*AE295,IF(F295&lt;$G$2,$F$2*G295*AE295,$F$1*G295*AE295)),0)</f>
        <v>8942.30769230769</v>
      </c>
      <c r="I295" s="61" t="n">
        <f aca="false">IF(AC295="Y",(IF(F295&lt;$G$3,$F$3*G295*AE295,IF(F295&lt;$G$2,$F$2*G295*AE295,$F$1*G295*AE295))*$L$2),0)</f>
        <v>0</v>
      </c>
      <c r="J295" s="61"/>
      <c r="K295" s="61" t="n">
        <f aca="false">IF(AC295="N",(MIN((($F$3*G295*AE295+ROUNDUP((F295/10000),0)*G295)*2),F295)),0)</f>
        <v>26826.9230769231</v>
      </c>
      <c r="L295" s="61" t="n">
        <f aca="false">IF(AC295="Y",(MIN((($F$3*G295*AE295+ROUNDUP((F295/10000),0)*G295)*2),F295))*$L$2,0)</f>
        <v>0</v>
      </c>
      <c r="M295" s="61" t="n">
        <f aca="false">IF(AC295="N",IF((F295/10000*G295*$M$2)&gt;F295*$M$1,F295*$M$1,(F295/10000*G295*$M$2)),0)</f>
        <v>8316.34615384615</v>
      </c>
      <c r="N295" s="61" t="n">
        <f aca="false">IF(AC295="Y",(IF((F295/10000*G295*$M$2)&gt;F295*$M$1,F295*$M$1,(F295/10000*G295*$M$2)))*$L$2,0)</f>
        <v>0</v>
      </c>
      <c r="O295" s="61" t="n">
        <f aca="false">MAX(IF(F295&lt;$G$3,$F$3*G295*AE295,IF(F295&lt;$G$2,$F$2*G295*AE295,$F$1*G295*AE295)),IF((F295/10000*G295*$M$2)&gt;F295*$M$1,F295*$M$1,(F295/10000*G295*$M$2)))</f>
        <v>8942.30769230769</v>
      </c>
      <c r="P295" s="61" t="n">
        <f aca="false">MIN(IF(F295&lt;$G$3,$F$3*G295*AE295,IF(F295&lt;$G$2,$F$2*G295*AE295,$F$1*G295*AE295)),IF((F295/10000*G295*$M$2)&gt;F295*$M$1,F295*$M$1,(F295/10000*G295*$M$2)))</f>
        <v>8316.34615384615</v>
      </c>
      <c r="Q295" s="61" t="n">
        <f aca="false">MAX(I295,N295)</f>
        <v>0</v>
      </c>
      <c r="R295" s="61" t="n">
        <f aca="false">MIN(I295,N295)</f>
        <v>0</v>
      </c>
      <c r="S295" s="62" t="n">
        <f aca="false">F295/10000</f>
        <v>4.65</v>
      </c>
      <c r="T295" s="62" t="n">
        <f aca="false">ROUNDUP(S295,0)</f>
        <v>5</v>
      </c>
      <c r="U295" s="44" t="s">
        <v>40</v>
      </c>
      <c r="V295" s="44" t="n">
        <f aca="false">F295</f>
        <v>46500</v>
      </c>
      <c r="Y295" s="45" t="n">
        <f aca="false">(W295+X295)</f>
        <v>0</v>
      </c>
      <c r="AC295" s="46" t="s">
        <v>419</v>
      </c>
      <c r="AD295" s="47" t="n">
        <v>33605</v>
      </c>
      <c r="AE295" s="63" t="n">
        <f aca="false">ROUNDUP(DAYS360(AD295,$AE$3)/365,0)</f>
        <v>10</v>
      </c>
      <c r="AF295" s="62" t="n">
        <f aca="false">(G295*AE295)+(G295*T295)</f>
        <v>13413.4615384615</v>
      </c>
      <c r="AG295" s="62" t="n">
        <f aca="false">26*G295</f>
        <v>23250</v>
      </c>
      <c r="AH295" s="62" t="n">
        <f aca="false">G295*52</f>
        <v>46500</v>
      </c>
      <c r="AI295" s="62" t="n">
        <f aca="false">AF295*2</f>
        <v>26826.9230769231</v>
      </c>
      <c r="AJ295" s="62"/>
      <c r="AL295" s="43" t="n">
        <f aca="false">IF(AC295="N",V295,0)</f>
        <v>46500</v>
      </c>
      <c r="AM295" s="43" t="n">
        <f aca="false">IF(AL295&gt;0,1,0)</f>
        <v>1</v>
      </c>
    </row>
    <row r="296" customFormat="false" ht="12.75" hidden="false" customHeight="false" outlineLevel="0" collapsed="false">
      <c r="A296" s="83"/>
      <c r="B296" s="43" t="s">
        <v>312</v>
      </c>
      <c r="D296" s="43" t="s">
        <v>313</v>
      </c>
      <c r="F296" s="48" t="n">
        <v>80000</v>
      </c>
      <c r="G296" s="48" t="n">
        <f aca="false">F296/52</f>
        <v>1538.46153846154</v>
      </c>
      <c r="H296" s="61" t="n">
        <f aca="false">IF(AC296="N",IF(F296&lt;$G$3,$F$3*G296*AE296,IF(F296&lt;$G$2,$F$2*G296*AE296,$F$1*G296*AE296)),0)</f>
        <v>43076.9230769231</v>
      </c>
      <c r="I296" s="61" t="n">
        <f aca="false">IF(AC296="Y",(IF(F296&lt;$G$3,$F$3*G296*AE296,IF(F296&lt;$G$2,$F$2*G296*AE296,$F$1*G296*AE296))*$L$2),0)</f>
        <v>0</v>
      </c>
      <c r="J296" s="61"/>
      <c r="K296" s="61" t="n">
        <f aca="false">IF(AC296="N",(MIN((($F$3*G296*AE296+ROUNDUP((F296/10000),0)*G296)*2),F296)),0)</f>
        <v>67692.3076923077</v>
      </c>
      <c r="L296" s="61" t="n">
        <f aca="false">IF(AC296="Y",(MIN((($F$3*G296*AE296+ROUNDUP((F296/10000),0)*G296)*2),F296))*$L$2,0)</f>
        <v>0</v>
      </c>
      <c r="M296" s="61" t="n">
        <f aca="false">IF(AC296="N",IF((F296/10000*G296*$M$2)&gt;F296*$M$1,F296*$M$1,(F296/10000*G296*$M$2)),0)</f>
        <v>24615.3846153846</v>
      </c>
      <c r="N296" s="61" t="n">
        <f aca="false">IF(AC296="Y",(IF((F296/10000*G296*$M$2)&gt;F296*$M$1,F296*$M$1,(F296/10000*G296*$M$2)))*$L$2,0)</f>
        <v>0</v>
      </c>
      <c r="O296" s="61" t="n">
        <f aca="false">MAX(IF(F296&lt;$G$3,$F$3*G296*AE296,IF(F296&lt;$G$2,$F$2*G296*AE296,$F$1*G296*AE296)),IF((F296/10000*G296*$M$2)&gt;F296*$M$1,F296*$M$1,(F296/10000*G296*$M$2)))</f>
        <v>43076.9230769231</v>
      </c>
      <c r="P296" s="61" t="n">
        <f aca="false">MIN(IF(F296&lt;$G$3,$F$3*G296*AE296,IF(F296&lt;$G$2,$F$2*G296*AE296,$F$1*G296*AE296)),IF((F296/10000*G296*$M$2)&gt;F296*$M$1,F296*$M$1,(F296/10000*G296*$M$2)))</f>
        <v>24615.3846153846</v>
      </c>
      <c r="Q296" s="61" t="n">
        <f aca="false">MAX(I296,N296)</f>
        <v>0</v>
      </c>
      <c r="R296" s="61" t="n">
        <f aca="false">MIN(I296,N296)</f>
        <v>0</v>
      </c>
      <c r="S296" s="62" t="n">
        <f aca="false">F296/10000</f>
        <v>8</v>
      </c>
      <c r="T296" s="62" t="n">
        <f aca="false">ROUNDUP(S296,0)</f>
        <v>8</v>
      </c>
      <c r="U296" s="44" t="s">
        <v>40</v>
      </c>
      <c r="V296" s="44" t="n">
        <f aca="false">F296</f>
        <v>80000</v>
      </c>
      <c r="Y296" s="45" t="n">
        <f aca="false">(W296+X296)</f>
        <v>0</v>
      </c>
      <c r="AC296" s="46" t="s">
        <v>419</v>
      </c>
      <c r="AD296" s="47" t="n">
        <v>32090</v>
      </c>
      <c r="AE296" s="63" t="n">
        <f aca="false">ROUNDUP(DAYS360(AD296,$AE$3)/365,0)</f>
        <v>14</v>
      </c>
      <c r="AF296" s="62" t="n">
        <f aca="false">(G296*AE296)+(G296*T296)</f>
        <v>33846.1538461538</v>
      </c>
      <c r="AG296" s="62" t="n">
        <f aca="false">26*G296</f>
        <v>40000</v>
      </c>
      <c r="AH296" s="62" t="n">
        <f aca="false">G296*52</f>
        <v>80000</v>
      </c>
      <c r="AI296" s="62" t="n">
        <f aca="false">AF296*2</f>
        <v>67692.3076923077</v>
      </c>
      <c r="AJ296" s="62"/>
      <c r="AL296" s="43" t="n">
        <f aca="false">IF(AC296="N",V296,0)</f>
        <v>80000</v>
      </c>
      <c r="AM296" s="43" t="n">
        <f aca="false">IF(AL296&gt;0,1,0)</f>
        <v>1</v>
      </c>
    </row>
    <row r="297" customFormat="false" ht="12.75" hidden="false" customHeight="false" outlineLevel="0" collapsed="false">
      <c r="A297" s="83"/>
      <c r="B297" s="43" t="s">
        <v>249</v>
      </c>
      <c r="D297" s="43" t="s">
        <v>236</v>
      </c>
      <c r="F297" s="48" t="n">
        <v>27000</v>
      </c>
      <c r="G297" s="48" t="n">
        <f aca="false">F297/52</f>
        <v>519.230769230769</v>
      </c>
      <c r="H297" s="61" t="n">
        <f aca="false">IF(AC297="N",IF(F297&lt;$G$3,$F$3*G297*AE297,IF(F297&lt;$G$2,$F$2*G297*AE297,$F$1*G297*AE297)),0)</f>
        <v>0</v>
      </c>
      <c r="I297" s="61" t="n">
        <f aca="false">IF(AC297="Y",(IF(F297&lt;$G$3,$F$3*G297*AE297,IF(F297&lt;$G$2,$F$2*G297*AE297,$F$1*G297*AE297))*$L$2),0)</f>
        <v>778.846153846154</v>
      </c>
      <c r="J297" s="61"/>
      <c r="K297" s="61" t="n">
        <f aca="false">IF(AC297="N",(MIN((($F$3*G297*AE297+ROUNDUP((F297/10000),0)*G297)*2),F297)),0)</f>
        <v>0</v>
      </c>
      <c r="L297" s="61" t="n">
        <f aca="false">IF(AC297="Y",(MIN((($F$3*G297*AE297+ROUNDUP((F297/10000),0)*G297)*2),F297))*$L$2,0)</f>
        <v>6230.76923076923</v>
      </c>
      <c r="M297" s="61" t="n">
        <f aca="false">IF(AC297="N",IF((F297/10000*G297*$M$2)&gt;F297*$M$1,F297*$M$1,(F297/10000*G297*$M$2)),0)</f>
        <v>0</v>
      </c>
      <c r="N297" s="61" t="n">
        <f aca="false">IF(AC297="Y",(IF((F297/10000*G297*$M$2)&gt;F297*$M$1,F297*$M$1,(F297/10000*G297*$M$2)))*$L$2,0)</f>
        <v>4205.76923076923</v>
      </c>
      <c r="O297" s="61" t="n">
        <f aca="false">MAX(IF(F297&lt;$G$3,$F$3*G297*AE297,IF(F297&lt;$G$2,$F$2*G297*AE297,$F$1*G297*AE297)),IF((F297/10000*G297*$M$2)&gt;F297*$M$1,F297*$M$1,(F297/10000*G297*$M$2)))</f>
        <v>2803.84615384615</v>
      </c>
      <c r="P297" s="61" t="n">
        <f aca="false">MIN(IF(F297&lt;$G$3,$F$3*G297*AE297,IF(F297&lt;$G$2,$F$2*G297*AE297,$F$1*G297*AE297)),IF((F297/10000*G297*$M$2)&gt;F297*$M$1,F297*$M$1,(F297/10000*G297*$M$2)))</f>
        <v>519.230769230769</v>
      </c>
      <c r="Q297" s="61" t="n">
        <f aca="false">MAX(I297,N297)</f>
        <v>4205.76923076923</v>
      </c>
      <c r="R297" s="61" t="n">
        <f aca="false">MIN(I297,N297)</f>
        <v>778.846153846154</v>
      </c>
      <c r="S297" s="62" t="n">
        <f aca="false">F297/10000</f>
        <v>2.7</v>
      </c>
      <c r="T297" s="62" t="n">
        <f aca="false">ROUNDUP(S297,0)</f>
        <v>3</v>
      </c>
      <c r="U297" s="44" t="s">
        <v>40</v>
      </c>
      <c r="V297" s="44" t="n">
        <f aca="false">F297</f>
        <v>27000</v>
      </c>
      <c r="Y297" s="45" t="n">
        <f aca="false">(W297+X297)</f>
        <v>0</v>
      </c>
      <c r="AC297" s="46" t="s">
        <v>420</v>
      </c>
      <c r="AD297" s="47" t="n">
        <v>36752</v>
      </c>
      <c r="AE297" s="63" t="n">
        <f aca="false">ROUNDUP(DAYS360(AD297,$AE$3)/365,0)</f>
        <v>1</v>
      </c>
      <c r="AL297" s="43" t="n">
        <f aca="false">IF(AC297="N",V297,0)</f>
        <v>0</v>
      </c>
      <c r="AM297" s="43" t="n">
        <f aca="false">IF(AL297&gt;0,1,0)</f>
        <v>0</v>
      </c>
    </row>
    <row r="298" customFormat="false" ht="12.75" hidden="false" customHeight="false" outlineLevel="0" collapsed="false">
      <c r="A298" s="83"/>
      <c r="B298" s="43" t="s">
        <v>369</v>
      </c>
      <c r="D298" s="43" t="s">
        <v>236</v>
      </c>
      <c r="F298" s="48" t="n">
        <v>31000</v>
      </c>
      <c r="G298" s="48" t="n">
        <f aca="false">F298/52</f>
        <v>596.153846153846</v>
      </c>
      <c r="H298" s="61" t="n">
        <f aca="false">IF(AC298="N",IF(F298&lt;$G$3,$F$3*G298*AE298,IF(F298&lt;$G$2,$F$2*G298*AE298,$F$1*G298*AE298)),0)</f>
        <v>5961.53846153846</v>
      </c>
      <c r="I298" s="61" t="n">
        <f aca="false">IF(AC298="Y",(IF(F298&lt;$G$3,$F$3*G298*AE298,IF(F298&lt;$G$2,$F$2*G298*AE298,$F$1*G298*AE298))*$L$2),0)</f>
        <v>0</v>
      </c>
      <c r="J298" s="61"/>
      <c r="K298" s="61" t="n">
        <f aca="false">IF(AC298="N",(MIN((($F$3*G298*AE298+ROUNDUP((F298/10000),0)*G298)*2),F298)),0)</f>
        <v>16692.3076923077</v>
      </c>
      <c r="L298" s="61" t="n">
        <f aca="false">IF(AC298="Y",(MIN((($F$3*G298*AE298+ROUNDUP((F298/10000),0)*G298)*2),F298))*$L$2,0)</f>
        <v>0</v>
      </c>
      <c r="M298" s="61" t="n">
        <f aca="false">IF(AC298="N",IF((F298/10000*G298*$M$2)&gt;F298*$M$1,F298*$M$1,(F298/10000*G298*$M$2)),0)</f>
        <v>3696.15384615385</v>
      </c>
      <c r="N298" s="61" t="n">
        <f aca="false">IF(AC298="Y",(IF((F298/10000*G298*$M$2)&gt;F298*$M$1,F298*$M$1,(F298/10000*G298*$M$2)))*$L$2,0)</f>
        <v>0</v>
      </c>
      <c r="O298" s="61" t="n">
        <f aca="false">MAX(IF(F298&lt;$G$3,$F$3*G298*AE298,IF(F298&lt;$G$2,$F$2*G298*AE298,$F$1*G298*AE298)),IF((F298/10000*G298*$M$2)&gt;F298*$M$1,F298*$M$1,(F298/10000*G298*$M$2)))</f>
        <v>5961.53846153846</v>
      </c>
      <c r="P298" s="61" t="n">
        <f aca="false">MIN(IF(F298&lt;$G$3,$F$3*G298*AE298,IF(F298&lt;$G$2,$F$2*G298*AE298,$F$1*G298*AE298)),IF((F298/10000*G298*$M$2)&gt;F298*$M$1,F298*$M$1,(F298/10000*G298*$M$2)))</f>
        <v>3696.15384615385</v>
      </c>
      <c r="Q298" s="61" t="n">
        <f aca="false">MAX(I298,N298)</f>
        <v>0</v>
      </c>
      <c r="R298" s="61" t="n">
        <f aca="false">MIN(I298,N298)</f>
        <v>0</v>
      </c>
      <c r="S298" s="62" t="n">
        <f aca="false">F298/10000</f>
        <v>3.1</v>
      </c>
      <c r="T298" s="62" t="n">
        <f aca="false">ROUNDUP(S298,0)</f>
        <v>4</v>
      </c>
      <c r="U298" s="44" t="s">
        <v>40</v>
      </c>
      <c r="V298" s="44" t="n">
        <f aca="false">F298</f>
        <v>31000</v>
      </c>
      <c r="Y298" s="45" t="n">
        <f aca="false">(W298+X298)</f>
        <v>0</v>
      </c>
      <c r="AC298" s="46" t="s">
        <v>419</v>
      </c>
      <c r="AD298" s="47" t="n">
        <v>33462</v>
      </c>
      <c r="AE298" s="63" t="n">
        <f aca="false">ROUNDUP(DAYS360(AD298,$AE$3)/365,0)</f>
        <v>10</v>
      </c>
      <c r="AF298" s="62" t="n">
        <f aca="false">(G298*AE298)+(G298*T298)</f>
        <v>8346.15384615385</v>
      </c>
      <c r="AG298" s="62" t="n">
        <f aca="false">26*G298</f>
        <v>15500</v>
      </c>
      <c r="AH298" s="62" t="n">
        <f aca="false">G298*52</f>
        <v>31000</v>
      </c>
      <c r="AI298" s="62" t="n">
        <f aca="false">AF298*2</f>
        <v>16692.3076923077</v>
      </c>
      <c r="AJ298" s="62"/>
      <c r="AL298" s="43" t="n">
        <f aca="false">IF(AC298="N",V298,0)</f>
        <v>31000</v>
      </c>
      <c r="AM298" s="43" t="n">
        <f aca="false">IF(AL298&gt;0,1,0)</f>
        <v>1</v>
      </c>
    </row>
    <row r="299" customFormat="false" ht="12.75" hidden="false" customHeight="false" outlineLevel="0" collapsed="false">
      <c r="A299" s="83"/>
      <c r="B299" s="43" t="s">
        <v>123</v>
      </c>
      <c r="D299" s="43" t="s">
        <v>124</v>
      </c>
      <c r="F299" s="48" t="n">
        <v>91500</v>
      </c>
      <c r="G299" s="48" t="n">
        <f aca="false">F299/52</f>
        <v>1759.61538461538</v>
      </c>
      <c r="H299" s="61" t="n">
        <f aca="false">IF(AC299="N",IF(F299&lt;$G$3,$F$3*G299*AE299,IF(F299&lt;$G$2,$F$2*G299*AE299,$F$1*G299*AE299)),0)</f>
        <v>0</v>
      </c>
      <c r="I299" s="61" t="n">
        <f aca="false">IF(AC299="Y",(IF(F299&lt;$G$3,$F$3*G299*AE299,IF(F299&lt;$G$2,$F$2*G299*AE299,$F$1*G299*AE299))*$L$2),0)</f>
        <v>31673.0769230769</v>
      </c>
      <c r="J299" s="61"/>
      <c r="K299" s="61" t="n">
        <f aca="false">IF(AC299="N",(MIN((($F$3*G299*AE299+ROUNDUP((F299/10000),0)*G299)*2),F299)),0)</f>
        <v>0</v>
      </c>
      <c r="L299" s="61" t="n">
        <f aca="false">IF(AC299="Y",(MIN((($F$3*G299*AE299+ROUNDUP((F299/10000),0)*G299)*2),F299))*$L$2,0)</f>
        <v>84461.5384615384</v>
      </c>
      <c r="M299" s="61" t="n">
        <f aca="false">IF(AC299="N",IF((F299/10000*G299*$M$2)&gt;F299*$M$1,F299*$M$1,(F299/10000*G299*$M$2)),0)</f>
        <v>0</v>
      </c>
      <c r="N299" s="61" t="n">
        <f aca="false">IF(AC299="Y",(IF((F299/10000*G299*$M$2)&gt;F299*$M$1,F299*$M$1,(F299/10000*G299*$M$2)))*$L$2,0)</f>
        <v>48301.4423076923</v>
      </c>
      <c r="O299" s="61" t="n">
        <f aca="false">MAX(IF(F299&lt;$G$3,$F$3*G299*AE299,IF(F299&lt;$G$2,$F$2*G299*AE299,$F$1*G299*AE299)),IF((F299/10000*G299*$M$2)&gt;F299*$M$1,F299*$M$1,(F299/10000*G299*$M$2)))</f>
        <v>32200.9615384615</v>
      </c>
      <c r="P299" s="61" t="n">
        <f aca="false">MIN(IF(F299&lt;$G$3,$F$3*G299*AE299,IF(F299&lt;$G$2,$F$2*G299*AE299,$F$1*G299*AE299)),IF((F299/10000*G299*$M$2)&gt;F299*$M$1,F299*$M$1,(F299/10000*G299*$M$2)))</f>
        <v>21115.3846153846</v>
      </c>
      <c r="Q299" s="61" t="n">
        <f aca="false">MAX(I299,N299)</f>
        <v>48301.4423076923</v>
      </c>
      <c r="R299" s="61" t="n">
        <f aca="false">MIN(I299,N299)</f>
        <v>31673.0769230769</v>
      </c>
      <c r="S299" s="62" t="n">
        <f aca="false">F299/10000</f>
        <v>9.15</v>
      </c>
      <c r="T299" s="62" t="n">
        <f aca="false">ROUNDUP(S299,0)</f>
        <v>10</v>
      </c>
      <c r="U299" s="44" t="s">
        <v>40</v>
      </c>
      <c r="V299" s="44" t="n">
        <f aca="false">F299</f>
        <v>91500</v>
      </c>
      <c r="W299" s="45" t="n">
        <v>18000</v>
      </c>
      <c r="Y299" s="45" t="n">
        <f aca="false">(W299+X299)</f>
        <v>18000</v>
      </c>
      <c r="AC299" s="46" t="s">
        <v>420</v>
      </c>
      <c r="AD299" s="47" t="n">
        <v>35017</v>
      </c>
      <c r="AE299" s="63" t="n">
        <f aca="false">ROUNDUP(DAYS360(AD299,$AE$3)/365,0)</f>
        <v>6</v>
      </c>
      <c r="AL299" s="43" t="n">
        <f aca="false">IF(AC299="N",V299,0)</f>
        <v>0</v>
      </c>
      <c r="AM299" s="43" t="n">
        <f aca="false">IF(AL299&gt;0,1,0)</f>
        <v>0</v>
      </c>
    </row>
    <row r="300" customFormat="false" ht="12.75" hidden="false" customHeight="false" outlineLevel="0" collapsed="false">
      <c r="A300" s="83"/>
      <c r="B300" s="43" t="s">
        <v>246</v>
      </c>
      <c r="D300" s="43" t="s">
        <v>247</v>
      </c>
      <c r="F300" s="48" t="n">
        <v>27500</v>
      </c>
      <c r="G300" s="48" t="n">
        <f aca="false">F300/52</f>
        <v>528.846153846154</v>
      </c>
      <c r="H300" s="61" t="n">
        <f aca="false">IF(AC300="N",IF(F300&lt;$G$3,$F$3*G300*AE300,IF(F300&lt;$G$2,$F$2*G300*AE300,$F$1*G300*AE300)),0)</f>
        <v>0</v>
      </c>
      <c r="I300" s="61" t="n">
        <f aca="false">IF(AC300="Y",(IF(F300&lt;$G$3,$F$3*G300*AE300,IF(F300&lt;$G$2,$F$2*G300*AE300,$F$1*G300*AE300))*$L$2),0)</f>
        <v>3173.07692307692</v>
      </c>
      <c r="J300" s="61"/>
      <c r="K300" s="61" t="n">
        <f aca="false">IF(AC300="N",(MIN((($F$3*G300*AE300+ROUNDUP((F300/10000),0)*G300)*2),F300)),0)</f>
        <v>0</v>
      </c>
      <c r="L300" s="61" t="n">
        <f aca="false">IF(AC300="Y",(MIN((($F$3*G300*AE300+ROUNDUP((F300/10000),0)*G300)*2),F300))*$L$2,0)</f>
        <v>11105.7692307692</v>
      </c>
      <c r="M300" s="61" t="n">
        <f aca="false">IF(AC300="N",IF((F300/10000*G300*$M$2)&gt;F300*$M$1,F300*$M$1,(F300/10000*G300*$M$2)),0)</f>
        <v>0</v>
      </c>
      <c r="N300" s="61" t="n">
        <f aca="false">IF(AC300="Y",(IF((F300/10000*G300*$M$2)&gt;F300*$M$1,F300*$M$1,(F300/10000*G300*$M$2)))*$L$2,0)</f>
        <v>4362.98076923077</v>
      </c>
      <c r="O300" s="61" t="n">
        <f aca="false">MAX(IF(F300&lt;$G$3,$F$3*G300*AE300,IF(F300&lt;$G$2,$F$2*G300*AE300,$F$1*G300*AE300)),IF((F300/10000*G300*$M$2)&gt;F300*$M$1,F300*$M$1,(F300/10000*G300*$M$2)))</f>
        <v>2908.65384615385</v>
      </c>
      <c r="P300" s="61" t="n">
        <f aca="false">MIN(IF(F300&lt;$G$3,$F$3*G300*AE300,IF(F300&lt;$G$2,$F$2*G300*AE300,$F$1*G300*AE300)),IF((F300/10000*G300*$M$2)&gt;F300*$M$1,F300*$M$1,(F300/10000*G300*$M$2)))</f>
        <v>2115.38461538462</v>
      </c>
      <c r="Q300" s="61" t="n">
        <f aca="false">MAX(I300,N300)</f>
        <v>4362.98076923077</v>
      </c>
      <c r="R300" s="61" t="n">
        <f aca="false">MIN(I300,N300)</f>
        <v>3173.07692307692</v>
      </c>
      <c r="S300" s="62" t="n">
        <f aca="false">F300/10000</f>
        <v>2.75</v>
      </c>
      <c r="T300" s="62" t="n">
        <f aca="false">ROUNDUP(S300,0)</f>
        <v>3</v>
      </c>
      <c r="U300" s="44" t="s">
        <v>40</v>
      </c>
      <c r="V300" s="44" t="n">
        <f aca="false">F300</f>
        <v>27500</v>
      </c>
      <c r="Y300" s="45" t="n">
        <f aca="false">(W300+X300)</f>
        <v>0</v>
      </c>
      <c r="AC300" s="46" t="s">
        <v>420</v>
      </c>
      <c r="AD300" s="47" t="n">
        <v>35933</v>
      </c>
      <c r="AE300" s="63" t="n">
        <f aca="false">ROUNDUP(DAYS360(AD300,$AE$3)/365,0)</f>
        <v>4</v>
      </c>
      <c r="AL300" s="43" t="n">
        <f aca="false">IF(AC300="N",V300,0)</f>
        <v>0</v>
      </c>
      <c r="AM300" s="43" t="n">
        <f aca="false">IF(AL300&gt;0,1,0)</f>
        <v>0</v>
      </c>
    </row>
    <row r="301" customFormat="false" ht="12.75" hidden="false" customHeight="false" outlineLevel="0" collapsed="false">
      <c r="A301" s="83"/>
      <c r="B301" s="66" t="s">
        <v>62</v>
      </c>
      <c r="C301" s="66"/>
      <c r="D301" s="66" t="s">
        <v>52</v>
      </c>
      <c r="E301" s="66"/>
      <c r="F301" s="67" t="n">
        <v>230000</v>
      </c>
      <c r="G301" s="67" t="n">
        <f aca="false">F301/52</f>
        <v>4423.07692307692</v>
      </c>
      <c r="H301" s="69"/>
      <c r="I301" s="69"/>
      <c r="J301" s="69"/>
      <c r="K301" s="69"/>
      <c r="L301" s="69"/>
      <c r="M301" s="69"/>
      <c r="N301" s="69"/>
      <c r="O301" s="69"/>
      <c r="P301" s="69"/>
      <c r="Q301" s="61" t="n">
        <f aca="false">MAX(I301,N301)</f>
        <v>0</v>
      </c>
      <c r="R301" s="61" t="n">
        <f aca="false">MIN(I301,N301)</f>
        <v>0</v>
      </c>
      <c r="S301" s="70" t="n">
        <f aca="false">F301/10000</f>
        <v>23</v>
      </c>
      <c r="T301" s="70" t="n">
        <f aca="false">ROUNDUP(S301,0)</f>
        <v>23</v>
      </c>
      <c r="U301" s="71" t="s">
        <v>40</v>
      </c>
      <c r="V301" s="71" t="n">
        <f aca="false">F301</f>
        <v>230000</v>
      </c>
      <c r="W301" s="72" t="n">
        <v>150000</v>
      </c>
      <c r="X301" s="72" t="n">
        <v>91130</v>
      </c>
      <c r="Y301" s="72" t="n">
        <f aca="false">(W301+X301)</f>
        <v>241130</v>
      </c>
      <c r="Z301" s="73"/>
      <c r="AA301" s="73" t="n">
        <v>91130</v>
      </c>
      <c r="AB301" s="73" t="n">
        <v>265160</v>
      </c>
      <c r="AC301" s="73" t="s">
        <v>420</v>
      </c>
      <c r="AD301" s="59" t="n">
        <v>35324</v>
      </c>
      <c r="AE301" s="75" t="n">
        <f aca="false">ROUNDUP(DAYS360(AD301,$AE$3)/365,0)</f>
        <v>5</v>
      </c>
      <c r="AF301" s="73"/>
      <c r="AG301" s="73"/>
      <c r="AH301" s="73"/>
      <c r="AI301" s="73"/>
      <c r="AJ301" s="73"/>
      <c r="AK301" s="66"/>
      <c r="AL301" s="12" t="n">
        <f aca="false">IF(AC301="N",V301,0)</f>
        <v>0</v>
      </c>
      <c r="AM301" s="12" t="n">
        <f aca="false">IF(AL301&gt;0,1,0)</f>
        <v>0</v>
      </c>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6"/>
      <c r="CA301" s="66"/>
      <c r="CB301" s="66"/>
      <c r="CC301" s="66"/>
      <c r="CD301" s="66"/>
      <c r="CE301" s="66"/>
      <c r="CF301" s="66"/>
      <c r="CG301" s="66"/>
      <c r="CH301" s="66"/>
      <c r="CI301" s="66"/>
      <c r="CJ301" s="66"/>
      <c r="CK301" s="66"/>
      <c r="CL301" s="66"/>
      <c r="CM301" s="66"/>
      <c r="CN301" s="66"/>
      <c r="CO301" s="66"/>
      <c r="CP301" s="66"/>
      <c r="CQ301" s="66"/>
      <c r="CR301" s="66"/>
      <c r="CS301" s="66"/>
      <c r="CT301" s="66"/>
      <c r="CU301" s="66"/>
      <c r="CV301" s="66"/>
      <c r="CW301" s="66"/>
      <c r="CX301" s="66"/>
      <c r="CY301" s="66"/>
      <c r="CZ301" s="66"/>
      <c r="DA301" s="66"/>
      <c r="DB301" s="66"/>
      <c r="DC301" s="66"/>
      <c r="DD301" s="66"/>
      <c r="DE301" s="66"/>
      <c r="DF301" s="66"/>
      <c r="DG301" s="66"/>
      <c r="DH301" s="66"/>
      <c r="DI301" s="66"/>
      <c r="DJ301" s="66"/>
      <c r="DK301" s="66"/>
      <c r="DL301" s="66"/>
      <c r="DM301" s="66"/>
      <c r="DN301" s="66"/>
      <c r="DO301" s="66"/>
      <c r="DP301" s="66"/>
      <c r="DQ301" s="66"/>
      <c r="DR301" s="66"/>
      <c r="DS301" s="66"/>
      <c r="DT301" s="66"/>
      <c r="DU301" s="66"/>
      <c r="DV301" s="66"/>
      <c r="DW301" s="66"/>
      <c r="DX301" s="66"/>
      <c r="DY301" s="66"/>
      <c r="DZ301" s="66"/>
      <c r="EA301" s="66"/>
      <c r="EB301" s="66"/>
      <c r="EC301" s="66"/>
      <c r="ED301" s="66"/>
      <c r="EE301" s="66"/>
      <c r="EF301" s="66"/>
      <c r="EG301" s="66"/>
      <c r="EH301" s="66"/>
      <c r="EI301" s="66"/>
      <c r="EJ301" s="66"/>
      <c r="EK301" s="66"/>
      <c r="EL301" s="66"/>
      <c r="EM301" s="66"/>
      <c r="EN301" s="66"/>
      <c r="EO301" s="66"/>
      <c r="EP301" s="66"/>
      <c r="EQ301" s="66"/>
      <c r="ER301" s="66"/>
      <c r="ES301" s="66"/>
      <c r="ET301" s="66"/>
      <c r="EU301" s="66"/>
      <c r="EV301" s="66"/>
      <c r="EW301" s="66"/>
      <c r="EX301" s="66"/>
      <c r="EY301" s="66"/>
      <c r="EZ301" s="66"/>
      <c r="FA301" s="66"/>
      <c r="FB301" s="66"/>
      <c r="FC301" s="66"/>
      <c r="FD301" s="66"/>
      <c r="FE301" s="66"/>
      <c r="FF301" s="66"/>
      <c r="FG301" s="66"/>
      <c r="FH301" s="66"/>
      <c r="FI301" s="66"/>
      <c r="FJ301" s="66"/>
      <c r="FK301" s="66"/>
      <c r="FL301" s="66"/>
      <c r="FM301" s="66"/>
      <c r="FN301" s="66"/>
      <c r="FO301" s="66"/>
      <c r="FP301" s="66"/>
      <c r="FQ301" s="66"/>
      <c r="FR301" s="66"/>
      <c r="FS301" s="66"/>
      <c r="FT301" s="66"/>
      <c r="FU301" s="66"/>
      <c r="FV301" s="66"/>
      <c r="FW301" s="66"/>
      <c r="FX301" s="66"/>
      <c r="FY301" s="66"/>
      <c r="FZ301" s="66"/>
      <c r="GA301" s="66"/>
      <c r="GB301" s="66"/>
      <c r="GC301" s="66"/>
      <c r="GD301" s="66"/>
      <c r="GE301" s="66"/>
      <c r="GF301" s="66"/>
      <c r="GG301" s="66"/>
      <c r="GH301" s="66"/>
      <c r="GI301" s="66"/>
      <c r="GJ301" s="66"/>
      <c r="GK301" s="66"/>
      <c r="GL301" s="66"/>
      <c r="GM301" s="66"/>
      <c r="GN301" s="66"/>
      <c r="GO301" s="66"/>
      <c r="GP301" s="66"/>
      <c r="GQ301" s="66"/>
      <c r="GR301" s="66"/>
      <c r="GS301" s="66"/>
      <c r="GT301" s="66"/>
      <c r="GU301" s="66"/>
      <c r="GV301" s="66"/>
      <c r="GW301" s="66"/>
      <c r="GX301" s="66"/>
      <c r="GY301" s="66"/>
      <c r="GZ301" s="66"/>
      <c r="HA301" s="66"/>
      <c r="HB301" s="66"/>
      <c r="HC301" s="66"/>
      <c r="HD301" s="66"/>
      <c r="HE301" s="66"/>
      <c r="HF301" s="66"/>
      <c r="HG301" s="66"/>
      <c r="HH301" s="66"/>
      <c r="HI301" s="66"/>
      <c r="HJ301" s="66"/>
      <c r="HK301" s="66"/>
      <c r="HL301" s="66"/>
      <c r="HM301" s="66"/>
      <c r="HN301" s="66"/>
      <c r="HO301" s="66"/>
      <c r="HP301" s="66"/>
      <c r="HQ301" s="66"/>
      <c r="HR301" s="66"/>
      <c r="HS301" s="66"/>
      <c r="HT301" s="66"/>
      <c r="HU301" s="66"/>
      <c r="HV301" s="66"/>
      <c r="HW301" s="66"/>
      <c r="HX301" s="66"/>
      <c r="HY301" s="66"/>
      <c r="HZ301" s="66"/>
      <c r="IA301" s="66"/>
      <c r="IB301" s="66"/>
      <c r="IC301" s="66"/>
      <c r="ID301" s="66"/>
      <c r="IE301" s="66"/>
      <c r="IF301" s="66"/>
      <c r="IG301" s="66"/>
      <c r="IH301" s="66"/>
      <c r="II301" s="66"/>
      <c r="IJ301" s="66"/>
      <c r="IK301" s="66"/>
      <c r="IL301" s="66"/>
      <c r="IM301" s="66"/>
      <c r="IN301" s="66"/>
      <c r="IO301" s="66"/>
      <c r="IP301" s="66"/>
      <c r="IQ301" s="66"/>
      <c r="IR301" s="66"/>
      <c r="IS301" s="66"/>
      <c r="IT301" s="66"/>
      <c r="IU301" s="66"/>
      <c r="IV301" s="66"/>
      <c r="IW301" s="66"/>
    </row>
    <row r="302" customFormat="false" ht="12.75" hidden="false" customHeight="false" outlineLevel="0" collapsed="false">
      <c r="A302" s="83"/>
      <c r="B302" s="43" t="s">
        <v>221</v>
      </c>
      <c r="D302" s="43" t="s">
        <v>222</v>
      </c>
      <c r="F302" s="48" t="n">
        <v>43500</v>
      </c>
      <c r="G302" s="48" t="n">
        <f aca="false">F302/52</f>
        <v>836.538461538462</v>
      </c>
      <c r="H302" s="61" t="n">
        <f aca="false">IF(AC302="N",IF(F302&lt;$G$3,$F$3*G302*AE302,IF(F302&lt;$G$2,$F$2*G302*AE302,$F$1*G302*AE302)),0)</f>
        <v>0</v>
      </c>
      <c r="I302" s="61" t="n">
        <f aca="false">IF(AC302="Y",(IF(F302&lt;$G$3,$F$3*G302*AE302,IF(F302&lt;$G$2,$F$2*G302*AE302,$F$1*G302*AE302))*$L$2),0)</f>
        <v>22586.5384615385</v>
      </c>
      <c r="J302" s="61"/>
      <c r="K302" s="61" t="n">
        <f aca="false">IF(AC302="N",(MIN((($F$3*G302*AE302+ROUNDUP((F302/10000),0)*G302)*2),F302)),0)</f>
        <v>0</v>
      </c>
      <c r="L302" s="61" t="n">
        <f aca="false">IF(AC302="Y",(MIN((($F$3*G302*AE302+ROUNDUP((F302/10000),0)*G302)*2),F302))*$L$2,0)</f>
        <v>57721.1538461539</v>
      </c>
      <c r="M302" s="61" t="n">
        <f aca="false">IF(AC302="N",IF((F302/10000*G302*$M$2)&gt;F302*$M$1,F302*$M$1,(F302/10000*G302*$M$2)),0)</f>
        <v>0</v>
      </c>
      <c r="N302" s="61" t="n">
        <f aca="false">IF(AC302="Y",(IF((F302/10000*G302*$M$2)&gt;F302*$M$1,F302*$M$1,(F302/10000*G302*$M$2)))*$L$2,0)</f>
        <v>10916.8269230769</v>
      </c>
      <c r="O302" s="61" t="n">
        <f aca="false">MAX(IF(F302&lt;$G$3,$F$3*G302*AE302,IF(F302&lt;$G$2,$F$2*G302*AE302,$F$1*G302*AE302)),IF((F302/10000*G302*$M$2)&gt;F302*$M$1,F302*$M$1,(F302/10000*G302*$M$2)))</f>
        <v>15057.6923076923</v>
      </c>
      <c r="P302" s="61" t="n">
        <f aca="false">MIN(IF(F302&lt;$G$3,$F$3*G302*AE302,IF(F302&lt;$G$2,$F$2*G302*AE302,$F$1*G302*AE302)),IF((F302/10000*G302*$M$2)&gt;F302*$M$1,F302*$M$1,(F302/10000*G302*$M$2)))</f>
        <v>7277.88461538462</v>
      </c>
      <c r="Q302" s="61" t="n">
        <f aca="false">MAX(I302,N302)</f>
        <v>22586.5384615385</v>
      </c>
      <c r="R302" s="61" t="n">
        <f aca="false">MIN(I302,N302)</f>
        <v>10916.8269230769</v>
      </c>
      <c r="S302" s="62" t="n">
        <f aca="false">F302/10000</f>
        <v>4.35</v>
      </c>
      <c r="T302" s="62" t="n">
        <f aca="false">ROUNDUP(S302,0)</f>
        <v>5</v>
      </c>
      <c r="U302" s="44" t="s">
        <v>40</v>
      </c>
      <c r="V302" s="44" t="n">
        <f aca="false">F302</f>
        <v>43500</v>
      </c>
      <c r="Y302" s="45" t="n">
        <f aca="false">(W302+X302)</f>
        <v>0</v>
      </c>
      <c r="AC302" s="46" t="s">
        <v>420</v>
      </c>
      <c r="AD302" s="47" t="n">
        <v>30627</v>
      </c>
      <c r="AE302" s="63" t="n">
        <f aca="false">ROUNDUP(DAYS360(AD302,$AE$3)/365,0)</f>
        <v>18</v>
      </c>
      <c r="AL302" s="43" t="n">
        <f aca="false">IF(AC302="N",V302,0)</f>
        <v>0</v>
      </c>
      <c r="AM302" s="43" t="n">
        <f aca="false">IF(AL302&gt;0,1,0)</f>
        <v>0</v>
      </c>
    </row>
    <row r="303" customFormat="false" ht="12.75" hidden="false" customHeight="false" outlineLevel="0" collapsed="false">
      <c r="A303" s="83"/>
      <c r="B303" s="66" t="s">
        <v>51</v>
      </c>
      <c r="C303" s="66"/>
      <c r="D303" s="66" t="s">
        <v>52</v>
      </c>
      <c r="E303" s="66"/>
      <c r="F303" s="67" t="n">
        <v>350000</v>
      </c>
      <c r="G303" s="67" t="n">
        <f aca="false">F303/52</f>
        <v>6730.76923076923</v>
      </c>
      <c r="H303" s="69"/>
      <c r="I303" s="69"/>
      <c r="J303" s="69"/>
      <c r="K303" s="69"/>
      <c r="L303" s="69"/>
      <c r="M303" s="69"/>
      <c r="N303" s="69"/>
      <c r="O303" s="69"/>
      <c r="P303" s="69"/>
      <c r="Q303" s="61" t="n">
        <f aca="false">MAX(I303,N303)</f>
        <v>0</v>
      </c>
      <c r="R303" s="61" t="n">
        <f aca="false">MIN(I303,N303)</f>
        <v>0</v>
      </c>
      <c r="S303" s="70" t="n">
        <f aca="false">F303/10000</f>
        <v>35</v>
      </c>
      <c r="T303" s="70" t="n">
        <f aca="false">ROUNDUP(S303,0)</f>
        <v>35</v>
      </c>
      <c r="U303" s="71" t="s">
        <v>40</v>
      </c>
      <c r="V303" s="71" t="n">
        <f aca="false">F303</f>
        <v>350000</v>
      </c>
      <c r="W303" s="72" t="n">
        <v>350000</v>
      </c>
      <c r="X303" s="72" t="n">
        <v>98140</v>
      </c>
      <c r="Y303" s="72" t="n">
        <v>448140</v>
      </c>
      <c r="Z303" s="73"/>
      <c r="AA303" s="73" t="n">
        <v>98140</v>
      </c>
      <c r="AB303" s="73" t="n">
        <v>274630</v>
      </c>
      <c r="AC303" s="73" t="s">
        <v>420</v>
      </c>
      <c r="AD303" s="59" t="n">
        <v>31733</v>
      </c>
      <c r="AE303" s="75" t="n">
        <f aca="false">ROUNDUP(DAYS360(AD303,$AE$3)/365,0)</f>
        <v>15</v>
      </c>
      <c r="AF303" s="73"/>
      <c r="AG303" s="73"/>
      <c r="AH303" s="73"/>
      <c r="AI303" s="73"/>
      <c r="AJ303" s="73"/>
      <c r="AK303" s="66"/>
      <c r="AL303" s="12" t="n">
        <f aca="false">IF(AC303="N",V303,0)</f>
        <v>0</v>
      </c>
      <c r="AM303" s="12" t="n">
        <f aca="false">IF(AL303&gt;0,1,0)</f>
        <v>0</v>
      </c>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c r="BY303" s="66"/>
      <c r="BZ303" s="66"/>
      <c r="CA303" s="66"/>
      <c r="CB303" s="66"/>
      <c r="CC303" s="66"/>
      <c r="CD303" s="66"/>
      <c r="CE303" s="66"/>
      <c r="CF303" s="66"/>
      <c r="CG303" s="66"/>
      <c r="CH303" s="66"/>
      <c r="CI303" s="66"/>
      <c r="CJ303" s="66"/>
      <c r="CK303" s="66"/>
      <c r="CL303" s="66"/>
      <c r="CM303" s="66"/>
      <c r="CN303" s="66"/>
      <c r="CO303" s="66"/>
      <c r="CP303" s="66"/>
      <c r="CQ303" s="66"/>
      <c r="CR303" s="66"/>
      <c r="CS303" s="66"/>
      <c r="CT303" s="66"/>
      <c r="CU303" s="66"/>
      <c r="CV303" s="66"/>
      <c r="CW303" s="66"/>
      <c r="CX303" s="66"/>
      <c r="CY303" s="66"/>
      <c r="CZ303" s="66"/>
      <c r="DA303" s="66"/>
      <c r="DB303" s="66"/>
      <c r="DC303" s="66"/>
      <c r="DD303" s="66"/>
      <c r="DE303" s="66"/>
      <c r="DF303" s="66"/>
      <c r="DG303" s="66"/>
      <c r="DH303" s="66"/>
      <c r="DI303" s="66"/>
      <c r="DJ303" s="66"/>
      <c r="DK303" s="66"/>
      <c r="DL303" s="66"/>
      <c r="DM303" s="66"/>
      <c r="DN303" s="66"/>
      <c r="DO303" s="66"/>
      <c r="DP303" s="66"/>
      <c r="DQ303" s="66"/>
      <c r="DR303" s="66"/>
      <c r="DS303" s="66"/>
      <c r="DT303" s="66"/>
      <c r="DU303" s="66"/>
      <c r="DV303" s="66"/>
      <c r="DW303" s="66"/>
      <c r="DX303" s="66"/>
      <c r="DY303" s="66"/>
      <c r="DZ303" s="66"/>
      <c r="EA303" s="66"/>
      <c r="EB303" s="66"/>
      <c r="EC303" s="66"/>
      <c r="ED303" s="66"/>
      <c r="EE303" s="66"/>
      <c r="EF303" s="66"/>
      <c r="EG303" s="66"/>
      <c r="EH303" s="66"/>
      <c r="EI303" s="66"/>
      <c r="EJ303" s="66"/>
      <c r="EK303" s="66"/>
      <c r="EL303" s="66"/>
      <c r="EM303" s="66"/>
      <c r="EN303" s="66"/>
      <c r="EO303" s="66"/>
      <c r="EP303" s="66"/>
      <c r="EQ303" s="66"/>
      <c r="ER303" s="66"/>
      <c r="ES303" s="66"/>
      <c r="ET303" s="66"/>
      <c r="EU303" s="66"/>
      <c r="EV303" s="66"/>
      <c r="EW303" s="66"/>
      <c r="EX303" s="66"/>
      <c r="EY303" s="66"/>
      <c r="EZ303" s="66"/>
      <c r="FA303" s="66"/>
      <c r="FB303" s="66"/>
      <c r="FC303" s="66"/>
      <c r="FD303" s="66"/>
      <c r="FE303" s="66"/>
      <c r="FF303" s="66"/>
      <c r="FG303" s="66"/>
      <c r="FH303" s="66"/>
      <c r="FI303" s="66"/>
      <c r="FJ303" s="66"/>
      <c r="FK303" s="66"/>
      <c r="FL303" s="66"/>
      <c r="FM303" s="66"/>
      <c r="FN303" s="66"/>
      <c r="FO303" s="66"/>
      <c r="FP303" s="66"/>
      <c r="FQ303" s="66"/>
      <c r="FR303" s="66"/>
      <c r="FS303" s="66"/>
      <c r="FT303" s="66"/>
      <c r="FU303" s="66"/>
      <c r="FV303" s="66"/>
      <c r="FW303" s="66"/>
      <c r="FX303" s="66"/>
      <c r="FY303" s="66"/>
      <c r="FZ303" s="66"/>
      <c r="GA303" s="66"/>
      <c r="GB303" s="66"/>
      <c r="GC303" s="66"/>
      <c r="GD303" s="66"/>
      <c r="GE303" s="66"/>
      <c r="GF303" s="66"/>
      <c r="GG303" s="66"/>
      <c r="GH303" s="66"/>
      <c r="GI303" s="66"/>
      <c r="GJ303" s="66"/>
      <c r="GK303" s="66"/>
      <c r="GL303" s="66"/>
      <c r="GM303" s="66"/>
      <c r="GN303" s="66"/>
      <c r="GO303" s="66"/>
      <c r="GP303" s="66"/>
      <c r="GQ303" s="66"/>
      <c r="GR303" s="66"/>
      <c r="GS303" s="66"/>
      <c r="GT303" s="66"/>
      <c r="GU303" s="66"/>
      <c r="GV303" s="66"/>
      <c r="GW303" s="66"/>
      <c r="GX303" s="66"/>
      <c r="GY303" s="66"/>
      <c r="GZ303" s="66"/>
      <c r="HA303" s="66"/>
      <c r="HB303" s="66"/>
      <c r="HC303" s="66"/>
      <c r="HD303" s="66"/>
      <c r="HE303" s="66"/>
      <c r="HF303" s="66"/>
      <c r="HG303" s="66"/>
      <c r="HH303" s="66"/>
      <c r="HI303" s="66"/>
      <c r="HJ303" s="66"/>
      <c r="HK303" s="66"/>
      <c r="HL303" s="66"/>
      <c r="HM303" s="66"/>
      <c r="HN303" s="66"/>
      <c r="HO303" s="66"/>
      <c r="HP303" s="66"/>
      <c r="HQ303" s="66"/>
      <c r="HR303" s="66"/>
      <c r="HS303" s="66"/>
      <c r="HT303" s="66"/>
      <c r="HU303" s="66"/>
      <c r="HV303" s="66"/>
      <c r="HW303" s="66"/>
      <c r="HX303" s="66"/>
      <c r="HY303" s="66"/>
      <c r="HZ303" s="66"/>
      <c r="IA303" s="66"/>
      <c r="IB303" s="66"/>
      <c r="IC303" s="66"/>
      <c r="ID303" s="66"/>
      <c r="IE303" s="66"/>
      <c r="IF303" s="66"/>
      <c r="IG303" s="66"/>
      <c r="IH303" s="66"/>
      <c r="II303" s="66"/>
      <c r="IJ303" s="66"/>
      <c r="IK303" s="66"/>
      <c r="IL303" s="66"/>
      <c r="IM303" s="66"/>
      <c r="IN303" s="66"/>
      <c r="IO303" s="66"/>
      <c r="IP303" s="66"/>
      <c r="IQ303" s="66"/>
      <c r="IR303" s="66"/>
      <c r="IS303" s="66"/>
      <c r="IT303" s="66"/>
      <c r="IU303" s="66"/>
      <c r="IV303" s="66"/>
      <c r="IW303" s="66"/>
    </row>
    <row r="304" customFormat="false" ht="12.75" hidden="false" customHeight="false" outlineLevel="0" collapsed="false">
      <c r="A304" s="83"/>
      <c r="B304" s="43" t="s">
        <v>376</v>
      </c>
      <c r="D304" s="43" t="s">
        <v>236</v>
      </c>
      <c r="F304" s="48" t="n">
        <v>28000</v>
      </c>
      <c r="G304" s="48" t="n">
        <f aca="false">F304/52</f>
        <v>538.461538461539</v>
      </c>
      <c r="H304" s="61" t="n">
        <f aca="false">IF(AC304="N",IF(F304&lt;$G$3,$F$3*G304*AE304,IF(F304&lt;$G$2,$F$2*G304*AE304,$F$1*G304*AE304)),0)</f>
        <v>1076.92307692308</v>
      </c>
      <c r="I304" s="61" t="n">
        <f aca="false">IF(AC304="Y",(IF(F304&lt;$G$3,$F$3*G304*AE304,IF(F304&lt;$G$2,$F$2*G304*AE304,$F$1*G304*AE304))*$L$2),0)</f>
        <v>0</v>
      </c>
      <c r="J304" s="61"/>
      <c r="K304" s="61" t="n">
        <f aca="false">IF(AC304="N",(MIN((($F$3*G304*AE304+ROUNDUP((F304/10000),0)*G304)*2),F304)),0)</f>
        <v>5384.61538461539</v>
      </c>
      <c r="L304" s="61" t="n">
        <f aca="false">IF(AC304="Y",(MIN((($F$3*G304*AE304+ROUNDUP((F304/10000),0)*G304)*2),F304))*$L$2,0)</f>
        <v>0</v>
      </c>
      <c r="M304" s="61" t="n">
        <f aca="false">IF(AC304="N",IF((F304/10000*G304*$M$2)&gt;F304*$M$1,F304*$M$1,(F304/10000*G304*$M$2)),0)</f>
        <v>3015.38461538462</v>
      </c>
      <c r="N304" s="61" t="n">
        <f aca="false">IF(AC304="Y",(IF((F304/10000*G304*$M$2)&gt;F304*$M$1,F304*$M$1,(F304/10000*G304*$M$2)))*$L$2,0)</f>
        <v>0</v>
      </c>
      <c r="O304" s="61" t="n">
        <f aca="false">MAX(IF(F304&lt;$G$3,$F$3*G304*AE304,IF(F304&lt;$G$2,$F$2*G304*AE304,$F$1*G304*AE304)),IF((F304/10000*G304*$M$2)&gt;F304*$M$1,F304*$M$1,(F304/10000*G304*$M$2)))</f>
        <v>3015.38461538462</v>
      </c>
      <c r="P304" s="61" t="n">
        <f aca="false">MIN(IF(F304&lt;$G$3,$F$3*G304*AE304,IF(F304&lt;$G$2,$F$2*G304*AE304,$F$1*G304*AE304)),IF((F304/10000*G304*$M$2)&gt;F304*$M$1,F304*$M$1,(F304/10000*G304*$M$2)))</f>
        <v>1076.92307692308</v>
      </c>
      <c r="Q304" s="61" t="n">
        <f aca="false">MAX(I304,N304)</f>
        <v>0</v>
      </c>
      <c r="R304" s="61" t="n">
        <f aca="false">MIN(I304,N304)</f>
        <v>0</v>
      </c>
      <c r="S304" s="62" t="n">
        <f aca="false">F304/10000</f>
        <v>2.8</v>
      </c>
      <c r="T304" s="62" t="n">
        <f aca="false">ROUNDUP(S304,0)</f>
        <v>3</v>
      </c>
      <c r="U304" s="44" t="s">
        <v>40</v>
      </c>
      <c r="V304" s="44" t="n">
        <f aca="false">F304</f>
        <v>28000</v>
      </c>
      <c r="Y304" s="45" t="n">
        <f aca="false">(W304+X304)</f>
        <v>0</v>
      </c>
      <c r="AC304" s="46" t="s">
        <v>419</v>
      </c>
      <c r="AD304" s="47" t="n">
        <v>36689</v>
      </c>
      <c r="AE304" s="63" t="n">
        <f aca="false">ROUNDUP(DAYS360(AD304,$AE$3)/365,0)</f>
        <v>2</v>
      </c>
      <c r="AF304" s="62" t="n">
        <f aca="false">(G304*AE304)+(G304*T304)</f>
        <v>2692.30769230769</v>
      </c>
      <c r="AG304" s="62" t="n">
        <f aca="false">26*G304</f>
        <v>14000</v>
      </c>
      <c r="AH304" s="62" t="n">
        <f aca="false">G304*52</f>
        <v>28000</v>
      </c>
      <c r="AI304" s="62" t="n">
        <f aca="false">AF304*2</f>
        <v>5384.61538461539</v>
      </c>
      <c r="AJ304" s="62"/>
      <c r="AL304" s="43" t="n">
        <f aca="false">IF(AC304="N",V304,0)</f>
        <v>28000</v>
      </c>
      <c r="AM304" s="43" t="n">
        <f aca="false">IF(AL304&gt;0,1,0)</f>
        <v>1</v>
      </c>
    </row>
    <row r="305" customFormat="false" ht="12.75" hidden="false" customHeight="false" outlineLevel="0" collapsed="false">
      <c r="A305" s="83"/>
      <c r="B305" s="43" t="s">
        <v>105</v>
      </c>
      <c r="D305" s="43" t="s">
        <v>106</v>
      </c>
      <c r="F305" s="48" t="n">
        <v>140000</v>
      </c>
      <c r="G305" s="48" t="n">
        <f aca="false">F305/52</f>
        <v>2692.30769230769</v>
      </c>
      <c r="H305" s="61" t="n">
        <f aca="false">IF(AC305="N",IF(F305&lt;$G$3,$F$3*G305*AE305,IF(F305&lt;$G$2,$F$2*G305*AE305,$F$1*G305*AE305)),0)</f>
        <v>0</v>
      </c>
      <c r="I305" s="61" t="n">
        <f aca="false">IF(AC305="Y",(IF(F305&lt;$G$3,$F$3*G305*AE305,IF(F305&lt;$G$2,$F$2*G305*AE305,$F$1*G305*AE305))*$L$2),0)</f>
        <v>64615.3846153846</v>
      </c>
      <c r="J305" s="61"/>
      <c r="K305" s="61" t="n">
        <f aca="false">IF(AC305="N",(MIN((($F$3*G305*AE305+ROUNDUP((F305/10000),0)*G305)*2),F305)),0)</f>
        <v>0</v>
      </c>
      <c r="L305" s="61" t="n">
        <f aca="false">IF(AC305="Y",(MIN((($F$3*G305*AE305+ROUNDUP((F305/10000),0)*G305)*2),F305))*$L$2,0)</f>
        <v>145384.615384615</v>
      </c>
      <c r="M305" s="61" t="n">
        <f aca="false">IF(AC305="N",IF((F305/10000*G305*$M$2)&gt;F305*$M$1,F305*$M$1,(F305/10000*G305*$M$2)),0)</f>
        <v>0</v>
      </c>
      <c r="N305" s="61" t="n">
        <f aca="false">IF(AC305="Y",(IF((F305/10000*G305*$M$2)&gt;F305*$M$1,F305*$M$1,(F305/10000*G305*$M$2)))*$L$2,0)</f>
        <v>113076.923076923</v>
      </c>
      <c r="O305" s="61" t="n">
        <f aca="false">MAX(IF(F305&lt;$G$3,$F$3*G305*AE305,IF(F305&lt;$G$2,$F$2*G305*AE305,$F$1*G305*AE305)),IF((F305/10000*G305*$M$2)&gt;F305*$M$1,F305*$M$1,(F305/10000*G305*$M$2)))</f>
        <v>75384.6153846154</v>
      </c>
      <c r="P305" s="61" t="n">
        <f aca="false">MIN(IF(F305&lt;$G$3,$F$3*G305*AE305,IF(F305&lt;$G$2,$F$2*G305*AE305,$F$1*G305*AE305)),IF((F305/10000*G305*$M$2)&gt;F305*$M$1,F305*$M$1,(F305/10000*G305*$M$2)))</f>
        <v>43076.9230769231</v>
      </c>
      <c r="Q305" s="61" t="n">
        <f aca="false">MAX(I305,N305)</f>
        <v>113076.923076923</v>
      </c>
      <c r="R305" s="61" t="n">
        <f aca="false">MIN(I305,N305)</f>
        <v>64615.3846153846</v>
      </c>
      <c r="S305" s="62" t="n">
        <f aca="false">F305/10000</f>
        <v>14</v>
      </c>
      <c r="T305" s="62" t="n">
        <f aca="false">ROUNDUP(S305,0)</f>
        <v>14</v>
      </c>
      <c r="U305" s="44" t="s">
        <v>40</v>
      </c>
      <c r="V305" s="44" t="n">
        <f aca="false">F305</f>
        <v>140000</v>
      </c>
      <c r="W305" s="45" t="n">
        <v>30000</v>
      </c>
      <c r="Y305" s="45" t="n">
        <f aca="false">(W305+X305)</f>
        <v>30000</v>
      </c>
      <c r="AC305" s="46" t="s">
        <v>420</v>
      </c>
      <c r="AD305" s="47" t="n">
        <v>35884</v>
      </c>
      <c r="AE305" s="63" t="n">
        <f aca="false">ROUNDUP(DAYS360(AD305,$AE$3)/365,0)</f>
        <v>4</v>
      </c>
      <c r="AL305" s="43" t="n">
        <f aca="false">IF(AC305="N",V305,0)</f>
        <v>0</v>
      </c>
      <c r="AM305" s="43" t="n">
        <f aca="false">IF(AL305&gt;0,1,0)</f>
        <v>0</v>
      </c>
    </row>
    <row r="306" customFormat="false" ht="12.75" hidden="false" customHeight="false" outlineLevel="0" collapsed="false">
      <c r="A306" s="83"/>
      <c r="B306" s="43" t="s">
        <v>372</v>
      </c>
      <c r="D306" s="43" t="s">
        <v>236</v>
      </c>
      <c r="F306" s="48" t="n">
        <v>30000</v>
      </c>
      <c r="G306" s="48" t="n">
        <f aca="false">F306/52</f>
        <v>576.923076923077</v>
      </c>
      <c r="H306" s="61" t="n">
        <f aca="false">IF(AC306="N",IF(F306&lt;$G$3,$F$3*G306*AE306,IF(F306&lt;$G$2,$F$2*G306*AE306,$F$1*G306*AE306)),0)</f>
        <v>576.923076923077</v>
      </c>
      <c r="I306" s="61" t="n">
        <f aca="false">IF(AC306="Y",(IF(F306&lt;$G$3,$F$3*G306*AE306,IF(F306&lt;$G$2,$F$2*G306*AE306,$F$1*G306*AE306))*$L$2),0)</f>
        <v>0</v>
      </c>
      <c r="J306" s="61"/>
      <c r="K306" s="61" t="n">
        <f aca="false">IF(AC306="N",(MIN((($F$3*G306*AE306+ROUNDUP((F306/10000),0)*G306)*2),F306)),0)</f>
        <v>4615.38461538462</v>
      </c>
      <c r="L306" s="61" t="n">
        <f aca="false">IF(AC306="Y",(MIN((($F$3*G306*AE306+ROUNDUP((F306/10000),0)*G306)*2),F306))*$L$2,0)</f>
        <v>0</v>
      </c>
      <c r="M306" s="61" t="n">
        <f aca="false">IF(AC306="N",IF((F306/10000*G306*$M$2)&gt;F306*$M$1,F306*$M$1,(F306/10000*G306*$M$2)),0)</f>
        <v>3461.53846153846</v>
      </c>
      <c r="N306" s="61" t="n">
        <f aca="false">IF(AC306="Y",(IF((F306/10000*G306*$M$2)&gt;F306*$M$1,F306*$M$1,(F306/10000*G306*$M$2)))*$L$2,0)</f>
        <v>0</v>
      </c>
      <c r="O306" s="61" t="n">
        <f aca="false">MAX(IF(F306&lt;$G$3,$F$3*G306*AE306,IF(F306&lt;$G$2,$F$2*G306*AE306,$F$1*G306*AE306)),IF((F306/10000*G306*$M$2)&gt;F306*$M$1,F306*$M$1,(F306/10000*G306*$M$2)))</f>
        <v>3461.53846153846</v>
      </c>
      <c r="P306" s="61" t="n">
        <f aca="false">MIN(IF(F306&lt;$G$3,$F$3*G306*AE306,IF(F306&lt;$G$2,$F$2*G306*AE306,$F$1*G306*AE306)),IF((F306/10000*G306*$M$2)&gt;F306*$M$1,F306*$M$1,(F306/10000*G306*$M$2)))</f>
        <v>576.923076923077</v>
      </c>
      <c r="Q306" s="61" t="n">
        <f aca="false">MAX(I306,N306)</f>
        <v>0</v>
      </c>
      <c r="R306" s="61" t="n">
        <f aca="false">MIN(I306,N306)</f>
        <v>0</v>
      </c>
      <c r="S306" s="62" t="n">
        <f aca="false">F306/10000</f>
        <v>3</v>
      </c>
      <c r="T306" s="62" t="n">
        <f aca="false">ROUNDUP(S306,0)</f>
        <v>3</v>
      </c>
      <c r="U306" s="44" t="s">
        <v>40</v>
      </c>
      <c r="V306" s="44" t="n">
        <f aca="false">F306</f>
        <v>30000</v>
      </c>
      <c r="Y306" s="45" t="n">
        <f aca="false">(W306+X306)</f>
        <v>0</v>
      </c>
      <c r="AC306" s="46" t="s">
        <v>419</v>
      </c>
      <c r="AD306" s="47" t="n">
        <v>36914</v>
      </c>
      <c r="AE306" s="63" t="n">
        <f aca="false">ROUNDUP(DAYS360(AD306,$AE$3)/365,0)</f>
        <v>1</v>
      </c>
      <c r="AF306" s="62" t="n">
        <f aca="false">(G306*AE306)+(G306*T306)</f>
        <v>2307.69230769231</v>
      </c>
      <c r="AG306" s="62" t="n">
        <f aca="false">26*G306</f>
        <v>15000</v>
      </c>
      <c r="AH306" s="62" t="n">
        <f aca="false">G306*52</f>
        <v>30000</v>
      </c>
      <c r="AI306" s="62" t="n">
        <f aca="false">AF306*2</f>
        <v>4615.38461538462</v>
      </c>
      <c r="AJ306" s="62"/>
      <c r="AL306" s="43" t="n">
        <f aca="false">IF(AC306="N",V306,0)</f>
        <v>30000</v>
      </c>
      <c r="AM306" s="43" t="n">
        <f aca="false">IF(AL306&gt;0,1,0)</f>
        <v>1</v>
      </c>
    </row>
    <row r="307" customFormat="false" ht="12.75" hidden="false" customHeight="false" outlineLevel="0" collapsed="false">
      <c r="A307" s="83"/>
      <c r="B307" s="43" t="s">
        <v>379</v>
      </c>
      <c r="D307" s="43" t="s">
        <v>236</v>
      </c>
      <c r="F307" s="48" t="n">
        <v>25000</v>
      </c>
      <c r="G307" s="48" t="n">
        <f aca="false">F307/52</f>
        <v>480.769230769231</v>
      </c>
      <c r="H307" s="61" t="n">
        <f aca="false">IF(AC307="N",IF(F307&lt;$G$3,$F$3*G307*AE307,IF(F307&lt;$G$2,$F$2*G307*AE307,$F$1*G307*AE307)),0)</f>
        <v>480.769230769231</v>
      </c>
      <c r="I307" s="61" t="n">
        <f aca="false">IF(AC307="Y",(IF(F307&lt;$G$3,$F$3*G307*AE307,IF(F307&lt;$G$2,$F$2*G307*AE307,$F$1*G307*AE307))*$L$2),0)</f>
        <v>0</v>
      </c>
      <c r="J307" s="61"/>
      <c r="K307" s="61" t="n">
        <f aca="false">IF(AC307="N",(MIN((($F$3*G307*AE307+ROUNDUP((F307/10000),0)*G307)*2),F307)),0)</f>
        <v>3846.15384615385</v>
      </c>
      <c r="L307" s="61" t="n">
        <f aca="false">IF(AC307="Y",(MIN((($F$3*G307*AE307+ROUNDUP((F307/10000),0)*G307)*2),F307))*$L$2,0)</f>
        <v>0</v>
      </c>
      <c r="M307" s="61" t="n">
        <f aca="false">IF(AC307="N",IF((F307/10000*G307*$M$2)&gt;F307*$M$1,F307*$M$1,(F307/10000*G307*$M$2)),0)</f>
        <v>2403.84615384615</v>
      </c>
      <c r="N307" s="61" t="n">
        <f aca="false">IF(AC307="Y",(IF((F307/10000*G307*$M$2)&gt;F307*$M$1,F307*$M$1,(F307/10000*G307*$M$2)))*$L$2,0)</f>
        <v>0</v>
      </c>
      <c r="O307" s="61" t="n">
        <f aca="false">MAX(IF(F307&lt;$G$3,$F$3*G307*AE307,IF(F307&lt;$G$2,$F$2*G307*AE307,$F$1*G307*AE307)),IF((F307/10000*G307*$M$2)&gt;F307*$M$1,F307*$M$1,(F307/10000*G307*$M$2)))</f>
        <v>2403.84615384615</v>
      </c>
      <c r="P307" s="61" t="n">
        <f aca="false">MIN(IF(F307&lt;$G$3,$F$3*G307*AE307,IF(F307&lt;$G$2,$F$2*G307*AE307,$F$1*G307*AE307)),IF((F307/10000*G307*$M$2)&gt;F307*$M$1,F307*$M$1,(F307/10000*G307*$M$2)))</f>
        <v>480.769230769231</v>
      </c>
      <c r="Q307" s="61" t="n">
        <f aca="false">MAX(I307,N307)</f>
        <v>0</v>
      </c>
      <c r="R307" s="61" t="n">
        <f aca="false">MIN(I307,N307)</f>
        <v>0</v>
      </c>
      <c r="S307" s="62" t="n">
        <f aca="false">F307/10000</f>
        <v>2.5</v>
      </c>
      <c r="T307" s="62" t="n">
        <f aca="false">ROUNDUP(S307,0)</f>
        <v>3</v>
      </c>
      <c r="U307" s="44" t="s">
        <v>40</v>
      </c>
      <c r="V307" s="44" t="n">
        <f aca="false">F307</f>
        <v>25000</v>
      </c>
      <c r="Y307" s="45" t="n">
        <f aca="false">(W307+X307)</f>
        <v>0</v>
      </c>
      <c r="AC307" s="46" t="s">
        <v>419</v>
      </c>
      <c r="AD307" s="47" t="n">
        <v>36795</v>
      </c>
      <c r="AE307" s="63" t="n">
        <f aca="false">ROUNDUP(DAYS360(AD307,$AE$3)/365,0)</f>
        <v>1</v>
      </c>
      <c r="AF307" s="62" t="n">
        <f aca="false">(G307*AE307)+(G307*T307)</f>
        <v>1923.07692307692</v>
      </c>
      <c r="AG307" s="62" t="n">
        <f aca="false">26*G307</f>
        <v>12500</v>
      </c>
      <c r="AH307" s="62" t="n">
        <f aca="false">G307*52</f>
        <v>25000</v>
      </c>
      <c r="AI307" s="62" t="n">
        <f aca="false">AF307*2</f>
        <v>3846.15384615385</v>
      </c>
      <c r="AJ307" s="62"/>
      <c r="AL307" s="43" t="n">
        <f aca="false">IF(AC307="N",V307,0)</f>
        <v>25000</v>
      </c>
      <c r="AM307" s="43" t="n">
        <f aca="false">IF(AL307&gt;0,1,0)</f>
        <v>1</v>
      </c>
    </row>
    <row r="308" customFormat="false" ht="12.75" hidden="false" customHeight="false" outlineLevel="0" collapsed="false">
      <c r="A308" s="83"/>
      <c r="B308" s="43" t="s">
        <v>251</v>
      </c>
      <c r="D308" s="43" t="s">
        <v>252</v>
      </c>
      <c r="F308" s="48" t="n">
        <v>24000</v>
      </c>
      <c r="G308" s="48" t="n">
        <f aca="false">F308/52</f>
        <v>461.538461538462</v>
      </c>
      <c r="H308" s="61" t="n">
        <f aca="false">IF(AC308="N",IF(F308&lt;$G$3,$F$3*G308*AE308,IF(F308&lt;$G$2,$F$2*G308*AE308,$F$1*G308*AE308)),0)</f>
        <v>0</v>
      </c>
      <c r="I308" s="61" t="n">
        <f aca="false">IF(AC308="Y",(IF(F308&lt;$G$3,$F$3*G308*AE308,IF(F308&lt;$G$2,$F$2*G308*AE308,$F$1*G308*AE308))*$L$2),0)</f>
        <v>7615.38461538462</v>
      </c>
      <c r="J308" s="61"/>
      <c r="K308" s="61" t="n">
        <f aca="false">IF(AC308="N",(MIN((($F$3*G308*AE308+ROUNDUP((F308/10000),0)*G308)*2),F308)),0)</f>
        <v>0</v>
      </c>
      <c r="L308" s="61" t="n">
        <f aca="false">IF(AC308="Y",(MIN((($F$3*G308*AE308+ROUNDUP((F308/10000),0)*G308)*2),F308))*$L$2,0)</f>
        <v>19384.6153846154</v>
      </c>
      <c r="M308" s="61" t="n">
        <f aca="false">IF(AC308="N",IF((F308/10000*G308*$M$2)&gt;F308*$M$1,F308*$M$1,(F308/10000*G308*$M$2)),0)</f>
        <v>0</v>
      </c>
      <c r="N308" s="61" t="n">
        <f aca="false">IF(AC308="Y",(IF((F308/10000*G308*$M$2)&gt;F308*$M$1,F308*$M$1,(F308/10000*G308*$M$2)))*$L$2,0)</f>
        <v>3323.07692307692</v>
      </c>
      <c r="O308" s="61" t="n">
        <f aca="false">MAX(IF(F308&lt;$G$3,$F$3*G308*AE308,IF(F308&lt;$G$2,$F$2*G308*AE308,$F$1*G308*AE308)),IF((F308/10000*G308*$M$2)&gt;F308*$M$1,F308*$M$1,(F308/10000*G308*$M$2)))</f>
        <v>5076.92307692308</v>
      </c>
      <c r="P308" s="61" t="n">
        <f aca="false">MIN(IF(F308&lt;$G$3,$F$3*G308*AE308,IF(F308&lt;$G$2,$F$2*G308*AE308,$F$1*G308*AE308)),IF((F308/10000*G308*$M$2)&gt;F308*$M$1,F308*$M$1,(F308/10000*G308*$M$2)))</f>
        <v>2215.38461538462</v>
      </c>
      <c r="Q308" s="61" t="n">
        <f aca="false">MAX(I308,N308)</f>
        <v>7615.38461538462</v>
      </c>
      <c r="R308" s="61" t="n">
        <f aca="false">MIN(I308,N308)</f>
        <v>3323.07692307692</v>
      </c>
      <c r="S308" s="62" t="n">
        <f aca="false">F308/10000</f>
        <v>2.4</v>
      </c>
      <c r="T308" s="62" t="n">
        <f aca="false">ROUNDUP(S308,0)</f>
        <v>3</v>
      </c>
      <c r="U308" s="44" t="s">
        <v>40</v>
      </c>
      <c r="V308" s="44" t="n">
        <f aca="false">F308</f>
        <v>24000</v>
      </c>
      <c r="Y308" s="45" t="n">
        <f aca="false">(W308+X308)</f>
        <v>0</v>
      </c>
      <c r="AC308" s="46" t="s">
        <v>420</v>
      </c>
      <c r="AD308" s="47" t="n">
        <v>33240</v>
      </c>
      <c r="AE308" s="63" t="n">
        <f aca="false">ROUNDUP(DAYS360(AD308,$AE$3)/365,0)</f>
        <v>11</v>
      </c>
      <c r="AL308" s="43" t="n">
        <f aca="false">IF(AC308="N",V308,0)</f>
        <v>0</v>
      </c>
      <c r="AM308" s="43" t="n">
        <f aca="false">IF(AL308&gt;0,1,0)</f>
        <v>0</v>
      </c>
    </row>
    <row r="309" customFormat="false" ht="12.75" hidden="false" customHeight="false" outlineLevel="0" collapsed="false">
      <c r="A309" s="83"/>
      <c r="B309" s="43" t="s">
        <v>199</v>
      </c>
      <c r="D309" s="43" t="s">
        <v>200</v>
      </c>
      <c r="F309" s="48" t="n">
        <v>50000</v>
      </c>
      <c r="G309" s="48" t="n">
        <f aca="false">F309/52</f>
        <v>961.538461538462</v>
      </c>
      <c r="H309" s="61" t="n">
        <f aca="false">IF(AC309="N",IF(F309&lt;$G$3,$F$3*G309*AE309,IF(F309&lt;$G$2,$F$2*G309*AE309,$F$1*G309*AE309)),0)</f>
        <v>0</v>
      </c>
      <c r="I309" s="61" t="n">
        <f aca="false">IF(AC309="Y",(IF(F309&lt;$G$3,$F$3*G309*AE309,IF(F309&lt;$G$2,$F$2*G309*AE309,$F$1*G309*AE309))*$L$2),0)</f>
        <v>20192.3076923077</v>
      </c>
      <c r="J309" s="61"/>
      <c r="K309" s="61" t="n">
        <f aca="false">IF(AC309="N",(MIN((($F$3*G309*AE309+ROUNDUP((F309/10000),0)*G309)*2),F309)),0)</f>
        <v>0</v>
      </c>
      <c r="L309" s="61" t="n">
        <f aca="false">IF(AC309="Y",(MIN((($F$3*G309*AE309+ROUNDUP((F309/10000),0)*G309)*2),F309))*$L$2,0)</f>
        <v>34615.3846153846</v>
      </c>
      <c r="M309" s="61" t="n">
        <f aca="false">IF(AC309="N",IF((F309/10000*G309*$M$2)&gt;F309*$M$1,F309*$M$1,(F309/10000*G309*$M$2)),0)</f>
        <v>0</v>
      </c>
      <c r="N309" s="61" t="n">
        <f aca="false">IF(AC309="Y",(IF((F309/10000*G309*$M$2)&gt;F309*$M$1,F309*$M$1,(F309/10000*G309*$M$2)))*$L$2,0)</f>
        <v>14423.0769230769</v>
      </c>
      <c r="O309" s="61" t="n">
        <f aca="false">MAX(IF(F309&lt;$G$3,$F$3*G309*AE309,IF(F309&lt;$G$2,$F$2*G309*AE309,$F$1*G309*AE309)),IF((F309/10000*G309*$M$2)&gt;F309*$M$1,F309*$M$1,(F309/10000*G309*$M$2)))</f>
        <v>13461.5384615385</v>
      </c>
      <c r="P309" s="61" t="n">
        <f aca="false">MIN(IF(F309&lt;$G$3,$F$3*G309*AE309,IF(F309&lt;$G$2,$F$2*G309*AE309,$F$1*G309*AE309)),IF((F309/10000*G309*$M$2)&gt;F309*$M$1,F309*$M$1,(F309/10000*G309*$M$2)))</f>
        <v>9615.38461538462</v>
      </c>
      <c r="Q309" s="61" t="n">
        <f aca="false">MAX(I309,N309)</f>
        <v>20192.3076923077</v>
      </c>
      <c r="R309" s="61" t="n">
        <f aca="false">MIN(I309,N309)</f>
        <v>14423.0769230769</v>
      </c>
      <c r="S309" s="62" t="n">
        <f aca="false">F309/10000</f>
        <v>5</v>
      </c>
      <c r="T309" s="62" t="n">
        <f aca="false">ROUNDUP(S309,0)</f>
        <v>5</v>
      </c>
      <c r="U309" s="44" t="s">
        <v>40</v>
      </c>
      <c r="V309" s="44" t="n">
        <f aca="false">F309</f>
        <v>50000</v>
      </c>
      <c r="Y309" s="45" t="n">
        <f aca="false">(W309+X309)</f>
        <v>0</v>
      </c>
      <c r="AC309" s="46" t="s">
        <v>420</v>
      </c>
      <c r="AD309" s="47" t="n">
        <v>34834</v>
      </c>
      <c r="AE309" s="63" t="n">
        <f aca="false">ROUNDUP(DAYS360(AD309,$AE$3)/365,0)</f>
        <v>7</v>
      </c>
      <c r="AL309" s="43" t="n">
        <f aca="false">IF(AC309="N",V309,0)</f>
        <v>0</v>
      </c>
      <c r="AM309" s="43" t="n">
        <f aca="false">IF(AL309&gt;0,1,0)</f>
        <v>0</v>
      </c>
    </row>
    <row r="310" customFormat="false" ht="12.75" hidden="false" customHeight="false" outlineLevel="0" collapsed="false">
      <c r="A310" s="83"/>
      <c r="B310" s="43" t="s">
        <v>377</v>
      </c>
      <c r="D310" s="43" t="s">
        <v>236</v>
      </c>
      <c r="F310" s="48" t="n">
        <v>27000</v>
      </c>
      <c r="G310" s="48" t="n">
        <f aca="false">F310/52</f>
        <v>519.230769230769</v>
      </c>
      <c r="H310" s="61" t="n">
        <f aca="false">IF(AC310="N",IF(F310&lt;$G$3,$F$3*G310*AE310,IF(F310&lt;$G$2,$F$2*G310*AE310,$F$1*G310*AE310)),0)</f>
        <v>1038.46153846154</v>
      </c>
      <c r="I310" s="61" t="n">
        <f aca="false">IF(AC310="Y",(IF(F310&lt;$G$3,$F$3*G310*AE310,IF(F310&lt;$G$2,$F$2*G310*AE310,$F$1*G310*AE310))*$L$2),0)</f>
        <v>0</v>
      </c>
      <c r="J310" s="61"/>
      <c r="K310" s="61" t="n">
        <f aca="false">IF(AC310="N",(MIN((($F$3*G310*AE310+ROUNDUP((F310/10000),0)*G310)*2),F310)),0)</f>
        <v>5192.30769230769</v>
      </c>
      <c r="L310" s="61" t="n">
        <f aca="false">IF(AC310="Y",(MIN((($F$3*G310*AE310+ROUNDUP((F310/10000),0)*G310)*2),F310))*$L$2,0)</f>
        <v>0</v>
      </c>
      <c r="M310" s="61" t="n">
        <f aca="false">IF(AC310="N",IF((F310/10000*G310*$M$2)&gt;F310*$M$1,F310*$M$1,(F310/10000*G310*$M$2)),0)</f>
        <v>2803.84615384615</v>
      </c>
      <c r="N310" s="61" t="n">
        <f aca="false">IF(AC310="Y",(IF((F310/10000*G310*$M$2)&gt;F310*$M$1,F310*$M$1,(F310/10000*G310*$M$2)))*$L$2,0)</f>
        <v>0</v>
      </c>
      <c r="O310" s="61" t="n">
        <f aca="false">MAX(IF(F310&lt;$G$3,$F$3*G310*AE310,IF(F310&lt;$G$2,$F$2*G310*AE310,$F$1*G310*AE310)),IF((F310/10000*G310*$M$2)&gt;F310*$M$1,F310*$M$1,(F310/10000*G310*$M$2)))</f>
        <v>2803.84615384615</v>
      </c>
      <c r="P310" s="61" t="n">
        <f aca="false">MIN(IF(F310&lt;$G$3,$F$3*G310*AE310,IF(F310&lt;$G$2,$F$2*G310*AE310,$F$1*G310*AE310)),IF((F310/10000*G310*$M$2)&gt;F310*$M$1,F310*$M$1,(F310/10000*G310*$M$2)))</f>
        <v>1038.46153846154</v>
      </c>
      <c r="Q310" s="61" t="n">
        <f aca="false">MAX(I310,N310)</f>
        <v>0</v>
      </c>
      <c r="R310" s="61" t="n">
        <f aca="false">MIN(I310,N310)</f>
        <v>0</v>
      </c>
      <c r="S310" s="62" t="n">
        <f aca="false">F310/10000</f>
        <v>2.7</v>
      </c>
      <c r="T310" s="62" t="n">
        <f aca="false">ROUNDUP(S310,0)</f>
        <v>3</v>
      </c>
      <c r="U310" s="44" t="s">
        <v>40</v>
      </c>
      <c r="V310" s="44" t="n">
        <f aca="false">F310</f>
        <v>27000</v>
      </c>
      <c r="Y310" s="45" t="n">
        <f aca="false">(W310+X310)</f>
        <v>0</v>
      </c>
      <c r="AC310" s="46" t="s">
        <v>419</v>
      </c>
      <c r="AD310" s="47" t="n">
        <v>36500</v>
      </c>
      <c r="AE310" s="63" t="n">
        <f aca="false">ROUNDUP(DAYS360(AD310,$AE$3)/365,0)</f>
        <v>2</v>
      </c>
      <c r="AF310" s="62" t="n">
        <f aca="false">(G310*AE310)+(G310*T310)</f>
        <v>2596.15384615385</v>
      </c>
      <c r="AG310" s="62" t="n">
        <f aca="false">26*G310</f>
        <v>13500</v>
      </c>
      <c r="AH310" s="62" t="n">
        <f aca="false">G310*52</f>
        <v>27000</v>
      </c>
      <c r="AI310" s="62" t="n">
        <f aca="false">AF310*2</f>
        <v>5192.30769230769</v>
      </c>
      <c r="AJ310" s="62"/>
      <c r="AL310" s="43" t="n">
        <f aca="false">IF(AC310="N",V310,0)</f>
        <v>27000</v>
      </c>
      <c r="AM310" s="43" t="n">
        <f aca="false">IF(AL310&gt;0,1,0)</f>
        <v>1</v>
      </c>
    </row>
    <row r="311" customFormat="false" ht="12.75" hidden="false" customHeight="false" outlineLevel="0" collapsed="false">
      <c r="A311" s="83"/>
      <c r="B311" s="43" t="s">
        <v>382</v>
      </c>
      <c r="D311" s="43" t="s">
        <v>371</v>
      </c>
      <c r="F311" s="48" t="n">
        <v>23000</v>
      </c>
      <c r="G311" s="48" t="n">
        <f aca="false">F311/52</f>
        <v>442.307692307692</v>
      </c>
      <c r="H311" s="61" t="n">
        <f aca="false">IF(AC311="N",IF(F311&lt;$G$3,$F$3*G311*AE311,IF(F311&lt;$G$2,$F$2*G311*AE311,$F$1*G311*AE311)),0)</f>
        <v>442.307692307692</v>
      </c>
      <c r="I311" s="61" t="n">
        <f aca="false">IF(AC311="Y",(IF(F311&lt;$G$3,$F$3*G311*AE311,IF(F311&lt;$G$2,$F$2*G311*AE311,$F$1*G311*AE311))*$L$2),0)</f>
        <v>0</v>
      </c>
      <c r="J311" s="61"/>
      <c r="K311" s="61" t="n">
        <f aca="false">IF(AC311="N",(MIN((($F$3*G311*AE311+ROUNDUP((F311/10000),0)*G311)*2),F311)),0)</f>
        <v>3538.46153846154</v>
      </c>
      <c r="L311" s="61" t="n">
        <f aca="false">IF(AC311="Y",(MIN((($F$3*G311*AE311+ROUNDUP((F311/10000),0)*G311)*2),F311))*$L$2,0)</f>
        <v>0</v>
      </c>
      <c r="M311" s="61" t="n">
        <f aca="false">IF(AC311="N",IF((F311/10000*G311*$M$2)&gt;F311*$M$1,F311*$M$1,(F311/10000*G311*$M$2)),0)</f>
        <v>2034.61538461538</v>
      </c>
      <c r="N311" s="61" t="n">
        <f aca="false">IF(AC311="Y",(IF((F311/10000*G311*$M$2)&gt;F311*$M$1,F311*$M$1,(F311/10000*G311*$M$2)))*$L$2,0)</f>
        <v>0</v>
      </c>
      <c r="O311" s="61" t="n">
        <f aca="false">MAX(IF(F311&lt;$G$3,$F$3*G311*AE311,IF(F311&lt;$G$2,$F$2*G311*AE311,$F$1*G311*AE311)),IF((F311/10000*G311*$M$2)&gt;F311*$M$1,F311*$M$1,(F311/10000*G311*$M$2)))</f>
        <v>2034.61538461538</v>
      </c>
      <c r="P311" s="61" t="n">
        <f aca="false">MIN(IF(F311&lt;$G$3,$F$3*G311*AE311,IF(F311&lt;$G$2,$F$2*G311*AE311,$F$1*G311*AE311)),IF((F311/10000*G311*$M$2)&gt;F311*$M$1,F311*$M$1,(F311/10000*G311*$M$2)))</f>
        <v>442.307692307692</v>
      </c>
      <c r="Q311" s="61" t="n">
        <f aca="false">MAX(I311,N311)</f>
        <v>0</v>
      </c>
      <c r="R311" s="61" t="n">
        <f aca="false">MIN(I311,N311)</f>
        <v>0</v>
      </c>
      <c r="S311" s="62" t="n">
        <f aca="false">F311/10000</f>
        <v>2.3</v>
      </c>
      <c r="T311" s="62" t="n">
        <f aca="false">ROUNDUP(S311,0)</f>
        <v>3</v>
      </c>
      <c r="U311" s="44" t="s">
        <v>40</v>
      </c>
      <c r="V311" s="44" t="n">
        <f aca="false">F311</f>
        <v>23000</v>
      </c>
      <c r="Y311" s="45" t="n">
        <f aca="false">(W311+X311)</f>
        <v>0</v>
      </c>
      <c r="AC311" s="46" t="s">
        <v>419</v>
      </c>
      <c r="AD311" s="47" t="n">
        <v>36913</v>
      </c>
      <c r="AE311" s="63" t="n">
        <f aca="false">ROUNDUP(DAYS360(AD311,$AE$3)/365,0)</f>
        <v>1</v>
      </c>
      <c r="AF311" s="62" t="n">
        <f aca="false">(G311*AE311)+(G311*T311)</f>
        <v>1769.23076923077</v>
      </c>
      <c r="AG311" s="62" t="n">
        <f aca="false">26*G311</f>
        <v>11500</v>
      </c>
      <c r="AH311" s="62" t="n">
        <f aca="false">G311*52</f>
        <v>23000</v>
      </c>
      <c r="AI311" s="62" t="n">
        <f aca="false">AF311*2</f>
        <v>3538.46153846154</v>
      </c>
      <c r="AJ311" s="62"/>
      <c r="AL311" s="43" t="n">
        <f aca="false">IF(AC311="N",V311,0)</f>
        <v>23000</v>
      </c>
      <c r="AM311" s="43" t="n">
        <f aca="false">IF(AL311&gt;0,1,0)</f>
        <v>1</v>
      </c>
    </row>
    <row r="312" customFormat="false" ht="12.75" hidden="false" customHeight="false" outlineLevel="0" collapsed="false">
      <c r="A312" s="83"/>
      <c r="B312" s="43" t="s">
        <v>364</v>
      </c>
      <c r="D312" s="43" t="s">
        <v>236</v>
      </c>
      <c r="F312" s="48" t="n">
        <v>34000</v>
      </c>
      <c r="G312" s="48" t="n">
        <f aca="false">F312/52</f>
        <v>653.846153846154</v>
      </c>
      <c r="H312" s="61" t="n">
        <f aca="false">IF(AC312="N",IF(F312&lt;$G$3,$F$3*G312*AE312,IF(F312&lt;$G$2,$F$2*G312*AE312,$F$1*G312*AE312)),0)</f>
        <v>653.846153846154</v>
      </c>
      <c r="I312" s="61" t="n">
        <f aca="false">IF(AC312="Y",(IF(F312&lt;$G$3,$F$3*G312*AE312,IF(F312&lt;$G$2,$F$2*G312*AE312,$F$1*G312*AE312))*$L$2),0)</f>
        <v>0</v>
      </c>
      <c r="J312" s="61"/>
      <c r="K312" s="61" t="n">
        <f aca="false">IF(AC312="N",(MIN((($F$3*G312*AE312+ROUNDUP((F312/10000),0)*G312)*2),F312)),0)</f>
        <v>6538.46153846154</v>
      </c>
      <c r="L312" s="61" t="n">
        <f aca="false">IF(AC312="Y",(MIN((($F$3*G312*AE312+ROUNDUP((F312/10000),0)*G312)*2),F312))*$L$2,0)</f>
        <v>0</v>
      </c>
      <c r="M312" s="61" t="n">
        <f aca="false">IF(AC312="N",IF((F312/10000*G312*$M$2)&gt;F312*$M$1,F312*$M$1,(F312/10000*G312*$M$2)),0)</f>
        <v>4446.15384615385</v>
      </c>
      <c r="N312" s="61" t="n">
        <f aca="false">IF(AC312="Y",(IF((F312/10000*G312*$M$2)&gt;F312*$M$1,F312*$M$1,(F312/10000*G312*$M$2)))*$L$2,0)</f>
        <v>0</v>
      </c>
      <c r="O312" s="61" t="n">
        <f aca="false">MAX(IF(F312&lt;$G$3,$F$3*G312*AE312,IF(F312&lt;$G$2,$F$2*G312*AE312,$F$1*G312*AE312)),IF((F312/10000*G312*$M$2)&gt;F312*$M$1,F312*$M$1,(F312/10000*G312*$M$2)))</f>
        <v>4446.15384615385</v>
      </c>
      <c r="P312" s="61" t="n">
        <f aca="false">MIN(IF(F312&lt;$G$3,$F$3*G312*AE312,IF(F312&lt;$G$2,$F$2*G312*AE312,$F$1*G312*AE312)),IF((F312/10000*G312*$M$2)&gt;F312*$M$1,F312*$M$1,(F312/10000*G312*$M$2)))</f>
        <v>653.846153846154</v>
      </c>
      <c r="Q312" s="61" t="n">
        <f aca="false">MAX(I312,N312)</f>
        <v>0</v>
      </c>
      <c r="R312" s="61" t="n">
        <f aca="false">MIN(I312,N312)</f>
        <v>0</v>
      </c>
      <c r="S312" s="62" t="n">
        <f aca="false">F312/10000</f>
        <v>3.4</v>
      </c>
      <c r="T312" s="62" t="n">
        <f aca="false">ROUNDUP(S312,0)</f>
        <v>4</v>
      </c>
      <c r="U312" s="44" t="s">
        <v>40</v>
      </c>
      <c r="V312" s="44" t="n">
        <f aca="false">F312</f>
        <v>34000</v>
      </c>
      <c r="Y312" s="45" t="n">
        <f aca="false">(W312+X312)</f>
        <v>0</v>
      </c>
      <c r="AC312" s="46" t="s">
        <v>419</v>
      </c>
      <c r="AD312" s="47" t="n">
        <v>36927</v>
      </c>
      <c r="AE312" s="63" t="n">
        <f aca="false">ROUNDUP(DAYS360(AD312,$AE$3)/365,0)</f>
        <v>1</v>
      </c>
      <c r="AF312" s="62" t="n">
        <f aca="false">(G312*AE312)+(G312*T312)</f>
        <v>3269.23076923077</v>
      </c>
      <c r="AG312" s="62" t="n">
        <f aca="false">26*G312</f>
        <v>17000</v>
      </c>
      <c r="AH312" s="62" t="n">
        <f aca="false">G312*52</f>
        <v>34000</v>
      </c>
      <c r="AI312" s="62" t="n">
        <f aca="false">AF312*2</f>
        <v>6538.46153846154</v>
      </c>
      <c r="AJ312" s="62"/>
      <c r="AL312" s="43" t="n">
        <f aca="false">IF(AC312="N",V312,0)</f>
        <v>34000</v>
      </c>
      <c r="AM312" s="43" t="n">
        <f aca="false">IF(AL312&gt;0,1,0)</f>
        <v>1</v>
      </c>
    </row>
    <row r="313" customFormat="false" ht="12.75" hidden="false" customHeight="false" outlineLevel="0" collapsed="false">
      <c r="A313" s="83"/>
      <c r="B313" s="43" t="s">
        <v>205</v>
      </c>
      <c r="D313" s="43" t="s">
        <v>206</v>
      </c>
      <c r="F313" s="48" t="n">
        <v>46000</v>
      </c>
      <c r="G313" s="48" t="n">
        <f aca="false">F313/52</f>
        <v>884.615384615385</v>
      </c>
      <c r="H313" s="61" t="n">
        <f aca="false">IF(AC313="N",IF(F313&lt;$G$3,$F$3*G313*AE313,IF(F313&lt;$G$2,$F$2*G313*AE313,$F$1*G313*AE313)),0)</f>
        <v>0</v>
      </c>
      <c r="I313" s="61" t="n">
        <f aca="false">IF(AC313="Y",(IF(F313&lt;$G$3,$F$3*G313*AE313,IF(F313&lt;$G$2,$F$2*G313*AE313,$F$1*G313*AE313))*$L$2),0)</f>
        <v>17250</v>
      </c>
      <c r="J313" s="61"/>
      <c r="K313" s="61" t="n">
        <f aca="false">IF(AC313="N",(MIN((($F$3*G313*AE313+ROUNDUP((F313/10000),0)*G313)*2),F313)),0)</f>
        <v>0</v>
      </c>
      <c r="L313" s="61" t="n">
        <f aca="false">IF(AC313="Y",(MIN((($F$3*G313*AE313+ROUNDUP((F313/10000),0)*G313)*2),F313))*$L$2,0)</f>
        <v>47769.2307692308</v>
      </c>
      <c r="M313" s="61" t="n">
        <f aca="false">IF(AC313="N",IF((F313/10000*G313*$M$2)&gt;F313*$M$1,F313*$M$1,(F313/10000*G313*$M$2)),0)</f>
        <v>0</v>
      </c>
      <c r="N313" s="61" t="n">
        <f aca="false">IF(AC313="Y",(IF((F313/10000*G313*$M$2)&gt;F313*$M$1,F313*$M$1,(F313/10000*G313*$M$2)))*$L$2,0)</f>
        <v>12207.6923076923</v>
      </c>
      <c r="O313" s="61" t="n">
        <f aca="false">MAX(IF(F313&lt;$G$3,$F$3*G313*AE313,IF(F313&lt;$G$2,$F$2*G313*AE313,$F$1*G313*AE313)),IF((F313/10000*G313*$M$2)&gt;F313*$M$1,F313*$M$1,(F313/10000*G313*$M$2)))</f>
        <v>11500</v>
      </c>
      <c r="P313" s="61" t="n">
        <f aca="false">MIN(IF(F313&lt;$G$3,$F$3*G313*AE313,IF(F313&lt;$G$2,$F$2*G313*AE313,$F$1*G313*AE313)),IF((F313/10000*G313*$M$2)&gt;F313*$M$1,F313*$M$1,(F313/10000*G313*$M$2)))</f>
        <v>8138.46153846154</v>
      </c>
      <c r="Q313" s="61" t="n">
        <f aca="false">MAX(I313,N313)</f>
        <v>17250</v>
      </c>
      <c r="R313" s="61" t="n">
        <f aca="false">MIN(I313,N313)</f>
        <v>12207.6923076923</v>
      </c>
      <c r="S313" s="62" t="n">
        <f aca="false">F313/10000</f>
        <v>4.6</v>
      </c>
      <c r="T313" s="62" t="n">
        <f aca="false">ROUNDUP(S313,0)</f>
        <v>5</v>
      </c>
      <c r="U313" s="44" t="s">
        <v>40</v>
      </c>
      <c r="V313" s="44" t="n">
        <f aca="false">F313</f>
        <v>46000</v>
      </c>
      <c r="Y313" s="45" t="n">
        <f aca="false">(W313+X313)</f>
        <v>0</v>
      </c>
      <c r="AC313" s="46" t="s">
        <v>420</v>
      </c>
      <c r="AD313" s="47" t="n">
        <v>32384</v>
      </c>
      <c r="AE313" s="63" t="n">
        <f aca="false">ROUNDUP(DAYS360(AD313,$AE$3)/365,0)</f>
        <v>13</v>
      </c>
      <c r="AL313" s="43" t="n">
        <f aca="false">IF(AC313="N",V313,0)</f>
        <v>0</v>
      </c>
      <c r="AM313" s="43" t="n">
        <f aca="false">IF(AL313&gt;0,1,0)</f>
        <v>0</v>
      </c>
    </row>
    <row r="314" customFormat="false" ht="12.75" hidden="false" customHeight="false" outlineLevel="0" collapsed="false">
      <c r="A314" s="83"/>
      <c r="B314" s="43" t="s">
        <v>126</v>
      </c>
      <c r="D314" s="43" t="s">
        <v>127</v>
      </c>
      <c r="F314" s="48" t="n">
        <v>90000</v>
      </c>
      <c r="G314" s="48" t="n">
        <f aca="false">F314/52</f>
        <v>1730.76923076923</v>
      </c>
      <c r="H314" s="61" t="n">
        <f aca="false">IF(AC314="N",IF(F314&lt;$G$3,$F$3*G314*AE314,IF(F314&lt;$G$2,$F$2*G314*AE314,$F$1*G314*AE314)),0)</f>
        <v>0</v>
      </c>
      <c r="I314" s="61" t="n">
        <f aca="false">IF(AC314="Y",(IF(F314&lt;$G$3,$F$3*G314*AE314,IF(F314&lt;$G$2,$F$2*G314*AE314,$F$1*G314*AE314))*$L$2),0)</f>
        <v>5192.30769230769</v>
      </c>
      <c r="J314" s="61"/>
      <c r="K314" s="61" t="n">
        <f aca="false">IF(AC314="N",(MIN((($F$3*G314*AE314+ROUNDUP((F314/10000),0)*G314)*2),F314)),0)</f>
        <v>0</v>
      </c>
      <c r="L314" s="61" t="n">
        <f aca="false">IF(AC314="Y",(MIN((($F$3*G314*AE314+ROUNDUP((F314/10000),0)*G314)*2),F314))*$L$2,0)</f>
        <v>51923.0769230769</v>
      </c>
      <c r="M314" s="61" t="n">
        <f aca="false">IF(AC314="N",IF((F314/10000*G314*$M$2)&gt;F314*$M$1,F314*$M$1,(F314/10000*G314*$M$2)),0)</f>
        <v>0</v>
      </c>
      <c r="N314" s="61" t="n">
        <f aca="false">IF(AC314="Y",(IF((F314/10000*G314*$M$2)&gt;F314*$M$1,F314*$M$1,(F314/10000*G314*$M$2)))*$L$2,0)</f>
        <v>46730.7692307692</v>
      </c>
      <c r="O314" s="61" t="n">
        <f aca="false">MAX(IF(F314&lt;$G$3,$F$3*G314*AE314,IF(F314&lt;$G$2,$F$2*G314*AE314,$F$1*G314*AE314)),IF((F314/10000*G314*$M$2)&gt;F314*$M$1,F314*$M$1,(F314/10000*G314*$M$2)))</f>
        <v>31153.8461538462</v>
      </c>
      <c r="P314" s="61" t="n">
        <f aca="false">MIN(IF(F314&lt;$G$3,$F$3*G314*AE314,IF(F314&lt;$G$2,$F$2*G314*AE314,$F$1*G314*AE314)),IF((F314/10000*G314*$M$2)&gt;F314*$M$1,F314*$M$1,(F314/10000*G314*$M$2)))</f>
        <v>3461.53846153846</v>
      </c>
      <c r="Q314" s="61" t="n">
        <f aca="false">MAX(I314,N314)</f>
        <v>46730.7692307692</v>
      </c>
      <c r="R314" s="61" t="n">
        <f aca="false">MIN(I314,N314)</f>
        <v>5192.30769230769</v>
      </c>
      <c r="S314" s="62" t="n">
        <f aca="false">F314/10000</f>
        <v>9</v>
      </c>
      <c r="T314" s="62" t="n">
        <f aca="false">ROUNDUP(S314,0)</f>
        <v>9</v>
      </c>
      <c r="U314" s="44" t="s">
        <v>40</v>
      </c>
      <c r="V314" s="44" t="n">
        <f aca="false">F314</f>
        <v>90000</v>
      </c>
      <c r="Y314" s="45" t="n">
        <f aca="false">(W314+X314)</f>
        <v>0</v>
      </c>
      <c r="AC314" s="46" t="s">
        <v>420</v>
      </c>
      <c r="AD314" s="47" t="n">
        <v>36927</v>
      </c>
      <c r="AE314" s="63" t="n">
        <f aca="false">ROUNDUP(DAYS360(AD314,$AE$3)/365,0)</f>
        <v>1</v>
      </c>
      <c r="AL314" s="43" t="n">
        <f aca="false">IF(AC314="N",V314,0)</f>
        <v>0</v>
      </c>
      <c r="AM314" s="43" t="n">
        <f aca="false">IF(AL314&gt;0,1,0)</f>
        <v>0</v>
      </c>
    </row>
    <row r="315" customFormat="false" ht="12.75" hidden="false" customHeight="false" outlineLevel="0" collapsed="false">
      <c r="M315" s="61"/>
      <c r="N315" s="61"/>
      <c r="O315" s="61"/>
      <c r="P315" s="61"/>
      <c r="Q315" s="61"/>
      <c r="R315" s="61"/>
    </row>
    <row r="316" customFormat="false" ht="12.75" hidden="false" customHeight="false" outlineLevel="0" collapsed="false">
      <c r="H316" s="100" t="n">
        <f aca="false">SUM(H6:H276)+SUM(H278:H290)+SUM(H292:H314)</f>
        <v>1145060.92307692</v>
      </c>
      <c r="I316" s="100" t="n">
        <f aca="false">SUM(I6:I276)+SUM(I278:I290)+SUM(I292:I314)</f>
        <v>7838815.24984615</v>
      </c>
      <c r="J316" s="100"/>
      <c r="K316" s="100" t="n">
        <f aca="false">SUM(K6:K276)+SUM(K278:K290)+SUM(K292:K314)</f>
        <v>1935807.15384615</v>
      </c>
      <c r="L316" s="100" t="n">
        <f aca="false">SUM(L6:L276)+SUM(L278:L290)+SUM(L292:L314)</f>
        <v>10437830.1856154</v>
      </c>
      <c r="M316" s="100" t="n">
        <f aca="false">SUM(M6:M276)+SUM(M278:M290)+SUM(M292:M314)</f>
        <v>795455.235853846</v>
      </c>
      <c r="N316" s="100" t="n">
        <f aca="false">SUM(N6:N276)+SUM(N278:N290)+SUM(N292:N314)</f>
        <v>6440934.09632601</v>
      </c>
      <c r="O316" s="100" t="n">
        <f aca="false">SUM(O6:O276)+SUM(O278:O290)+SUM(O292:O314)</f>
        <v>7554022.94191154</v>
      </c>
      <c r="P316" s="100" t="n">
        <f aca="false">SUM(P6:P276)+SUM(P278:P290)+SUM(P292:P314)</f>
        <v>3906326.11446734</v>
      </c>
      <c r="Q316" s="100" t="n">
        <f aca="false">SUM(Q6:Q276)+SUM(Q278:Q290)+SUM(Q292:Q314)</f>
        <v>9441233.19853269</v>
      </c>
      <c r="R316" s="100" t="n">
        <f aca="false">SUM(R6:R276)+SUM(R278:R290)+SUM(R292:R314)</f>
        <v>4838516.14763947</v>
      </c>
      <c r="V316" s="100" t="n">
        <f aca="false">SUM(V6:V276)+SUM(V278:V290)+SUM(V292:V314)</f>
        <v>16831490.896</v>
      </c>
      <c r="AL316" s="100" t="n">
        <f aca="false">SUM(AL6:AL276)+SUM(AL278:AL290)+SUM(AL292:AL314)</f>
        <v>3235664</v>
      </c>
      <c r="AM316" s="100" t="n">
        <f aca="false">SUM(AM6:AM276)+SUM(AM278:AM290)+SUM(AM292:AM314)</f>
        <v>65</v>
      </c>
    </row>
    <row r="317" customFormat="false" ht="12.75" hidden="false" customHeight="false" outlineLevel="0" collapsed="false">
      <c r="M317" s="61"/>
      <c r="N317" s="61"/>
      <c r="O317" s="61"/>
      <c r="P317" s="61"/>
      <c r="Q317" s="61"/>
      <c r="R317" s="61"/>
    </row>
    <row r="318" customFormat="false" ht="12.75" hidden="false" customHeight="false" outlineLevel="0" collapsed="false">
      <c r="M318" s="61"/>
      <c r="N318" s="61"/>
      <c r="O318" s="61"/>
      <c r="P318" s="61"/>
      <c r="Q318" s="61"/>
      <c r="R318" s="61"/>
    </row>
    <row r="319" customFormat="false" ht="12.75" hidden="false" customHeight="false" outlineLevel="0" collapsed="false">
      <c r="M319" s="61"/>
      <c r="N319" s="61"/>
      <c r="O319" s="61"/>
      <c r="P319" s="61"/>
      <c r="Q319" s="61"/>
      <c r="R319" s="61"/>
    </row>
    <row r="320" customFormat="false" ht="12.75" hidden="false" customHeight="false" outlineLevel="0" collapsed="false">
      <c r="M320" s="61"/>
      <c r="N320" s="61"/>
      <c r="O320" s="61"/>
      <c r="P320" s="61"/>
      <c r="Q320" s="61"/>
      <c r="R320" s="61"/>
    </row>
    <row r="321" customFormat="false" ht="12.75" hidden="false" customHeight="false" outlineLevel="0" collapsed="false">
      <c r="M321" s="61"/>
      <c r="N321" s="61"/>
      <c r="O321" s="61"/>
      <c r="P321" s="61"/>
      <c r="Q321" s="61"/>
      <c r="R321" s="61"/>
    </row>
    <row r="322" customFormat="false" ht="12.75" hidden="false" customHeight="false" outlineLevel="0" collapsed="false">
      <c r="M322" s="61"/>
      <c r="N322" s="61"/>
      <c r="O322" s="61"/>
      <c r="P322" s="61"/>
      <c r="Q322" s="61"/>
      <c r="R322" s="61"/>
    </row>
    <row r="323" customFormat="false" ht="12.75" hidden="false" customHeight="false" outlineLevel="0" collapsed="false">
      <c r="M323" s="61"/>
      <c r="N323" s="61"/>
      <c r="O323" s="61"/>
      <c r="P323" s="61"/>
      <c r="Q323" s="61"/>
      <c r="R323" s="61"/>
    </row>
    <row r="324" customFormat="false" ht="12.75" hidden="false" customHeight="false" outlineLevel="0" collapsed="false">
      <c r="M324" s="61"/>
      <c r="N324" s="61"/>
      <c r="O324" s="61"/>
      <c r="P324" s="61"/>
      <c r="Q324" s="61"/>
      <c r="R324" s="61"/>
    </row>
    <row r="325" customFormat="false" ht="12.75" hidden="false" customHeight="false" outlineLevel="0" collapsed="false">
      <c r="M325" s="61"/>
      <c r="N325" s="61"/>
      <c r="O325" s="61"/>
      <c r="P325" s="61"/>
      <c r="Q325" s="61"/>
      <c r="R325" s="61"/>
    </row>
    <row r="326" customFormat="false" ht="12.75" hidden="false" customHeight="false" outlineLevel="0" collapsed="false">
      <c r="M326" s="61"/>
      <c r="N326" s="61"/>
      <c r="O326" s="61"/>
      <c r="P326" s="61"/>
      <c r="Q326" s="61"/>
      <c r="R326" s="61"/>
    </row>
    <row r="327" customFormat="false" ht="12.75" hidden="false" customHeight="false" outlineLevel="0" collapsed="false">
      <c r="M327" s="61"/>
      <c r="N327" s="61"/>
      <c r="O327" s="61"/>
      <c r="P327" s="61"/>
      <c r="Q327" s="61"/>
      <c r="R327" s="61"/>
    </row>
    <row r="328" customFormat="false" ht="12.75" hidden="false" customHeight="false" outlineLevel="0" collapsed="false">
      <c r="M328" s="61"/>
      <c r="N328" s="61"/>
      <c r="O328" s="61"/>
      <c r="P328" s="61"/>
      <c r="Q328" s="61"/>
      <c r="R328" s="61"/>
    </row>
    <row r="329" customFormat="false" ht="12.75" hidden="false" customHeight="false" outlineLevel="0" collapsed="false">
      <c r="M329" s="61"/>
      <c r="N329" s="61"/>
      <c r="O329" s="61"/>
      <c r="P329" s="61"/>
      <c r="Q329" s="61"/>
      <c r="R329" s="61"/>
    </row>
    <row r="330" customFormat="false" ht="12.75" hidden="false" customHeight="false" outlineLevel="0" collapsed="false">
      <c r="M330" s="61"/>
      <c r="N330" s="61"/>
      <c r="O330" s="61"/>
      <c r="P330" s="61"/>
      <c r="Q330" s="61"/>
      <c r="R330" s="61"/>
    </row>
    <row r="331" customFormat="false" ht="12.75" hidden="false" customHeight="false" outlineLevel="0" collapsed="false">
      <c r="M331" s="61"/>
      <c r="N331" s="61"/>
      <c r="O331" s="61"/>
      <c r="P331" s="61"/>
      <c r="Q331" s="61"/>
      <c r="R331" s="61"/>
    </row>
    <row r="332" customFormat="false" ht="12.75" hidden="false" customHeight="false" outlineLevel="0" collapsed="false">
      <c r="M332" s="61"/>
      <c r="N332" s="61"/>
      <c r="O332" s="61"/>
      <c r="P332" s="61"/>
      <c r="Q332" s="61"/>
      <c r="R332" s="61"/>
    </row>
    <row r="333" customFormat="false" ht="12.75" hidden="false" customHeight="false" outlineLevel="0" collapsed="false">
      <c r="M333" s="61"/>
      <c r="N333" s="61"/>
      <c r="O333" s="61"/>
      <c r="P333" s="61"/>
      <c r="Q333" s="61"/>
      <c r="R333" s="61"/>
    </row>
    <row r="334" customFormat="false" ht="12.75" hidden="false" customHeight="false" outlineLevel="0" collapsed="false">
      <c r="M334" s="61"/>
      <c r="N334" s="61"/>
      <c r="O334" s="61"/>
      <c r="P334" s="61"/>
      <c r="Q334" s="61"/>
      <c r="R334" s="61"/>
    </row>
    <row r="335" customFormat="false" ht="12.75" hidden="false" customHeight="false" outlineLevel="0" collapsed="false">
      <c r="M335" s="61"/>
      <c r="N335" s="61"/>
      <c r="O335" s="61"/>
      <c r="P335" s="61"/>
      <c r="Q335" s="61"/>
      <c r="R335" s="61"/>
    </row>
    <row r="336" customFormat="false" ht="12.75" hidden="false" customHeight="false" outlineLevel="0" collapsed="false">
      <c r="M336" s="61"/>
      <c r="N336" s="61"/>
      <c r="O336" s="61"/>
      <c r="P336" s="61"/>
      <c r="Q336" s="61"/>
      <c r="R336" s="61"/>
    </row>
    <row r="337" customFormat="false" ht="12.75" hidden="false" customHeight="false" outlineLevel="0" collapsed="false">
      <c r="M337" s="61"/>
      <c r="N337" s="61"/>
      <c r="O337" s="61"/>
      <c r="P337" s="61"/>
      <c r="Q337" s="61"/>
      <c r="R337" s="61"/>
    </row>
    <row r="338" customFormat="false" ht="12.75" hidden="false" customHeight="false" outlineLevel="0" collapsed="false">
      <c r="M338" s="61"/>
      <c r="N338" s="61"/>
      <c r="O338" s="61"/>
      <c r="P338" s="61"/>
      <c r="Q338" s="61"/>
      <c r="R338" s="61"/>
    </row>
    <row r="339" customFormat="false" ht="12.75" hidden="false" customHeight="false" outlineLevel="0" collapsed="false">
      <c r="M339" s="61"/>
      <c r="N339" s="61"/>
      <c r="O339" s="61"/>
      <c r="P339" s="61"/>
      <c r="Q339" s="61"/>
      <c r="R339" s="61"/>
    </row>
    <row r="340" customFormat="false" ht="12.75" hidden="false" customHeight="false" outlineLevel="0" collapsed="false">
      <c r="M340" s="61"/>
      <c r="N340" s="61"/>
      <c r="O340" s="61"/>
      <c r="P340" s="61"/>
      <c r="Q340" s="61"/>
      <c r="R340" s="61"/>
    </row>
    <row r="341" customFormat="false" ht="12.75" hidden="false" customHeight="false" outlineLevel="0" collapsed="false">
      <c r="M341" s="61"/>
      <c r="N341" s="61"/>
      <c r="O341" s="61"/>
      <c r="P341" s="61"/>
      <c r="Q341" s="61"/>
      <c r="R341" s="61"/>
    </row>
    <row r="342" customFormat="false" ht="12.75" hidden="false" customHeight="false" outlineLevel="0" collapsed="false">
      <c r="M342" s="61"/>
      <c r="N342" s="61"/>
      <c r="O342" s="61"/>
      <c r="P342" s="61"/>
      <c r="Q342" s="61"/>
      <c r="R342" s="61"/>
    </row>
    <row r="343" customFormat="false" ht="12.75" hidden="false" customHeight="false" outlineLevel="0" collapsed="false">
      <c r="M343" s="61"/>
      <c r="N343" s="61"/>
      <c r="O343" s="61"/>
      <c r="P343" s="61"/>
      <c r="Q343" s="61"/>
      <c r="R343" s="61"/>
    </row>
    <row r="344" customFormat="false" ht="12.75" hidden="false" customHeight="false" outlineLevel="0" collapsed="false">
      <c r="M344" s="61"/>
      <c r="N344" s="61"/>
      <c r="O344" s="61"/>
      <c r="P344" s="61"/>
      <c r="Q344" s="61"/>
      <c r="R344" s="61"/>
    </row>
    <row r="345" customFormat="false" ht="12.75" hidden="false" customHeight="false" outlineLevel="0" collapsed="false">
      <c r="M345" s="61"/>
      <c r="N345" s="61"/>
      <c r="O345" s="61"/>
      <c r="P345" s="61"/>
      <c r="Q345" s="61"/>
      <c r="R345" s="61"/>
    </row>
    <row r="346" customFormat="false" ht="12.75" hidden="false" customHeight="false" outlineLevel="0" collapsed="false">
      <c r="M346" s="61"/>
      <c r="N346" s="61"/>
      <c r="O346" s="61"/>
      <c r="P346" s="61"/>
      <c r="Q346" s="61"/>
      <c r="R346" s="61"/>
    </row>
    <row r="347" customFormat="false" ht="12.75" hidden="false" customHeight="false" outlineLevel="0" collapsed="false">
      <c r="M347" s="61"/>
      <c r="N347" s="61"/>
      <c r="O347" s="61"/>
      <c r="P347" s="61"/>
      <c r="Q347" s="61"/>
      <c r="R347" s="61"/>
    </row>
    <row r="348" customFormat="false" ht="12.75" hidden="false" customHeight="false" outlineLevel="0" collapsed="false">
      <c r="M348" s="61"/>
      <c r="N348" s="61"/>
      <c r="O348" s="61"/>
      <c r="P348" s="61"/>
      <c r="Q348" s="61"/>
      <c r="R348" s="61"/>
    </row>
    <row r="349" customFormat="false" ht="12.75" hidden="false" customHeight="false" outlineLevel="0" collapsed="false">
      <c r="M349" s="61"/>
      <c r="N349" s="61"/>
      <c r="O349" s="61"/>
      <c r="P349" s="61"/>
      <c r="Q349" s="61"/>
      <c r="R349" s="61"/>
    </row>
    <row r="350" customFormat="false" ht="12.75" hidden="false" customHeight="false" outlineLevel="0" collapsed="false">
      <c r="M350" s="61"/>
      <c r="N350" s="61"/>
      <c r="O350" s="61"/>
      <c r="P350" s="61"/>
      <c r="Q350" s="61"/>
      <c r="R350" s="61"/>
    </row>
    <row r="351" customFormat="false" ht="12.75" hidden="false" customHeight="false" outlineLevel="0" collapsed="false">
      <c r="M351" s="61"/>
      <c r="N351" s="61"/>
      <c r="O351" s="61"/>
      <c r="P351" s="61"/>
      <c r="Q351" s="61"/>
      <c r="R351" s="61"/>
    </row>
    <row r="352" customFormat="false" ht="12.75" hidden="false" customHeight="false" outlineLevel="0" collapsed="false">
      <c r="M352" s="61"/>
      <c r="N352" s="61"/>
      <c r="O352" s="61"/>
      <c r="P352" s="61"/>
      <c r="Q352" s="61"/>
      <c r="R352" s="61"/>
    </row>
    <row r="353" customFormat="false" ht="12.75" hidden="false" customHeight="false" outlineLevel="0" collapsed="false">
      <c r="M353" s="61"/>
      <c r="N353" s="61"/>
      <c r="O353" s="61"/>
      <c r="P353" s="61"/>
      <c r="Q353" s="61"/>
      <c r="R353" s="61"/>
    </row>
    <row r="354" customFormat="false" ht="12.75" hidden="false" customHeight="false" outlineLevel="0" collapsed="false">
      <c r="M354" s="61"/>
      <c r="N354" s="61"/>
      <c r="O354" s="61"/>
      <c r="P354" s="61"/>
      <c r="Q354" s="61"/>
      <c r="R354" s="61"/>
    </row>
    <row r="355" customFormat="false" ht="12.75" hidden="false" customHeight="false" outlineLevel="0" collapsed="false">
      <c r="M355" s="61"/>
      <c r="N355" s="61"/>
      <c r="O355" s="61"/>
      <c r="P355" s="61"/>
      <c r="Q355" s="61"/>
      <c r="R355" s="61"/>
    </row>
    <row r="356" customFormat="false" ht="12.75" hidden="false" customHeight="false" outlineLevel="0" collapsed="false">
      <c r="M356" s="61"/>
      <c r="N356" s="61"/>
      <c r="O356" s="61"/>
      <c r="P356" s="61"/>
      <c r="Q356" s="61"/>
      <c r="R356" s="61"/>
    </row>
    <row r="357" customFormat="false" ht="12.75" hidden="false" customHeight="false" outlineLevel="0" collapsed="false">
      <c r="M357" s="61"/>
      <c r="N357" s="61"/>
      <c r="O357" s="61"/>
      <c r="P357" s="61"/>
      <c r="Q357" s="61"/>
      <c r="R357" s="61"/>
    </row>
    <row r="358" customFormat="false" ht="12.75" hidden="false" customHeight="false" outlineLevel="0" collapsed="false">
      <c r="M358" s="61"/>
      <c r="N358" s="61"/>
      <c r="O358" s="61"/>
      <c r="P358" s="61"/>
      <c r="Q358" s="61"/>
      <c r="R358" s="61"/>
    </row>
    <row r="359" customFormat="false" ht="12.75" hidden="false" customHeight="false" outlineLevel="0" collapsed="false">
      <c r="M359" s="61"/>
      <c r="N359" s="61"/>
      <c r="O359" s="61"/>
      <c r="P359" s="61"/>
      <c r="Q359" s="61"/>
      <c r="R359" s="61"/>
    </row>
    <row r="360" customFormat="false" ht="12.75" hidden="false" customHeight="false" outlineLevel="0" collapsed="false">
      <c r="M360" s="61"/>
      <c r="N360" s="61"/>
      <c r="O360" s="61"/>
      <c r="P360" s="61"/>
      <c r="Q360" s="61"/>
      <c r="R360" s="61"/>
    </row>
    <row r="361" customFormat="false" ht="12.75" hidden="false" customHeight="false" outlineLevel="0" collapsed="false">
      <c r="M361" s="61"/>
      <c r="N361" s="61"/>
      <c r="O361" s="61"/>
      <c r="P361" s="61"/>
      <c r="Q361" s="61"/>
      <c r="R361" s="61"/>
    </row>
    <row r="362" customFormat="false" ht="12.75" hidden="false" customHeight="false" outlineLevel="0" collapsed="false">
      <c r="M362" s="61"/>
      <c r="N362" s="61"/>
      <c r="O362" s="61"/>
      <c r="P362" s="61"/>
      <c r="Q362" s="61"/>
      <c r="R362" s="61"/>
    </row>
    <row r="363" customFormat="false" ht="12.75" hidden="false" customHeight="false" outlineLevel="0" collapsed="false">
      <c r="M363" s="61"/>
      <c r="N363" s="61"/>
      <c r="O363" s="61"/>
      <c r="P363" s="61"/>
      <c r="Q363" s="61"/>
      <c r="R363" s="61"/>
    </row>
    <row r="364" customFormat="false" ht="12.75" hidden="false" customHeight="false" outlineLevel="0" collapsed="false">
      <c r="M364" s="61"/>
      <c r="N364" s="61"/>
      <c r="O364" s="61"/>
      <c r="P364" s="61"/>
      <c r="Q364" s="61"/>
      <c r="R364" s="61"/>
    </row>
    <row r="365" customFormat="false" ht="12.75" hidden="false" customHeight="false" outlineLevel="0" collapsed="false">
      <c r="M365" s="61"/>
      <c r="N365" s="61"/>
      <c r="O365" s="61"/>
      <c r="P365" s="61"/>
      <c r="Q365" s="61"/>
      <c r="R365" s="61"/>
    </row>
    <row r="366" customFormat="false" ht="12.75" hidden="false" customHeight="false" outlineLevel="0" collapsed="false">
      <c r="M366" s="61"/>
      <c r="N366" s="61"/>
      <c r="O366" s="61"/>
      <c r="P366" s="61"/>
      <c r="Q366" s="61"/>
      <c r="R366" s="61"/>
    </row>
    <row r="367" customFormat="false" ht="12.75" hidden="false" customHeight="false" outlineLevel="0" collapsed="false">
      <c r="M367" s="61"/>
      <c r="N367" s="61"/>
      <c r="O367" s="61"/>
      <c r="P367" s="61"/>
      <c r="Q367" s="61"/>
      <c r="R367" s="61"/>
    </row>
    <row r="368" customFormat="false" ht="12.75" hidden="false" customHeight="false" outlineLevel="0" collapsed="false">
      <c r="M368" s="61"/>
      <c r="N368" s="61"/>
      <c r="O368" s="61"/>
      <c r="P368" s="61"/>
      <c r="Q368" s="61"/>
      <c r="R368" s="61"/>
    </row>
    <row r="369" customFormat="false" ht="12.75" hidden="false" customHeight="false" outlineLevel="0" collapsed="false">
      <c r="M369" s="61"/>
      <c r="N369" s="61"/>
      <c r="O369" s="61"/>
      <c r="P369" s="61"/>
      <c r="Q369" s="61"/>
      <c r="R369" s="61"/>
    </row>
    <row r="370" customFormat="false" ht="12.75" hidden="false" customHeight="false" outlineLevel="0" collapsed="false">
      <c r="M370" s="61"/>
      <c r="N370" s="61"/>
      <c r="O370" s="61"/>
      <c r="P370" s="61"/>
      <c r="Q370" s="61"/>
      <c r="R370" s="61"/>
    </row>
    <row r="371" customFormat="false" ht="12.75" hidden="false" customHeight="false" outlineLevel="0" collapsed="false">
      <c r="M371" s="61"/>
      <c r="N371" s="61"/>
      <c r="O371" s="61"/>
      <c r="P371" s="61"/>
      <c r="Q371" s="61"/>
      <c r="R371" s="61"/>
    </row>
    <row r="372" customFormat="false" ht="12.75" hidden="false" customHeight="false" outlineLevel="0" collapsed="false">
      <c r="M372" s="61"/>
      <c r="N372" s="61"/>
      <c r="O372" s="61"/>
      <c r="P372" s="61"/>
      <c r="Q372" s="61"/>
      <c r="R372" s="61"/>
    </row>
    <row r="373" customFormat="false" ht="12.75" hidden="false" customHeight="false" outlineLevel="0" collapsed="false">
      <c r="M373" s="61"/>
      <c r="N373" s="61"/>
      <c r="O373" s="61"/>
      <c r="P373" s="61"/>
      <c r="Q373" s="61"/>
      <c r="R373" s="61"/>
    </row>
    <row r="374" customFormat="false" ht="12.75" hidden="false" customHeight="false" outlineLevel="0" collapsed="false">
      <c r="M374" s="61"/>
      <c r="N374" s="61"/>
      <c r="O374" s="61"/>
      <c r="P374" s="61"/>
      <c r="Q374" s="61"/>
      <c r="R374" s="61"/>
    </row>
    <row r="375" customFormat="false" ht="12.75" hidden="false" customHeight="false" outlineLevel="0" collapsed="false">
      <c r="M375" s="61"/>
      <c r="N375" s="61"/>
      <c r="O375" s="61"/>
      <c r="P375" s="61"/>
      <c r="Q375" s="61"/>
      <c r="R375" s="61"/>
    </row>
    <row r="376" customFormat="false" ht="12.75" hidden="false" customHeight="false" outlineLevel="0" collapsed="false">
      <c r="M376" s="61"/>
      <c r="N376" s="61"/>
      <c r="O376" s="61"/>
      <c r="P376" s="61"/>
      <c r="Q376" s="61"/>
      <c r="R376" s="61"/>
    </row>
    <row r="377" customFormat="false" ht="12.75" hidden="false" customHeight="false" outlineLevel="0" collapsed="false">
      <c r="M377" s="61"/>
      <c r="N377" s="61"/>
      <c r="O377" s="61"/>
      <c r="P377" s="61"/>
      <c r="Q377" s="61"/>
      <c r="R377" s="61"/>
    </row>
    <row r="378" customFormat="false" ht="12.75" hidden="false" customHeight="false" outlineLevel="0" collapsed="false">
      <c r="M378" s="61"/>
      <c r="N378" s="61"/>
      <c r="O378" s="61"/>
      <c r="P378" s="61"/>
      <c r="Q378" s="61"/>
      <c r="R378" s="61"/>
    </row>
    <row r="379" customFormat="false" ht="12.75" hidden="false" customHeight="false" outlineLevel="0" collapsed="false">
      <c r="M379" s="61"/>
      <c r="N379" s="61"/>
      <c r="O379" s="61"/>
      <c r="P379" s="61"/>
      <c r="Q379" s="61"/>
      <c r="R379" s="61"/>
    </row>
    <row r="380" customFormat="false" ht="12.75" hidden="false" customHeight="false" outlineLevel="0" collapsed="false">
      <c r="M380" s="61"/>
      <c r="N380" s="61"/>
      <c r="O380" s="61"/>
      <c r="P380" s="61"/>
      <c r="Q380" s="61"/>
      <c r="R380" s="61"/>
    </row>
    <row r="381" customFormat="false" ht="12.75" hidden="false" customHeight="false" outlineLevel="0" collapsed="false">
      <c r="M381" s="61"/>
      <c r="N381" s="61"/>
      <c r="O381" s="61"/>
      <c r="P381" s="61"/>
      <c r="Q381" s="61"/>
      <c r="R381" s="61"/>
    </row>
    <row r="382" customFormat="false" ht="12.75" hidden="false" customHeight="false" outlineLevel="0" collapsed="false">
      <c r="M382" s="61"/>
      <c r="N382" s="61"/>
      <c r="O382" s="61"/>
      <c r="P382" s="61"/>
      <c r="Q382" s="61"/>
      <c r="R382" s="61"/>
    </row>
    <row r="383" customFormat="false" ht="12.75" hidden="false" customHeight="false" outlineLevel="0" collapsed="false">
      <c r="M383" s="61"/>
      <c r="N383" s="61"/>
      <c r="O383" s="61"/>
      <c r="P383" s="61"/>
      <c r="Q383" s="61"/>
      <c r="R383" s="61"/>
    </row>
    <row r="384" customFormat="false" ht="12.75" hidden="false" customHeight="false" outlineLevel="0" collapsed="false">
      <c r="M384" s="61"/>
      <c r="N384" s="61"/>
      <c r="O384" s="61"/>
      <c r="P384" s="61"/>
      <c r="Q384" s="61"/>
      <c r="R384" s="61"/>
    </row>
    <row r="385" customFormat="false" ht="12.75" hidden="false" customHeight="false" outlineLevel="0" collapsed="false">
      <c r="M385" s="61"/>
      <c r="N385" s="61"/>
      <c r="O385" s="61"/>
      <c r="P385" s="61"/>
      <c r="Q385" s="61"/>
      <c r="R385" s="61"/>
    </row>
    <row r="386" customFormat="false" ht="12.75" hidden="false" customHeight="false" outlineLevel="0" collapsed="false">
      <c r="M386" s="61"/>
      <c r="N386" s="61"/>
      <c r="O386" s="61"/>
      <c r="P386" s="61"/>
      <c r="Q386" s="61"/>
      <c r="R386" s="61"/>
    </row>
    <row r="387" customFormat="false" ht="12.75" hidden="false" customHeight="false" outlineLevel="0" collapsed="false">
      <c r="M387" s="61"/>
      <c r="N387" s="61"/>
      <c r="O387" s="61"/>
      <c r="P387" s="61"/>
      <c r="Q387" s="61"/>
      <c r="R387" s="61"/>
    </row>
    <row r="388" customFormat="false" ht="12.75" hidden="false" customHeight="false" outlineLevel="0" collapsed="false">
      <c r="M388" s="61"/>
      <c r="N388" s="61"/>
      <c r="O388" s="61"/>
      <c r="P388" s="61"/>
      <c r="Q388" s="61"/>
      <c r="R388" s="61"/>
    </row>
    <row r="389" customFormat="false" ht="12.75" hidden="false" customHeight="false" outlineLevel="0" collapsed="false">
      <c r="M389" s="61"/>
      <c r="N389" s="61"/>
      <c r="O389" s="61"/>
      <c r="P389" s="61"/>
      <c r="Q389" s="61"/>
      <c r="R389" s="61"/>
    </row>
    <row r="390" customFormat="false" ht="12.75" hidden="false" customHeight="false" outlineLevel="0" collapsed="false">
      <c r="M390" s="61"/>
      <c r="N390" s="61"/>
      <c r="O390" s="61"/>
      <c r="P390" s="61"/>
      <c r="Q390" s="61"/>
      <c r="R390" s="61"/>
    </row>
    <row r="391" customFormat="false" ht="12.75" hidden="false" customHeight="false" outlineLevel="0" collapsed="false">
      <c r="M391" s="61"/>
      <c r="N391" s="61"/>
      <c r="O391" s="61"/>
      <c r="P391" s="61"/>
      <c r="Q391" s="61"/>
      <c r="R391" s="61"/>
    </row>
    <row r="392" customFormat="false" ht="12.75" hidden="false" customHeight="false" outlineLevel="0" collapsed="false">
      <c r="M392" s="61"/>
      <c r="N392" s="61"/>
      <c r="O392" s="61"/>
      <c r="P392" s="61"/>
      <c r="Q392" s="61"/>
      <c r="R392" s="61"/>
    </row>
    <row r="393" customFormat="false" ht="12.75" hidden="false" customHeight="false" outlineLevel="0" collapsed="false">
      <c r="M393" s="61"/>
      <c r="N393" s="61"/>
      <c r="O393" s="61"/>
      <c r="P393" s="61"/>
      <c r="Q393" s="61"/>
      <c r="R393" s="61"/>
    </row>
    <row r="394" customFormat="false" ht="12.75" hidden="false" customHeight="false" outlineLevel="0" collapsed="false">
      <c r="M394" s="61"/>
      <c r="N394" s="61"/>
      <c r="O394" s="61"/>
      <c r="P394" s="61"/>
      <c r="Q394" s="61"/>
      <c r="R394" s="61"/>
    </row>
    <row r="395" customFormat="false" ht="12.75" hidden="false" customHeight="false" outlineLevel="0" collapsed="false">
      <c r="M395" s="61"/>
      <c r="N395" s="61"/>
      <c r="O395" s="61"/>
      <c r="P395" s="61"/>
      <c r="Q395" s="61"/>
      <c r="R395" s="61"/>
    </row>
    <row r="396" customFormat="false" ht="12.75" hidden="false" customHeight="false" outlineLevel="0" collapsed="false">
      <c r="M396" s="61"/>
      <c r="N396" s="61"/>
      <c r="O396" s="61"/>
      <c r="P396" s="61"/>
      <c r="Q396" s="61"/>
      <c r="R396" s="61"/>
    </row>
    <row r="397" customFormat="false" ht="12.75" hidden="false" customHeight="false" outlineLevel="0" collapsed="false">
      <c r="M397" s="61"/>
      <c r="N397" s="61"/>
      <c r="O397" s="61"/>
      <c r="P397" s="61"/>
      <c r="Q397" s="61"/>
      <c r="R397" s="61"/>
    </row>
    <row r="398" customFormat="false" ht="12.75" hidden="false" customHeight="false" outlineLevel="0" collapsed="false">
      <c r="M398" s="61"/>
      <c r="N398" s="61"/>
      <c r="O398" s="61"/>
      <c r="P398" s="61"/>
      <c r="Q398" s="61"/>
      <c r="R398" s="61"/>
    </row>
    <row r="399" customFormat="false" ht="12.75" hidden="false" customHeight="false" outlineLevel="0" collapsed="false">
      <c r="M399" s="61"/>
      <c r="N399" s="61"/>
      <c r="O399" s="61"/>
      <c r="P399" s="61"/>
      <c r="Q399" s="61"/>
      <c r="R399" s="61"/>
    </row>
    <row r="400" customFormat="false" ht="12.75" hidden="false" customHeight="false" outlineLevel="0" collapsed="false">
      <c r="M400" s="61"/>
      <c r="N400" s="61"/>
      <c r="O400" s="61"/>
      <c r="P400" s="61"/>
      <c r="Q400" s="61"/>
      <c r="R400" s="61"/>
    </row>
    <row r="401" customFormat="false" ht="12.75" hidden="false" customHeight="false" outlineLevel="0" collapsed="false">
      <c r="M401" s="61"/>
      <c r="N401" s="61"/>
      <c r="O401" s="61"/>
      <c r="P401" s="61"/>
      <c r="Q401" s="61"/>
      <c r="R401" s="61"/>
    </row>
    <row r="402" customFormat="false" ht="12.75" hidden="false" customHeight="false" outlineLevel="0" collapsed="false">
      <c r="M402" s="61"/>
      <c r="N402" s="61"/>
      <c r="O402" s="61"/>
      <c r="P402" s="61"/>
      <c r="Q402" s="61"/>
      <c r="R402" s="61"/>
    </row>
    <row r="403" customFormat="false" ht="12.75" hidden="false" customHeight="false" outlineLevel="0" collapsed="false">
      <c r="M403" s="61"/>
      <c r="N403" s="61"/>
      <c r="O403" s="61"/>
      <c r="P403" s="61"/>
      <c r="Q403" s="61"/>
      <c r="R403" s="61"/>
    </row>
    <row r="404" customFormat="false" ht="12.75" hidden="false" customHeight="false" outlineLevel="0" collapsed="false">
      <c r="M404" s="61"/>
      <c r="N404" s="61"/>
      <c r="O404" s="61"/>
      <c r="P404" s="61"/>
      <c r="Q404" s="61"/>
      <c r="R404" s="61"/>
    </row>
    <row r="405" customFormat="false" ht="12.75" hidden="false" customHeight="false" outlineLevel="0" collapsed="false">
      <c r="M405" s="61"/>
      <c r="N405" s="61"/>
      <c r="O405" s="61"/>
      <c r="P405" s="61"/>
      <c r="Q405" s="61"/>
      <c r="R405" s="61"/>
    </row>
    <row r="406" customFormat="false" ht="12.75" hidden="false" customHeight="false" outlineLevel="0" collapsed="false">
      <c r="M406" s="61"/>
      <c r="N406" s="61"/>
      <c r="O406" s="61"/>
      <c r="P406" s="61"/>
      <c r="Q406" s="61"/>
      <c r="R406" s="61"/>
    </row>
    <row r="407" customFormat="false" ht="12.75" hidden="false" customHeight="false" outlineLevel="0" collapsed="false">
      <c r="M407" s="61"/>
      <c r="N407" s="61"/>
      <c r="O407" s="61"/>
      <c r="P407" s="61"/>
      <c r="Q407" s="61"/>
      <c r="R407" s="61"/>
    </row>
    <row r="408" customFormat="false" ht="12.75" hidden="false" customHeight="false" outlineLevel="0" collapsed="false">
      <c r="M408" s="61"/>
      <c r="N408" s="61"/>
      <c r="O408" s="61"/>
      <c r="P408" s="61"/>
      <c r="Q408" s="61"/>
      <c r="R408" s="61"/>
    </row>
    <row r="409" customFormat="false" ht="12.75" hidden="false" customHeight="false" outlineLevel="0" collapsed="false">
      <c r="M409" s="61"/>
      <c r="N409" s="61"/>
      <c r="O409" s="61"/>
      <c r="P409" s="61"/>
      <c r="Q409" s="61"/>
      <c r="R409" s="61"/>
    </row>
    <row r="410" customFormat="false" ht="12.75" hidden="false" customHeight="false" outlineLevel="0" collapsed="false">
      <c r="M410" s="61"/>
      <c r="N410" s="61"/>
      <c r="O410" s="61"/>
      <c r="P410" s="61"/>
      <c r="Q410" s="61"/>
      <c r="R410" s="61"/>
    </row>
    <row r="411" customFormat="false" ht="12.75" hidden="false" customHeight="false" outlineLevel="0" collapsed="false">
      <c r="M411" s="61"/>
      <c r="N411" s="61"/>
      <c r="O411" s="61"/>
      <c r="P411" s="61"/>
      <c r="Q411" s="61"/>
      <c r="R411" s="61"/>
    </row>
    <row r="412" customFormat="false" ht="12.75" hidden="false" customHeight="false" outlineLevel="0" collapsed="false">
      <c r="M412" s="61"/>
      <c r="N412" s="61"/>
      <c r="O412" s="61"/>
      <c r="P412" s="61"/>
      <c r="Q412" s="61"/>
      <c r="R412" s="61"/>
    </row>
    <row r="413" customFormat="false" ht="12.75" hidden="false" customHeight="false" outlineLevel="0" collapsed="false">
      <c r="M413" s="61"/>
      <c r="N413" s="61"/>
      <c r="O413" s="61"/>
      <c r="P413" s="61"/>
      <c r="Q413" s="61"/>
      <c r="R413" s="61"/>
    </row>
    <row r="414" customFormat="false" ht="12.75" hidden="false" customHeight="false" outlineLevel="0" collapsed="false">
      <c r="M414" s="61"/>
      <c r="N414" s="61"/>
      <c r="O414" s="61"/>
      <c r="P414" s="61"/>
      <c r="Q414" s="61"/>
      <c r="R414" s="61"/>
    </row>
    <row r="415" customFormat="false" ht="12.75" hidden="false" customHeight="false" outlineLevel="0" collapsed="false">
      <c r="M415" s="61"/>
      <c r="N415" s="61"/>
      <c r="O415" s="61"/>
      <c r="P415" s="61"/>
      <c r="Q415" s="61"/>
      <c r="R415" s="61"/>
    </row>
    <row r="416" customFormat="false" ht="12.75" hidden="false" customHeight="false" outlineLevel="0" collapsed="false">
      <c r="M416" s="61"/>
      <c r="N416" s="61"/>
      <c r="O416" s="61"/>
      <c r="P416" s="61"/>
      <c r="Q416" s="61"/>
      <c r="R416" s="61"/>
    </row>
    <row r="417" customFormat="false" ht="12.75" hidden="false" customHeight="false" outlineLevel="0" collapsed="false">
      <c r="M417" s="61"/>
      <c r="N417" s="61"/>
      <c r="O417" s="61"/>
      <c r="P417" s="61"/>
      <c r="Q417" s="61"/>
      <c r="R417" s="61"/>
    </row>
    <row r="418" customFormat="false" ht="12.75" hidden="false" customHeight="false" outlineLevel="0" collapsed="false">
      <c r="M418" s="61"/>
      <c r="N418" s="61"/>
      <c r="O418" s="61"/>
      <c r="P418" s="61"/>
      <c r="Q418" s="61"/>
      <c r="R418" s="61"/>
    </row>
    <row r="419" customFormat="false" ht="12.75" hidden="false" customHeight="false" outlineLevel="0" collapsed="false">
      <c r="M419" s="61"/>
      <c r="N419" s="61"/>
      <c r="O419" s="61"/>
      <c r="P419" s="61"/>
      <c r="Q419" s="61"/>
      <c r="R419" s="61"/>
    </row>
    <row r="420" customFormat="false" ht="12.75" hidden="false" customHeight="false" outlineLevel="0" collapsed="false">
      <c r="M420" s="61"/>
      <c r="N420" s="61"/>
      <c r="O420" s="61"/>
      <c r="P420" s="61"/>
      <c r="Q420" s="61"/>
      <c r="R420" s="61"/>
    </row>
    <row r="421" customFormat="false" ht="12.75" hidden="false" customHeight="false" outlineLevel="0" collapsed="false">
      <c r="M421" s="61"/>
      <c r="N421" s="61"/>
      <c r="O421" s="61"/>
      <c r="P421" s="61"/>
      <c r="Q421" s="61"/>
      <c r="R421" s="61"/>
    </row>
    <row r="422" customFormat="false" ht="12.75" hidden="false" customHeight="false" outlineLevel="0" collapsed="false">
      <c r="M422" s="61"/>
      <c r="N422" s="61"/>
      <c r="O422" s="61"/>
      <c r="P422" s="61"/>
      <c r="Q422" s="61"/>
      <c r="R422" s="61"/>
    </row>
    <row r="423" customFormat="false" ht="12.75" hidden="false" customHeight="false" outlineLevel="0" collapsed="false">
      <c r="M423" s="61"/>
      <c r="N423" s="61"/>
      <c r="O423" s="61"/>
      <c r="P423" s="61"/>
      <c r="Q423" s="61"/>
      <c r="R423" s="61"/>
    </row>
    <row r="424" customFormat="false" ht="12.75" hidden="false" customHeight="false" outlineLevel="0" collapsed="false">
      <c r="M424" s="61"/>
      <c r="N424" s="61"/>
      <c r="O424" s="61"/>
      <c r="P424" s="61"/>
      <c r="Q424" s="61"/>
      <c r="R424" s="61"/>
    </row>
    <row r="425" customFormat="false" ht="12.75" hidden="false" customHeight="false" outlineLevel="0" collapsed="false">
      <c r="M425" s="61"/>
      <c r="N425" s="61"/>
      <c r="O425" s="61"/>
      <c r="P425" s="61"/>
      <c r="Q425" s="61"/>
      <c r="R425" s="61"/>
    </row>
    <row r="426" customFormat="false" ht="12.75" hidden="false" customHeight="false" outlineLevel="0" collapsed="false">
      <c r="M426" s="61"/>
      <c r="N426" s="61"/>
      <c r="O426" s="61"/>
      <c r="P426" s="61"/>
      <c r="Q426" s="61"/>
      <c r="R426" s="61"/>
    </row>
    <row r="427" customFormat="false" ht="12.75" hidden="false" customHeight="false" outlineLevel="0" collapsed="false">
      <c r="M427" s="61"/>
      <c r="N427" s="61"/>
      <c r="O427" s="61"/>
      <c r="P427" s="61"/>
      <c r="Q427" s="61"/>
      <c r="R427" s="61"/>
    </row>
    <row r="428" customFormat="false" ht="12.75" hidden="false" customHeight="false" outlineLevel="0" collapsed="false">
      <c r="M428" s="61"/>
      <c r="N428" s="61"/>
      <c r="O428" s="61"/>
      <c r="P428" s="61"/>
      <c r="Q428" s="61"/>
      <c r="R428" s="61"/>
    </row>
    <row r="429" customFormat="false" ht="12.75" hidden="false" customHeight="false" outlineLevel="0" collapsed="false">
      <c r="M429" s="61"/>
      <c r="N429" s="61"/>
      <c r="O429" s="61"/>
      <c r="P429" s="61"/>
      <c r="Q429" s="61"/>
      <c r="R429" s="61"/>
    </row>
    <row r="430" customFormat="false" ht="12.75" hidden="false" customHeight="false" outlineLevel="0" collapsed="false">
      <c r="M430" s="61"/>
      <c r="N430" s="61"/>
      <c r="O430" s="61"/>
      <c r="P430" s="61"/>
      <c r="Q430" s="61"/>
      <c r="R430" s="61"/>
    </row>
    <row r="431" customFormat="false" ht="12.75" hidden="false" customHeight="false" outlineLevel="0" collapsed="false">
      <c r="M431" s="61"/>
      <c r="N431" s="61"/>
      <c r="O431" s="61"/>
      <c r="P431" s="61"/>
      <c r="Q431" s="61"/>
      <c r="R431" s="61"/>
    </row>
    <row r="432" customFormat="false" ht="12.75" hidden="false" customHeight="false" outlineLevel="0" collapsed="false">
      <c r="M432" s="61"/>
      <c r="N432" s="61"/>
      <c r="O432" s="61"/>
      <c r="P432" s="61"/>
      <c r="Q432" s="61"/>
      <c r="R432" s="61"/>
    </row>
    <row r="433" customFormat="false" ht="12.75" hidden="false" customHeight="false" outlineLevel="0" collapsed="false">
      <c r="M433" s="61"/>
      <c r="N433" s="61"/>
      <c r="O433" s="61"/>
      <c r="P433" s="61"/>
      <c r="Q433" s="61"/>
      <c r="R433" s="61"/>
    </row>
    <row r="434" customFormat="false" ht="12.75" hidden="false" customHeight="false" outlineLevel="0" collapsed="false">
      <c r="M434" s="61"/>
      <c r="N434" s="61"/>
      <c r="O434" s="61"/>
      <c r="P434" s="61"/>
      <c r="Q434" s="61"/>
      <c r="R434" s="61"/>
    </row>
    <row r="435" customFormat="false" ht="12.75" hidden="false" customHeight="false" outlineLevel="0" collapsed="false">
      <c r="M435" s="61"/>
      <c r="N435" s="61"/>
      <c r="O435" s="61"/>
      <c r="P435" s="61"/>
      <c r="Q435" s="61"/>
      <c r="R435" s="61"/>
    </row>
    <row r="436" customFormat="false" ht="12.75" hidden="false" customHeight="false" outlineLevel="0" collapsed="false">
      <c r="M436" s="61"/>
      <c r="N436" s="61"/>
      <c r="O436" s="61"/>
      <c r="P436" s="61"/>
      <c r="Q436" s="61"/>
      <c r="R436" s="61"/>
    </row>
    <row r="437" customFormat="false" ht="12.75" hidden="false" customHeight="false" outlineLevel="0" collapsed="false">
      <c r="M437" s="61"/>
      <c r="N437" s="61"/>
      <c r="O437" s="61"/>
      <c r="P437" s="61"/>
      <c r="Q437" s="61"/>
      <c r="R437" s="61"/>
    </row>
    <row r="438" customFormat="false" ht="12.75" hidden="false" customHeight="false" outlineLevel="0" collapsed="false">
      <c r="M438" s="61"/>
      <c r="N438" s="61"/>
      <c r="O438" s="61"/>
      <c r="P438" s="61"/>
      <c r="Q438" s="61"/>
      <c r="R438" s="61"/>
    </row>
    <row r="439" customFormat="false" ht="12.75" hidden="false" customHeight="false" outlineLevel="0" collapsed="false">
      <c r="M439" s="61"/>
      <c r="N439" s="61"/>
      <c r="O439" s="61"/>
      <c r="P439" s="61"/>
      <c r="Q439" s="61"/>
      <c r="R439" s="61"/>
    </row>
    <row r="440" customFormat="false" ht="12.75" hidden="false" customHeight="false" outlineLevel="0" collapsed="false">
      <c r="M440" s="61"/>
      <c r="N440" s="61"/>
      <c r="O440" s="61"/>
      <c r="P440" s="61"/>
      <c r="Q440" s="61"/>
      <c r="R440" s="61"/>
    </row>
    <row r="441" customFormat="false" ht="12.75" hidden="false" customHeight="false" outlineLevel="0" collapsed="false">
      <c r="M441" s="61"/>
      <c r="N441" s="61"/>
      <c r="O441" s="61"/>
      <c r="P441" s="61"/>
      <c r="Q441" s="61"/>
      <c r="R441" s="61"/>
    </row>
    <row r="442" customFormat="false" ht="12.75" hidden="false" customHeight="false" outlineLevel="0" collapsed="false">
      <c r="M442" s="61"/>
      <c r="N442" s="61"/>
      <c r="O442" s="61"/>
      <c r="P442" s="61"/>
      <c r="Q442" s="61"/>
      <c r="R442" s="61"/>
    </row>
    <row r="443" customFormat="false" ht="12.75" hidden="false" customHeight="false" outlineLevel="0" collapsed="false">
      <c r="M443" s="61"/>
      <c r="N443" s="61"/>
      <c r="O443" s="61"/>
      <c r="P443" s="61"/>
      <c r="Q443" s="61"/>
      <c r="R443" s="61"/>
    </row>
    <row r="444" customFormat="false" ht="12.75" hidden="false" customHeight="false" outlineLevel="0" collapsed="false">
      <c r="M444" s="61"/>
      <c r="N444" s="61"/>
      <c r="O444" s="61"/>
      <c r="P444" s="61"/>
      <c r="Q444" s="61"/>
      <c r="R444" s="61"/>
    </row>
    <row r="445" customFormat="false" ht="12.75" hidden="false" customHeight="false" outlineLevel="0" collapsed="false">
      <c r="M445" s="61"/>
      <c r="N445" s="61"/>
      <c r="O445" s="61"/>
      <c r="P445" s="61"/>
      <c r="Q445" s="61"/>
      <c r="R445" s="61"/>
    </row>
    <row r="446" customFormat="false" ht="12.75" hidden="false" customHeight="false" outlineLevel="0" collapsed="false">
      <c r="M446" s="61"/>
      <c r="N446" s="61"/>
      <c r="O446" s="61"/>
      <c r="P446" s="61"/>
      <c r="Q446" s="61"/>
      <c r="R446" s="61"/>
    </row>
    <row r="447" customFormat="false" ht="12.75" hidden="false" customHeight="false" outlineLevel="0" collapsed="false">
      <c r="M447" s="61"/>
      <c r="N447" s="61"/>
      <c r="O447" s="61"/>
      <c r="P447" s="61"/>
      <c r="Q447" s="61"/>
      <c r="R447" s="61"/>
    </row>
    <row r="448" customFormat="false" ht="12.75" hidden="false" customHeight="false" outlineLevel="0" collapsed="false">
      <c r="M448" s="61"/>
      <c r="N448" s="61"/>
      <c r="O448" s="61"/>
      <c r="P448" s="61"/>
      <c r="Q448" s="61"/>
      <c r="R448" s="61"/>
    </row>
    <row r="449" customFormat="false" ht="12.75" hidden="false" customHeight="false" outlineLevel="0" collapsed="false">
      <c r="M449" s="61"/>
      <c r="N449" s="61"/>
      <c r="O449" s="61"/>
      <c r="P449" s="61"/>
      <c r="Q449" s="61"/>
      <c r="R449" s="61"/>
    </row>
    <row r="450" customFormat="false" ht="12.75" hidden="false" customHeight="false" outlineLevel="0" collapsed="false">
      <c r="M450" s="61"/>
      <c r="N450" s="61"/>
      <c r="O450" s="61"/>
      <c r="P450" s="61"/>
      <c r="Q450" s="61"/>
      <c r="R450" s="61"/>
    </row>
    <row r="451" customFormat="false" ht="12.75" hidden="false" customHeight="false" outlineLevel="0" collapsed="false">
      <c r="M451" s="61"/>
      <c r="N451" s="61"/>
      <c r="O451" s="61"/>
      <c r="P451" s="61"/>
      <c r="Q451" s="61"/>
      <c r="R451" s="61"/>
    </row>
    <row r="452" customFormat="false" ht="12.75" hidden="false" customHeight="false" outlineLevel="0" collapsed="false">
      <c r="M452" s="61"/>
      <c r="N452" s="61"/>
      <c r="O452" s="61"/>
      <c r="P452" s="61"/>
      <c r="Q452" s="61"/>
      <c r="R452" s="61"/>
    </row>
    <row r="453" customFormat="false" ht="12.75" hidden="false" customHeight="false" outlineLevel="0" collapsed="false">
      <c r="M453" s="61"/>
      <c r="N453" s="61"/>
      <c r="O453" s="61"/>
      <c r="P453" s="61"/>
      <c r="Q453" s="61"/>
      <c r="R453" s="61"/>
    </row>
    <row r="454" customFormat="false" ht="12.75" hidden="false" customHeight="false" outlineLevel="0" collapsed="false">
      <c r="M454" s="61"/>
      <c r="N454" s="61"/>
      <c r="O454" s="61"/>
      <c r="P454" s="61"/>
      <c r="Q454" s="61"/>
      <c r="R454" s="61"/>
    </row>
    <row r="455" customFormat="false" ht="12.75" hidden="false" customHeight="false" outlineLevel="0" collapsed="false">
      <c r="M455" s="61"/>
      <c r="N455" s="61"/>
      <c r="O455" s="61"/>
      <c r="P455" s="61"/>
      <c r="Q455" s="61"/>
      <c r="R455" s="61"/>
    </row>
    <row r="456" customFormat="false" ht="12.75" hidden="false" customHeight="false" outlineLevel="0" collapsed="false">
      <c r="M456" s="61"/>
      <c r="N456" s="61"/>
      <c r="O456" s="61"/>
      <c r="P456" s="61"/>
      <c r="Q456" s="61"/>
      <c r="R456" s="61"/>
    </row>
    <row r="457" customFormat="false" ht="12.75" hidden="false" customHeight="false" outlineLevel="0" collapsed="false">
      <c r="M457" s="61"/>
      <c r="N457" s="61"/>
      <c r="O457" s="61"/>
      <c r="P457" s="61"/>
      <c r="Q457" s="61"/>
      <c r="R457" s="61"/>
    </row>
    <row r="458" customFormat="false" ht="12.75" hidden="false" customHeight="false" outlineLevel="0" collapsed="false">
      <c r="M458" s="61"/>
      <c r="N458" s="61"/>
      <c r="O458" s="61"/>
      <c r="P458" s="61"/>
      <c r="Q458" s="61"/>
      <c r="R458" s="61"/>
    </row>
    <row r="459" customFormat="false" ht="12.75" hidden="false" customHeight="false" outlineLevel="0" collapsed="false">
      <c r="M459" s="61"/>
      <c r="N459" s="61"/>
      <c r="O459" s="61"/>
      <c r="P459" s="61"/>
      <c r="Q459" s="61"/>
      <c r="R459" s="61"/>
    </row>
    <row r="460" customFormat="false" ht="12.75" hidden="false" customHeight="false" outlineLevel="0" collapsed="false">
      <c r="M460" s="61"/>
      <c r="N460" s="61"/>
      <c r="O460" s="61"/>
      <c r="P460" s="61"/>
      <c r="Q460" s="61"/>
      <c r="R460" s="61"/>
    </row>
    <row r="461" customFormat="false" ht="12.75" hidden="false" customHeight="false" outlineLevel="0" collapsed="false">
      <c r="M461" s="61"/>
      <c r="N461" s="61"/>
      <c r="O461" s="61"/>
      <c r="P461" s="61"/>
      <c r="Q461" s="61"/>
      <c r="R461" s="61"/>
    </row>
    <row r="462" customFormat="false" ht="12.75" hidden="false" customHeight="false" outlineLevel="0" collapsed="false">
      <c r="M462" s="61"/>
      <c r="N462" s="61"/>
      <c r="O462" s="61"/>
      <c r="P462" s="61"/>
      <c r="Q462" s="61"/>
      <c r="R462" s="61"/>
    </row>
    <row r="463" customFormat="false" ht="12.75" hidden="false" customHeight="false" outlineLevel="0" collapsed="false">
      <c r="M463" s="61"/>
      <c r="N463" s="61"/>
      <c r="O463" s="61"/>
      <c r="P463" s="61"/>
      <c r="Q463" s="61"/>
      <c r="R463" s="61"/>
    </row>
    <row r="464" customFormat="false" ht="12.75" hidden="false" customHeight="false" outlineLevel="0" collapsed="false">
      <c r="M464" s="61"/>
      <c r="N464" s="61"/>
      <c r="O464" s="61"/>
      <c r="P464" s="61"/>
      <c r="Q464" s="61"/>
      <c r="R464" s="61"/>
    </row>
    <row r="465" customFormat="false" ht="12.75" hidden="false" customHeight="false" outlineLevel="0" collapsed="false">
      <c r="M465" s="61"/>
      <c r="N465" s="61"/>
      <c r="O465" s="61"/>
      <c r="P465" s="61"/>
      <c r="Q465" s="61"/>
      <c r="R465" s="61"/>
    </row>
    <row r="466" customFormat="false" ht="12.75" hidden="false" customHeight="false" outlineLevel="0" collapsed="false">
      <c r="M466" s="61"/>
      <c r="N466" s="61"/>
      <c r="O466" s="61"/>
      <c r="P466" s="61"/>
      <c r="Q466" s="61"/>
      <c r="R466" s="61"/>
    </row>
    <row r="467" customFormat="false" ht="12.75" hidden="false" customHeight="false" outlineLevel="0" collapsed="false">
      <c r="M467" s="61"/>
      <c r="N467" s="61"/>
      <c r="O467" s="61"/>
      <c r="P467" s="61"/>
      <c r="Q467" s="61"/>
      <c r="R467" s="61"/>
    </row>
    <row r="468" customFormat="false" ht="12.75" hidden="false" customHeight="false" outlineLevel="0" collapsed="false">
      <c r="M468" s="61"/>
      <c r="N468" s="61"/>
      <c r="O468" s="61"/>
      <c r="P468" s="61"/>
      <c r="Q468" s="61"/>
      <c r="R468" s="61"/>
    </row>
    <row r="469" customFormat="false" ht="12.75" hidden="false" customHeight="false" outlineLevel="0" collapsed="false">
      <c r="M469" s="61"/>
      <c r="N469" s="61"/>
      <c r="O469" s="61"/>
      <c r="P469" s="61"/>
      <c r="Q469" s="61"/>
      <c r="R469" s="61"/>
    </row>
    <row r="470" customFormat="false" ht="12.75" hidden="false" customHeight="false" outlineLevel="0" collapsed="false">
      <c r="M470" s="61"/>
      <c r="N470" s="61"/>
      <c r="O470" s="61"/>
      <c r="P470" s="61"/>
      <c r="Q470" s="61"/>
      <c r="R470" s="61"/>
    </row>
    <row r="471" customFormat="false" ht="12.75" hidden="false" customHeight="false" outlineLevel="0" collapsed="false">
      <c r="M471" s="61"/>
      <c r="N471" s="61"/>
      <c r="O471" s="61"/>
      <c r="P471" s="61"/>
      <c r="Q471" s="61"/>
      <c r="R471" s="61"/>
    </row>
    <row r="472" customFormat="false" ht="12.75" hidden="false" customHeight="false" outlineLevel="0" collapsed="false">
      <c r="M472" s="61"/>
      <c r="N472" s="61"/>
      <c r="O472" s="61"/>
      <c r="P472" s="61"/>
      <c r="Q472" s="61"/>
      <c r="R472" s="61"/>
    </row>
    <row r="473" customFormat="false" ht="12.75" hidden="false" customHeight="false" outlineLevel="0" collapsed="false">
      <c r="M473" s="61"/>
      <c r="N473" s="61"/>
      <c r="O473" s="61"/>
      <c r="P473" s="61"/>
      <c r="Q473" s="61"/>
      <c r="R473" s="61"/>
    </row>
    <row r="474" customFormat="false" ht="12.75" hidden="false" customHeight="false" outlineLevel="0" collapsed="false">
      <c r="M474" s="61"/>
      <c r="N474" s="61"/>
      <c r="O474" s="61"/>
      <c r="P474" s="61"/>
      <c r="Q474" s="61"/>
      <c r="R474" s="61"/>
    </row>
    <row r="475" customFormat="false" ht="12.75" hidden="false" customHeight="false" outlineLevel="0" collapsed="false">
      <c r="M475" s="61"/>
      <c r="N475" s="61"/>
      <c r="O475" s="61"/>
      <c r="P475" s="61"/>
      <c r="Q475" s="61"/>
      <c r="R475" s="61"/>
    </row>
    <row r="476" customFormat="false" ht="12.75" hidden="false" customHeight="false" outlineLevel="0" collapsed="false">
      <c r="M476" s="61"/>
      <c r="N476" s="61"/>
      <c r="O476" s="61"/>
      <c r="P476" s="61"/>
      <c r="Q476" s="61"/>
      <c r="R476" s="61"/>
    </row>
    <row r="477" customFormat="false" ht="12.75" hidden="false" customHeight="false" outlineLevel="0" collapsed="false">
      <c r="M477" s="61"/>
      <c r="N477" s="61"/>
      <c r="O477" s="61"/>
      <c r="P477" s="61"/>
      <c r="Q477" s="61"/>
      <c r="R477" s="61"/>
    </row>
    <row r="478" customFormat="false" ht="12.75" hidden="false" customHeight="false" outlineLevel="0" collapsed="false">
      <c r="M478" s="61"/>
      <c r="N478" s="61"/>
      <c r="O478" s="61"/>
      <c r="P478" s="61"/>
      <c r="Q478" s="61"/>
      <c r="R478" s="61"/>
    </row>
    <row r="479" customFormat="false" ht="12.75" hidden="false" customHeight="false" outlineLevel="0" collapsed="false">
      <c r="M479" s="61"/>
      <c r="N479" s="61"/>
      <c r="O479" s="61"/>
      <c r="P479" s="61"/>
      <c r="Q479" s="61"/>
      <c r="R479" s="61"/>
    </row>
    <row r="480" customFormat="false" ht="12.75" hidden="false" customHeight="false" outlineLevel="0" collapsed="false">
      <c r="M480" s="61"/>
      <c r="N480" s="61"/>
      <c r="O480" s="61"/>
      <c r="P480" s="61"/>
      <c r="Q480" s="61"/>
      <c r="R480" s="61"/>
    </row>
    <row r="481" customFormat="false" ht="12.75" hidden="false" customHeight="false" outlineLevel="0" collapsed="false">
      <c r="M481" s="61"/>
      <c r="N481" s="61"/>
      <c r="O481" s="61"/>
      <c r="P481" s="61"/>
      <c r="Q481" s="61"/>
      <c r="R481" s="61"/>
    </row>
    <row r="482" customFormat="false" ht="12.75" hidden="false" customHeight="false" outlineLevel="0" collapsed="false">
      <c r="M482" s="61"/>
      <c r="N482" s="61"/>
      <c r="O482" s="61"/>
      <c r="P482" s="61"/>
      <c r="Q482" s="61"/>
      <c r="R482" s="61"/>
    </row>
    <row r="483" customFormat="false" ht="12.75" hidden="false" customHeight="false" outlineLevel="0" collapsed="false">
      <c r="M483" s="61"/>
      <c r="N483" s="61"/>
      <c r="O483" s="61"/>
      <c r="P483" s="61"/>
      <c r="Q483" s="61"/>
      <c r="R483" s="61"/>
    </row>
    <row r="484" customFormat="false" ht="12.75" hidden="false" customHeight="false" outlineLevel="0" collapsed="false">
      <c r="M484" s="61"/>
      <c r="N484" s="61"/>
      <c r="O484" s="61"/>
      <c r="P484" s="61"/>
      <c r="Q484" s="61"/>
      <c r="R484" s="61"/>
    </row>
    <row r="485" customFormat="false" ht="12.75" hidden="false" customHeight="false" outlineLevel="0" collapsed="false">
      <c r="M485" s="61"/>
      <c r="N485" s="61"/>
      <c r="O485" s="61"/>
      <c r="P485" s="61"/>
      <c r="Q485" s="61"/>
      <c r="R485" s="61"/>
    </row>
    <row r="486" customFormat="false" ht="12.75" hidden="false" customHeight="false" outlineLevel="0" collapsed="false">
      <c r="M486" s="61"/>
      <c r="N486" s="61"/>
      <c r="O486" s="61"/>
      <c r="P486" s="61"/>
      <c r="Q486" s="61"/>
      <c r="R486" s="61"/>
    </row>
    <row r="487" customFormat="false" ht="12.75" hidden="false" customHeight="false" outlineLevel="0" collapsed="false">
      <c r="M487" s="61"/>
      <c r="N487" s="61"/>
      <c r="O487" s="61"/>
      <c r="P487" s="61"/>
      <c r="Q487" s="61"/>
      <c r="R487" s="61"/>
    </row>
    <row r="488" customFormat="false" ht="12.75" hidden="false" customHeight="false" outlineLevel="0" collapsed="false">
      <c r="M488" s="61"/>
      <c r="N488" s="61"/>
      <c r="O488" s="61"/>
      <c r="P488" s="61"/>
      <c r="Q488" s="61"/>
      <c r="R488" s="61"/>
    </row>
    <row r="489" customFormat="false" ht="12.75" hidden="false" customHeight="false" outlineLevel="0" collapsed="false">
      <c r="M489" s="61"/>
      <c r="N489" s="61"/>
      <c r="O489" s="61"/>
      <c r="P489" s="61"/>
      <c r="Q489" s="61"/>
      <c r="R489" s="61"/>
    </row>
    <row r="490" customFormat="false" ht="12.75" hidden="false" customHeight="false" outlineLevel="0" collapsed="false">
      <c r="M490" s="61"/>
      <c r="N490" s="61"/>
      <c r="O490" s="61"/>
      <c r="P490" s="61"/>
      <c r="Q490" s="61"/>
      <c r="R490" s="61"/>
    </row>
    <row r="491" customFormat="false" ht="12.75" hidden="false" customHeight="false" outlineLevel="0" collapsed="false">
      <c r="M491" s="61"/>
      <c r="N491" s="61"/>
      <c r="O491" s="61"/>
      <c r="P491" s="61"/>
      <c r="Q491" s="61"/>
      <c r="R491" s="61"/>
    </row>
    <row r="492" customFormat="false" ht="12.75" hidden="false" customHeight="false" outlineLevel="0" collapsed="false">
      <c r="M492" s="61"/>
      <c r="N492" s="61"/>
      <c r="O492" s="61"/>
      <c r="P492" s="61"/>
      <c r="Q492" s="61"/>
      <c r="R492" s="61"/>
    </row>
    <row r="493" customFormat="false" ht="12.75" hidden="false" customHeight="false" outlineLevel="0" collapsed="false">
      <c r="M493" s="61"/>
      <c r="N493" s="61"/>
      <c r="O493" s="61"/>
      <c r="P493" s="61"/>
      <c r="Q493" s="61"/>
      <c r="R493" s="61"/>
    </row>
    <row r="494" customFormat="false" ht="12.75" hidden="false" customHeight="false" outlineLevel="0" collapsed="false">
      <c r="M494" s="61"/>
      <c r="N494" s="61"/>
      <c r="O494" s="61"/>
      <c r="P494" s="61"/>
      <c r="Q494" s="61"/>
      <c r="R494" s="61"/>
    </row>
    <row r="495" customFormat="false" ht="12.75" hidden="false" customHeight="false" outlineLevel="0" collapsed="false">
      <c r="M495" s="61"/>
      <c r="N495" s="61"/>
      <c r="O495" s="61"/>
      <c r="P495" s="61"/>
      <c r="Q495" s="61"/>
      <c r="R495" s="61"/>
    </row>
    <row r="496" customFormat="false" ht="12.75" hidden="false" customHeight="false" outlineLevel="0" collapsed="false">
      <c r="M496" s="61"/>
      <c r="N496" s="61"/>
      <c r="O496" s="61"/>
      <c r="P496" s="61"/>
      <c r="Q496" s="61"/>
      <c r="R496" s="61"/>
    </row>
    <row r="497" customFormat="false" ht="12.75" hidden="false" customHeight="false" outlineLevel="0" collapsed="false">
      <c r="M497" s="61"/>
      <c r="N497" s="61"/>
      <c r="O497" s="61"/>
      <c r="P497" s="61"/>
      <c r="Q497" s="61"/>
      <c r="R497" s="61"/>
    </row>
    <row r="498" customFormat="false" ht="12.75" hidden="false" customHeight="false" outlineLevel="0" collapsed="false">
      <c r="M498" s="61"/>
      <c r="N498" s="61"/>
      <c r="O498" s="61"/>
      <c r="P498" s="61"/>
      <c r="Q498" s="61"/>
      <c r="R498" s="61"/>
    </row>
    <row r="499" customFormat="false" ht="12.75" hidden="false" customHeight="false" outlineLevel="0" collapsed="false">
      <c r="M499" s="61"/>
      <c r="N499" s="61"/>
      <c r="O499" s="61"/>
      <c r="P499" s="61"/>
      <c r="Q499" s="61"/>
      <c r="R499" s="61"/>
    </row>
    <row r="500" customFormat="false" ht="12.75" hidden="false" customHeight="false" outlineLevel="0" collapsed="false">
      <c r="M500" s="61"/>
      <c r="N500" s="61"/>
      <c r="O500" s="61"/>
      <c r="P500" s="61"/>
      <c r="Q500" s="61"/>
      <c r="R500" s="61"/>
    </row>
    <row r="501" customFormat="false" ht="12.75" hidden="false" customHeight="false" outlineLevel="0" collapsed="false">
      <c r="M501" s="61"/>
      <c r="N501" s="61"/>
      <c r="O501" s="61"/>
      <c r="P501" s="61"/>
      <c r="Q501" s="61"/>
      <c r="R501" s="61"/>
    </row>
    <row r="502" customFormat="false" ht="12.75" hidden="false" customHeight="false" outlineLevel="0" collapsed="false">
      <c r="M502" s="61"/>
      <c r="N502" s="61"/>
      <c r="O502" s="61"/>
      <c r="P502" s="61"/>
      <c r="Q502" s="61"/>
      <c r="R502" s="61"/>
    </row>
    <row r="503" customFormat="false" ht="12.75" hidden="false" customHeight="false" outlineLevel="0" collapsed="false">
      <c r="M503" s="61"/>
      <c r="N503" s="61"/>
      <c r="O503" s="61"/>
      <c r="P503" s="61"/>
      <c r="Q503" s="61"/>
      <c r="R503" s="61"/>
    </row>
    <row r="504" customFormat="false" ht="12.75" hidden="false" customHeight="false" outlineLevel="0" collapsed="false">
      <c r="M504" s="61"/>
      <c r="N504" s="61"/>
      <c r="O504" s="61"/>
      <c r="P504" s="61"/>
      <c r="Q504" s="61"/>
      <c r="R504" s="61"/>
    </row>
    <row r="505" customFormat="false" ht="12.75" hidden="false" customHeight="false" outlineLevel="0" collapsed="false">
      <c r="M505" s="61"/>
      <c r="N505" s="61"/>
      <c r="O505" s="61"/>
      <c r="P505" s="61"/>
      <c r="Q505" s="61"/>
      <c r="R505" s="61"/>
    </row>
    <row r="506" customFormat="false" ht="12.75" hidden="false" customHeight="false" outlineLevel="0" collapsed="false">
      <c r="M506" s="61"/>
      <c r="N506" s="61"/>
      <c r="O506" s="61"/>
      <c r="P506" s="61"/>
      <c r="Q506" s="61"/>
      <c r="R506" s="61"/>
    </row>
    <row r="507" customFormat="false" ht="12.75" hidden="false" customHeight="false" outlineLevel="0" collapsed="false">
      <c r="M507" s="61"/>
      <c r="N507" s="61"/>
      <c r="O507" s="61"/>
      <c r="P507" s="61"/>
      <c r="Q507" s="61"/>
      <c r="R507" s="61"/>
    </row>
    <row r="508" customFormat="false" ht="12.75" hidden="false" customHeight="false" outlineLevel="0" collapsed="false">
      <c r="M508" s="61"/>
      <c r="N508" s="61"/>
      <c r="O508" s="61"/>
      <c r="P508" s="61"/>
      <c r="Q508" s="61"/>
      <c r="R508" s="61"/>
    </row>
    <row r="509" customFormat="false" ht="12.75" hidden="false" customHeight="false" outlineLevel="0" collapsed="false">
      <c r="M509" s="61"/>
      <c r="N509" s="61"/>
      <c r="O509" s="61"/>
      <c r="P509" s="61"/>
      <c r="Q509" s="61"/>
      <c r="R509" s="61"/>
    </row>
    <row r="510" customFormat="false" ht="12.75" hidden="false" customHeight="false" outlineLevel="0" collapsed="false">
      <c r="M510" s="61"/>
      <c r="N510" s="61"/>
      <c r="O510" s="61"/>
      <c r="P510" s="61"/>
      <c r="Q510" s="61"/>
      <c r="R510" s="61"/>
    </row>
    <row r="511" customFormat="false" ht="12.75" hidden="false" customHeight="false" outlineLevel="0" collapsed="false">
      <c r="M511" s="61"/>
      <c r="N511" s="61"/>
      <c r="O511" s="61"/>
      <c r="P511" s="61"/>
      <c r="Q511" s="61"/>
      <c r="R511" s="61"/>
    </row>
    <row r="512" customFormat="false" ht="12.75" hidden="false" customHeight="false" outlineLevel="0" collapsed="false">
      <c r="M512" s="61"/>
      <c r="N512" s="61"/>
      <c r="O512" s="61"/>
      <c r="P512" s="61"/>
      <c r="Q512" s="61"/>
      <c r="R512" s="61"/>
    </row>
    <row r="513" customFormat="false" ht="12.75" hidden="false" customHeight="false" outlineLevel="0" collapsed="false">
      <c r="M513" s="61"/>
      <c r="N513" s="61"/>
      <c r="O513" s="61"/>
      <c r="P513" s="61"/>
      <c r="Q513" s="61"/>
      <c r="R513" s="61"/>
    </row>
    <row r="514" customFormat="false" ht="12.75" hidden="false" customHeight="false" outlineLevel="0" collapsed="false">
      <c r="M514" s="61"/>
      <c r="N514" s="61"/>
      <c r="O514" s="61"/>
      <c r="P514" s="61"/>
      <c r="Q514" s="61"/>
      <c r="R514" s="61"/>
    </row>
    <row r="515" customFormat="false" ht="12.75" hidden="false" customHeight="false" outlineLevel="0" collapsed="false">
      <c r="M515" s="61"/>
      <c r="N515" s="61"/>
      <c r="O515" s="61"/>
      <c r="P515" s="61"/>
      <c r="Q515" s="61"/>
      <c r="R515" s="61"/>
    </row>
    <row r="516" customFormat="false" ht="12.75" hidden="false" customHeight="false" outlineLevel="0" collapsed="false">
      <c r="M516" s="61"/>
      <c r="N516" s="61"/>
      <c r="O516" s="61"/>
      <c r="P516" s="61"/>
      <c r="Q516" s="61"/>
      <c r="R516" s="61"/>
    </row>
    <row r="517" customFormat="false" ht="12.75" hidden="false" customHeight="false" outlineLevel="0" collapsed="false">
      <c r="M517" s="61"/>
      <c r="N517" s="61"/>
      <c r="O517" s="61"/>
      <c r="P517" s="61"/>
      <c r="Q517" s="61"/>
      <c r="R517" s="61"/>
    </row>
    <row r="518" customFormat="false" ht="12.75" hidden="false" customHeight="false" outlineLevel="0" collapsed="false">
      <c r="M518" s="61"/>
      <c r="N518" s="61"/>
      <c r="O518" s="61"/>
      <c r="P518" s="61"/>
      <c r="Q518" s="61"/>
      <c r="R518" s="61"/>
    </row>
    <row r="519" customFormat="false" ht="12.75" hidden="false" customHeight="false" outlineLevel="0" collapsed="false">
      <c r="M519" s="61"/>
      <c r="N519" s="61"/>
      <c r="O519" s="61"/>
      <c r="P519" s="61"/>
      <c r="Q519" s="61"/>
      <c r="R519" s="61"/>
    </row>
    <row r="520" customFormat="false" ht="12.75" hidden="false" customHeight="false" outlineLevel="0" collapsed="false">
      <c r="M520" s="61"/>
      <c r="N520" s="61"/>
      <c r="O520" s="61"/>
      <c r="P520" s="61"/>
      <c r="Q520" s="61"/>
      <c r="R520" s="61"/>
    </row>
    <row r="521" customFormat="false" ht="12.75" hidden="false" customHeight="false" outlineLevel="0" collapsed="false">
      <c r="M521" s="61"/>
      <c r="N521" s="61"/>
      <c r="O521" s="61"/>
      <c r="P521" s="61"/>
      <c r="Q521" s="61"/>
      <c r="R521" s="61"/>
    </row>
    <row r="522" customFormat="false" ht="12.75" hidden="false" customHeight="false" outlineLevel="0" collapsed="false">
      <c r="M522" s="61"/>
      <c r="N522" s="61"/>
      <c r="O522" s="61"/>
      <c r="P522" s="61"/>
      <c r="Q522" s="61"/>
      <c r="R522" s="61"/>
    </row>
    <row r="523" customFormat="false" ht="12.75" hidden="false" customHeight="false" outlineLevel="0" collapsed="false">
      <c r="M523" s="61"/>
      <c r="N523" s="61"/>
      <c r="O523" s="61"/>
      <c r="P523" s="61"/>
      <c r="Q523" s="61"/>
      <c r="R523" s="61"/>
    </row>
    <row r="524" customFormat="false" ht="12.75" hidden="false" customHeight="false" outlineLevel="0" collapsed="false">
      <c r="M524" s="61"/>
      <c r="N524" s="61"/>
      <c r="O524" s="61"/>
      <c r="P524" s="61"/>
      <c r="Q524" s="61"/>
      <c r="R524" s="61"/>
    </row>
    <row r="525" customFormat="false" ht="12.75" hidden="false" customHeight="false" outlineLevel="0" collapsed="false">
      <c r="M525" s="61"/>
      <c r="N525" s="61"/>
      <c r="O525" s="61"/>
      <c r="P525" s="61"/>
      <c r="Q525" s="61"/>
      <c r="R525" s="61"/>
    </row>
    <row r="526" customFormat="false" ht="12.75" hidden="false" customHeight="false" outlineLevel="0" collapsed="false">
      <c r="M526" s="61"/>
      <c r="N526" s="61"/>
      <c r="O526" s="61"/>
      <c r="P526" s="61"/>
      <c r="Q526" s="61"/>
      <c r="R526" s="61"/>
    </row>
    <row r="527" customFormat="false" ht="12.75" hidden="false" customHeight="false" outlineLevel="0" collapsed="false">
      <c r="M527" s="61"/>
      <c r="N527" s="61"/>
      <c r="O527" s="61"/>
      <c r="P527" s="61"/>
      <c r="Q527" s="61"/>
      <c r="R527" s="61"/>
    </row>
    <row r="528" customFormat="false" ht="12.75" hidden="false" customHeight="false" outlineLevel="0" collapsed="false">
      <c r="M528" s="61"/>
      <c r="N528" s="61"/>
      <c r="O528" s="61"/>
      <c r="P528" s="61"/>
      <c r="Q528" s="61"/>
      <c r="R528" s="61"/>
    </row>
    <row r="529" customFormat="false" ht="12.75" hidden="false" customHeight="false" outlineLevel="0" collapsed="false">
      <c r="M529" s="61"/>
      <c r="N529" s="61"/>
      <c r="O529" s="61"/>
      <c r="P529" s="61"/>
      <c r="Q529" s="61"/>
      <c r="R529" s="61"/>
    </row>
    <row r="530" customFormat="false" ht="12.75" hidden="false" customHeight="false" outlineLevel="0" collapsed="false">
      <c r="M530" s="61"/>
      <c r="N530" s="61"/>
      <c r="O530" s="61"/>
      <c r="P530" s="61"/>
      <c r="Q530" s="61"/>
      <c r="R530" s="61"/>
    </row>
    <row r="531" customFormat="false" ht="12.75" hidden="false" customHeight="false" outlineLevel="0" collapsed="false">
      <c r="M531" s="61"/>
      <c r="N531" s="61"/>
      <c r="O531" s="61"/>
      <c r="P531" s="61"/>
      <c r="Q531" s="61"/>
      <c r="R531" s="61"/>
    </row>
    <row r="532" customFormat="false" ht="12.75" hidden="false" customHeight="false" outlineLevel="0" collapsed="false">
      <c r="M532" s="61"/>
      <c r="N532" s="61"/>
      <c r="O532" s="61"/>
      <c r="P532" s="61"/>
      <c r="Q532" s="61"/>
      <c r="R532" s="61"/>
    </row>
    <row r="533" customFormat="false" ht="12.75" hidden="false" customHeight="false" outlineLevel="0" collapsed="false">
      <c r="M533" s="61"/>
      <c r="N533" s="61"/>
      <c r="O533" s="61"/>
      <c r="P533" s="61"/>
      <c r="Q533" s="61"/>
      <c r="R533" s="61"/>
    </row>
    <row r="534" customFormat="false" ht="12.75" hidden="false" customHeight="false" outlineLevel="0" collapsed="false">
      <c r="M534" s="61"/>
      <c r="N534" s="61"/>
      <c r="O534" s="61"/>
      <c r="P534" s="61"/>
      <c r="Q534" s="61"/>
      <c r="R534" s="61"/>
    </row>
    <row r="535" customFormat="false" ht="12.75" hidden="false" customHeight="false" outlineLevel="0" collapsed="false">
      <c r="M535" s="61"/>
      <c r="N535" s="61"/>
      <c r="O535" s="61"/>
      <c r="P535" s="61"/>
      <c r="Q535" s="61"/>
      <c r="R535" s="61"/>
    </row>
    <row r="536" customFormat="false" ht="12.75" hidden="false" customHeight="false" outlineLevel="0" collapsed="false">
      <c r="M536" s="61"/>
      <c r="N536" s="61"/>
      <c r="O536" s="61"/>
      <c r="P536" s="61"/>
      <c r="Q536" s="61"/>
      <c r="R536" s="61"/>
    </row>
    <row r="537" customFormat="false" ht="12.75" hidden="false" customHeight="false" outlineLevel="0" collapsed="false">
      <c r="M537" s="61"/>
      <c r="N537" s="61"/>
      <c r="O537" s="61"/>
      <c r="P537" s="61"/>
      <c r="Q537" s="61"/>
      <c r="R537" s="61"/>
    </row>
    <row r="538" customFormat="false" ht="12.75" hidden="false" customHeight="false" outlineLevel="0" collapsed="false">
      <c r="M538" s="61"/>
      <c r="N538" s="61"/>
      <c r="O538" s="61"/>
      <c r="P538" s="61"/>
      <c r="Q538" s="61"/>
      <c r="R538" s="61"/>
    </row>
    <row r="539" customFormat="false" ht="12.75" hidden="false" customHeight="false" outlineLevel="0" collapsed="false">
      <c r="M539" s="61"/>
      <c r="N539" s="61"/>
      <c r="O539" s="61"/>
      <c r="P539" s="61"/>
      <c r="Q539" s="61"/>
      <c r="R539" s="61"/>
    </row>
    <row r="540" customFormat="false" ht="12.75" hidden="false" customHeight="false" outlineLevel="0" collapsed="false">
      <c r="M540" s="61"/>
      <c r="N540" s="61"/>
      <c r="O540" s="61"/>
      <c r="P540" s="61"/>
      <c r="Q540" s="61"/>
      <c r="R540" s="61"/>
    </row>
    <row r="541" customFormat="false" ht="12.75" hidden="false" customHeight="false" outlineLevel="0" collapsed="false">
      <c r="M541" s="61"/>
      <c r="N541" s="61"/>
      <c r="O541" s="61"/>
      <c r="P541" s="61"/>
      <c r="Q541" s="61"/>
      <c r="R541" s="61"/>
    </row>
    <row r="542" customFormat="false" ht="12.75" hidden="false" customHeight="false" outlineLevel="0" collapsed="false">
      <c r="M542" s="61"/>
      <c r="N542" s="61"/>
      <c r="O542" s="61"/>
      <c r="P542" s="61"/>
      <c r="Q542" s="61"/>
      <c r="R542" s="61"/>
    </row>
    <row r="543" customFormat="false" ht="12.75" hidden="false" customHeight="false" outlineLevel="0" collapsed="false">
      <c r="M543" s="61"/>
      <c r="N543" s="61"/>
      <c r="O543" s="61"/>
      <c r="P543" s="61"/>
      <c r="Q543" s="61"/>
      <c r="R543" s="61"/>
    </row>
    <row r="544" customFormat="false" ht="12.75" hidden="false" customHeight="false" outlineLevel="0" collapsed="false">
      <c r="M544" s="61"/>
      <c r="N544" s="61"/>
      <c r="O544" s="61"/>
      <c r="P544" s="61"/>
      <c r="Q544" s="61"/>
      <c r="R544" s="61"/>
    </row>
    <row r="545" customFormat="false" ht="12.75" hidden="false" customHeight="false" outlineLevel="0" collapsed="false">
      <c r="M545" s="61"/>
      <c r="N545" s="61"/>
      <c r="O545" s="61"/>
      <c r="P545" s="61"/>
      <c r="Q545" s="61"/>
      <c r="R545" s="61"/>
    </row>
    <row r="546" customFormat="false" ht="12.75" hidden="false" customHeight="false" outlineLevel="0" collapsed="false">
      <c r="M546" s="61"/>
      <c r="N546" s="61"/>
      <c r="O546" s="61"/>
      <c r="P546" s="61"/>
      <c r="Q546" s="61"/>
      <c r="R546" s="61"/>
    </row>
    <row r="547" customFormat="false" ht="12.75" hidden="false" customHeight="false" outlineLevel="0" collapsed="false">
      <c r="M547" s="61"/>
      <c r="N547" s="61"/>
      <c r="O547" s="61"/>
      <c r="P547" s="61"/>
      <c r="Q547" s="61"/>
      <c r="R547" s="61"/>
    </row>
    <row r="548" customFormat="false" ht="12.75" hidden="false" customHeight="false" outlineLevel="0" collapsed="false">
      <c r="M548" s="61"/>
      <c r="N548" s="61"/>
      <c r="O548" s="61"/>
      <c r="P548" s="61"/>
      <c r="Q548" s="61"/>
      <c r="R548" s="61"/>
    </row>
    <row r="549" customFormat="false" ht="12.75" hidden="false" customHeight="false" outlineLevel="0" collapsed="false">
      <c r="M549" s="61"/>
      <c r="N549" s="61"/>
      <c r="O549" s="61"/>
      <c r="P549" s="61"/>
      <c r="Q549" s="61"/>
      <c r="R549" s="61"/>
    </row>
    <row r="550" customFormat="false" ht="12.75" hidden="false" customHeight="false" outlineLevel="0" collapsed="false">
      <c r="M550" s="61"/>
      <c r="N550" s="61"/>
      <c r="O550" s="61"/>
      <c r="P550" s="61"/>
      <c r="Q550" s="61"/>
      <c r="R550" s="61"/>
    </row>
    <row r="551" customFormat="false" ht="12.75" hidden="false" customHeight="false" outlineLevel="0" collapsed="false">
      <c r="M551" s="61"/>
      <c r="N551" s="61"/>
      <c r="O551" s="61"/>
      <c r="P551" s="61"/>
      <c r="Q551" s="61"/>
      <c r="R551" s="61"/>
    </row>
    <row r="552" customFormat="false" ht="12.75" hidden="false" customHeight="false" outlineLevel="0" collapsed="false">
      <c r="M552" s="61"/>
      <c r="N552" s="61"/>
      <c r="O552" s="61"/>
      <c r="P552" s="61"/>
      <c r="Q552" s="61"/>
      <c r="R552" s="61"/>
    </row>
    <row r="553" customFormat="false" ht="12.75" hidden="false" customHeight="false" outlineLevel="0" collapsed="false">
      <c r="M553" s="61"/>
      <c r="N553" s="61"/>
      <c r="O553" s="61"/>
      <c r="P553" s="61"/>
      <c r="Q553" s="61"/>
      <c r="R553" s="61"/>
    </row>
    <row r="554" customFormat="false" ht="12.75" hidden="false" customHeight="false" outlineLevel="0" collapsed="false">
      <c r="M554" s="61"/>
      <c r="N554" s="61"/>
      <c r="O554" s="61"/>
      <c r="P554" s="61"/>
      <c r="Q554" s="61"/>
      <c r="R554" s="61"/>
    </row>
    <row r="555" customFormat="false" ht="12.75" hidden="false" customHeight="false" outlineLevel="0" collapsed="false">
      <c r="M555" s="61"/>
      <c r="N555" s="61"/>
      <c r="O555" s="61"/>
      <c r="P555" s="61"/>
      <c r="Q555" s="61"/>
      <c r="R555" s="61"/>
    </row>
    <row r="556" customFormat="false" ht="12.75" hidden="false" customHeight="false" outlineLevel="0" collapsed="false">
      <c r="M556" s="61"/>
      <c r="N556" s="61"/>
      <c r="O556" s="61"/>
      <c r="P556" s="61"/>
      <c r="Q556" s="61"/>
      <c r="R556" s="61"/>
    </row>
    <row r="557" customFormat="false" ht="12.75" hidden="false" customHeight="false" outlineLevel="0" collapsed="false">
      <c r="M557" s="61"/>
      <c r="N557" s="61"/>
      <c r="O557" s="61"/>
      <c r="P557" s="61"/>
      <c r="Q557" s="61"/>
      <c r="R557" s="61"/>
    </row>
    <row r="558" customFormat="false" ht="12.75" hidden="false" customHeight="false" outlineLevel="0" collapsed="false">
      <c r="M558" s="61"/>
      <c r="N558" s="61"/>
      <c r="O558" s="61"/>
      <c r="P558" s="61"/>
      <c r="Q558" s="61"/>
      <c r="R558" s="61"/>
    </row>
    <row r="559" customFormat="false" ht="12.75" hidden="false" customHeight="false" outlineLevel="0" collapsed="false">
      <c r="M559" s="61"/>
      <c r="N559" s="61"/>
      <c r="O559" s="61"/>
      <c r="P559" s="61"/>
      <c r="Q559" s="61"/>
      <c r="R559" s="61"/>
    </row>
    <row r="560" customFormat="false" ht="12.75" hidden="false" customHeight="false" outlineLevel="0" collapsed="false">
      <c r="M560" s="61"/>
      <c r="N560" s="61"/>
      <c r="O560" s="61"/>
      <c r="P560" s="61"/>
      <c r="Q560" s="61"/>
      <c r="R560" s="61"/>
    </row>
    <row r="561" customFormat="false" ht="12.75" hidden="false" customHeight="false" outlineLevel="0" collapsed="false">
      <c r="M561" s="61"/>
      <c r="N561" s="61"/>
      <c r="O561" s="61"/>
      <c r="P561" s="61"/>
      <c r="Q561" s="61"/>
      <c r="R561" s="61"/>
    </row>
    <row r="562" customFormat="false" ht="12.75" hidden="false" customHeight="false" outlineLevel="0" collapsed="false">
      <c r="M562" s="61"/>
      <c r="N562" s="61"/>
      <c r="O562" s="61"/>
      <c r="P562" s="61"/>
      <c r="Q562" s="61"/>
      <c r="R562" s="61"/>
    </row>
    <row r="563" customFormat="false" ht="12.75" hidden="false" customHeight="false" outlineLevel="0" collapsed="false">
      <c r="M563" s="61"/>
      <c r="N563" s="61"/>
      <c r="O563" s="61"/>
      <c r="P563" s="61"/>
      <c r="Q563" s="61"/>
      <c r="R563" s="61"/>
    </row>
    <row r="564" customFormat="false" ht="12.75" hidden="false" customHeight="false" outlineLevel="0" collapsed="false">
      <c r="M564" s="61"/>
      <c r="N564" s="61"/>
      <c r="O564" s="61"/>
      <c r="P564" s="61"/>
      <c r="Q564" s="61"/>
      <c r="R564" s="61"/>
    </row>
    <row r="565" customFormat="false" ht="12.75" hidden="false" customHeight="false" outlineLevel="0" collapsed="false">
      <c r="M565" s="61"/>
      <c r="N565" s="61"/>
      <c r="O565" s="61"/>
      <c r="P565" s="61"/>
      <c r="Q565" s="61"/>
      <c r="R565" s="61"/>
    </row>
    <row r="566" customFormat="false" ht="12.75" hidden="false" customHeight="false" outlineLevel="0" collapsed="false">
      <c r="M566" s="61"/>
      <c r="N566" s="61"/>
      <c r="O566" s="61"/>
      <c r="P566" s="61"/>
      <c r="Q566" s="61"/>
      <c r="R566" s="61"/>
    </row>
    <row r="567" customFormat="false" ht="12.75" hidden="false" customHeight="false" outlineLevel="0" collapsed="false">
      <c r="M567" s="61"/>
      <c r="N567" s="61"/>
      <c r="O567" s="61"/>
      <c r="P567" s="61"/>
      <c r="Q567" s="61"/>
      <c r="R567" s="61"/>
    </row>
    <row r="568" customFormat="false" ht="12.75" hidden="false" customHeight="false" outlineLevel="0" collapsed="false">
      <c r="M568" s="61"/>
      <c r="N568" s="61"/>
      <c r="O568" s="61"/>
      <c r="P568" s="61"/>
      <c r="Q568" s="61"/>
      <c r="R568" s="61"/>
    </row>
    <row r="569" customFormat="false" ht="12.75" hidden="false" customHeight="false" outlineLevel="0" collapsed="false">
      <c r="M569" s="61"/>
      <c r="N569" s="61"/>
      <c r="O569" s="61"/>
      <c r="P569" s="61"/>
      <c r="Q569" s="61"/>
      <c r="R569" s="61"/>
    </row>
    <row r="570" customFormat="false" ht="12.75" hidden="false" customHeight="false" outlineLevel="0" collapsed="false">
      <c r="M570" s="61"/>
      <c r="N570" s="61"/>
      <c r="O570" s="61"/>
      <c r="P570" s="61"/>
      <c r="Q570" s="61"/>
      <c r="R570" s="61"/>
    </row>
    <row r="571" customFormat="false" ht="12.75" hidden="false" customHeight="false" outlineLevel="0" collapsed="false">
      <c r="M571" s="61"/>
      <c r="N571" s="61"/>
      <c r="O571" s="61"/>
      <c r="P571" s="61"/>
      <c r="Q571" s="61"/>
      <c r="R571" s="61"/>
    </row>
    <row r="572" customFormat="false" ht="12.75" hidden="false" customHeight="false" outlineLevel="0" collapsed="false">
      <c r="M572" s="61"/>
      <c r="N572" s="61"/>
      <c r="O572" s="61"/>
      <c r="P572" s="61"/>
      <c r="Q572" s="61"/>
      <c r="R572" s="61"/>
    </row>
    <row r="573" customFormat="false" ht="12.75" hidden="false" customHeight="false" outlineLevel="0" collapsed="false">
      <c r="M573" s="61"/>
      <c r="N573" s="61"/>
      <c r="O573" s="61"/>
      <c r="P573" s="61"/>
      <c r="Q573" s="61"/>
      <c r="R573" s="61"/>
    </row>
    <row r="574" customFormat="false" ht="12.75" hidden="false" customHeight="false" outlineLevel="0" collapsed="false">
      <c r="M574" s="61"/>
      <c r="N574" s="61"/>
      <c r="O574" s="61"/>
      <c r="P574" s="61"/>
      <c r="Q574" s="61"/>
      <c r="R574" s="61"/>
    </row>
    <row r="575" customFormat="false" ht="12.75" hidden="false" customHeight="false" outlineLevel="0" collapsed="false">
      <c r="M575" s="61"/>
      <c r="N575" s="61"/>
      <c r="O575" s="61"/>
      <c r="P575" s="61"/>
      <c r="Q575" s="61"/>
      <c r="R575" s="61"/>
    </row>
    <row r="576" customFormat="false" ht="12.75" hidden="false" customHeight="false" outlineLevel="0" collapsed="false">
      <c r="M576" s="61"/>
      <c r="N576" s="61"/>
      <c r="O576" s="61"/>
      <c r="P576" s="61"/>
      <c r="Q576" s="61"/>
      <c r="R576" s="61"/>
    </row>
    <row r="577" customFormat="false" ht="12.75" hidden="false" customHeight="false" outlineLevel="0" collapsed="false">
      <c r="M577" s="61"/>
      <c r="N577" s="61"/>
      <c r="O577" s="61"/>
      <c r="P577" s="61"/>
      <c r="Q577" s="61"/>
      <c r="R577" s="61"/>
    </row>
    <row r="578" customFormat="false" ht="12.75" hidden="false" customHeight="false" outlineLevel="0" collapsed="false">
      <c r="M578" s="61"/>
      <c r="N578" s="61"/>
      <c r="O578" s="61"/>
      <c r="P578" s="61"/>
      <c r="Q578" s="61"/>
      <c r="R578" s="61"/>
    </row>
    <row r="579" customFormat="false" ht="12.75" hidden="false" customHeight="false" outlineLevel="0" collapsed="false">
      <c r="M579" s="61"/>
      <c r="N579" s="61"/>
      <c r="O579" s="61"/>
      <c r="P579" s="61"/>
      <c r="Q579" s="61"/>
      <c r="R579" s="61"/>
    </row>
    <row r="580" customFormat="false" ht="12.75" hidden="false" customHeight="false" outlineLevel="0" collapsed="false">
      <c r="M580" s="61"/>
      <c r="N580" s="61"/>
      <c r="O580" s="61"/>
      <c r="P580" s="61"/>
      <c r="Q580" s="61"/>
      <c r="R580" s="61"/>
    </row>
    <row r="581" customFormat="false" ht="12.75" hidden="false" customHeight="false" outlineLevel="0" collapsed="false">
      <c r="M581" s="61"/>
      <c r="N581" s="61"/>
      <c r="O581" s="61"/>
      <c r="P581" s="61"/>
      <c r="Q581" s="61"/>
      <c r="R581" s="61"/>
    </row>
    <row r="582" customFormat="false" ht="12.75" hidden="false" customHeight="false" outlineLevel="0" collapsed="false">
      <c r="M582" s="61"/>
      <c r="N582" s="61"/>
      <c r="O582" s="61"/>
      <c r="P582" s="61"/>
      <c r="Q582" s="61"/>
      <c r="R582" s="61"/>
    </row>
    <row r="583" customFormat="false" ht="12.75" hidden="false" customHeight="false" outlineLevel="0" collapsed="false">
      <c r="M583" s="61"/>
      <c r="N583" s="61"/>
      <c r="O583" s="61"/>
      <c r="P583" s="61"/>
      <c r="Q583" s="61"/>
      <c r="R583" s="61"/>
    </row>
    <row r="584" customFormat="false" ht="12.75" hidden="false" customHeight="false" outlineLevel="0" collapsed="false">
      <c r="M584" s="61"/>
      <c r="N584" s="61"/>
      <c r="O584" s="61"/>
      <c r="P584" s="61"/>
      <c r="Q584" s="61"/>
      <c r="R584" s="61"/>
    </row>
    <row r="585" customFormat="false" ht="12.75" hidden="false" customHeight="false" outlineLevel="0" collapsed="false">
      <c r="M585" s="61"/>
      <c r="N585" s="61"/>
      <c r="O585" s="61"/>
      <c r="P585" s="61"/>
      <c r="Q585" s="61"/>
      <c r="R585" s="61"/>
    </row>
    <row r="586" customFormat="false" ht="12.75" hidden="false" customHeight="false" outlineLevel="0" collapsed="false">
      <c r="M586" s="61"/>
      <c r="N586" s="61"/>
      <c r="O586" s="61"/>
      <c r="P586" s="61"/>
      <c r="Q586" s="61"/>
      <c r="R586" s="61"/>
    </row>
    <row r="587" customFormat="false" ht="12.75" hidden="false" customHeight="false" outlineLevel="0" collapsed="false">
      <c r="M587" s="61"/>
      <c r="N587" s="61"/>
      <c r="O587" s="61"/>
      <c r="P587" s="61"/>
      <c r="Q587" s="61"/>
      <c r="R587" s="61"/>
    </row>
    <row r="588" customFormat="false" ht="12.75" hidden="false" customHeight="false" outlineLevel="0" collapsed="false">
      <c r="M588" s="61"/>
      <c r="N588" s="61"/>
      <c r="O588" s="61"/>
      <c r="P588" s="61"/>
      <c r="Q588" s="61"/>
      <c r="R588" s="61"/>
    </row>
    <row r="589" customFormat="false" ht="12.75" hidden="false" customHeight="false" outlineLevel="0" collapsed="false">
      <c r="M589" s="61"/>
      <c r="N589" s="61"/>
      <c r="O589" s="61"/>
      <c r="P589" s="61"/>
      <c r="Q589" s="61"/>
      <c r="R589" s="61"/>
    </row>
    <row r="590" customFormat="false" ht="12.75" hidden="false" customHeight="false" outlineLevel="0" collapsed="false">
      <c r="M590" s="61"/>
      <c r="N590" s="61"/>
      <c r="O590" s="61"/>
      <c r="P590" s="61"/>
      <c r="Q590" s="61"/>
      <c r="R590" s="61"/>
    </row>
    <row r="591" customFormat="false" ht="12.75" hidden="false" customHeight="false" outlineLevel="0" collapsed="false">
      <c r="M591" s="61"/>
      <c r="N591" s="61"/>
      <c r="O591" s="61"/>
      <c r="P591" s="61"/>
      <c r="Q591" s="61"/>
      <c r="R591" s="61"/>
    </row>
    <row r="592" customFormat="false" ht="12.75" hidden="false" customHeight="false" outlineLevel="0" collapsed="false">
      <c r="M592" s="61"/>
      <c r="N592" s="61"/>
      <c r="O592" s="61"/>
      <c r="P592" s="61"/>
      <c r="Q592" s="61"/>
      <c r="R592" s="61"/>
    </row>
    <row r="593" customFormat="false" ht="12.75" hidden="false" customHeight="false" outlineLevel="0" collapsed="false">
      <c r="M593" s="61"/>
      <c r="N593" s="61"/>
      <c r="O593" s="61"/>
      <c r="P593" s="61"/>
      <c r="Q593" s="61"/>
      <c r="R593" s="61"/>
    </row>
    <row r="594" customFormat="false" ht="12.75" hidden="false" customHeight="false" outlineLevel="0" collapsed="false">
      <c r="M594" s="61"/>
      <c r="N594" s="61"/>
      <c r="O594" s="61"/>
      <c r="P594" s="61"/>
      <c r="Q594" s="61"/>
      <c r="R594" s="61"/>
    </row>
    <row r="595" customFormat="false" ht="12.75" hidden="false" customHeight="false" outlineLevel="0" collapsed="false">
      <c r="M595" s="61"/>
      <c r="N595" s="61"/>
      <c r="O595" s="61"/>
      <c r="P595" s="61"/>
      <c r="Q595" s="61"/>
      <c r="R595" s="61"/>
    </row>
    <row r="596" customFormat="false" ht="12.75" hidden="false" customHeight="false" outlineLevel="0" collapsed="false">
      <c r="M596" s="61"/>
      <c r="N596" s="61"/>
      <c r="O596" s="61"/>
      <c r="P596" s="61"/>
      <c r="Q596" s="61"/>
      <c r="R596" s="61"/>
    </row>
    <row r="597" customFormat="false" ht="12.75" hidden="false" customHeight="false" outlineLevel="0" collapsed="false">
      <c r="M597" s="61"/>
      <c r="N597" s="61"/>
      <c r="O597" s="61"/>
      <c r="P597" s="61"/>
      <c r="Q597" s="61"/>
      <c r="R597" s="61"/>
    </row>
    <row r="598" customFormat="false" ht="12.75" hidden="false" customHeight="false" outlineLevel="0" collapsed="false">
      <c r="M598" s="61"/>
      <c r="N598" s="61"/>
      <c r="O598" s="61"/>
      <c r="P598" s="61"/>
      <c r="Q598" s="61"/>
      <c r="R598" s="61"/>
    </row>
    <row r="599" customFormat="false" ht="12.75" hidden="false" customHeight="false" outlineLevel="0" collapsed="false">
      <c r="M599" s="61"/>
      <c r="N599" s="61"/>
      <c r="O599" s="61"/>
      <c r="P599" s="61"/>
      <c r="Q599" s="61"/>
      <c r="R599" s="61"/>
    </row>
    <row r="600" customFormat="false" ht="12.75" hidden="false" customHeight="false" outlineLevel="0" collapsed="false">
      <c r="M600" s="61"/>
      <c r="N600" s="61"/>
      <c r="O600" s="61"/>
      <c r="P600" s="61"/>
      <c r="Q600" s="61"/>
      <c r="R600" s="61"/>
    </row>
    <row r="601" customFormat="false" ht="12.75" hidden="false" customHeight="false" outlineLevel="0" collapsed="false">
      <c r="M601" s="61"/>
      <c r="N601" s="61"/>
      <c r="O601" s="61"/>
      <c r="P601" s="61"/>
      <c r="Q601" s="61"/>
      <c r="R601" s="61"/>
    </row>
    <row r="602" customFormat="false" ht="12.75" hidden="false" customHeight="false" outlineLevel="0" collapsed="false">
      <c r="M602" s="61"/>
      <c r="N602" s="61"/>
      <c r="O602" s="61"/>
      <c r="P602" s="61"/>
      <c r="Q602" s="61"/>
      <c r="R602" s="61"/>
    </row>
    <row r="603" customFormat="false" ht="12.75" hidden="false" customHeight="false" outlineLevel="0" collapsed="false">
      <c r="M603" s="61"/>
      <c r="N603" s="61"/>
      <c r="O603" s="61"/>
      <c r="P603" s="61"/>
      <c r="Q603" s="61"/>
      <c r="R603" s="61"/>
    </row>
    <row r="604" customFormat="false" ht="12.75" hidden="false" customHeight="false" outlineLevel="0" collapsed="false">
      <c r="M604" s="61"/>
      <c r="N604" s="61"/>
      <c r="O604" s="61"/>
      <c r="P604" s="61"/>
      <c r="Q604" s="61"/>
      <c r="R604" s="61"/>
    </row>
    <row r="605" customFormat="false" ht="12.75" hidden="false" customHeight="false" outlineLevel="0" collapsed="false">
      <c r="M605" s="61"/>
      <c r="N605" s="61"/>
      <c r="O605" s="61"/>
      <c r="P605" s="61"/>
      <c r="Q605" s="61"/>
      <c r="R605" s="61"/>
    </row>
    <row r="606" customFormat="false" ht="12.75" hidden="false" customHeight="false" outlineLevel="0" collapsed="false">
      <c r="M606" s="61"/>
      <c r="N606" s="61"/>
      <c r="O606" s="61"/>
      <c r="P606" s="61"/>
      <c r="Q606" s="61"/>
      <c r="R606" s="61"/>
    </row>
    <row r="607" customFormat="false" ht="12.75" hidden="false" customHeight="false" outlineLevel="0" collapsed="false">
      <c r="M607" s="61"/>
      <c r="N607" s="61"/>
      <c r="O607" s="61"/>
      <c r="P607" s="61"/>
      <c r="Q607" s="61"/>
      <c r="R607" s="61"/>
    </row>
    <row r="608" customFormat="false" ht="12.75" hidden="false" customHeight="false" outlineLevel="0" collapsed="false">
      <c r="M608" s="61"/>
      <c r="N608" s="61"/>
      <c r="O608" s="61"/>
      <c r="P608" s="61"/>
      <c r="Q608" s="61"/>
      <c r="R608" s="61"/>
    </row>
    <row r="609" customFormat="false" ht="12.75" hidden="false" customHeight="false" outlineLevel="0" collapsed="false">
      <c r="M609" s="61"/>
      <c r="N609" s="61"/>
      <c r="O609" s="61"/>
      <c r="P609" s="61"/>
      <c r="Q609" s="61"/>
      <c r="R609" s="61"/>
    </row>
    <row r="610" customFormat="false" ht="12.75" hidden="false" customHeight="false" outlineLevel="0" collapsed="false">
      <c r="M610" s="61"/>
      <c r="N610" s="61"/>
      <c r="O610" s="61"/>
      <c r="P610" s="61"/>
      <c r="Q610" s="61"/>
      <c r="R610" s="61"/>
    </row>
    <row r="611" customFormat="false" ht="12.75" hidden="false" customHeight="false" outlineLevel="0" collapsed="false">
      <c r="M611" s="61"/>
      <c r="N611" s="61"/>
      <c r="O611" s="61"/>
      <c r="P611" s="61"/>
      <c r="Q611" s="61"/>
      <c r="R611" s="61"/>
    </row>
    <row r="612" customFormat="false" ht="12.75" hidden="false" customHeight="false" outlineLevel="0" collapsed="false">
      <c r="M612" s="61"/>
      <c r="N612" s="61"/>
      <c r="O612" s="61"/>
      <c r="P612" s="61"/>
      <c r="Q612" s="61"/>
      <c r="R612" s="61"/>
    </row>
    <row r="613" customFormat="false" ht="12.75" hidden="false" customHeight="false" outlineLevel="0" collapsed="false">
      <c r="M613" s="61"/>
      <c r="N613" s="61"/>
      <c r="O613" s="61"/>
      <c r="P613" s="61"/>
      <c r="Q613" s="61"/>
      <c r="R613" s="61"/>
    </row>
    <row r="614" customFormat="false" ht="12.75" hidden="false" customHeight="false" outlineLevel="0" collapsed="false">
      <c r="M614" s="61"/>
      <c r="N614" s="61"/>
      <c r="O614" s="61"/>
      <c r="P614" s="61"/>
      <c r="Q614" s="61"/>
      <c r="R614" s="61"/>
    </row>
    <row r="615" customFormat="false" ht="12.75" hidden="false" customHeight="false" outlineLevel="0" collapsed="false">
      <c r="M615" s="61"/>
      <c r="N615" s="61"/>
      <c r="O615" s="61"/>
      <c r="P615" s="61"/>
      <c r="Q615" s="61"/>
      <c r="R615" s="61"/>
    </row>
    <row r="616" customFormat="false" ht="12.75" hidden="false" customHeight="false" outlineLevel="0" collapsed="false">
      <c r="M616" s="61"/>
      <c r="N616" s="61"/>
      <c r="O616" s="61"/>
      <c r="P616" s="61"/>
      <c r="Q616" s="61"/>
      <c r="R616" s="61"/>
    </row>
    <row r="617" customFormat="false" ht="12.75" hidden="false" customHeight="false" outlineLevel="0" collapsed="false">
      <c r="M617" s="61"/>
      <c r="N617" s="61"/>
      <c r="O617" s="61"/>
      <c r="P617" s="61"/>
      <c r="Q617" s="61"/>
      <c r="R617" s="61"/>
    </row>
    <row r="618" customFormat="false" ht="12.75" hidden="false" customHeight="false" outlineLevel="0" collapsed="false">
      <c r="M618" s="61"/>
      <c r="N618" s="61"/>
      <c r="O618" s="61"/>
      <c r="P618" s="61"/>
      <c r="Q618" s="61"/>
      <c r="R618" s="61"/>
    </row>
    <row r="619" customFormat="false" ht="12.75" hidden="false" customHeight="false" outlineLevel="0" collapsed="false">
      <c r="M619" s="61"/>
      <c r="N619" s="61"/>
      <c r="O619" s="61"/>
      <c r="P619" s="61"/>
      <c r="Q619" s="61"/>
      <c r="R619" s="61"/>
    </row>
    <row r="620" customFormat="false" ht="12.75" hidden="false" customHeight="false" outlineLevel="0" collapsed="false">
      <c r="M620" s="61"/>
      <c r="N620" s="61"/>
      <c r="O620" s="61"/>
      <c r="P620" s="61"/>
      <c r="Q620" s="61"/>
      <c r="R620" s="61"/>
    </row>
    <row r="621" customFormat="false" ht="12.75" hidden="false" customHeight="false" outlineLevel="0" collapsed="false">
      <c r="M621" s="61"/>
      <c r="N621" s="61"/>
      <c r="O621" s="61"/>
      <c r="P621" s="61"/>
      <c r="Q621" s="61"/>
      <c r="R621" s="61"/>
    </row>
    <row r="622" customFormat="false" ht="12.75" hidden="false" customHeight="false" outlineLevel="0" collapsed="false">
      <c r="M622" s="61"/>
      <c r="N622" s="61"/>
      <c r="O622" s="61"/>
      <c r="P622" s="61"/>
      <c r="Q622" s="61"/>
      <c r="R622" s="61"/>
    </row>
    <row r="623" customFormat="false" ht="12.75" hidden="false" customHeight="false" outlineLevel="0" collapsed="false">
      <c r="M623" s="61"/>
      <c r="N623" s="61"/>
      <c r="O623" s="61"/>
      <c r="P623" s="61"/>
      <c r="Q623" s="61"/>
      <c r="R623" s="61"/>
    </row>
    <row r="624" customFormat="false" ht="12.75" hidden="false" customHeight="false" outlineLevel="0" collapsed="false">
      <c r="M624" s="61"/>
      <c r="N624" s="61"/>
      <c r="O624" s="61"/>
      <c r="P624" s="61"/>
      <c r="Q624" s="61"/>
      <c r="R624" s="61"/>
    </row>
    <row r="625" customFormat="false" ht="12.75" hidden="false" customHeight="false" outlineLevel="0" collapsed="false">
      <c r="M625" s="61"/>
      <c r="N625" s="61"/>
      <c r="O625" s="61"/>
      <c r="P625" s="61"/>
      <c r="Q625" s="61"/>
      <c r="R625" s="61"/>
    </row>
    <row r="626" customFormat="false" ht="12.75" hidden="false" customHeight="false" outlineLevel="0" collapsed="false">
      <c r="M626" s="61"/>
      <c r="N626" s="61"/>
      <c r="O626" s="61"/>
      <c r="P626" s="61"/>
      <c r="Q626" s="61"/>
      <c r="R626" s="61"/>
    </row>
    <row r="627" customFormat="false" ht="12.75" hidden="false" customHeight="false" outlineLevel="0" collapsed="false">
      <c r="M627" s="61"/>
      <c r="N627" s="61"/>
      <c r="O627" s="61"/>
      <c r="P627" s="61"/>
      <c r="Q627" s="61"/>
      <c r="R627" s="61"/>
    </row>
    <row r="628" customFormat="false" ht="12.75" hidden="false" customHeight="false" outlineLevel="0" collapsed="false">
      <c r="M628" s="61"/>
      <c r="N628" s="61"/>
      <c r="O628" s="61"/>
      <c r="P628" s="61"/>
      <c r="Q628" s="61"/>
      <c r="R628" s="61"/>
    </row>
    <row r="629" customFormat="false" ht="12.75" hidden="false" customHeight="false" outlineLevel="0" collapsed="false">
      <c r="M629" s="61"/>
      <c r="N629" s="61"/>
      <c r="O629" s="61"/>
      <c r="P629" s="61"/>
      <c r="Q629" s="61"/>
      <c r="R629" s="61"/>
    </row>
    <row r="630" customFormat="false" ht="12.75" hidden="false" customHeight="false" outlineLevel="0" collapsed="false">
      <c r="M630" s="61"/>
      <c r="N630" s="61"/>
      <c r="O630" s="61"/>
      <c r="P630" s="61"/>
      <c r="Q630" s="61"/>
      <c r="R630" s="61"/>
    </row>
    <row r="631" customFormat="false" ht="12.75" hidden="false" customHeight="false" outlineLevel="0" collapsed="false">
      <c r="M631" s="61"/>
      <c r="N631" s="61"/>
      <c r="O631" s="61"/>
      <c r="P631" s="61"/>
      <c r="Q631" s="61"/>
      <c r="R631" s="61"/>
    </row>
    <row r="632" customFormat="false" ht="12.75" hidden="false" customHeight="false" outlineLevel="0" collapsed="false">
      <c r="M632" s="61"/>
      <c r="N632" s="61"/>
      <c r="O632" s="61"/>
      <c r="P632" s="61"/>
      <c r="Q632" s="61"/>
      <c r="R632" s="61"/>
    </row>
    <row r="633" customFormat="false" ht="12.75" hidden="false" customHeight="false" outlineLevel="0" collapsed="false">
      <c r="M633" s="61"/>
      <c r="N633" s="61"/>
      <c r="O633" s="61"/>
      <c r="P633" s="61"/>
      <c r="Q633" s="61"/>
      <c r="R633" s="61"/>
    </row>
    <row r="634" customFormat="false" ht="12.75" hidden="false" customHeight="false" outlineLevel="0" collapsed="false">
      <c r="M634" s="61"/>
      <c r="N634" s="61"/>
      <c r="O634" s="61"/>
      <c r="P634" s="61"/>
      <c r="Q634" s="61"/>
      <c r="R634" s="61"/>
    </row>
    <row r="635" customFormat="false" ht="12.75" hidden="false" customHeight="false" outlineLevel="0" collapsed="false">
      <c r="M635" s="61"/>
      <c r="N635" s="61"/>
      <c r="O635" s="61"/>
      <c r="P635" s="61"/>
      <c r="Q635" s="61"/>
      <c r="R635" s="61"/>
    </row>
    <row r="636" customFormat="false" ht="12.75" hidden="false" customHeight="false" outlineLevel="0" collapsed="false">
      <c r="M636" s="61"/>
      <c r="N636" s="61"/>
      <c r="O636" s="61"/>
      <c r="P636" s="61"/>
      <c r="Q636" s="61"/>
      <c r="R636" s="61"/>
    </row>
    <row r="637" customFormat="false" ht="12.75" hidden="false" customHeight="false" outlineLevel="0" collapsed="false">
      <c r="M637" s="61"/>
      <c r="N637" s="61"/>
      <c r="O637" s="61"/>
      <c r="P637" s="61"/>
      <c r="Q637" s="61"/>
      <c r="R637" s="61"/>
    </row>
    <row r="638" customFormat="false" ht="12.75" hidden="false" customHeight="false" outlineLevel="0" collapsed="false">
      <c r="M638" s="61"/>
      <c r="N638" s="61"/>
      <c r="O638" s="61"/>
      <c r="P638" s="61"/>
      <c r="Q638" s="61"/>
      <c r="R638" s="61"/>
    </row>
    <row r="639" customFormat="false" ht="12.75" hidden="false" customHeight="false" outlineLevel="0" collapsed="false">
      <c r="M639" s="61"/>
      <c r="N639" s="61"/>
      <c r="O639" s="61"/>
      <c r="P639" s="61"/>
      <c r="Q639" s="61"/>
      <c r="R639" s="61"/>
    </row>
    <row r="640" customFormat="false" ht="12.75" hidden="false" customHeight="false" outlineLevel="0" collapsed="false">
      <c r="M640" s="61"/>
      <c r="N640" s="61"/>
      <c r="O640" s="61"/>
      <c r="P640" s="61"/>
      <c r="Q640" s="61"/>
      <c r="R640" s="61"/>
    </row>
    <row r="641" customFormat="false" ht="12.75" hidden="false" customHeight="false" outlineLevel="0" collapsed="false">
      <c r="M641" s="61"/>
      <c r="N641" s="61"/>
      <c r="O641" s="61"/>
      <c r="P641" s="61"/>
      <c r="Q641" s="61"/>
      <c r="R641" s="61"/>
    </row>
    <row r="642" customFormat="false" ht="12.75" hidden="false" customHeight="false" outlineLevel="0" collapsed="false">
      <c r="M642" s="61"/>
      <c r="N642" s="61"/>
      <c r="O642" s="61"/>
      <c r="P642" s="61"/>
      <c r="Q642" s="61"/>
      <c r="R642" s="61"/>
    </row>
    <row r="643" customFormat="false" ht="12.75" hidden="false" customHeight="false" outlineLevel="0" collapsed="false">
      <c r="M643" s="61"/>
      <c r="N643" s="61"/>
      <c r="O643" s="61"/>
      <c r="P643" s="61"/>
      <c r="Q643" s="61"/>
      <c r="R643" s="61"/>
    </row>
    <row r="644" customFormat="false" ht="12.75" hidden="false" customHeight="false" outlineLevel="0" collapsed="false">
      <c r="M644" s="61"/>
      <c r="N644" s="61"/>
      <c r="O644" s="61"/>
      <c r="P644" s="61"/>
      <c r="Q644" s="61"/>
      <c r="R644" s="61"/>
    </row>
    <row r="645" customFormat="false" ht="12.75" hidden="false" customHeight="false" outlineLevel="0" collapsed="false">
      <c r="M645" s="61"/>
      <c r="N645" s="61"/>
      <c r="O645" s="61"/>
      <c r="P645" s="61"/>
      <c r="Q645" s="61"/>
      <c r="R645" s="61"/>
    </row>
    <row r="646" customFormat="false" ht="12.75" hidden="false" customHeight="false" outlineLevel="0" collapsed="false">
      <c r="M646" s="61"/>
      <c r="N646" s="61"/>
      <c r="O646" s="61"/>
      <c r="P646" s="61"/>
      <c r="Q646" s="61"/>
      <c r="R646" s="61"/>
    </row>
    <row r="647" customFormat="false" ht="12.75" hidden="false" customHeight="false" outlineLevel="0" collapsed="false">
      <c r="M647" s="61"/>
      <c r="N647" s="61"/>
      <c r="O647" s="61"/>
      <c r="P647" s="61"/>
      <c r="Q647" s="61"/>
      <c r="R647" s="61"/>
    </row>
    <row r="648" customFormat="false" ht="12.75" hidden="false" customHeight="false" outlineLevel="0" collapsed="false">
      <c r="M648" s="61"/>
      <c r="N648" s="61"/>
      <c r="O648" s="61"/>
      <c r="P648" s="61"/>
      <c r="Q648" s="61"/>
      <c r="R648" s="61"/>
    </row>
    <row r="649" customFormat="false" ht="12.75" hidden="false" customHeight="false" outlineLevel="0" collapsed="false">
      <c r="M649" s="61"/>
      <c r="N649" s="61"/>
      <c r="O649" s="61"/>
      <c r="P649" s="61"/>
      <c r="Q649" s="61"/>
      <c r="R649" s="61"/>
    </row>
    <row r="650" customFormat="false" ht="12.75" hidden="false" customHeight="false" outlineLevel="0" collapsed="false">
      <c r="M650" s="61"/>
      <c r="N650" s="61"/>
      <c r="O650" s="61"/>
      <c r="P650" s="61"/>
      <c r="Q650" s="61"/>
      <c r="R650" s="61"/>
    </row>
    <row r="651" customFormat="false" ht="12.75" hidden="false" customHeight="false" outlineLevel="0" collapsed="false">
      <c r="M651" s="61"/>
      <c r="N651" s="61"/>
      <c r="O651" s="61"/>
      <c r="P651" s="61"/>
      <c r="Q651" s="61"/>
      <c r="R651" s="61"/>
    </row>
    <row r="652" customFormat="false" ht="12.75" hidden="false" customHeight="false" outlineLevel="0" collapsed="false">
      <c r="M652" s="61"/>
      <c r="N652" s="61"/>
      <c r="O652" s="61"/>
      <c r="P652" s="61"/>
      <c r="Q652" s="61"/>
      <c r="R652" s="61"/>
    </row>
    <row r="653" customFormat="false" ht="12.75" hidden="false" customHeight="false" outlineLevel="0" collapsed="false">
      <c r="M653" s="61"/>
      <c r="N653" s="61"/>
      <c r="O653" s="61"/>
      <c r="P653" s="61"/>
      <c r="Q653" s="61"/>
      <c r="R653" s="61"/>
    </row>
    <row r="654" customFormat="false" ht="12.75" hidden="false" customHeight="false" outlineLevel="0" collapsed="false">
      <c r="M654" s="61"/>
      <c r="N654" s="61"/>
      <c r="O654" s="61"/>
      <c r="P654" s="61"/>
      <c r="Q654" s="61"/>
      <c r="R654" s="61"/>
    </row>
    <row r="655" customFormat="false" ht="12.75" hidden="false" customHeight="false" outlineLevel="0" collapsed="false">
      <c r="M655" s="61"/>
      <c r="N655" s="61"/>
      <c r="O655" s="61"/>
      <c r="P655" s="61"/>
      <c r="Q655" s="61"/>
      <c r="R655" s="61"/>
    </row>
    <row r="656" customFormat="false" ht="12.75" hidden="false" customHeight="false" outlineLevel="0" collapsed="false">
      <c r="M656" s="61"/>
      <c r="N656" s="61"/>
      <c r="O656" s="61"/>
      <c r="P656" s="61"/>
      <c r="Q656" s="61"/>
      <c r="R656" s="61"/>
    </row>
    <row r="657" customFormat="false" ht="12.75" hidden="false" customHeight="false" outlineLevel="0" collapsed="false">
      <c r="M657" s="61"/>
      <c r="N657" s="61"/>
      <c r="O657" s="61"/>
      <c r="P657" s="61"/>
      <c r="Q657" s="61"/>
      <c r="R657" s="61"/>
    </row>
    <row r="658" customFormat="false" ht="12.75" hidden="false" customHeight="false" outlineLevel="0" collapsed="false">
      <c r="M658" s="61"/>
      <c r="N658" s="61"/>
      <c r="O658" s="61"/>
      <c r="P658" s="61"/>
      <c r="Q658" s="61"/>
      <c r="R658" s="61"/>
    </row>
    <row r="659" customFormat="false" ht="12.75" hidden="false" customHeight="false" outlineLevel="0" collapsed="false">
      <c r="M659" s="61"/>
      <c r="N659" s="61"/>
      <c r="O659" s="61"/>
      <c r="P659" s="61"/>
      <c r="Q659" s="61"/>
      <c r="R659" s="61"/>
    </row>
    <row r="660" customFormat="false" ht="12.75" hidden="false" customHeight="false" outlineLevel="0" collapsed="false">
      <c r="M660" s="61"/>
      <c r="N660" s="61"/>
      <c r="O660" s="61"/>
      <c r="P660" s="61"/>
      <c r="Q660" s="61"/>
      <c r="R660" s="61"/>
    </row>
    <row r="661" customFormat="false" ht="12.75" hidden="false" customHeight="false" outlineLevel="0" collapsed="false">
      <c r="M661" s="61"/>
      <c r="N661" s="61"/>
      <c r="O661" s="61"/>
      <c r="P661" s="61"/>
      <c r="Q661" s="61"/>
      <c r="R661" s="61"/>
    </row>
    <row r="662" customFormat="false" ht="12.75" hidden="false" customHeight="false" outlineLevel="0" collapsed="false">
      <c r="M662" s="61"/>
      <c r="N662" s="61"/>
      <c r="O662" s="61"/>
      <c r="P662" s="61"/>
      <c r="Q662" s="61"/>
      <c r="R662" s="61"/>
    </row>
    <row r="663" customFormat="false" ht="12.75" hidden="false" customHeight="false" outlineLevel="0" collapsed="false">
      <c r="M663" s="61"/>
      <c r="N663" s="61"/>
      <c r="O663" s="61"/>
      <c r="P663" s="61"/>
      <c r="Q663" s="61"/>
      <c r="R663" s="61"/>
    </row>
    <row r="664" customFormat="false" ht="12.75" hidden="false" customHeight="false" outlineLevel="0" collapsed="false">
      <c r="M664" s="61"/>
      <c r="N664" s="61"/>
      <c r="O664" s="61"/>
      <c r="P664" s="61"/>
      <c r="Q664" s="61"/>
      <c r="R664" s="61"/>
    </row>
    <row r="665" customFormat="false" ht="12.75" hidden="false" customHeight="false" outlineLevel="0" collapsed="false">
      <c r="M665" s="61"/>
      <c r="N665" s="61"/>
      <c r="O665" s="61"/>
      <c r="P665" s="61"/>
      <c r="Q665" s="61"/>
      <c r="R665" s="61"/>
    </row>
    <row r="666" customFormat="false" ht="12.75" hidden="false" customHeight="false" outlineLevel="0" collapsed="false">
      <c r="M666" s="61"/>
      <c r="N666" s="61"/>
      <c r="O666" s="61"/>
      <c r="P666" s="61"/>
      <c r="Q666" s="61"/>
      <c r="R666" s="61"/>
    </row>
    <row r="667" customFormat="false" ht="12.75" hidden="false" customHeight="false" outlineLevel="0" collapsed="false">
      <c r="M667" s="61"/>
      <c r="N667" s="61"/>
      <c r="O667" s="61"/>
      <c r="P667" s="61"/>
      <c r="Q667" s="61"/>
      <c r="R667" s="61"/>
    </row>
    <row r="668" customFormat="false" ht="12.75" hidden="false" customHeight="false" outlineLevel="0" collapsed="false">
      <c r="M668" s="61"/>
      <c r="N668" s="61"/>
      <c r="O668" s="61"/>
      <c r="P668" s="61"/>
      <c r="Q668" s="61"/>
      <c r="R668" s="61"/>
    </row>
    <row r="669" customFormat="false" ht="12.75" hidden="false" customHeight="false" outlineLevel="0" collapsed="false">
      <c r="M669" s="61"/>
      <c r="N669" s="61"/>
      <c r="O669" s="61"/>
      <c r="P669" s="61"/>
      <c r="Q669" s="61"/>
      <c r="R669" s="61"/>
    </row>
    <row r="670" customFormat="false" ht="12.75" hidden="false" customHeight="false" outlineLevel="0" collapsed="false">
      <c r="M670" s="61"/>
      <c r="N670" s="61"/>
      <c r="O670" s="61"/>
      <c r="P670" s="61"/>
      <c r="Q670" s="61"/>
      <c r="R670" s="61"/>
    </row>
    <row r="671" customFormat="false" ht="12.75" hidden="false" customHeight="false" outlineLevel="0" collapsed="false">
      <c r="M671" s="61"/>
      <c r="N671" s="61"/>
      <c r="O671" s="61"/>
      <c r="P671" s="61"/>
      <c r="Q671" s="61"/>
      <c r="R671" s="61"/>
    </row>
    <row r="672" customFormat="false" ht="12.75" hidden="false" customHeight="false" outlineLevel="0" collapsed="false">
      <c r="M672" s="61"/>
      <c r="N672" s="61"/>
      <c r="O672" s="61"/>
      <c r="P672" s="61"/>
      <c r="Q672" s="61"/>
      <c r="R672" s="61"/>
    </row>
    <row r="673" customFormat="false" ht="12.75" hidden="false" customHeight="false" outlineLevel="0" collapsed="false">
      <c r="M673" s="61"/>
      <c r="N673" s="61"/>
      <c r="O673" s="61"/>
      <c r="P673" s="61"/>
      <c r="Q673" s="61"/>
      <c r="R673" s="61"/>
    </row>
    <row r="674" customFormat="false" ht="12.75" hidden="false" customHeight="false" outlineLevel="0" collapsed="false">
      <c r="M674" s="61"/>
      <c r="N674" s="61"/>
      <c r="O674" s="61"/>
      <c r="P674" s="61"/>
      <c r="Q674" s="61"/>
      <c r="R674" s="61"/>
    </row>
    <row r="675" customFormat="false" ht="12.75" hidden="false" customHeight="false" outlineLevel="0" collapsed="false">
      <c r="M675" s="61"/>
      <c r="N675" s="61"/>
      <c r="O675" s="61"/>
      <c r="P675" s="61"/>
      <c r="Q675" s="61"/>
      <c r="R675" s="61"/>
    </row>
    <row r="676" customFormat="false" ht="12.75" hidden="false" customHeight="false" outlineLevel="0" collapsed="false">
      <c r="M676" s="61"/>
      <c r="N676" s="61"/>
      <c r="O676" s="61"/>
      <c r="P676" s="61"/>
      <c r="Q676" s="61"/>
      <c r="R676" s="61"/>
    </row>
    <row r="677" customFormat="false" ht="12.75" hidden="false" customHeight="false" outlineLevel="0" collapsed="false">
      <c r="M677" s="61"/>
      <c r="N677" s="61"/>
      <c r="O677" s="61"/>
      <c r="P677" s="61"/>
      <c r="Q677" s="61"/>
      <c r="R677" s="61"/>
    </row>
    <row r="678" customFormat="false" ht="12.75" hidden="false" customHeight="false" outlineLevel="0" collapsed="false">
      <c r="M678" s="61"/>
      <c r="N678" s="61"/>
      <c r="O678" s="61"/>
      <c r="P678" s="61"/>
      <c r="Q678" s="61"/>
      <c r="R678" s="61"/>
    </row>
    <row r="679" customFormat="false" ht="12.75" hidden="false" customHeight="false" outlineLevel="0" collapsed="false">
      <c r="M679" s="61"/>
      <c r="N679" s="61"/>
      <c r="O679" s="61"/>
      <c r="P679" s="61"/>
      <c r="Q679" s="61"/>
      <c r="R679" s="61"/>
    </row>
    <row r="680" customFormat="false" ht="12.75" hidden="false" customHeight="false" outlineLevel="0" collapsed="false">
      <c r="M680" s="61"/>
      <c r="N680" s="61"/>
      <c r="O680" s="61"/>
      <c r="P680" s="61"/>
      <c r="Q680" s="61"/>
      <c r="R680" s="61"/>
    </row>
    <row r="681" customFormat="false" ht="12.75" hidden="false" customHeight="false" outlineLevel="0" collapsed="false">
      <c r="M681" s="61"/>
      <c r="N681" s="61"/>
      <c r="O681" s="61"/>
      <c r="P681" s="61"/>
      <c r="Q681" s="61"/>
      <c r="R681" s="61"/>
    </row>
    <row r="682" customFormat="false" ht="12.75" hidden="false" customHeight="false" outlineLevel="0" collapsed="false">
      <c r="M682" s="61"/>
      <c r="N682" s="61"/>
      <c r="O682" s="61"/>
      <c r="P682" s="61"/>
      <c r="Q682" s="61"/>
      <c r="R682" s="61"/>
    </row>
    <row r="683" customFormat="false" ht="12.75" hidden="false" customHeight="false" outlineLevel="0" collapsed="false">
      <c r="M683" s="61"/>
      <c r="N683" s="61"/>
      <c r="O683" s="61"/>
      <c r="P683" s="61"/>
      <c r="Q683" s="61"/>
      <c r="R683" s="61"/>
    </row>
    <row r="684" customFormat="false" ht="12.75" hidden="false" customHeight="false" outlineLevel="0" collapsed="false">
      <c r="M684" s="61"/>
      <c r="N684" s="61"/>
      <c r="O684" s="61"/>
      <c r="P684" s="61"/>
      <c r="Q684" s="61"/>
      <c r="R684" s="61"/>
    </row>
    <row r="685" customFormat="false" ht="12.75" hidden="false" customHeight="false" outlineLevel="0" collapsed="false">
      <c r="M685" s="61"/>
      <c r="N685" s="61"/>
      <c r="O685" s="61"/>
      <c r="P685" s="61"/>
      <c r="Q685" s="61"/>
      <c r="R685" s="61"/>
    </row>
    <row r="686" customFormat="false" ht="12.75" hidden="false" customHeight="false" outlineLevel="0" collapsed="false">
      <c r="M686" s="61"/>
      <c r="N686" s="61"/>
      <c r="O686" s="61"/>
      <c r="P686" s="61"/>
      <c r="Q686" s="61"/>
      <c r="R686" s="61"/>
    </row>
    <row r="687" customFormat="false" ht="12.75" hidden="false" customHeight="false" outlineLevel="0" collapsed="false">
      <c r="M687" s="61"/>
      <c r="N687" s="61"/>
      <c r="O687" s="61"/>
      <c r="P687" s="61"/>
      <c r="Q687" s="61"/>
      <c r="R687" s="61"/>
    </row>
    <row r="688" customFormat="false" ht="12.75" hidden="false" customHeight="false" outlineLevel="0" collapsed="false">
      <c r="M688" s="61"/>
      <c r="N688" s="61"/>
      <c r="O688" s="61"/>
      <c r="P688" s="61"/>
      <c r="Q688" s="61"/>
      <c r="R688" s="61"/>
    </row>
    <row r="689" customFormat="false" ht="12.75" hidden="false" customHeight="false" outlineLevel="0" collapsed="false">
      <c r="M689" s="61"/>
      <c r="N689" s="61"/>
      <c r="O689" s="61"/>
      <c r="P689" s="61"/>
      <c r="Q689" s="61"/>
      <c r="R689" s="61"/>
    </row>
    <row r="690" customFormat="false" ht="12.75" hidden="false" customHeight="false" outlineLevel="0" collapsed="false">
      <c r="M690" s="61"/>
      <c r="N690" s="61"/>
      <c r="O690" s="61"/>
      <c r="P690" s="61"/>
      <c r="Q690" s="61"/>
      <c r="R690" s="61"/>
    </row>
    <row r="691" customFormat="false" ht="12.75" hidden="false" customHeight="false" outlineLevel="0" collapsed="false">
      <c r="M691" s="61"/>
      <c r="N691" s="61"/>
      <c r="O691" s="61"/>
      <c r="P691" s="61"/>
      <c r="Q691" s="61"/>
      <c r="R691" s="61"/>
    </row>
    <row r="692" customFormat="false" ht="12.75" hidden="false" customHeight="false" outlineLevel="0" collapsed="false">
      <c r="M692" s="61"/>
      <c r="N692" s="61"/>
      <c r="O692" s="61"/>
      <c r="P692" s="61"/>
      <c r="Q692" s="61"/>
      <c r="R692" s="61"/>
    </row>
    <row r="693" customFormat="false" ht="12.75" hidden="false" customHeight="false" outlineLevel="0" collapsed="false">
      <c r="M693" s="61"/>
      <c r="N693" s="61"/>
      <c r="O693" s="61"/>
      <c r="P693" s="61"/>
      <c r="Q693" s="61"/>
      <c r="R693" s="61"/>
    </row>
    <row r="694" customFormat="false" ht="12.75" hidden="false" customHeight="false" outlineLevel="0" collapsed="false">
      <c r="M694" s="61"/>
      <c r="N694" s="61"/>
      <c r="O694" s="61"/>
      <c r="P694" s="61"/>
      <c r="Q694" s="61"/>
      <c r="R694" s="61"/>
    </row>
    <row r="695" customFormat="false" ht="12.75" hidden="false" customHeight="false" outlineLevel="0" collapsed="false">
      <c r="M695" s="61"/>
      <c r="N695" s="61"/>
      <c r="O695" s="61"/>
      <c r="P695" s="61"/>
      <c r="Q695" s="61"/>
      <c r="R695" s="61"/>
    </row>
    <row r="696" customFormat="false" ht="12.75" hidden="false" customHeight="false" outlineLevel="0" collapsed="false">
      <c r="M696" s="61"/>
      <c r="N696" s="61"/>
      <c r="O696" s="61"/>
      <c r="P696" s="61"/>
      <c r="Q696" s="61"/>
      <c r="R696" s="61"/>
    </row>
    <row r="697" customFormat="false" ht="12.75" hidden="false" customHeight="false" outlineLevel="0" collapsed="false">
      <c r="M697" s="61"/>
      <c r="N697" s="61"/>
      <c r="O697" s="61"/>
      <c r="P697" s="61"/>
      <c r="Q697" s="61"/>
      <c r="R697" s="61"/>
    </row>
    <row r="698" customFormat="false" ht="12.75" hidden="false" customHeight="false" outlineLevel="0" collapsed="false">
      <c r="M698" s="61"/>
      <c r="N698" s="61"/>
      <c r="O698" s="61"/>
      <c r="P698" s="61"/>
      <c r="Q698" s="61"/>
      <c r="R698" s="61"/>
    </row>
    <row r="699" customFormat="false" ht="12.75" hidden="false" customHeight="false" outlineLevel="0" collapsed="false">
      <c r="M699" s="61"/>
      <c r="N699" s="61"/>
      <c r="O699" s="61"/>
      <c r="P699" s="61"/>
      <c r="Q699" s="61"/>
      <c r="R699" s="61"/>
    </row>
    <row r="700" customFormat="false" ht="12.75" hidden="false" customHeight="false" outlineLevel="0" collapsed="false">
      <c r="M700" s="61"/>
      <c r="N700" s="61"/>
      <c r="O700" s="61"/>
      <c r="P700" s="61"/>
      <c r="Q700" s="61"/>
      <c r="R700" s="61"/>
    </row>
    <row r="701" customFormat="false" ht="12.75" hidden="false" customHeight="false" outlineLevel="0" collapsed="false">
      <c r="M701" s="61"/>
      <c r="N701" s="61"/>
      <c r="O701" s="61"/>
      <c r="P701" s="61"/>
      <c r="Q701" s="61"/>
      <c r="R701" s="61"/>
    </row>
    <row r="702" customFormat="false" ht="12.75" hidden="false" customHeight="false" outlineLevel="0" collapsed="false">
      <c r="M702" s="61"/>
      <c r="N702" s="61"/>
      <c r="O702" s="61"/>
      <c r="P702" s="61"/>
      <c r="Q702" s="61"/>
      <c r="R702" s="61"/>
    </row>
    <row r="703" customFormat="false" ht="12.75" hidden="false" customHeight="false" outlineLevel="0" collapsed="false">
      <c r="M703" s="61"/>
      <c r="N703" s="61"/>
      <c r="O703" s="61"/>
      <c r="P703" s="61"/>
      <c r="Q703" s="61"/>
      <c r="R703" s="61"/>
    </row>
    <row r="704" customFormat="false" ht="12.75" hidden="false" customHeight="false" outlineLevel="0" collapsed="false">
      <c r="M704" s="61"/>
      <c r="N704" s="61"/>
      <c r="O704" s="61"/>
      <c r="P704" s="61"/>
      <c r="Q704" s="61"/>
      <c r="R704" s="61"/>
    </row>
    <row r="705" customFormat="false" ht="12.75" hidden="false" customHeight="false" outlineLevel="0" collapsed="false">
      <c r="M705" s="61"/>
      <c r="N705" s="61"/>
      <c r="O705" s="61"/>
      <c r="P705" s="61"/>
      <c r="Q705" s="61"/>
      <c r="R705" s="61"/>
    </row>
    <row r="706" customFormat="false" ht="12.75" hidden="false" customHeight="false" outlineLevel="0" collapsed="false">
      <c r="M706" s="61"/>
      <c r="N706" s="61"/>
      <c r="O706" s="61"/>
      <c r="P706" s="61"/>
      <c r="Q706" s="61"/>
      <c r="R706" s="61"/>
    </row>
    <row r="707" customFormat="false" ht="12.75" hidden="false" customHeight="false" outlineLevel="0" collapsed="false">
      <c r="M707" s="61"/>
      <c r="N707" s="61"/>
      <c r="O707" s="61"/>
      <c r="P707" s="61"/>
      <c r="Q707" s="61"/>
      <c r="R707" s="61"/>
    </row>
    <row r="708" customFormat="false" ht="12.75" hidden="false" customHeight="false" outlineLevel="0" collapsed="false">
      <c r="M708" s="61"/>
      <c r="N708" s="61"/>
      <c r="O708" s="61"/>
      <c r="P708" s="61"/>
      <c r="Q708" s="61"/>
      <c r="R708" s="61"/>
    </row>
    <row r="709" customFormat="false" ht="12.75" hidden="false" customHeight="false" outlineLevel="0" collapsed="false">
      <c r="M709" s="61"/>
      <c r="N709" s="61"/>
      <c r="O709" s="61"/>
      <c r="P709" s="61"/>
      <c r="Q709" s="61"/>
      <c r="R709" s="61"/>
    </row>
    <row r="710" customFormat="false" ht="12.75" hidden="false" customHeight="false" outlineLevel="0" collapsed="false">
      <c r="M710" s="61"/>
      <c r="N710" s="61"/>
      <c r="O710" s="61"/>
      <c r="P710" s="61"/>
      <c r="Q710" s="61"/>
      <c r="R710" s="61"/>
    </row>
    <row r="711" customFormat="false" ht="12.75" hidden="false" customHeight="false" outlineLevel="0" collapsed="false">
      <c r="M711" s="61"/>
      <c r="N711" s="61"/>
      <c r="O711" s="61"/>
      <c r="P711" s="61"/>
      <c r="Q711" s="61"/>
      <c r="R711" s="61"/>
    </row>
    <row r="712" customFormat="false" ht="12.75" hidden="false" customHeight="false" outlineLevel="0" collapsed="false">
      <c r="M712" s="61"/>
      <c r="N712" s="61"/>
      <c r="O712" s="61"/>
      <c r="P712" s="61"/>
      <c r="Q712" s="61"/>
      <c r="R712" s="61"/>
    </row>
    <row r="713" customFormat="false" ht="12.75" hidden="false" customHeight="false" outlineLevel="0" collapsed="false">
      <c r="M713" s="61"/>
      <c r="N713" s="61"/>
      <c r="O713" s="61"/>
      <c r="P713" s="61"/>
      <c r="Q713" s="61"/>
      <c r="R713" s="61"/>
    </row>
    <row r="714" customFormat="false" ht="12.75" hidden="false" customHeight="false" outlineLevel="0" collapsed="false">
      <c r="M714" s="61"/>
      <c r="N714" s="61"/>
      <c r="O714" s="61"/>
      <c r="P714" s="61"/>
      <c r="Q714" s="61"/>
      <c r="R714" s="61"/>
    </row>
    <row r="715" customFormat="false" ht="12.75" hidden="false" customHeight="false" outlineLevel="0" collapsed="false">
      <c r="M715" s="61"/>
      <c r="N715" s="61"/>
      <c r="O715" s="61"/>
      <c r="P715" s="61"/>
      <c r="Q715" s="61"/>
      <c r="R715" s="61"/>
    </row>
    <row r="716" customFormat="false" ht="12.75" hidden="false" customHeight="false" outlineLevel="0" collapsed="false">
      <c r="M716" s="61"/>
      <c r="N716" s="61"/>
      <c r="O716" s="61"/>
      <c r="P716" s="61"/>
      <c r="Q716" s="61"/>
      <c r="R716" s="61"/>
    </row>
    <row r="717" customFormat="false" ht="12.75" hidden="false" customHeight="false" outlineLevel="0" collapsed="false">
      <c r="M717" s="61"/>
      <c r="N717" s="61"/>
      <c r="O717" s="61"/>
      <c r="P717" s="61"/>
      <c r="Q717" s="61"/>
      <c r="R717" s="61"/>
    </row>
    <row r="718" customFormat="false" ht="12.75" hidden="false" customHeight="false" outlineLevel="0" collapsed="false">
      <c r="M718" s="61"/>
      <c r="N718" s="61"/>
      <c r="O718" s="61"/>
      <c r="P718" s="61"/>
      <c r="Q718" s="61"/>
      <c r="R718" s="61"/>
    </row>
    <row r="719" customFormat="false" ht="12.75" hidden="false" customHeight="false" outlineLevel="0" collapsed="false">
      <c r="M719" s="61"/>
      <c r="N719" s="61"/>
      <c r="O719" s="61"/>
      <c r="P719" s="61"/>
      <c r="Q719" s="61"/>
      <c r="R719" s="61"/>
    </row>
    <row r="720" customFormat="false" ht="12.75" hidden="false" customHeight="false" outlineLevel="0" collapsed="false">
      <c r="M720" s="61"/>
      <c r="N720" s="61"/>
      <c r="O720" s="61"/>
      <c r="P720" s="61"/>
      <c r="Q720" s="61"/>
      <c r="R720" s="61"/>
    </row>
    <row r="721" customFormat="false" ht="12.75" hidden="false" customHeight="false" outlineLevel="0" collapsed="false">
      <c r="M721" s="61"/>
      <c r="N721" s="61"/>
      <c r="O721" s="61"/>
      <c r="P721" s="61"/>
      <c r="Q721" s="61"/>
      <c r="R721" s="61"/>
    </row>
    <row r="722" customFormat="false" ht="12.75" hidden="false" customHeight="false" outlineLevel="0" collapsed="false">
      <c r="M722" s="61"/>
      <c r="N722" s="61"/>
      <c r="O722" s="61"/>
      <c r="P722" s="61"/>
      <c r="Q722" s="61"/>
      <c r="R722" s="61"/>
    </row>
    <row r="723" customFormat="false" ht="12.75" hidden="false" customHeight="false" outlineLevel="0" collapsed="false">
      <c r="M723" s="61"/>
      <c r="N723" s="61"/>
      <c r="O723" s="61"/>
      <c r="P723" s="61"/>
      <c r="Q723" s="61"/>
      <c r="R723" s="61"/>
    </row>
    <row r="724" customFormat="false" ht="12.75" hidden="false" customHeight="false" outlineLevel="0" collapsed="false">
      <c r="M724" s="61"/>
      <c r="N724" s="61"/>
      <c r="O724" s="61"/>
      <c r="P724" s="61"/>
      <c r="Q724" s="61"/>
      <c r="R724" s="61"/>
    </row>
    <row r="725" customFormat="false" ht="12.75" hidden="false" customHeight="false" outlineLevel="0" collapsed="false">
      <c r="M725" s="61"/>
      <c r="N725" s="61"/>
      <c r="O725" s="61"/>
      <c r="P725" s="61"/>
      <c r="Q725" s="61"/>
      <c r="R725" s="61"/>
    </row>
    <row r="726" customFormat="false" ht="12.75" hidden="false" customHeight="false" outlineLevel="0" collapsed="false">
      <c r="M726" s="61"/>
      <c r="N726" s="61"/>
      <c r="O726" s="61"/>
      <c r="P726" s="61"/>
      <c r="Q726" s="61"/>
      <c r="R726" s="61"/>
    </row>
    <row r="727" customFormat="false" ht="12.75" hidden="false" customHeight="false" outlineLevel="0" collapsed="false">
      <c r="M727" s="61"/>
      <c r="N727" s="61"/>
      <c r="O727" s="61"/>
      <c r="P727" s="61"/>
      <c r="Q727" s="61"/>
      <c r="R727" s="61"/>
    </row>
    <row r="728" customFormat="false" ht="12.75" hidden="false" customHeight="false" outlineLevel="0" collapsed="false">
      <c r="M728" s="61"/>
      <c r="N728" s="61"/>
      <c r="O728" s="61"/>
      <c r="P728" s="61"/>
      <c r="Q728" s="61"/>
      <c r="R728" s="61"/>
    </row>
    <row r="729" customFormat="false" ht="12.75" hidden="false" customHeight="false" outlineLevel="0" collapsed="false">
      <c r="M729" s="61"/>
      <c r="N729" s="61"/>
      <c r="O729" s="61"/>
      <c r="P729" s="61"/>
      <c r="Q729" s="61"/>
      <c r="R729" s="61"/>
    </row>
    <row r="730" customFormat="false" ht="12.75" hidden="false" customHeight="false" outlineLevel="0" collapsed="false">
      <c r="M730" s="61"/>
      <c r="N730" s="61"/>
      <c r="O730" s="61"/>
      <c r="P730" s="61"/>
      <c r="Q730" s="61"/>
      <c r="R730" s="61"/>
    </row>
    <row r="731" customFormat="false" ht="12.75" hidden="false" customHeight="false" outlineLevel="0" collapsed="false">
      <c r="M731" s="61"/>
      <c r="N731" s="61"/>
      <c r="O731" s="61"/>
      <c r="P731" s="61"/>
      <c r="Q731" s="61"/>
      <c r="R731" s="61"/>
    </row>
    <row r="732" customFormat="false" ht="12.75" hidden="false" customHeight="false" outlineLevel="0" collapsed="false">
      <c r="M732" s="61"/>
      <c r="N732" s="61"/>
      <c r="O732" s="61"/>
      <c r="P732" s="61"/>
      <c r="Q732" s="61"/>
      <c r="R732" s="61"/>
    </row>
    <row r="733" customFormat="false" ht="12.75" hidden="false" customHeight="false" outlineLevel="0" collapsed="false">
      <c r="M733" s="61"/>
      <c r="N733" s="61"/>
      <c r="O733" s="61"/>
      <c r="P733" s="61"/>
      <c r="Q733" s="61"/>
      <c r="R733" s="61"/>
    </row>
    <row r="734" customFormat="false" ht="12.75" hidden="false" customHeight="false" outlineLevel="0" collapsed="false">
      <c r="M734" s="61"/>
      <c r="N734" s="61"/>
      <c r="O734" s="61"/>
      <c r="P734" s="61"/>
      <c r="Q734" s="61"/>
      <c r="R734" s="61"/>
    </row>
    <row r="735" customFormat="false" ht="12.75" hidden="false" customHeight="false" outlineLevel="0" collapsed="false">
      <c r="M735" s="61"/>
      <c r="N735" s="61"/>
      <c r="O735" s="61"/>
      <c r="P735" s="61"/>
      <c r="Q735" s="61"/>
      <c r="R735" s="61"/>
    </row>
    <row r="736" customFormat="false" ht="12.75" hidden="false" customHeight="false" outlineLevel="0" collapsed="false">
      <c r="M736" s="61"/>
      <c r="N736" s="61"/>
      <c r="O736" s="61"/>
      <c r="P736" s="61"/>
      <c r="Q736" s="61"/>
      <c r="R736" s="61"/>
    </row>
    <row r="737" customFormat="false" ht="12.75" hidden="false" customHeight="false" outlineLevel="0" collapsed="false">
      <c r="M737" s="61"/>
      <c r="N737" s="61"/>
      <c r="O737" s="61"/>
      <c r="P737" s="61"/>
      <c r="Q737" s="61"/>
      <c r="R737" s="61"/>
    </row>
    <row r="738" customFormat="false" ht="12.75" hidden="false" customHeight="false" outlineLevel="0" collapsed="false">
      <c r="M738" s="61"/>
      <c r="N738" s="61"/>
      <c r="O738" s="61"/>
      <c r="P738" s="61"/>
      <c r="Q738" s="61"/>
      <c r="R738" s="61"/>
    </row>
    <row r="739" customFormat="false" ht="12.75" hidden="false" customHeight="false" outlineLevel="0" collapsed="false">
      <c r="M739" s="61"/>
      <c r="N739" s="61"/>
      <c r="O739" s="61"/>
      <c r="P739" s="61"/>
      <c r="Q739" s="61"/>
      <c r="R739" s="61"/>
    </row>
    <row r="740" customFormat="false" ht="12.75" hidden="false" customHeight="false" outlineLevel="0" collapsed="false">
      <c r="M740" s="61"/>
      <c r="N740" s="61"/>
      <c r="O740" s="61"/>
      <c r="P740" s="61"/>
      <c r="Q740" s="61"/>
      <c r="R740" s="61"/>
    </row>
    <row r="741" customFormat="false" ht="12.75" hidden="false" customHeight="false" outlineLevel="0" collapsed="false">
      <c r="M741" s="61"/>
      <c r="N741" s="61"/>
      <c r="O741" s="61"/>
      <c r="P741" s="61"/>
      <c r="Q741" s="61"/>
      <c r="R741" s="61"/>
    </row>
    <row r="742" customFormat="false" ht="12.75" hidden="false" customHeight="false" outlineLevel="0" collapsed="false">
      <c r="M742" s="61"/>
      <c r="N742" s="61"/>
      <c r="O742" s="61"/>
      <c r="P742" s="61"/>
      <c r="Q742" s="61"/>
      <c r="R742" s="61"/>
    </row>
    <row r="743" customFormat="false" ht="12.75" hidden="false" customHeight="false" outlineLevel="0" collapsed="false">
      <c r="M743" s="61"/>
      <c r="N743" s="61"/>
      <c r="O743" s="61"/>
      <c r="P743" s="61"/>
      <c r="Q743" s="61"/>
      <c r="R743" s="61"/>
    </row>
    <row r="744" customFormat="false" ht="12.75" hidden="false" customHeight="false" outlineLevel="0" collapsed="false">
      <c r="M744" s="61"/>
      <c r="N744" s="61"/>
      <c r="O744" s="61"/>
      <c r="P744" s="61"/>
      <c r="Q744" s="61"/>
      <c r="R744" s="61"/>
    </row>
    <row r="745" customFormat="false" ht="12.75" hidden="false" customHeight="false" outlineLevel="0" collapsed="false">
      <c r="M745" s="61"/>
      <c r="N745" s="61"/>
      <c r="O745" s="61"/>
      <c r="P745" s="61"/>
      <c r="Q745" s="61"/>
      <c r="R745" s="61"/>
    </row>
    <row r="746" customFormat="false" ht="12.75" hidden="false" customHeight="false" outlineLevel="0" collapsed="false">
      <c r="M746" s="61"/>
      <c r="N746" s="61"/>
      <c r="O746" s="61"/>
      <c r="P746" s="61"/>
      <c r="Q746" s="61"/>
      <c r="R746" s="61"/>
    </row>
    <row r="747" customFormat="false" ht="12.75" hidden="false" customHeight="false" outlineLevel="0" collapsed="false">
      <c r="M747" s="61"/>
      <c r="N747" s="61"/>
      <c r="O747" s="61"/>
      <c r="P747" s="61"/>
      <c r="Q747" s="61"/>
      <c r="R747" s="61"/>
    </row>
    <row r="748" customFormat="false" ht="12.75" hidden="false" customHeight="false" outlineLevel="0" collapsed="false">
      <c r="M748" s="61"/>
      <c r="N748" s="61"/>
      <c r="O748" s="61"/>
      <c r="P748" s="61"/>
      <c r="Q748" s="61"/>
      <c r="R748" s="61"/>
    </row>
    <row r="749" customFormat="false" ht="12.75" hidden="false" customHeight="false" outlineLevel="0" collapsed="false">
      <c r="M749" s="61"/>
      <c r="N749" s="61"/>
      <c r="O749" s="61"/>
      <c r="P749" s="61"/>
      <c r="Q749" s="61"/>
      <c r="R749" s="61"/>
    </row>
    <row r="750" customFormat="false" ht="12.75" hidden="false" customHeight="false" outlineLevel="0" collapsed="false">
      <c r="M750" s="61"/>
      <c r="N750" s="61"/>
      <c r="O750" s="61"/>
      <c r="P750" s="61"/>
      <c r="Q750" s="61"/>
      <c r="R750" s="61"/>
    </row>
    <row r="751" customFormat="false" ht="12.75" hidden="false" customHeight="false" outlineLevel="0" collapsed="false">
      <c r="M751" s="61"/>
      <c r="N751" s="61"/>
      <c r="O751" s="61"/>
      <c r="P751" s="61"/>
      <c r="Q751" s="61"/>
      <c r="R751" s="61"/>
    </row>
    <row r="752" customFormat="false" ht="12.75" hidden="false" customHeight="false" outlineLevel="0" collapsed="false">
      <c r="M752" s="61"/>
      <c r="N752" s="61"/>
      <c r="O752" s="61"/>
      <c r="P752" s="61"/>
      <c r="Q752" s="61"/>
      <c r="R752" s="61"/>
    </row>
    <row r="753" customFormat="false" ht="12.75" hidden="false" customHeight="false" outlineLevel="0" collapsed="false">
      <c r="M753" s="61"/>
      <c r="N753" s="61"/>
      <c r="O753" s="61"/>
      <c r="P753" s="61"/>
      <c r="Q753" s="61"/>
      <c r="R753" s="61"/>
    </row>
    <row r="754" customFormat="false" ht="12.75" hidden="false" customHeight="false" outlineLevel="0" collapsed="false">
      <c r="M754" s="61"/>
      <c r="N754" s="61"/>
      <c r="O754" s="61"/>
      <c r="P754" s="61"/>
      <c r="Q754" s="61"/>
      <c r="R754" s="61"/>
    </row>
    <row r="755" customFormat="false" ht="12.75" hidden="false" customHeight="false" outlineLevel="0" collapsed="false">
      <c r="M755" s="61"/>
      <c r="N755" s="61"/>
      <c r="O755" s="61"/>
      <c r="P755" s="61"/>
      <c r="Q755" s="61"/>
      <c r="R755" s="61"/>
    </row>
    <row r="756" customFormat="false" ht="12.75" hidden="false" customHeight="false" outlineLevel="0" collapsed="false">
      <c r="M756" s="61"/>
      <c r="N756" s="61"/>
      <c r="O756" s="61"/>
      <c r="P756" s="61"/>
      <c r="Q756" s="61"/>
      <c r="R756" s="61"/>
    </row>
    <row r="757" customFormat="false" ht="12.75" hidden="false" customHeight="false" outlineLevel="0" collapsed="false">
      <c r="M757" s="61"/>
      <c r="N757" s="61"/>
      <c r="O757" s="61"/>
      <c r="P757" s="61"/>
      <c r="Q757" s="61"/>
      <c r="R757" s="61"/>
    </row>
    <row r="758" customFormat="false" ht="12.75" hidden="false" customHeight="false" outlineLevel="0" collapsed="false">
      <c r="M758" s="61"/>
      <c r="N758" s="61"/>
      <c r="O758" s="61"/>
      <c r="P758" s="61"/>
      <c r="Q758" s="61"/>
      <c r="R758" s="61"/>
    </row>
    <row r="759" customFormat="false" ht="12.75" hidden="false" customHeight="false" outlineLevel="0" collapsed="false">
      <c r="M759" s="61"/>
      <c r="N759" s="61"/>
      <c r="O759" s="61"/>
      <c r="P759" s="61"/>
      <c r="Q759" s="61"/>
      <c r="R759" s="61"/>
    </row>
    <row r="760" customFormat="false" ht="12.75" hidden="false" customHeight="false" outlineLevel="0" collapsed="false">
      <c r="M760" s="61"/>
      <c r="N760" s="61"/>
      <c r="O760" s="61"/>
      <c r="P760" s="61"/>
      <c r="Q760" s="61"/>
      <c r="R760" s="61"/>
    </row>
    <row r="761" customFormat="false" ht="12.75" hidden="false" customHeight="false" outlineLevel="0" collapsed="false">
      <c r="M761" s="61"/>
      <c r="N761" s="61"/>
      <c r="O761" s="61"/>
      <c r="P761" s="61"/>
      <c r="Q761" s="61"/>
      <c r="R761" s="61"/>
    </row>
    <row r="762" customFormat="false" ht="12.75" hidden="false" customHeight="false" outlineLevel="0" collapsed="false">
      <c r="M762" s="61"/>
      <c r="N762" s="61"/>
      <c r="O762" s="61"/>
      <c r="P762" s="61"/>
      <c r="Q762" s="61"/>
      <c r="R762" s="61"/>
    </row>
    <row r="763" customFormat="false" ht="12.75" hidden="false" customHeight="false" outlineLevel="0" collapsed="false">
      <c r="M763" s="61"/>
      <c r="N763" s="61"/>
      <c r="O763" s="61"/>
      <c r="P763" s="61"/>
      <c r="Q763" s="61"/>
      <c r="R763" s="61"/>
    </row>
    <row r="764" customFormat="false" ht="12.75" hidden="false" customHeight="false" outlineLevel="0" collapsed="false">
      <c r="M764" s="61"/>
      <c r="N764" s="61"/>
      <c r="O764" s="61"/>
      <c r="P764" s="61"/>
      <c r="Q764" s="61"/>
      <c r="R764" s="61"/>
    </row>
    <row r="765" customFormat="false" ht="12.75" hidden="false" customHeight="false" outlineLevel="0" collapsed="false">
      <c r="M765" s="61"/>
      <c r="N765" s="61"/>
      <c r="O765" s="61"/>
      <c r="P765" s="61"/>
      <c r="Q765" s="61"/>
      <c r="R765" s="61"/>
    </row>
    <row r="766" customFormat="false" ht="12.75" hidden="false" customHeight="false" outlineLevel="0" collapsed="false">
      <c r="M766" s="61"/>
      <c r="N766" s="61"/>
      <c r="O766" s="61"/>
      <c r="P766" s="61"/>
      <c r="Q766" s="61"/>
      <c r="R766" s="61"/>
    </row>
    <row r="767" customFormat="false" ht="12.75" hidden="false" customHeight="false" outlineLevel="0" collapsed="false">
      <c r="M767" s="61"/>
      <c r="N767" s="61"/>
      <c r="O767" s="61"/>
      <c r="P767" s="61"/>
      <c r="Q767" s="61"/>
      <c r="R767" s="61"/>
    </row>
    <row r="768" customFormat="false" ht="12.75" hidden="false" customHeight="false" outlineLevel="0" collapsed="false">
      <c r="M768" s="61"/>
      <c r="N768" s="61"/>
      <c r="O768" s="61"/>
      <c r="P768" s="61"/>
      <c r="Q768" s="61"/>
      <c r="R768" s="61"/>
    </row>
    <row r="769" customFormat="false" ht="12.75" hidden="false" customHeight="false" outlineLevel="0" collapsed="false">
      <c r="M769" s="61"/>
      <c r="N769" s="61"/>
      <c r="O769" s="61"/>
      <c r="P769" s="61"/>
      <c r="Q769" s="61"/>
      <c r="R769" s="61"/>
    </row>
    <row r="770" customFormat="false" ht="12.75" hidden="false" customHeight="false" outlineLevel="0" collapsed="false">
      <c r="M770" s="61"/>
      <c r="N770" s="61"/>
      <c r="O770" s="61"/>
      <c r="P770" s="61"/>
      <c r="Q770" s="61"/>
      <c r="R770" s="61"/>
    </row>
    <row r="771" customFormat="false" ht="12.75" hidden="false" customHeight="false" outlineLevel="0" collapsed="false">
      <c r="M771" s="61"/>
      <c r="N771" s="61"/>
      <c r="O771" s="61"/>
      <c r="P771" s="61"/>
      <c r="Q771" s="61"/>
      <c r="R771" s="61"/>
    </row>
    <row r="772" customFormat="false" ht="12.75" hidden="false" customHeight="false" outlineLevel="0" collapsed="false">
      <c r="M772" s="61"/>
      <c r="N772" s="61"/>
      <c r="O772" s="61"/>
      <c r="P772" s="61"/>
      <c r="Q772" s="61"/>
      <c r="R772" s="61"/>
    </row>
    <row r="773" customFormat="false" ht="12.75" hidden="false" customHeight="false" outlineLevel="0" collapsed="false">
      <c r="M773" s="61"/>
      <c r="N773" s="61"/>
      <c r="O773" s="61"/>
      <c r="P773" s="61"/>
      <c r="Q773" s="61"/>
      <c r="R773" s="61"/>
    </row>
    <row r="774" customFormat="false" ht="12.75" hidden="false" customHeight="false" outlineLevel="0" collapsed="false">
      <c r="M774" s="61"/>
      <c r="N774" s="61"/>
      <c r="O774" s="61"/>
      <c r="P774" s="61"/>
      <c r="Q774" s="61"/>
      <c r="R774" s="61"/>
    </row>
    <row r="775" customFormat="false" ht="12.75" hidden="false" customHeight="false" outlineLevel="0" collapsed="false">
      <c r="M775" s="61"/>
      <c r="N775" s="61"/>
      <c r="O775" s="61"/>
      <c r="P775" s="61"/>
      <c r="Q775" s="61"/>
      <c r="R775" s="61"/>
    </row>
    <row r="776" customFormat="false" ht="12.75" hidden="false" customHeight="false" outlineLevel="0" collapsed="false">
      <c r="M776" s="61"/>
      <c r="N776" s="61"/>
      <c r="O776" s="61"/>
      <c r="P776" s="61"/>
      <c r="Q776" s="61"/>
      <c r="R776" s="61"/>
    </row>
  </sheetData>
  <printOptions headings="false" gridLines="false" gridLinesSet="true" horizontalCentered="true" verticalCentered="true"/>
  <pageMargins left="0.259722222222222" right="0.25" top="0.320138888888889" bottom="0.25" header="0.511811023622047" footer="0.511811023622047"/>
  <pageSetup paperSize="1" scale="100" fitToWidth="1" fitToHeight="6" pageOrder="downThenOver" orientation="landscape" blackAndWhite="false" draft="false" cellComments="none" horizontalDpi="300" verticalDpi="300" copies="1"/>
  <headerFooter differentFirst="false" differentOddEven="false">
    <oddHeader/>
    <oddFooter/>
  </headerFooter>
  <rowBreaks count="2" manualBreakCount="2">
    <brk id="133" man="true" max="16383" min="0"/>
    <brk id="269" man="true" max="16383" min="0"/>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2001-03-15T17:14:02Z</dcterms:created>
  <dc:creator>dhill</dc:creator>
  <dc:description/>
  <dc:language>en-US</dc:language>
  <cp:lastModifiedBy>Raul Rizo-Patron</cp:lastModifiedBy>
  <cp:lastPrinted>2001-03-23T21:58:03Z</cp:lastPrinted>
  <dcterms:modified xsi:type="dcterms:W3CDTF">2001-03-23T15:36:44Z</dcterms:modified>
  <cp:revision>0</cp:revision>
  <dc:subject/>
  <dc:title/>
</cp:coreProperties>
</file>