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 Sizing" sheetId="1" state="visible" r:id="rId3"/>
    <sheet name="Header &amp; Unit Sizing" sheetId="2" state="visible" r:id="rId4"/>
    <sheet name="Sheet3" sheetId="3" state="visible" r:id="rId5"/>
  </sheets>
  <definedNames>
    <definedName function="false" hidden="false" localSheetId="0" name="_xlnm.Print_Titles" vbProcedure="false">'Hp Sizing'!$A:$A,'Hp Sizing'!$1:$5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<sst xmlns="http://schemas.openxmlformats.org/spreadsheetml/2006/main" count="116" uniqueCount="63">
  <si>
    <t xml:space="preserve">Sun Devil Compressor Operating Points ( Rev 1 )  01/07/02</t>
  </si>
  <si>
    <t xml:space="preserve">Generic</t>
  </si>
  <si>
    <t xml:space="preserve">MFGR</t>
  </si>
  <si>
    <t xml:space="preserve">Station</t>
  </si>
  <si>
    <t xml:space="preserve">SG</t>
  </si>
  <si>
    <t xml:space="preserve">Isentr</t>
  </si>
  <si>
    <t xml:space="preserve"> amb</t>
  </si>
  <si>
    <t xml:space="preserve">Ps</t>
  </si>
  <si>
    <t xml:space="preserve">Pd</t>
  </si>
  <si>
    <t xml:space="preserve">Ts</t>
  </si>
  <si>
    <t xml:space="preserve">Compress</t>
  </si>
  <si>
    <t xml:space="preserve">Ratio</t>
  </si>
  <si>
    <t xml:space="preserve">H</t>
  </si>
  <si>
    <t xml:space="preserve">Q</t>
  </si>
  <si>
    <t xml:space="preserve">Compr</t>
  </si>
  <si>
    <t xml:space="preserve">TRV</t>
  </si>
  <si>
    <t xml:space="preserve">Td</t>
  </si>
  <si>
    <t xml:space="preserve">Mech</t>
  </si>
  <si>
    <t xml:space="preserve">BHp</t>
  </si>
  <si>
    <t xml:space="preserve">Data</t>
  </si>
  <si>
    <t xml:space="preserve">&amp;</t>
  </si>
  <si>
    <t xml:space="preserve">Elev</t>
  </si>
  <si>
    <t xml:space="preserve">Exp</t>
  </si>
  <si>
    <t xml:space="preserve">°F</t>
  </si>
  <si>
    <t xml:space="preserve">(Psig)</t>
  </si>
  <si>
    <t xml:space="preserve">ability</t>
  </si>
  <si>
    <t xml:space="preserve">(feet)</t>
  </si>
  <si>
    <t xml:space="preserve">(MMSCFD)</t>
  </si>
  <si>
    <t xml:space="preserve">(ACFM)</t>
  </si>
  <si>
    <t xml:space="preserve">Efficny</t>
  </si>
  <si>
    <t xml:space="preserve">*</t>
  </si>
  <si>
    <t xml:space="preserve">Effcy</t>
  </si>
  <si>
    <t xml:space="preserve">Req'd</t>
  </si>
  <si>
    <t xml:space="preserve">RPM</t>
  </si>
  <si>
    <t xml:space="preserve">Avail</t>
  </si>
  <si>
    <t xml:space="preserve">Margin</t>
  </si>
  <si>
    <t xml:space="preserve">Date</t>
  </si>
  <si>
    <t xml:space="preserve">Unit</t>
  </si>
  <si>
    <t xml:space="preserve">Feet</t>
  </si>
  <si>
    <t xml:space="preserve">New Unit</t>
  </si>
  <si>
    <t xml:space="preserve">Adiab</t>
  </si>
  <si>
    <t xml:space="preserve">Mfgr</t>
  </si>
  <si>
    <t xml:space="preserve">BLOOMFIELD</t>
  </si>
  <si>
    <t xml:space="preserve">Mars 100-15000 Hp 122°F Match</t>
  </si>
  <si>
    <t xml:space="preserve">BISTI</t>
  </si>
  <si>
    <t xml:space="preserve">@Motor Shaft</t>
  </si>
  <si>
    <t xml:space="preserve">Rebundle</t>
  </si>
  <si>
    <t xml:space="preserve">STANDING ROCK</t>
  </si>
  <si>
    <t xml:space="preserve">GALLUP</t>
  </si>
  <si>
    <t xml:space="preserve">New Comp</t>
  </si>
  <si>
    <t xml:space="preserve">New Comp - LOW HEAD- HI Hp….LIKELY PROB W/ MOTOR CAPABILITY</t>
  </si>
  <si>
    <t xml:space="preserve">CS#4</t>
  </si>
  <si>
    <t xml:space="preserve">TurnDown? / New Bundle</t>
  </si>
  <si>
    <t xml:space="preserve">CS#2</t>
  </si>
  <si>
    <t xml:space="preserve">New Bundle</t>
  </si>
  <si>
    <t xml:space="preserve">CS#1</t>
  </si>
  <si>
    <t xml:space="preserve">CS#3</t>
  </si>
  <si>
    <t xml:space="preserve">CS#1.5</t>
  </si>
  <si>
    <t xml:space="preserve">KINGMAN</t>
  </si>
  <si>
    <t xml:space="preserve">*Note:  When sizing gas coolers add 5°F to the shown gas discharge temp to account for any recycle and possible efficiency issues</t>
  </si>
  <si>
    <t xml:space="preserve">GT 38"</t>
  </si>
  <si>
    <t xml:space="preserve">GT 40"</t>
  </si>
  <si>
    <t xml:space="preserve">36"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</si>
</sst>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_)"/>
    <numFmt numFmtId="166" formatCode="0.00_)"/>
    <numFmt numFmtId="167" formatCode="[$-409]#,##0_);\(#,##0\)"/>
    <numFmt numFmtId="168" formatCode="0"/>
    <numFmt numFmtId="169" formatCode="0_)"/>
    <numFmt numFmtId="170" formatCode="_(* #,##0.00_);_(* \(#,##0.00\);_(* \-??_);_(@_)"/>
    <numFmt numFmtId="171" formatCode="_(* #,##0_);_(* \(#,##0\);_(* \-??_);_(@_)"/>
    <numFmt numFmtId="172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 MT"/>
      <family val="0"/>
    </font>
    <font>
      <sz val="12"/>
      <color rgb="FFFF0000"/>
      <name val="Arial MT"/>
      <family val="0"/>
    </font>
    <font>
      <sz val="10"/>
      <color rgb="FFFF0000"/>
      <name val="Arial"/>
      <family val="2"/>
    </font>
    <font>
      <sz val="10"/>
      <color rgb="FFFF66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7.28"/>
    <col collapsed="false" customWidth="true" hidden="false" outlineLevel="0" max="3" min="3" style="0" width="6.13"/>
    <col collapsed="false" customWidth="true" hidden="false" outlineLevel="0" max="4" min="4" style="0" width="6.41"/>
    <col collapsed="false" customWidth="true" hidden="false" outlineLevel="0" max="5" min="5" style="0" width="5.13"/>
    <col collapsed="false" customWidth="true" hidden="false" outlineLevel="0" max="6" min="6" style="0" width="5.99"/>
    <col collapsed="false" customWidth="true" hidden="false" outlineLevel="0" max="7" min="7" style="0" width="6.28"/>
    <col collapsed="false" customWidth="true" hidden="false" outlineLevel="0" max="8" min="8" style="0" width="4.85"/>
    <col collapsed="false" customWidth="true" hidden="true" outlineLevel="0" max="10" min="9" style="0" width="9.14"/>
    <col collapsed="false" customWidth="true" hidden="false" outlineLevel="0" max="11" min="11" style="0" width="6.99"/>
    <col collapsed="false" customWidth="true" hidden="false" outlineLevel="0" max="12" min="12" style="0" width="8.85"/>
    <col collapsed="false" customWidth="true" hidden="false" outlineLevel="0" max="13" min="13" style="0" width="8.14"/>
    <col collapsed="false" customWidth="true" hidden="false" outlineLevel="0" max="14" min="14" style="0" width="8.7"/>
    <col collapsed="false" customWidth="true" hidden="false" outlineLevel="0" max="15" min="15" style="0" width="8.14"/>
    <col collapsed="false" customWidth="true" hidden="false" outlineLevel="0" max="16" min="16" style="0" width="9.99"/>
    <col collapsed="false" customWidth="true" hidden="true" outlineLevel="0" max="17" min="17" style="0" width="7.14"/>
    <col collapsed="false" customWidth="true" hidden="false" outlineLevel="0" max="18" min="18" style="0" width="5.13"/>
    <col collapsed="false" customWidth="true" hidden="false" outlineLevel="0" max="19" min="19" style="0" width="6.7"/>
    <col collapsed="false" customWidth="false" hidden="true" outlineLevel="0" max="21" min="21" style="0" width="9.06"/>
    <col collapsed="false" customWidth="true" hidden="false" outlineLevel="0" max="23" min="23" style="0" width="7.7"/>
    <col collapsed="false" customWidth="true" hidden="false" outlineLevel="0" max="24" min="24" style="0" width="9.28"/>
    <col collapsed="false" customWidth="true" hidden="false" outlineLevel="0" max="25" min="25" style="0" width="7.85"/>
    <col collapsed="false" customWidth="true" hidden="false" outlineLevel="0" max="26" min="26" style="0" width="34.71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customFormat="false" ht="13.5" hidden="false" customHeight="false" outlineLevel="0" collapsed="false">
      <c r="T2" s="3" t="s">
        <v>1</v>
      </c>
      <c r="U2" s="4" t="s">
        <v>2</v>
      </c>
      <c r="V2" s="4"/>
      <c r="W2" s="4"/>
      <c r="X2" s="4"/>
    </row>
    <row r="3" customFormat="false" ht="12.75" hidden="false" customHeight="false" outlineLevel="0" collapsed="false">
      <c r="A3" s="5" t="s">
        <v>3</v>
      </c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5" t="s">
        <v>13</v>
      </c>
      <c r="N3" s="5" t="s">
        <v>13</v>
      </c>
      <c r="O3" s="5" t="s">
        <v>13</v>
      </c>
      <c r="P3" s="5" t="s">
        <v>14</v>
      </c>
      <c r="Q3" s="6" t="s">
        <v>15</v>
      </c>
      <c r="R3" s="5" t="s">
        <v>16</v>
      </c>
      <c r="S3" s="5" t="s">
        <v>17</v>
      </c>
      <c r="T3" s="5" t="s">
        <v>18</v>
      </c>
      <c r="U3" s="7" t="s">
        <v>18</v>
      </c>
      <c r="V3" s="7"/>
      <c r="W3" s="7" t="s">
        <v>18</v>
      </c>
      <c r="X3" s="7" t="s">
        <v>18</v>
      </c>
      <c r="Y3" s="8" t="s">
        <v>19</v>
      </c>
    </row>
    <row r="4" customFormat="false" ht="12.75" hidden="false" customHeight="false" outlineLevel="0" collapsed="false">
      <c r="A4" s="7" t="s">
        <v>20</v>
      </c>
      <c r="B4" s="7" t="s">
        <v>21</v>
      </c>
      <c r="C4" s="7"/>
      <c r="D4" s="7" t="s">
        <v>22</v>
      </c>
      <c r="E4" s="7" t="s">
        <v>23</v>
      </c>
      <c r="F4" s="7" t="s">
        <v>24</v>
      </c>
      <c r="G4" s="7" t="s">
        <v>24</v>
      </c>
      <c r="H4" s="7" t="s">
        <v>23</v>
      </c>
      <c r="I4" s="6" t="s">
        <v>25</v>
      </c>
      <c r="J4" s="6"/>
      <c r="K4" s="7" t="s">
        <v>26</v>
      </c>
      <c r="L4" s="9" t="s">
        <v>27</v>
      </c>
      <c r="M4" s="9" t="s">
        <v>28</v>
      </c>
      <c r="N4" s="9" t="s">
        <v>27</v>
      </c>
      <c r="O4" s="9" t="s">
        <v>28</v>
      </c>
      <c r="P4" s="7" t="s">
        <v>29</v>
      </c>
      <c r="Q4" s="6"/>
      <c r="R4" s="7" t="s">
        <v>30</v>
      </c>
      <c r="S4" s="7" t="s">
        <v>31</v>
      </c>
      <c r="T4" s="7" t="s">
        <v>32</v>
      </c>
      <c r="U4" s="7" t="s">
        <v>32</v>
      </c>
      <c r="V4" s="7" t="s">
        <v>33</v>
      </c>
      <c r="W4" s="7" t="s">
        <v>34</v>
      </c>
      <c r="X4" s="7" t="s">
        <v>35</v>
      </c>
      <c r="Y4" s="10" t="s">
        <v>36</v>
      </c>
    </row>
    <row r="5" customFormat="false" ht="13.5" hidden="false" customHeight="false" outlineLevel="0" collapsed="false">
      <c r="A5" s="11" t="s">
        <v>37</v>
      </c>
      <c r="B5" s="11" t="s">
        <v>38</v>
      </c>
      <c r="C5" s="11"/>
      <c r="D5" s="11"/>
      <c r="E5" s="12"/>
      <c r="F5" s="11"/>
      <c r="G5" s="11"/>
      <c r="H5" s="11"/>
      <c r="I5" s="6"/>
      <c r="J5" s="6"/>
      <c r="K5" s="11"/>
      <c r="L5" s="13" t="s">
        <v>3</v>
      </c>
      <c r="M5" s="13" t="s">
        <v>3</v>
      </c>
      <c r="N5" s="13" t="s">
        <v>39</v>
      </c>
      <c r="O5" s="13" t="s">
        <v>39</v>
      </c>
      <c r="P5" s="11" t="s">
        <v>40</v>
      </c>
      <c r="Q5" s="6"/>
      <c r="R5" s="11" t="s">
        <v>23</v>
      </c>
      <c r="S5" s="11"/>
      <c r="T5" s="13" t="s">
        <v>39</v>
      </c>
      <c r="U5" s="13" t="s">
        <v>41</v>
      </c>
      <c r="V5" s="13"/>
      <c r="W5" s="13" t="s">
        <v>39</v>
      </c>
      <c r="X5" s="13" t="s">
        <v>39</v>
      </c>
      <c r="Y5" s="14"/>
    </row>
    <row r="6" customFormat="false" ht="15" hidden="false" customHeight="false" outlineLevel="0" collapsed="false">
      <c r="A6" s="15" t="s">
        <v>42</v>
      </c>
      <c r="B6" s="15" t="n">
        <v>5580</v>
      </c>
      <c r="C6" s="16" t="n">
        <v>0.595</v>
      </c>
      <c r="D6" s="16" t="n">
        <v>1.29</v>
      </c>
      <c r="E6" s="17" t="n">
        <v>95</v>
      </c>
      <c r="F6" s="16" t="n">
        <v>850</v>
      </c>
      <c r="G6" s="16" t="n">
        <v>1050</v>
      </c>
      <c r="H6" s="16" t="n">
        <v>85</v>
      </c>
      <c r="I6" s="18" t="n">
        <f aca="false">1/(10^(1.785*$C6)*$F6*344400/(($H6+460)^3.825)+1)</f>
        <v>0.896617365900302</v>
      </c>
      <c r="J6" s="19" t="n">
        <f aca="false">+($G6+14.73)/($F6+14.73)</f>
        <v>1.23128606617094</v>
      </c>
      <c r="K6" s="20" t="n">
        <f aca="false">53.385*$I6*($H6+460)/$C6*($D6/($D6-1))*(($J6^(($D6-1)/$D6))-1)</f>
        <v>9338.75711661944</v>
      </c>
      <c r="L6" s="15" t="n">
        <v>525</v>
      </c>
      <c r="M6" s="20" t="n">
        <f aca="false">$L6*14.73/520*($H6+460)/($F6+14.73)*$I6*1000000/24/60</f>
        <v>5836.05447110937</v>
      </c>
      <c r="N6" s="21" t="n">
        <f aca="false">L6</f>
        <v>525</v>
      </c>
      <c r="O6" s="20" t="n">
        <f aca="false">$N6*14.73/520*($H6+460)/($F6+14.73)*$I6*1000000/24/60</f>
        <v>5836.05447110937</v>
      </c>
      <c r="P6" s="15" t="n">
        <v>0.83</v>
      </c>
      <c r="Q6" s="22" t="n">
        <f aca="false">+$P6*4.333/($P6*4.333-1)</f>
        <v>1.38515015078628</v>
      </c>
      <c r="R6" s="23" t="n">
        <f aca="false">+($J6^(($Q6-1)/$Q6)*($H6+460))-460</f>
        <v>117.45933903623</v>
      </c>
      <c r="S6" s="15" t="n">
        <v>0.96</v>
      </c>
      <c r="T6" s="24" t="n">
        <f aca="false">+N6/(33000*P6*S6/K6*1545/16.8*520*1440/14.7/144/1000000)</f>
        <v>5731.65323312138</v>
      </c>
      <c r="U6" s="25"/>
      <c r="V6" s="25" t="n">
        <v>8500</v>
      </c>
      <c r="W6" s="26" t="n">
        <f aca="false">10351*(2*(V6/8799)-(V6/8799)^2)</f>
        <v>10339.0475193349</v>
      </c>
      <c r="X6" s="26" t="n">
        <f aca="false">+W6-T6</f>
        <v>4607.39428621349</v>
      </c>
      <c r="Y6" s="27"/>
      <c r="Z6" s="28" t="s">
        <v>43</v>
      </c>
    </row>
    <row r="7" customFormat="false" ht="15" hidden="false" customHeight="false" outlineLevel="0" collapsed="false">
      <c r="A7" s="15"/>
      <c r="B7" s="15"/>
      <c r="C7" s="16" t="n">
        <v>0.595</v>
      </c>
      <c r="D7" s="16" t="n">
        <v>1.29</v>
      </c>
      <c r="E7" s="17" t="n">
        <v>95</v>
      </c>
      <c r="F7" s="16" t="n">
        <v>870</v>
      </c>
      <c r="G7" s="16" t="n">
        <v>1091</v>
      </c>
      <c r="H7" s="16" t="n">
        <v>90</v>
      </c>
      <c r="I7" s="18" t="n">
        <f aca="false">1/(10^(1.785*$C7)*$F7*344400/(($H7+460)^3.825)+1)</f>
        <v>0.897694565515065</v>
      </c>
      <c r="J7" s="19" t="n">
        <f aca="false">+($G7+14.73)/($F7+14.73)</f>
        <v>1.24979372237858</v>
      </c>
      <c r="K7" s="20" t="n">
        <f aca="false">53.385*$I7*($H7+460)/$C7*($D7/($D7-1))*(($J7^(($D7-1)/$D7))-1)</f>
        <v>10129.4761095553</v>
      </c>
      <c r="L7" s="15" t="n">
        <v>551</v>
      </c>
      <c r="M7" s="20" t="n">
        <f aca="false">$L7*14.73/520*($H7+460)/($F7+14.73)*$I7*1000000/24/60</f>
        <v>6048.79744552645</v>
      </c>
      <c r="N7" s="21" t="n">
        <f aca="false">L7</f>
        <v>551</v>
      </c>
      <c r="O7" s="20" t="n">
        <f aca="false">$N7*14.73/520*($H7+460)/($F7+14.73)*$I7*1000000/24/60</f>
        <v>6048.79744552645</v>
      </c>
      <c r="P7" s="15" t="n">
        <v>0.83</v>
      </c>
      <c r="Q7" s="22" t="n">
        <f aca="false">+$P7*4.333/($P7*4.333-1)</f>
        <v>1.38515015078628</v>
      </c>
      <c r="R7" s="23" t="n">
        <f aca="false">+($J7^(($Q7-1)/$Q7)*($H7+460))-460</f>
        <v>125.179669632856</v>
      </c>
      <c r="S7" s="15" t="n">
        <v>0.96</v>
      </c>
      <c r="T7" s="24" t="n">
        <f aca="false">+N7/(33000*P7*S7/K7*1545/16.8*520*1440/14.7/144/1000000)</f>
        <v>6524.84361498266</v>
      </c>
      <c r="U7" s="25"/>
      <c r="V7" s="25" t="n">
        <v>8500</v>
      </c>
      <c r="W7" s="26" t="n">
        <f aca="false">10351*(2*(V7/8799)-(V7/8799)^2)</f>
        <v>10339.0475193349</v>
      </c>
      <c r="X7" s="26" t="n">
        <f aca="false">+W7-T7</f>
        <v>3814.20390435222</v>
      </c>
      <c r="Y7" s="27"/>
      <c r="Z7" s="28" t="s">
        <v>43</v>
      </c>
    </row>
    <row r="8" customFormat="false" ht="15" hidden="false" customHeight="false" outlineLevel="0" collapsed="false">
      <c r="A8" s="15"/>
      <c r="B8" s="15"/>
      <c r="C8" s="16" t="n">
        <v>0.595</v>
      </c>
      <c r="D8" s="16" t="n">
        <v>1.29</v>
      </c>
      <c r="E8" s="17" t="n">
        <v>95</v>
      </c>
      <c r="F8" s="16" t="n">
        <v>900</v>
      </c>
      <c r="G8" s="16" t="n">
        <v>1195</v>
      </c>
      <c r="H8" s="16" t="n">
        <v>95</v>
      </c>
      <c r="I8" s="18" t="n">
        <f aca="false">1/(10^(1.785*$C8)*$F8*344400/(($H8+460)^3.825)+1)</f>
        <v>0.897760126317635</v>
      </c>
      <c r="J8" s="19" t="n">
        <f aca="false">+($G8+14.73)/($F8+14.73)</f>
        <v>1.32249953538203</v>
      </c>
      <c r="K8" s="20" t="n">
        <f aca="false">53.385*$I8*($H8+460)/$C8*($D8/($D8-1))*(($J8^(($D8-1)/$D8))-1)</f>
        <v>12897.0576124663</v>
      </c>
      <c r="L8" s="15" t="n">
        <v>575</v>
      </c>
      <c r="M8" s="20" t="n">
        <f aca="false">$L8*14.73/520*($H8+460)/($F8+14.73)*$I8*1000000/24/60</f>
        <v>6161.19747420029</v>
      </c>
      <c r="N8" s="21" t="n">
        <f aca="false">L8</f>
        <v>575</v>
      </c>
      <c r="O8" s="20" t="n">
        <f aca="false">$N8*14.73/520*($H8+460)/($F8+14.73)*$I8*1000000/24/60</f>
        <v>6161.19747420029</v>
      </c>
      <c r="P8" s="15" t="n">
        <v>0.83</v>
      </c>
      <c r="Q8" s="22" t="n">
        <f aca="false">+$P8*4.333/($P8*4.333-1)</f>
        <v>1.38515015078628</v>
      </c>
      <c r="R8" s="23" t="n">
        <f aca="false">+($J8^(($Q8-1)/$Q8)*($H8+460))-460</f>
        <v>139.857111265325</v>
      </c>
      <c r="S8" s="15" t="n">
        <v>0.96</v>
      </c>
      <c r="T8" s="24" t="n">
        <f aca="false">+N8/(33000*P8*S8/K8*1545/16.8*520*1440/14.7/144/1000000)</f>
        <v>8669.4193012755</v>
      </c>
      <c r="U8" s="25"/>
      <c r="V8" s="25" t="n">
        <v>8500</v>
      </c>
      <c r="W8" s="26" t="n">
        <f aca="false">10351*(2*(V8/8799)-(V8/8799)^2)</f>
        <v>10339.0475193349</v>
      </c>
      <c r="X8" s="26" t="n">
        <f aca="false">+W8-T8</f>
        <v>1669.62821805937</v>
      </c>
      <c r="Y8" s="27"/>
      <c r="Z8" s="28" t="s">
        <v>43</v>
      </c>
    </row>
    <row r="9" customFormat="false" ht="15" hidden="false" customHeight="false" outlineLevel="0" collapsed="false">
      <c r="A9" s="15"/>
      <c r="B9" s="15"/>
      <c r="C9" s="16"/>
      <c r="D9" s="16"/>
      <c r="E9" s="17"/>
      <c r="F9" s="16"/>
      <c r="G9" s="16"/>
      <c r="H9" s="16"/>
      <c r="I9" s="18" t="n">
        <f aca="false">1/(10^(1.785*$C9)*$F9*344400/(($H9+460)^3.825)+1)</f>
        <v>1</v>
      </c>
      <c r="J9" s="19" t="n">
        <f aca="false">+($G9+14.73)/($F9+14.73)</f>
        <v>1</v>
      </c>
      <c r="K9" s="20"/>
      <c r="L9" s="15"/>
      <c r="M9" s="20"/>
      <c r="N9" s="21"/>
      <c r="O9" s="20"/>
      <c r="P9" s="15"/>
      <c r="Q9" s="22"/>
      <c r="R9" s="23"/>
      <c r="S9" s="15"/>
      <c r="T9" s="24"/>
      <c r="U9" s="25"/>
      <c r="V9" s="25"/>
      <c r="W9" s="29"/>
      <c r="X9" s="29"/>
      <c r="Z9" s="28"/>
    </row>
    <row r="10" customFormat="false" ht="15" hidden="false" customHeight="false" outlineLevel="0" collapsed="false">
      <c r="A10" s="15" t="s">
        <v>44</v>
      </c>
      <c r="B10" s="15" t="n">
        <v>5798</v>
      </c>
      <c r="C10" s="16" t="n">
        <v>0.595</v>
      </c>
      <c r="D10" s="16" t="n">
        <v>1.29</v>
      </c>
      <c r="E10" s="17" t="n">
        <v>95</v>
      </c>
      <c r="F10" s="16" t="n">
        <v>970</v>
      </c>
      <c r="G10" s="16" t="n">
        <v>1090</v>
      </c>
      <c r="H10" s="16" t="n">
        <v>85</v>
      </c>
      <c r="I10" s="18" t="n">
        <f aca="false">1/(10^(1.785*$C10)*$F10*344400/(($H10+460)^3.825)+1)</f>
        <v>0.883719309891639</v>
      </c>
      <c r="J10" s="19" t="n">
        <f aca="false">+($G10+14.73)/($F10+14.73)</f>
        <v>1.12186081463955</v>
      </c>
      <c r="K10" s="20" t="n">
        <f aca="false">53.385*$I10*($H10+460)/$C10*($D10/($D10-1))*(($J10^(($D10-1)/$D10))-1)</f>
        <v>5033.77573424323</v>
      </c>
      <c r="L10" s="15" t="n">
        <v>1590</v>
      </c>
      <c r="M10" s="20" t="n">
        <f aca="false">$L10*14.73/520*($H10+460)/($F10+14.73)*$I10*1000000/24/60</f>
        <v>15297.7554306105</v>
      </c>
      <c r="N10" s="21" t="n">
        <f aca="false">L10</f>
        <v>1590</v>
      </c>
      <c r="O10" s="20" t="n">
        <f aca="false">$N10*14.73/520*($H10+460)/($F10+14.73)*$I10*1000000/24/60</f>
        <v>15297.7554306105</v>
      </c>
      <c r="P10" s="15" t="n">
        <v>0.83</v>
      </c>
      <c r="Q10" s="22" t="n">
        <f aca="false">+$P10*4.333/($P10*4.333-1)</f>
        <v>1.38515015078628</v>
      </c>
      <c r="R10" s="23" t="n">
        <f aca="false">+($J10^(($Q10-1)/$Q10)*($H10+460))-460</f>
        <v>102.707061584588</v>
      </c>
      <c r="S10" s="15" t="n">
        <v>0.96</v>
      </c>
      <c r="T10" s="24" t="n">
        <f aca="false">+N10/(33000*P10*S10/K10*1545/16.8*520*1440/14.7/144/1000000)</f>
        <v>9356.69581777524</v>
      </c>
      <c r="U10" s="30" t="s">
        <v>45</v>
      </c>
      <c r="V10" s="25" t="n">
        <v>0</v>
      </c>
      <c r="W10" s="29" t="n">
        <v>0</v>
      </c>
      <c r="X10" s="29"/>
      <c r="Y10" s="27"/>
      <c r="Z10" s="28" t="s">
        <v>46</v>
      </c>
    </row>
    <row r="11" customFormat="false" ht="12.75" hidden="false" customHeight="false" outlineLevel="0" collapsed="false">
      <c r="A11" s="15"/>
      <c r="B11" s="15"/>
      <c r="C11" s="16"/>
      <c r="D11" s="16"/>
      <c r="E11" s="17"/>
      <c r="F11" s="16"/>
      <c r="G11" s="16"/>
      <c r="H11" s="16"/>
      <c r="I11" s="15"/>
      <c r="J11" s="15"/>
      <c r="K11" s="15"/>
      <c r="L11" s="15"/>
      <c r="M11" s="15"/>
      <c r="N11" s="21"/>
      <c r="O11" s="15"/>
      <c r="P11" s="15"/>
      <c r="Q11" s="15"/>
      <c r="R11" s="15"/>
      <c r="S11" s="15"/>
      <c r="U11" s="31"/>
      <c r="V11" s="31"/>
      <c r="W11" s="29"/>
      <c r="X11" s="29"/>
      <c r="Z11" s="28"/>
    </row>
    <row r="12" customFormat="false" ht="15" hidden="false" customHeight="false" outlineLevel="0" collapsed="false">
      <c r="A12" s="15" t="s">
        <v>47</v>
      </c>
      <c r="B12" s="15" t="n">
        <v>6250</v>
      </c>
      <c r="C12" s="16" t="n">
        <v>0.595</v>
      </c>
      <c r="D12" s="16" t="n">
        <v>1.29</v>
      </c>
      <c r="E12" s="17" t="n">
        <v>95</v>
      </c>
      <c r="F12" s="16" t="n">
        <v>976</v>
      </c>
      <c r="G12" s="16" t="n">
        <v>976</v>
      </c>
      <c r="H12" s="16" t="n">
        <v>82</v>
      </c>
      <c r="I12" s="18" t="n">
        <f aca="false">1/(10^(1.785*$C12)*$F12*344400/(($H12+460)^3.825)+1)</f>
        <v>0.880886582704016</v>
      </c>
      <c r="J12" s="19" t="n">
        <f aca="false">+($G12+14.73)/($F12+14.73)</f>
        <v>1</v>
      </c>
      <c r="K12" s="20" t="n">
        <f aca="false">53.385*$I12*($H12+460)/$C12*($D12/($D12-1))*(($J12^(($D12-1)/$D12))-1)</f>
        <v>0</v>
      </c>
      <c r="L12" s="15" t="n">
        <v>0</v>
      </c>
      <c r="M12" s="20" t="n">
        <f aca="false">$L12*14.73/520*($H12+460)/($F12+14.73)*$I12*1000000/24/60</f>
        <v>0</v>
      </c>
      <c r="N12" s="21" t="n">
        <f aca="false">L12</f>
        <v>0</v>
      </c>
      <c r="O12" s="20" t="n">
        <f aca="false">$N12*14.73/520*($H12+460)/($F12+14.73)*$I12*1000000/24/60</f>
        <v>0</v>
      </c>
      <c r="P12" s="15" t="n">
        <v>0.83</v>
      </c>
      <c r="Q12" s="22" t="n">
        <f aca="false">+$P12*4.333/($P12*4.333-1)</f>
        <v>1.38515015078628</v>
      </c>
      <c r="R12" s="23" t="n">
        <f aca="false">+($J12^(($Q12-1)/$Q12)*($H12+460))-460</f>
        <v>82</v>
      </c>
      <c r="S12" s="15" t="n">
        <v>0.98</v>
      </c>
      <c r="T12" s="24" t="e">
        <f aca="false">+N12/(33000*P12*S12/K12*1545/16.8*520*1440/14.7/144/1000000)</f>
        <v>#DIV/0!</v>
      </c>
      <c r="U12" s="25"/>
      <c r="V12" s="25" t="n">
        <v>8500</v>
      </c>
      <c r="W12" s="26" t="n">
        <f aca="false">10088*(2*(V12/8799)-(V12/8799)^2)</f>
        <v>10076.3512100329</v>
      </c>
      <c r="X12" s="26" t="e">
        <f aca="false">+W12-T12</f>
        <v>#DIV/0!</v>
      </c>
      <c r="Y12" s="27"/>
      <c r="Z12" s="28" t="s">
        <v>43</v>
      </c>
    </row>
    <row r="13" customFormat="false" ht="15" hidden="false" customHeight="false" outlineLevel="0" collapsed="false">
      <c r="A13" s="15"/>
      <c r="B13" s="15"/>
      <c r="C13" s="16" t="n">
        <v>0.595</v>
      </c>
      <c r="D13" s="16" t="n">
        <v>1.29</v>
      </c>
      <c r="E13" s="17" t="n">
        <v>95</v>
      </c>
      <c r="F13" s="16" t="n">
        <v>976</v>
      </c>
      <c r="G13" s="16" t="n">
        <v>976</v>
      </c>
      <c r="H13" s="16" t="n">
        <v>85</v>
      </c>
      <c r="I13" s="18" t="n">
        <f aca="false">1/(10^(1.785*$C13)*$F13*344400/(($H13+460)^3.825)+1)</f>
        <v>0.883084141025605</v>
      </c>
      <c r="J13" s="19" t="n">
        <f aca="false">+($G13+14.73)/($F13+14.73)</f>
        <v>1</v>
      </c>
      <c r="K13" s="20" t="n">
        <f aca="false">53.385*$I13*($H13+460)/$C13*($D13/($D13-1))*(($J13^(($D13-1)/$D13))-1)</f>
        <v>0</v>
      </c>
      <c r="L13" s="15" t="n">
        <v>0</v>
      </c>
      <c r="M13" s="20" t="n">
        <f aca="false">$L13*14.73/520*($H13+460)/($F13+14.73)*$I13*1000000/24/60</f>
        <v>0</v>
      </c>
      <c r="N13" s="21" t="n">
        <f aca="false">L13</f>
        <v>0</v>
      </c>
      <c r="O13" s="20" t="n">
        <f aca="false">$N13*14.73/520*($H13+460)/($F13+14.73)*$I13*1000000/24/60</f>
        <v>0</v>
      </c>
      <c r="P13" s="15" t="n">
        <v>0.83</v>
      </c>
      <c r="Q13" s="22" t="n">
        <f aca="false">+$P13*4.333/($P13*4.333-1)</f>
        <v>1.38515015078628</v>
      </c>
      <c r="R13" s="23" t="n">
        <f aca="false">+($J13^(($Q13-1)/$Q13)*($H13+460))-460</f>
        <v>85</v>
      </c>
      <c r="S13" s="15" t="n">
        <v>0.98</v>
      </c>
      <c r="T13" s="24" t="e">
        <f aca="false">+N13/(33000*P13*S13/K13*1545/16.8*520*1440/14.7/144/1000000)</f>
        <v>#DIV/0!</v>
      </c>
      <c r="U13" s="25"/>
      <c r="V13" s="25" t="n">
        <v>8500</v>
      </c>
      <c r="W13" s="26" t="n">
        <f aca="false">10088*(2*(V13/8799)-(V13/8799)^2)</f>
        <v>10076.3512100329</v>
      </c>
      <c r="X13" s="26" t="e">
        <f aca="false">+W13-T13</f>
        <v>#DIV/0!</v>
      </c>
      <c r="Y13" s="27"/>
      <c r="Z13" s="28" t="s">
        <v>43</v>
      </c>
    </row>
    <row r="14" customFormat="false" ht="15" hidden="false" customHeight="false" outlineLevel="0" collapsed="false">
      <c r="A14" s="15"/>
      <c r="B14" s="15"/>
      <c r="C14" s="16" t="n">
        <v>0.595</v>
      </c>
      <c r="D14" s="16" t="n">
        <v>1.29</v>
      </c>
      <c r="E14" s="17" t="n">
        <v>95</v>
      </c>
      <c r="F14" s="16" t="n">
        <v>976</v>
      </c>
      <c r="G14" s="16" t="n">
        <v>976</v>
      </c>
      <c r="H14" s="16" t="n">
        <v>88</v>
      </c>
      <c r="I14" s="18" t="n">
        <f aca="false">1/(10^(1.785*$C14)*$F14*344400/(($H14+460)^3.825)+1)</f>
        <v>0.885234663200764</v>
      </c>
      <c r="J14" s="19" t="n">
        <f aca="false">+($G14+14.73)/($F14+14.73)</f>
        <v>1</v>
      </c>
      <c r="K14" s="20" t="n">
        <f aca="false">53.385*$I14*($H14+460)/$C14*($D14/($D14-1))*(($J14^(($D14-1)/$D14))-1)</f>
        <v>0</v>
      </c>
      <c r="L14" s="15" t="n">
        <v>0</v>
      </c>
      <c r="M14" s="20" t="n">
        <f aca="false">$L14*14.73/520*($H14+460)/($F14+14.73)*$I14*1000000/24/60</f>
        <v>0</v>
      </c>
      <c r="N14" s="21" t="n">
        <f aca="false">L14</f>
        <v>0</v>
      </c>
      <c r="O14" s="20" t="n">
        <f aca="false">$N14*14.73/520*($H14+460)/($F14+14.73)*$I14*1000000/24/60</f>
        <v>0</v>
      </c>
      <c r="P14" s="15" t="n">
        <v>0.83</v>
      </c>
      <c r="Q14" s="22" t="n">
        <f aca="false">+$P14*4.333/($P14*4.333-1)</f>
        <v>1.38515015078628</v>
      </c>
      <c r="R14" s="23" t="n">
        <f aca="false">+($J14^(($Q14-1)/$Q14)*($H14+460))-460</f>
        <v>88</v>
      </c>
      <c r="S14" s="15" t="n">
        <v>0.98</v>
      </c>
      <c r="T14" s="24" t="e">
        <f aca="false">+N14/(33000*P14*S14/K14*1545/16.8*520*1440/14.7/144/1000000)</f>
        <v>#DIV/0!</v>
      </c>
      <c r="U14" s="25"/>
      <c r="V14" s="25" t="n">
        <v>8500</v>
      </c>
      <c r="W14" s="26" t="n">
        <f aca="false">10088*(2*(V14/8799)-(V14/8799)^2)</f>
        <v>10076.3512100329</v>
      </c>
      <c r="X14" s="26" t="e">
        <f aca="false">+W14-T14</f>
        <v>#DIV/0!</v>
      </c>
      <c r="Y14" s="27"/>
      <c r="Z14" s="28" t="s">
        <v>43</v>
      </c>
    </row>
    <row r="15" customFormat="false" ht="15" hidden="false" customHeight="false" outlineLevel="0" collapsed="false">
      <c r="A15" s="15"/>
      <c r="B15" s="15"/>
      <c r="C15" s="16"/>
      <c r="D15" s="16"/>
      <c r="E15" s="17"/>
      <c r="F15" s="16"/>
      <c r="G15" s="16"/>
      <c r="H15" s="16"/>
      <c r="I15" s="18"/>
      <c r="J15" s="19"/>
      <c r="K15" s="20"/>
      <c r="L15" s="15"/>
      <c r="M15" s="20"/>
      <c r="N15" s="21"/>
      <c r="O15" s="20"/>
      <c r="P15" s="15"/>
      <c r="Q15" s="22"/>
      <c r="R15" s="23"/>
      <c r="S15" s="15"/>
      <c r="T15" s="24"/>
      <c r="U15" s="25"/>
      <c r="V15" s="25"/>
      <c r="W15" s="32"/>
      <c r="X15" s="32"/>
      <c r="Z15" s="28"/>
    </row>
    <row r="16" customFormat="false" ht="15" hidden="false" customHeight="false" outlineLevel="0" collapsed="false">
      <c r="A16" s="15" t="s">
        <v>48</v>
      </c>
      <c r="B16" s="15" t="n">
        <v>6600</v>
      </c>
      <c r="C16" s="16" t="n">
        <v>0.595</v>
      </c>
      <c r="D16" s="16" t="n">
        <v>1.29</v>
      </c>
      <c r="E16" s="17" t="n">
        <v>95</v>
      </c>
      <c r="F16" s="16" t="n">
        <v>863</v>
      </c>
      <c r="G16" s="16" t="n">
        <v>970</v>
      </c>
      <c r="H16" s="16" t="n">
        <v>82</v>
      </c>
      <c r="I16" s="18" t="n">
        <f aca="false">1/(10^(1.785*$C16)*$F16*344400/(($H16+460)^3.825)+1)</f>
        <v>0.893204584232789</v>
      </c>
      <c r="J16" s="19" t="n">
        <f aca="false">+($G16+14.73)/($F16+14.73)</f>
        <v>1.12190536953277</v>
      </c>
      <c r="K16" s="20" t="n">
        <f aca="false">53.385*$I16*($H16+460)/$C16*($D16/($D16-1))*(($J16^(($D16-1)/$D16))-1)</f>
        <v>5061.56900365215</v>
      </c>
      <c r="L16" s="15" t="n">
        <v>1590</v>
      </c>
      <c r="M16" s="20" t="n">
        <f aca="false">$L16*14.73/520*($H16+460)/($F16+14.73)*$I16*1000000/24/60</f>
        <v>17251.3593979031</v>
      </c>
      <c r="N16" s="21" t="n">
        <f aca="false">L16</f>
        <v>1590</v>
      </c>
      <c r="O16" s="20" t="n">
        <f aca="false">$N16*14.73/520*($H16+460)/($F16+14.73)*$I16*1000000/24/60</f>
        <v>17251.3593979031</v>
      </c>
      <c r="P16" s="15" t="n">
        <v>0.83</v>
      </c>
      <c r="Q16" s="22" t="n">
        <f aca="false">+$P16*4.333/($P16*4.333-1)</f>
        <v>1.38515015078628</v>
      </c>
      <c r="R16" s="23" t="n">
        <f aca="false">+($J16^(($Q16-1)/$Q16)*($H16+460))-460</f>
        <v>99.6157712375846</v>
      </c>
      <c r="S16" s="15" t="n">
        <v>0.96</v>
      </c>
      <c r="T16" s="24" t="n">
        <f aca="false">+N16/(33000*P16*S16/K16*1545/16.8*520*1440/14.7/144/1000000)</f>
        <v>9408.35746926117</v>
      </c>
      <c r="U16" s="25" t="n">
        <v>5012</v>
      </c>
      <c r="V16" s="25" t="n">
        <v>0</v>
      </c>
      <c r="W16" s="26"/>
      <c r="X16" s="26"/>
      <c r="Y16" s="27"/>
      <c r="Z16" s="28" t="s">
        <v>49</v>
      </c>
    </row>
    <row r="17" customFormat="false" ht="15" hidden="false" customHeight="false" outlineLevel="0" collapsed="false">
      <c r="A17" s="15"/>
      <c r="B17" s="15"/>
      <c r="C17" s="16" t="n">
        <v>0.595</v>
      </c>
      <c r="D17" s="16" t="n">
        <v>1.29</v>
      </c>
      <c r="E17" s="17" t="n">
        <v>95</v>
      </c>
      <c r="F17" s="16" t="n">
        <v>863</v>
      </c>
      <c r="G17" s="16" t="n">
        <v>970</v>
      </c>
      <c r="H17" s="16" t="n">
        <v>0</v>
      </c>
      <c r="I17" s="18" t="n">
        <f aca="false">1/(10^(1.785*$C17)*$F17*344400/(($H17+460)^3.825)+1)</f>
        <v>0.817044337055233</v>
      </c>
      <c r="J17" s="19" t="n">
        <f aca="false">+($G17+14.73)/($F17+14.73)</f>
        <v>1.12190536953277</v>
      </c>
      <c r="K17" s="20" t="n">
        <f aca="false">53.385*$I17*($H17+460)/$C17*($D17/($D17-1))*(($J17^(($D17-1)/$D17))-1)</f>
        <v>3929.50990594172</v>
      </c>
      <c r="L17" s="15" t="n">
        <v>0</v>
      </c>
      <c r="M17" s="20" t="n">
        <f aca="false">$L17*14.73/520*($H17+460)/($F17+14.73)*$I17*1000000/24/60</f>
        <v>0</v>
      </c>
      <c r="N17" s="21" t="n">
        <f aca="false">L17</f>
        <v>0</v>
      </c>
      <c r="O17" s="20" t="n">
        <f aca="false">$N17*14.73/520*($H17+460)/($F17+14.73)*$I17*1000000/24/60</f>
        <v>0</v>
      </c>
      <c r="P17" s="15" t="n">
        <v>0.83</v>
      </c>
      <c r="Q17" s="22" t="n">
        <f aca="false">+$P17*4.333/($P17*4.333-1)</f>
        <v>1.38515015078628</v>
      </c>
      <c r="R17" s="23" t="n">
        <f aca="false">+($J17^(($Q17-1)/$Q17)*($H17+460))-460</f>
        <v>14.9506545558836</v>
      </c>
      <c r="S17" s="15" t="n">
        <v>0.96</v>
      </c>
      <c r="T17" s="24" t="n">
        <f aca="false">+N17/(33000*P17*S17/K17*1545/16.8*520*1440/14.7/144/1000000)</f>
        <v>0</v>
      </c>
      <c r="U17" s="25" t="n">
        <v>5347</v>
      </c>
      <c r="V17" s="25" t="n">
        <v>0</v>
      </c>
      <c r="W17" s="26"/>
      <c r="X17" s="26"/>
      <c r="Y17" s="27"/>
      <c r="Z17" s="28" t="s">
        <v>49</v>
      </c>
    </row>
    <row r="18" customFormat="false" ht="27.75" hidden="false" customHeight="true" outlineLevel="0" collapsed="false">
      <c r="A18" s="15"/>
      <c r="B18" s="15"/>
      <c r="C18" s="16" t="n">
        <v>0.595</v>
      </c>
      <c r="D18" s="16" t="n">
        <v>1.29</v>
      </c>
      <c r="E18" s="17" t="n">
        <v>95</v>
      </c>
      <c r="F18" s="16" t="n">
        <v>863</v>
      </c>
      <c r="G18" s="16" t="n">
        <v>970</v>
      </c>
      <c r="H18" s="16" t="n">
        <v>82</v>
      </c>
      <c r="I18" s="18" t="n">
        <f aca="false">1/(10^(1.785*$C18)*$F18*344400/(($H18+460)^3.825)+1)</f>
        <v>0.893204584232789</v>
      </c>
      <c r="J18" s="19" t="n">
        <f aca="false">+($G18+14.73)/($F18+14.73)</f>
        <v>1.12190536953277</v>
      </c>
      <c r="K18" s="20" t="n">
        <f aca="false">53.385*$I18*($H18+460)/$C18*($D18/($D18-1))*(($J18^(($D18-1)/$D18))-1)</f>
        <v>5061.56900365215</v>
      </c>
      <c r="L18" s="15" t="n">
        <v>1590</v>
      </c>
      <c r="M18" s="20" t="n">
        <f aca="false">$L18*14.73/520*($H18+460)/($F18+14.73)*$I18*1000000/24/60</f>
        <v>17251.3593979031</v>
      </c>
      <c r="N18" s="21" t="n">
        <f aca="false">L18</f>
        <v>1590</v>
      </c>
      <c r="O18" s="20" t="n">
        <f aca="false">$N18*14.73/520*($H18+460)/($F18+14.73)*$I18*1000000/24/60</f>
        <v>17251.3593979031</v>
      </c>
      <c r="P18" s="15" t="n">
        <v>0.83</v>
      </c>
      <c r="Q18" s="22" t="n">
        <f aca="false">+$P18*4.333/($P18*4.333-1)</f>
        <v>1.38515015078628</v>
      </c>
      <c r="R18" s="23" t="n">
        <f aca="false">+($J18^(($Q18-1)/$Q18)*($H18+460))-460</f>
        <v>99.6157712375846</v>
      </c>
      <c r="S18" s="15" t="n">
        <v>0.96</v>
      </c>
      <c r="T18" s="24" t="n">
        <f aca="false">+N18/(33000*P18*S18/K18*1545/16.8*520*1440/14.7/144/1000000)</f>
        <v>9408.35746926117</v>
      </c>
      <c r="U18" s="25" t="n">
        <v>5836</v>
      </c>
      <c r="V18" s="25" t="n">
        <v>0</v>
      </c>
      <c r="W18" s="26"/>
      <c r="X18" s="26"/>
      <c r="Y18" s="27"/>
      <c r="Z18" s="33" t="s">
        <v>50</v>
      </c>
    </row>
    <row r="19" customFormat="false" ht="15" hidden="false" customHeight="false" outlineLevel="0" collapsed="false">
      <c r="A19" s="15"/>
      <c r="B19" s="15"/>
      <c r="C19" s="16"/>
      <c r="D19" s="16"/>
      <c r="E19" s="17"/>
      <c r="F19" s="16"/>
      <c r="G19" s="16"/>
      <c r="H19" s="16"/>
      <c r="I19" s="18"/>
      <c r="J19" s="19"/>
      <c r="K19" s="20"/>
      <c r="L19" s="15"/>
      <c r="M19" s="20"/>
      <c r="N19" s="21"/>
      <c r="O19" s="20"/>
      <c r="P19" s="15"/>
      <c r="Q19" s="22"/>
      <c r="R19" s="23"/>
      <c r="S19" s="15"/>
      <c r="T19" s="24"/>
      <c r="U19" s="25"/>
      <c r="V19" s="25"/>
      <c r="W19" s="32"/>
      <c r="X19" s="32"/>
      <c r="Z19" s="28"/>
    </row>
    <row r="20" customFormat="false" ht="15" hidden="false" customHeight="false" outlineLevel="0" collapsed="false">
      <c r="A20" s="15" t="s">
        <v>51</v>
      </c>
      <c r="B20" s="15" t="n">
        <v>7300</v>
      </c>
      <c r="C20" s="16" t="n">
        <v>0.595</v>
      </c>
      <c r="D20" s="16" t="n">
        <v>1.29</v>
      </c>
      <c r="E20" s="17" t="n">
        <v>95</v>
      </c>
      <c r="F20" s="16" t="n">
        <v>830</v>
      </c>
      <c r="G20" s="16" t="n">
        <v>1000</v>
      </c>
      <c r="H20" s="16" t="n">
        <v>78</v>
      </c>
      <c r="I20" s="18" t="n">
        <f aca="false">1/(10^(1.785*$C20)*$F20*344400/(($H20+460)^3.825)+1)</f>
        <v>0.89421676622361</v>
      </c>
      <c r="J20" s="19" t="n">
        <f aca="false">+($G20+14.73)/($F20+14.73)</f>
        <v>1.20124773596297</v>
      </c>
      <c r="K20" s="20" t="n">
        <f aca="false">53.385*$I20*($H20+460)/$C20*($D20/($D20-1))*(($J20^(($D20-1)/$D20))-1)</f>
        <v>8080.07790604738</v>
      </c>
      <c r="L20" s="15" t="n">
        <v>1762</v>
      </c>
      <c r="M20" s="20" t="n">
        <f aca="false">$L20*14.73/520*($H20+460)/($F20+14.73)*$I20*1000000/24/60</f>
        <v>19740.1287625792</v>
      </c>
      <c r="N20" s="21" t="n">
        <f aca="false">L20</f>
        <v>1762</v>
      </c>
      <c r="O20" s="20" t="n">
        <f aca="false">$N20*14.73/520*($H20+460)/($F20+14.73)*$I20*1000000/24/60</f>
        <v>19740.1287625792</v>
      </c>
      <c r="P20" s="15" t="n">
        <v>0.83</v>
      </c>
      <c r="Q20" s="22" t="n">
        <f aca="false">+$P20*4.333/($P20*4.333-1)</f>
        <v>1.38515015078628</v>
      </c>
      <c r="R20" s="23" t="n">
        <f aca="false">+($J20^(($Q20-1)/$Q20)*($H20+460))-460</f>
        <v>106.141043752508</v>
      </c>
      <c r="S20" s="15" t="n">
        <v>0.98</v>
      </c>
      <c r="T20" s="24" t="n">
        <f aca="false">+N20/(33000*P20*S20/K20*1545/16.8*520*1440/14.7/144/1000000)</f>
        <v>16304.1489158243</v>
      </c>
      <c r="U20" s="25" t="n">
        <v>5239</v>
      </c>
      <c r="V20" s="25" t="n">
        <v>6100</v>
      </c>
      <c r="W20" s="26" t="n">
        <f aca="false">29980/0.7457*0.95*0.994*0.985*0.997*0.754*(2*(V20/6100)-(V20/6100)^2)</f>
        <v>28111.2533873676</v>
      </c>
      <c r="X20" s="26" t="n">
        <f aca="false">+W20-T20</f>
        <v>11807.1044715433</v>
      </c>
      <c r="Y20" s="27"/>
      <c r="Z20" s="28" t="s">
        <v>52</v>
      </c>
    </row>
    <row r="21" customFormat="false" ht="15" hidden="false" customHeight="false" outlineLevel="0" collapsed="false">
      <c r="A21" s="15"/>
      <c r="B21" s="15"/>
      <c r="C21" s="16"/>
      <c r="D21" s="16"/>
      <c r="E21" s="17"/>
      <c r="F21" s="16"/>
      <c r="G21" s="16"/>
      <c r="H21" s="16"/>
      <c r="I21" s="18"/>
      <c r="J21" s="19"/>
      <c r="K21" s="20"/>
      <c r="L21" s="15"/>
      <c r="M21" s="20"/>
      <c r="N21" s="21"/>
      <c r="O21" s="20"/>
      <c r="P21" s="15"/>
      <c r="Q21" s="22"/>
      <c r="R21" s="23"/>
      <c r="S21" s="15"/>
      <c r="T21" s="24"/>
      <c r="U21" s="25"/>
      <c r="V21" s="25"/>
      <c r="W21" s="32"/>
      <c r="X21" s="32"/>
      <c r="Z21" s="28"/>
    </row>
    <row r="22" customFormat="false" ht="15" hidden="false" customHeight="false" outlineLevel="0" collapsed="false">
      <c r="A22" s="15" t="s">
        <v>53</v>
      </c>
      <c r="B22" s="15" t="n">
        <v>7450</v>
      </c>
      <c r="C22" s="16" t="n">
        <v>0.595</v>
      </c>
      <c r="D22" s="16" t="n">
        <v>1.29</v>
      </c>
      <c r="E22" s="17" t="n">
        <v>95</v>
      </c>
      <c r="F22" s="16" t="n">
        <v>820</v>
      </c>
      <c r="G22" s="16" t="n">
        <v>1004</v>
      </c>
      <c r="H22" s="16" t="n">
        <v>82</v>
      </c>
      <c r="I22" s="18" t="n">
        <f aca="false">1/(10^(1.785*$C22)*$F22*344400/(($H22+460)^3.825)+1)</f>
        <v>0.897982938618781</v>
      </c>
      <c r="J22" s="19" t="n">
        <f aca="false">+($G22+14.73)/($F22+14.73)</f>
        <v>1.22043055838415</v>
      </c>
      <c r="K22" s="20" t="n">
        <f aca="false">53.385*$I22*($H22+460)/$C22*($D22/($D22-1))*(($J22^(($D22-1)/$D22))-1)</f>
        <v>8896.67466582116</v>
      </c>
      <c r="L22" s="15" t="n">
        <v>1747</v>
      </c>
      <c r="M22" s="20" t="n">
        <f aca="false">$L22*14.73/520*($H22+460)/($F22+14.73)*$I22*1000000/24/60</f>
        <v>20037.852052156</v>
      </c>
      <c r="N22" s="21" t="n">
        <f aca="false">L22</f>
        <v>1747</v>
      </c>
      <c r="O22" s="20" t="n">
        <f aca="false">$N22*14.73/520*($H22+460)/($F22+14.73)*$I22*1000000/24/60</f>
        <v>20037.852052156</v>
      </c>
      <c r="P22" s="15" t="n">
        <v>0.83</v>
      </c>
      <c r="Q22" s="22" t="n">
        <f aca="false">+$P22*4.333/($P22*4.333-1)</f>
        <v>1.38515015078628</v>
      </c>
      <c r="R22" s="23" t="n">
        <f aca="false">+($J22^(($Q22-1)/$Q22)*($H22+460))-460</f>
        <v>112.868335873027</v>
      </c>
      <c r="S22" s="15" t="n">
        <v>0.98</v>
      </c>
      <c r="T22" s="24" t="n">
        <f aca="false">+N22/(33000*P22*S22/K22*1545/16.8*520*1440/14.7/144/1000000)</f>
        <v>17799.0693694722</v>
      </c>
      <c r="U22" s="25" t="n">
        <v>10742</v>
      </c>
      <c r="V22" s="25" t="n">
        <v>6100</v>
      </c>
      <c r="W22" s="26" t="n">
        <f aca="false">29980/0.7457*0.95*0.994*0.985*0.997*0.754*(2*(V22/6100)-(V22/6100)^2)</f>
        <v>28111.2533873676</v>
      </c>
      <c r="X22" s="26" t="n">
        <f aca="false">+W22-T22</f>
        <v>10312.1840178954</v>
      </c>
      <c r="Y22" s="27"/>
      <c r="Z22" s="28" t="s">
        <v>54</v>
      </c>
    </row>
    <row r="23" customFormat="false" ht="15" hidden="false" customHeight="false" outlineLevel="0" collapsed="false">
      <c r="A23" s="15"/>
      <c r="B23" s="15"/>
      <c r="C23" s="16"/>
      <c r="D23" s="16"/>
      <c r="E23" s="17"/>
      <c r="F23" s="16"/>
      <c r="G23" s="16"/>
      <c r="H23" s="16"/>
      <c r="I23" s="18"/>
      <c r="J23" s="19"/>
      <c r="K23" s="20"/>
      <c r="L23" s="15"/>
      <c r="M23" s="20"/>
      <c r="N23" s="21"/>
      <c r="O23" s="20"/>
      <c r="P23" s="15"/>
      <c r="Q23" s="22"/>
      <c r="R23" s="23"/>
      <c r="S23" s="15"/>
      <c r="T23" s="24"/>
      <c r="U23" s="25"/>
      <c r="V23" s="25"/>
      <c r="W23" s="26"/>
      <c r="X23" s="26"/>
      <c r="Y23" s="27"/>
      <c r="Z23" s="28"/>
    </row>
    <row r="24" customFormat="false" ht="15" hidden="false" customHeight="false" outlineLevel="0" collapsed="false">
      <c r="A24" s="15" t="s">
        <v>55</v>
      </c>
      <c r="B24" s="15" t="n">
        <v>5049</v>
      </c>
      <c r="C24" s="16" t="n">
        <v>0.595</v>
      </c>
      <c r="D24" s="16" t="n">
        <v>1.29</v>
      </c>
      <c r="E24" s="17" t="n">
        <v>95</v>
      </c>
      <c r="F24" s="16" t="n">
        <v>672</v>
      </c>
      <c r="G24" s="16" t="n">
        <v>1005</v>
      </c>
      <c r="H24" s="16" t="n">
        <v>85</v>
      </c>
      <c r="I24" s="18" t="n">
        <f aca="false">1/(10^(1.785*$C24)*$F24*344400/(($H24+460)^3.825)+1)</f>
        <v>0.916458265640172</v>
      </c>
      <c r="J24" s="19" t="n">
        <f aca="false">+($G24+14.73)/($F24+14.73)</f>
        <v>1.48490673190337</v>
      </c>
      <c r="K24" s="20" t="n">
        <f aca="false">53.385*$I24*($H24+460)/$C24*($D24/($D24-1))*(($J24^(($D24-1)/$D24))-1)</f>
        <v>18528.3961538789</v>
      </c>
      <c r="L24" s="15" t="n">
        <v>1243</v>
      </c>
      <c r="M24" s="20" t="n">
        <f aca="false">$L24*14.73/520*($H24+460)/($F24+14.73)*$I24*1000000/24/60</f>
        <v>17784.0722661432</v>
      </c>
      <c r="N24" s="21" t="n">
        <f aca="false">L24</f>
        <v>1243</v>
      </c>
      <c r="O24" s="20" t="n">
        <f aca="false">$N24*14.73/520*($H24+460)/($F24+14.73)*$I24*1000000/24/60</f>
        <v>17784.0722661432</v>
      </c>
      <c r="P24" s="15" t="n">
        <v>0.83</v>
      </c>
      <c r="Q24" s="22" t="n">
        <f aca="false">+$P24*4.333/($P24*4.333-1)</f>
        <v>1.38515015078628</v>
      </c>
      <c r="R24" s="23" t="n">
        <f aca="false">+($J24^(($Q24-1)/$Q24)*($H24+460))-460</f>
        <v>148.329101026067</v>
      </c>
      <c r="S24" s="15" t="n">
        <v>0.98</v>
      </c>
      <c r="T24" s="24" t="n">
        <f aca="false">+N24/(33000*P24*S24/K24*1545/16.8*520*1440/14.7/144/1000000)</f>
        <v>26374.5851655492</v>
      </c>
      <c r="U24" s="25" t="n">
        <v>11586</v>
      </c>
      <c r="V24" s="25" t="n">
        <v>6100</v>
      </c>
      <c r="W24" s="26" t="n">
        <f aca="false">29980/0.7457*0.95*0.994*0.985*0.997*0.825*(2*(V24/6100)-(V24/6100)^2)</f>
        <v>30758.334276629</v>
      </c>
      <c r="X24" s="26" t="n">
        <f aca="false">+W24-T24</f>
        <v>4383.74911107977</v>
      </c>
      <c r="Y24" s="27"/>
      <c r="Z24" s="28" t="s">
        <v>54</v>
      </c>
    </row>
    <row r="25" customFormat="false" ht="15" hidden="false" customHeight="false" outlineLevel="0" collapsed="false">
      <c r="A25" s="15"/>
      <c r="B25" s="15"/>
      <c r="C25" s="16"/>
      <c r="D25" s="16"/>
      <c r="E25" s="17"/>
      <c r="F25" s="16"/>
      <c r="G25" s="16"/>
      <c r="H25" s="16"/>
      <c r="I25" s="18"/>
      <c r="J25" s="19"/>
      <c r="K25" s="20"/>
      <c r="L25" s="15"/>
      <c r="M25" s="20"/>
      <c r="N25" s="21"/>
      <c r="O25" s="20"/>
      <c r="P25" s="15"/>
      <c r="Q25" s="22"/>
      <c r="R25" s="23"/>
      <c r="S25" s="15"/>
      <c r="T25" s="24"/>
      <c r="U25" s="25"/>
      <c r="V25" s="25"/>
      <c r="W25" s="32"/>
      <c r="X25" s="32"/>
      <c r="Y25" s="27"/>
      <c r="Z25" s="28"/>
    </row>
    <row r="26" customFormat="false" ht="15" hidden="false" customHeight="false" outlineLevel="0" collapsed="false">
      <c r="A26" s="15" t="s">
        <v>56</v>
      </c>
      <c r="B26" s="15" t="n">
        <v>4768</v>
      </c>
      <c r="C26" s="16" t="n">
        <v>0.595</v>
      </c>
      <c r="D26" s="16" t="n">
        <v>1.29</v>
      </c>
      <c r="E26" s="17" t="n">
        <v>95</v>
      </c>
      <c r="F26" s="16" t="n">
        <v>775</v>
      </c>
      <c r="G26" s="16" t="n">
        <v>1004</v>
      </c>
      <c r="H26" s="16" t="n">
        <v>85</v>
      </c>
      <c r="I26" s="18" t="n">
        <f aca="false">1/(10^(1.785*$C26)*$F26*344400/(($H26+460)^3.825)+1)</f>
        <v>0.90487160205404</v>
      </c>
      <c r="J26" s="19" t="n">
        <f aca="false">+($G26+14.73)/($F26+14.73)</f>
        <v>1.28997252225444</v>
      </c>
      <c r="K26" s="20" t="n">
        <f aca="false">53.385*$I26*($H26+460)/$C26*($D26/($D26-1))*(($J26^(($D26-1)/$D26))-1)</f>
        <v>11594.945073299</v>
      </c>
      <c r="L26" s="15" t="n">
        <v>1758</v>
      </c>
      <c r="M26" s="20" t="n">
        <f aca="false">$L26*14.73/520*($H26+460)/($F26+14.73)*$I26*1000000/24/60</f>
        <v>21595.3678822538</v>
      </c>
      <c r="N26" s="21" t="n">
        <f aca="false">L26</f>
        <v>1758</v>
      </c>
      <c r="O26" s="20" t="n">
        <f aca="false">$N26*14.73/520*($H26+460)/($F26+14.73)*$I26*1000000/24/60</f>
        <v>21595.3678822538</v>
      </c>
      <c r="P26" s="15" t="n">
        <v>0.83</v>
      </c>
      <c r="Q26" s="22" t="n">
        <f aca="false">+$P26*4.333/($P26*4.333-1)</f>
        <v>1.38515015078628</v>
      </c>
      <c r="R26" s="23" t="n">
        <f aca="false">+($J26^(($Q26-1)/$Q26)*($H26+460))-460</f>
        <v>124.984191045906</v>
      </c>
      <c r="S26" s="15" t="n">
        <v>0.98</v>
      </c>
      <c r="T26" s="24" t="n">
        <f aca="false">+N26/(33000*P26*S26/K26*1545/16.8*520*1440/14.7/144/1000000)</f>
        <v>23343.4072887954</v>
      </c>
      <c r="U26" s="25"/>
      <c r="V26" s="25" t="n">
        <v>6100</v>
      </c>
      <c r="W26" s="26" t="n">
        <f aca="false">29980/0.7457*0.95*0.994*0.985*0.997*0.835*(2*(V26/6100)-(V26/6100)^2)</f>
        <v>31131.1625708912</v>
      </c>
      <c r="X26" s="26" t="n">
        <f aca="false">+W26-T26</f>
        <v>7787.75528209575</v>
      </c>
      <c r="Y26" s="27"/>
      <c r="Z26" s="28" t="s">
        <v>54</v>
      </c>
    </row>
    <row r="27" customFormat="false" ht="15" hidden="false" customHeight="false" outlineLevel="0" collapsed="false">
      <c r="A27" s="15"/>
      <c r="B27" s="15"/>
      <c r="C27" s="16"/>
      <c r="D27" s="16"/>
      <c r="E27" s="17"/>
      <c r="F27" s="16"/>
      <c r="G27" s="16"/>
      <c r="H27" s="16"/>
      <c r="I27" s="18"/>
      <c r="J27" s="19"/>
      <c r="K27" s="20"/>
      <c r="L27" s="15"/>
      <c r="M27" s="20"/>
      <c r="N27" s="21"/>
      <c r="O27" s="20"/>
      <c r="P27" s="15"/>
      <c r="Q27" s="22"/>
      <c r="R27" s="23"/>
      <c r="S27" s="15"/>
      <c r="T27" s="24"/>
      <c r="U27" s="25"/>
      <c r="V27" s="25"/>
      <c r="W27" s="32"/>
      <c r="X27" s="32"/>
      <c r="Z27" s="28"/>
    </row>
    <row r="28" customFormat="false" ht="15" hidden="false" customHeight="false" outlineLevel="0" collapsed="false">
      <c r="A28" s="15" t="s">
        <v>57</v>
      </c>
      <c r="B28" s="15" t="n">
        <v>5120</v>
      </c>
      <c r="C28" s="16" t="n">
        <v>0.595</v>
      </c>
      <c r="D28" s="16" t="n">
        <v>1.29</v>
      </c>
      <c r="E28" s="17" t="n">
        <v>95</v>
      </c>
      <c r="F28" s="16" t="n">
        <v>901</v>
      </c>
      <c r="G28" s="16" t="n">
        <v>901</v>
      </c>
      <c r="H28" s="16" t="n">
        <v>75</v>
      </c>
      <c r="I28" s="18" t="n">
        <f aca="false">1/(10^(1.785*$C28)*$F28*344400/(($H28+460)^3.825)+1)</f>
        <v>0.884022666817479</v>
      </c>
      <c r="J28" s="19" t="n">
        <f aca="false">+($G28+14.73)/($F28+14.73)</f>
        <v>1</v>
      </c>
      <c r="K28" s="20" t="n">
        <f aca="false">53.385*$I28*($H28+460)/$C28*($D28/($D28-1))*(($J28^(($D28-1)/$D28))-1)</f>
        <v>0</v>
      </c>
      <c r="L28" s="15" t="n">
        <v>0</v>
      </c>
      <c r="M28" s="20" t="n">
        <f aca="false">$L28*14.73/520*($H28+460)/($F28+14.73)*$I28*1000000/24/60</f>
        <v>0</v>
      </c>
      <c r="N28" s="21" t="n">
        <f aca="false">L28</f>
        <v>0</v>
      </c>
      <c r="O28" s="20" t="n">
        <f aca="false">$N28*14.73/520*($H28+460)/($F28+14.73)*$I28*1000000/24/60</f>
        <v>0</v>
      </c>
      <c r="P28" s="15" t="n">
        <v>0.83</v>
      </c>
      <c r="Q28" s="22" t="n">
        <f aca="false">+$P28*4.333/($P28*4.333-1)</f>
        <v>1.38515015078628</v>
      </c>
      <c r="R28" s="23" t="n">
        <f aca="false">+($J28^(($Q28-1)/$Q28)*($H28+460))-460</f>
        <v>75</v>
      </c>
      <c r="S28" s="15" t="n">
        <v>0.98</v>
      </c>
      <c r="T28" s="24" t="e">
        <f aca="false">+N28/(33000*P28*S28/K28*1545/16.8*520*1440/14.7/144/1000000)</f>
        <v>#DIV/0!</v>
      </c>
      <c r="U28" s="25" t="n">
        <v>5365</v>
      </c>
      <c r="V28" s="25" t="n">
        <v>6100</v>
      </c>
      <c r="W28" s="26" t="n">
        <f aca="false">29980/0.7457*0.95*0.994*0.985*0.997*0.825*(2*(V28/6100)-(V28/6100)^2)</f>
        <v>30758.334276629</v>
      </c>
      <c r="X28" s="26" t="e">
        <f aca="false">+W28-T28</f>
        <v>#DIV/0!</v>
      </c>
      <c r="Y28" s="27"/>
      <c r="Z28" s="28" t="s">
        <v>54</v>
      </c>
    </row>
    <row r="29" customFormat="false" ht="15" hidden="false" customHeight="false" outlineLevel="0" collapsed="false">
      <c r="A29" s="15"/>
      <c r="B29" s="15"/>
      <c r="C29" s="16" t="n">
        <v>0.595</v>
      </c>
      <c r="D29" s="16" t="n">
        <v>1.29</v>
      </c>
      <c r="E29" s="17" t="n">
        <v>95</v>
      </c>
      <c r="F29" s="16" t="n">
        <v>901</v>
      </c>
      <c r="G29" s="16" t="n">
        <v>901</v>
      </c>
      <c r="H29" s="16" t="n">
        <v>92</v>
      </c>
      <c r="I29" s="18" t="n">
        <f aca="false">1/(10^(1.785*$C29)*$F29*344400/(($H29+460)^3.825)+1)</f>
        <v>0.895737804596197</v>
      </c>
      <c r="J29" s="19" t="n">
        <f aca="false">+($G29+14.73)/($F29+14.73)</f>
        <v>1</v>
      </c>
      <c r="K29" s="20" t="n">
        <f aca="false">53.385*$I29*($H29+460)/$C29*($D29/($D29-1))*(($J29^(($D29-1)/$D29))-1)</f>
        <v>0</v>
      </c>
      <c r="L29" s="15" t="n">
        <v>0</v>
      </c>
      <c r="M29" s="20" t="n">
        <f aca="false">$L29*14.73/520*($H29+460)/($F29+14.73)*$I29*1000000/24/60</f>
        <v>0</v>
      </c>
      <c r="N29" s="21" t="n">
        <f aca="false">L29</f>
        <v>0</v>
      </c>
      <c r="O29" s="20" t="n">
        <f aca="false">$N29*14.73/520*($H29+460)/($F29+14.73)*$I29*1000000/24/60</f>
        <v>0</v>
      </c>
      <c r="P29" s="15" t="n">
        <v>0.83</v>
      </c>
      <c r="Q29" s="22" t="n">
        <f aca="false">+$P29*4.333/($P29*4.333-1)</f>
        <v>1.38515015078628</v>
      </c>
      <c r="R29" s="23" t="n">
        <f aca="false">+($J29^(($Q29-1)/$Q29)*($H29+460))-460</f>
        <v>92</v>
      </c>
      <c r="S29" s="15" t="n">
        <v>0.98</v>
      </c>
      <c r="T29" s="24" t="e">
        <f aca="false">+N29/(33000*P29*S29/K29*1545/16.8*520*1440/14.7/144/1000000)</f>
        <v>#DIV/0!</v>
      </c>
      <c r="U29" s="25" t="n">
        <v>5369</v>
      </c>
      <c r="V29" s="25" t="n">
        <v>6100</v>
      </c>
      <c r="W29" s="26" t="n">
        <f aca="false">29980/0.7457*0.95*0.994*0.985*0.997*0.825*(2*(V29/6100)-(V29/6100)^2)</f>
        <v>30758.334276629</v>
      </c>
      <c r="X29" s="26" t="e">
        <f aca="false">+W29-T29</f>
        <v>#DIV/0!</v>
      </c>
      <c r="Y29" s="27"/>
      <c r="Z29" s="28" t="s">
        <v>54</v>
      </c>
    </row>
    <row r="30" customFormat="false" ht="15" hidden="false" customHeight="false" outlineLevel="0" collapsed="false">
      <c r="A30" s="15"/>
      <c r="B30" s="15"/>
      <c r="C30" s="16" t="n">
        <v>0.595</v>
      </c>
      <c r="D30" s="16" t="n">
        <v>1.29</v>
      </c>
      <c r="E30" s="17" t="n">
        <v>95</v>
      </c>
      <c r="F30" s="16" t="n">
        <v>901</v>
      </c>
      <c r="G30" s="16" t="n">
        <v>901</v>
      </c>
      <c r="H30" s="16" t="n">
        <v>95</v>
      </c>
      <c r="I30" s="18" t="n">
        <f aca="false">1/(10^(1.785*$C30)*$F30*344400/(($H30+460)^3.825)+1)</f>
        <v>0.897658152477503</v>
      </c>
      <c r="J30" s="19" t="n">
        <f aca="false">+($G30+14.73)/($F30+14.73)</f>
        <v>1</v>
      </c>
      <c r="K30" s="20" t="n">
        <f aca="false">53.385*$I30*($H30+460)/$C30*($D30/($D30-1))*(($J30^(($D30-1)/$D30))-1)</f>
        <v>0</v>
      </c>
      <c r="L30" s="15" t="n">
        <v>0</v>
      </c>
      <c r="M30" s="20" t="n">
        <f aca="false">$L30*14.73/520*($H30+460)/($F30+14.73)*$I30*1000000/24/60</f>
        <v>0</v>
      </c>
      <c r="N30" s="21" t="n">
        <f aca="false">L30</f>
        <v>0</v>
      </c>
      <c r="O30" s="20" t="n">
        <f aca="false">$N30*14.73/520*($H30+460)/($F30+14.73)*$I30*1000000/24/60</f>
        <v>0</v>
      </c>
      <c r="P30" s="15" t="n">
        <v>0.83</v>
      </c>
      <c r="Q30" s="22" t="n">
        <f aca="false">+$P30*4.333/($P30*4.333-1)</f>
        <v>1.38515015078628</v>
      </c>
      <c r="R30" s="23" t="n">
        <f aca="false">+($J30^(($Q30-1)/$Q30)*($H30+460))-460</f>
        <v>95</v>
      </c>
      <c r="S30" s="15" t="n">
        <v>0.98</v>
      </c>
      <c r="T30" s="24" t="e">
        <f aca="false">+N30/(33000*P30*S30/K30*1545/16.8*520*1440/14.7/144/1000000)</f>
        <v>#DIV/0!</v>
      </c>
      <c r="U30" s="25" t="n">
        <v>5386</v>
      </c>
      <c r="V30" s="25" t="n">
        <v>6100</v>
      </c>
      <c r="W30" s="26" t="n">
        <f aca="false">29980/0.7457*0.95*0.994*0.985*0.997*0.825*(2*(V30/6100)-(V30/6100)^2)</f>
        <v>30758.334276629</v>
      </c>
      <c r="X30" s="26" t="e">
        <f aca="false">+W30-T30</f>
        <v>#DIV/0!</v>
      </c>
      <c r="Y30" s="27"/>
      <c r="Z30" s="28" t="s">
        <v>54</v>
      </c>
    </row>
    <row r="31" customFormat="false" ht="15" hidden="false" customHeight="false" outlineLevel="0" collapsed="false">
      <c r="A31" s="15"/>
      <c r="B31" s="15"/>
      <c r="C31" s="16"/>
      <c r="D31" s="16"/>
      <c r="E31" s="17"/>
      <c r="F31" s="16"/>
      <c r="G31" s="16"/>
      <c r="H31" s="16"/>
      <c r="I31" s="18"/>
      <c r="J31" s="19"/>
      <c r="K31" s="20"/>
      <c r="L31" s="15"/>
      <c r="M31" s="20"/>
      <c r="N31" s="21"/>
      <c r="O31" s="20"/>
      <c r="P31" s="15"/>
      <c r="Q31" s="22"/>
      <c r="R31" s="23"/>
      <c r="S31" s="15"/>
      <c r="T31" s="24"/>
      <c r="U31" s="25"/>
      <c r="V31" s="25"/>
      <c r="W31" s="32"/>
      <c r="X31" s="32"/>
      <c r="Z31" s="28"/>
    </row>
    <row r="32" customFormat="false" ht="15" hidden="false" customHeight="false" outlineLevel="0" collapsed="false">
      <c r="A32" s="15" t="s">
        <v>58</v>
      </c>
      <c r="B32" s="15" t="n">
        <v>2610</v>
      </c>
      <c r="C32" s="16" t="n">
        <v>0.595</v>
      </c>
      <c r="D32" s="16" t="n">
        <v>1.29</v>
      </c>
      <c r="E32" s="17" t="n">
        <v>95</v>
      </c>
      <c r="F32" s="16" t="n">
        <v>895</v>
      </c>
      <c r="G32" s="16" t="n">
        <v>895</v>
      </c>
      <c r="H32" s="16" t="n">
        <v>85</v>
      </c>
      <c r="I32" s="18" t="n">
        <f aca="false">1/(10^(1.785*$C32)*$F32*344400/(($H32+460)^3.825)+1)</f>
        <v>0.891736714054413</v>
      </c>
      <c r="J32" s="19" t="n">
        <f aca="false">+($G32+14.73)/($F32+14.73)</f>
        <v>1</v>
      </c>
      <c r="K32" s="20" t="n">
        <f aca="false">53.385*$I32*($H32+460)/$C32*($D32/($D32-1))*(($J32^(($D32-1)/$D32))-1)</f>
        <v>0</v>
      </c>
      <c r="L32" s="15" t="n">
        <v>0</v>
      </c>
      <c r="M32" s="20" t="n">
        <f aca="false">$L32*14.73/520*($H32+460)/($F32+14.73)*$I32*1000000/24/60</f>
        <v>0</v>
      </c>
      <c r="N32" s="21" t="n">
        <f aca="false">L32</f>
        <v>0</v>
      </c>
      <c r="O32" s="20" t="n">
        <f aca="false">$N32*14.73/520*($H32+460)/($F32+14.73)*$I32*1000000/24/60</f>
        <v>0</v>
      </c>
      <c r="P32" s="15" t="n">
        <v>0.83</v>
      </c>
      <c r="Q32" s="22" t="n">
        <f aca="false">+$P32*4.333/($P32*4.333-1)</f>
        <v>1.38515015078628</v>
      </c>
      <c r="R32" s="23" t="n">
        <f aca="false">+($J32^(($Q32-1)/$Q32)*($H32+460))-460</f>
        <v>85</v>
      </c>
      <c r="S32" s="15" t="n">
        <v>0.98</v>
      </c>
      <c r="T32" s="24" t="e">
        <f aca="false">+N32/(33000*P32*S32/K32*1545/16.8*520*1440/14.7/144/1000000)</f>
        <v>#DIV/0!</v>
      </c>
      <c r="U32" s="25" t="n">
        <v>5235</v>
      </c>
      <c r="V32" s="25" t="n">
        <v>6100</v>
      </c>
      <c r="W32" s="26" t="n">
        <f aca="false">29980/0.7457*0.95*0.994*0.985*0.997*0.91*(2*(V32/6100)-(V32/6100)^2)</f>
        <v>33927.3747778575</v>
      </c>
      <c r="X32" s="26" t="e">
        <f aca="false">+W32-T32</f>
        <v>#DIV/0!</v>
      </c>
      <c r="Y32" s="27"/>
      <c r="Z32" s="28" t="s">
        <v>54</v>
      </c>
    </row>
    <row r="33" customFormat="false" ht="15" hidden="false" customHeight="false" outlineLevel="0" collapsed="false">
      <c r="A33" s="15"/>
      <c r="B33" s="15"/>
      <c r="C33" s="16" t="n">
        <v>0.595</v>
      </c>
      <c r="D33" s="16" t="n">
        <v>1.29</v>
      </c>
      <c r="E33" s="17" t="n">
        <v>95</v>
      </c>
      <c r="F33" s="16" t="n">
        <v>895</v>
      </c>
      <c r="G33" s="16" t="n">
        <v>895</v>
      </c>
      <c r="H33" s="16" t="n">
        <v>92</v>
      </c>
      <c r="I33" s="18" t="n">
        <f aca="false">1/(10^(1.785*$C33)*$F33*344400/(($H33+460)^3.825)+1)</f>
        <v>0.896360156279435</v>
      </c>
      <c r="J33" s="19" t="n">
        <f aca="false">+($G33+14.73)/($F33+14.73)</f>
        <v>1</v>
      </c>
      <c r="K33" s="20" t="n">
        <f aca="false">53.385*$I33*($H33+460)/$C33*($D33/($D33-1))*(($J33^(($D33-1)/$D33))-1)</f>
        <v>0</v>
      </c>
      <c r="L33" s="15" t="n">
        <v>0</v>
      </c>
      <c r="M33" s="20" t="n">
        <f aca="false">$L33*14.73/520*($H33+460)/($F33+14.73)*$I33*1000000/24/60</f>
        <v>0</v>
      </c>
      <c r="N33" s="21" t="n">
        <f aca="false">L33</f>
        <v>0</v>
      </c>
      <c r="O33" s="20" t="n">
        <f aca="false">$N33*14.73/520*($H33+460)/($F33+14.73)*$I33*1000000/24/60</f>
        <v>0</v>
      </c>
      <c r="P33" s="15" t="n">
        <v>0.83</v>
      </c>
      <c r="Q33" s="22" t="n">
        <f aca="false">+$P33*4.333/($P33*4.333-1)</f>
        <v>1.38515015078628</v>
      </c>
      <c r="R33" s="23" t="n">
        <f aca="false">+($J33^(($Q33-1)/$Q33)*($H33+460))-460</f>
        <v>92</v>
      </c>
      <c r="S33" s="15" t="n">
        <v>0.98</v>
      </c>
      <c r="T33" s="24" t="e">
        <f aca="false">+N33/(33000*P33*S33/K33*1545/16.8*520*1440/14.7/144/1000000)</f>
        <v>#DIV/0!</v>
      </c>
      <c r="U33" s="25" t="n">
        <v>5326</v>
      </c>
      <c r="V33" s="25" t="n">
        <v>6100</v>
      </c>
      <c r="W33" s="26" t="n">
        <f aca="false">29980/0.7457*0.95*0.994*0.985*0.997*0.91*(2*(V33/6100)-(V33/6100)^2)</f>
        <v>33927.3747778575</v>
      </c>
      <c r="X33" s="26" t="e">
        <f aca="false">+W33-T33</f>
        <v>#DIV/0!</v>
      </c>
      <c r="Y33" s="27"/>
      <c r="Z33" s="28" t="s">
        <v>54</v>
      </c>
    </row>
    <row r="34" customFormat="false" ht="15" hidden="false" customHeight="false" outlineLevel="0" collapsed="false">
      <c r="A34" s="15"/>
      <c r="B34" s="15"/>
      <c r="C34" s="16" t="n">
        <v>0.595</v>
      </c>
      <c r="D34" s="16" t="n">
        <v>1.29</v>
      </c>
      <c r="E34" s="17" t="n">
        <v>95</v>
      </c>
      <c r="F34" s="16" t="n">
        <v>895</v>
      </c>
      <c r="G34" s="16" t="n">
        <v>895</v>
      </c>
      <c r="H34" s="16" t="n">
        <v>98</v>
      </c>
      <c r="I34" s="18" t="n">
        <f aca="false">1/(10^(1.785*$C34)*$F34*344400/(($H34+460)^3.825)+1)</f>
        <v>0.900139199719642</v>
      </c>
      <c r="J34" s="19" t="n">
        <f aca="false">+($G34+14.73)/($F34+14.73)</f>
        <v>1</v>
      </c>
      <c r="K34" s="20" t="n">
        <f aca="false">53.385*$I34*($H34+460)/$C34*($D34/($D34-1))*(($J34^(($D34-1)/$D34))-1)</f>
        <v>0</v>
      </c>
      <c r="L34" s="15" t="n">
        <v>0</v>
      </c>
      <c r="M34" s="20" t="n">
        <f aca="false">$L34*14.73/520*($H34+460)/($F34+14.73)*$I34*1000000/24/60</f>
        <v>0</v>
      </c>
      <c r="N34" s="21" t="n">
        <f aca="false">L34</f>
        <v>0</v>
      </c>
      <c r="O34" s="20" t="n">
        <f aca="false">$N34*14.73/520*($H34+460)/($F34+14.73)*$I34*1000000/24/60</f>
        <v>0</v>
      </c>
      <c r="P34" s="15" t="n">
        <v>0.83</v>
      </c>
      <c r="Q34" s="22" t="n">
        <f aca="false">+$P34*4.333/($P34*4.333-1)</f>
        <v>1.38515015078628</v>
      </c>
      <c r="R34" s="23" t="n">
        <f aca="false">+($J34^(($Q34-1)/$Q34)*($H34+460))-460</f>
        <v>98</v>
      </c>
      <c r="S34" s="15" t="n">
        <v>0.98</v>
      </c>
      <c r="T34" s="24" t="e">
        <f aca="false">+N34/(33000*P34*S34/K34*1545/16.8*520*1440/14.7/144/1000000)</f>
        <v>#DIV/0!</v>
      </c>
      <c r="U34" s="25" t="n">
        <v>5316</v>
      </c>
      <c r="V34" s="25" t="n">
        <v>6100</v>
      </c>
      <c r="W34" s="26" t="n">
        <f aca="false">29980/0.7457*0.95*0.994*0.985*0.997*0.91*(2*(V34/6100)-(V34/6100)^2)</f>
        <v>33927.3747778575</v>
      </c>
      <c r="X34" s="26" t="e">
        <f aca="false">+W34-T34</f>
        <v>#DIV/0!</v>
      </c>
      <c r="Y34" s="27"/>
      <c r="Z34" s="28" t="s">
        <v>54</v>
      </c>
    </row>
    <row r="35" customFormat="false" ht="12.75" hidden="false" customHeight="false" outlineLevel="0" collapsed="false">
      <c r="W35" s="29"/>
      <c r="X35" s="29"/>
      <c r="Z35" s="28"/>
    </row>
    <row r="36" customFormat="false" ht="12.75" hidden="false" customHeight="false" outlineLevel="0" collapsed="false">
      <c r="W36" s="29"/>
      <c r="X36" s="29"/>
      <c r="Z36" s="28"/>
    </row>
    <row r="37" customFormat="false" ht="12.75" hidden="false" customHeight="false" outlineLevel="0" collapsed="false">
      <c r="C37" s="0" t="s">
        <v>59</v>
      </c>
      <c r="W37" s="29"/>
      <c r="X37" s="29"/>
      <c r="Z37" s="28"/>
    </row>
    <row r="38" customFormat="false" ht="12.75" hidden="false" customHeight="false" outlineLevel="0" collapsed="false">
      <c r="W38" s="29"/>
      <c r="X38" s="29"/>
      <c r="Z38" s="28"/>
    </row>
    <row r="39" customFormat="false" ht="12.75" hidden="false" customHeight="false" outlineLevel="0" collapsed="false">
      <c r="W39" s="29"/>
      <c r="X39" s="29"/>
      <c r="Z39" s="28"/>
    </row>
    <row r="40" customFormat="false" ht="12.75" hidden="false" customHeight="false" outlineLevel="0" collapsed="false">
      <c r="W40" s="29"/>
      <c r="X40" s="29"/>
    </row>
    <row r="41" customFormat="false" ht="12.75" hidden="false" customHeight="false" outlineLevel="0" collapsed="false">
      <c r="W41" s="29"/>
      <c r="X41" s="29"/>
    </row>
  </sheetData>
  <mergeCells count="2">
    <mergeCell ref="A1:W1"/>
    <mergeCell ref="U2:X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</cols>
  <sheetData>
    <row r="1" customFormat="false" ht="12.75" hidden="false" customHeight="false" outlineLevel="0" collapsed="false">
      <c r="C1" s="0" t="s">
        <v>3</v>
      </c>
      <c r="E1" s="0" t="s">
        <v>37</v>
      </c>
    </row>
    <row r="2" customFormat="false" ht="12.75" hidden="false" customHeight="false" outlineLevel="0" collapsed="false">
      <c r="A2" s="15" t="s">
        <v>42</v>
      </c>
      <c r="C2" s="0" t="n">
        <v>30</v>
      </c>
      <c r="E2" s="0" t="n">
        <v>24</v>
      </c>
    </row>
    <row r="3" customFormat="false" ht="12.75" hidden="false" customHeight="false" outlineLevel="0" collapsed="false">
      <c r="A3" s="15"/>
    </row>
    <row r="4" customFormat="false" ht="12.75" hidden="false" customHeight="false" outlineLevel="0" collapsed="false">
      <c r="A4" s="15"/>
    </row>
    <row r="5" customFormat="false" ht="12.75" hidden="false" customHeight="false" outlineLevel="0" collapsed="false">
      <c r="A5" s="15"/>
    </row>
    <row r="6" customFormat="false" ht="12.75" hidden="false" customHeight="false" outlineLevel="0" collapsed="false">
      <c r="A6" s="15" t="s">
        <v>44</v>
      </c>
      <c r="C6" s="0" t="n">
        <v>36</v>
      </c>
      <c r="E6" s="0" t="n">
        <v>36</v>
      </c>
    </row>
    <row r="7" customFormat="false" ht="12.75" hidden="false" customHeight="false" outlineLevel="0" collapsed="false">
      <c r="A7" s="15"/>
      <c r="C7" s="34"/>
    </row>
    <row r="8" customFormat="false" ht="12.75" hidden="false" customHeight="false" outlineLevel="0" collapsed="false">
      <c r="A8" s="15" t="s">
        <v>47</v>
      </c>
      <c r="C8" s="34" t="n">
        <v>36</v>
      </c>
      <c r="E8" s="0" t="n">
        <v>36</v>
      </c>
    </row>
    <row r="9" customFormat="false" ht="12.75" hidden="false" customHeight="false" outlineLevel="0" collapsed="false">
      <c r="A9" s="15"/>
      <c r="C9" s="34"/>
    </row>
    <row r="10" customFormat="false" ht="12.75" hidden="false" customHeight="false" outlineLevel="0" collapsed="false">
      <c r="A10" s="15"/>
      <c r="C10" s="34"/>
    </row>
    <row r="11" customFormat="false" ht="12.75" hidden="false" customHeight="false" outlineLevel="0" collapsed="false">
      <c r="A11" s="15"/>
      <c r="C11" s="34"/>
    </row>
    <row r="12" customFormat="false" ht="12.75" hidden="false" customHeight="false" outlineLevel="0" collapsed="false">
      <c r="A12" s="15" t="s">
        <v>48</v>
      </c>
      <c r="C12" s="34" t="n">
        <v>36</v>
      </c>
      <c r="E12" s="0" t="n">
        <v>36</v>
      </c>
    </row>
    <row r="13" customFormat="false" ht="12.75" hidden="false" customHeight="false" outlineLevel="0" collapsed="false">
      <c r="A13" s="15"/>
      <c r="C13" s="34"/>
    </row>
    <row r="14" customFormat="false" ht="12.75" hidden="false" customHeight="false" outlineLevel="0" collapsed="false">
      <c r="A14" s="15"/>
      <c r="C14" s="34"/>
    </row>
    <row r="15" customFormat="false" ht="12.75" hidden="false" customHeight="false" outlineLevel="0" collapsed="false">
      <c r="A15" s="15"/>
      <c r="C15" s="34"/>
    </row>
    <row r="16" customFormat="false" ht="12.75" hidden="false" customHeight="false" outlineLevel="0" collapsed="false">
      <c r="A16" s="15" t="s">
        <v>51</v>
      </c>
      <c r="C16" s="34" t="s">
        <v>60</v>
      </c>
      <c r="E16" s="34" t="s">
        <v>60</v>
      </c>
    </row>
    <row r="17" customFormat="false" ht="12.75" hidden="false" customHeight="false" outlineLevel="0" collapsed="false">
      <c r="A17" s="15"/>
      <c r="C17" s="34"/>
    </row>
    <row r="18" customFormat="false" ht="12.75" hidden="false" customHeight="false" outlineLevel="0" collapsed="false">
      <c r="A18" s="15"/>
      <c r="C18" s="34"/>
    </row>
    <row r="19" customFormat="false" ht="12.75" hidden="false" customHeight="false" outlineLevel="0" collapsed="false">
      <c r="A19" s="15"/>
      <c r="C19" s="34"/>
    </row>
    <row r="20" customFormat="false" ht="12.75" hidden="false" customHeight="false" outlineLevel="0" collapsed="false">
      <c r="A20" s="15" t="s">
        <v>53</v>
      </c>
      <c r="C20" s="34" t="s">
        <v>61</v>
      </c>
      <c r="E20" s="34" t="s">
        <v>61</v>
      </c>
    </row>
    <row r="21" customFormat="false" ht="12.75" hidden="false" customHeight="false" outlineLevel="0" collapsed="false">
      <c r="A21" s="15"/>
      <c r="C21" s="34"/>
      <c r="E21" s="34"/>
    </row>
    <row r="22" customFormat="false" ht="12.75" hidden="false" customHeight="false" outlineLevel="0" collapsed="false">
      <c r="A22" s="15" t="s">
        <v>55</v>
      </c>
      <c r="C22" s="34" t="s">
        <v>60</v>
      </c>
      <c r="E22" s="34" t="s">
        <v>60</v>
      </c>
    </row>
    <row r="23" customFormat="false" ht="12.75" hidden="false" customHeight="false" outlineLevel="0" collapsed="false">
      <c r="A23" s="15"/>
      <c r="C23" s="34"/>
      <c r="E23" s="34"/>
    </row>
    <row r="24" customFormat="false" ht="12.75" hidden="false" customHeight="false" outlineLevel="0" collapsed="false">
      <c r="A24" s="15" t="s">
        <v>56</v>
      </c>
      <c r="C24" s="34" t="s">
        <v>60</v>
      </c>
      <c r="E24" s="34" t="s">
        <v>60</v>
      </c>
    </row>
    <row r="25" customFormat="false" ht="12.75" hidden="false" customHeight="false" outlineLevel="0" collapsed="false">
      <c r="A25" s="15"/>
      <c r="C25" s="34"/>
      <c r="E25" s="34"/>
    </row>
    <row r="26" customFormat="false" ht="12.75" hidden="false" customHeight="false" outlineLevel="0" collapsed="false">
      <c r="A26" s="15" t="s">
        <v>57</v>
      </c>
      <c r="C26" s="34" t="s">
        <v>60</v>
      </c>
      <c r="E26" s="34" t="s">
        <v>60</v>
      </c>
    </row>
    <row r="27" customFormat="false" ht="12.75" hidden="false" customHeight="false" outlineLevel="0" collapsed="false">
      <c r="A27" s="15"/>
      <c r="C27" s="34"/>
    </row>
    <row r="28" customFormat="false" ht="12.75" hidden="false" customHeight="false" outlineLevel="0" collapsed="false">
      <c r="A28" s="15"/>
      <c r="C28" s="34"/>
    </row>
    <row r="29" customFormat="false" ht="12.75" hidden="false" customHeight="false" outlineLevel="0" collapsed="false">
      <c r="A29" s="15"/>
      <c r="C29" s="34"/>
    </row>
    <row r="30" customFormat="false" ht="12.75" hidden="false" customHeight="false" outlineLevel="0" collapsed="false">
      <c r="A30" s="15" t="s">
        <v>58</v>
      </c>
      <c r="C30" s="34" t="s">
        <v>62</v>
      </c>
      <c r="E30" s="34" t="s">
        <v>62</v>
      </c>
    </row>
    <row r="31" customFormat="false" ht="12.75" hidden="false" customHeight="false" outlineLevel="0" collapsed="false">
      <c r="A31" s="15"/>
    </row>
    <row r="32" customFormat="false" ht="12.75" hidden="false" customHeight="false" outlineLevel="0" collapsed="false">
      <c r="A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2000-08-15T11:39:10Z</dcterms:created>
  <dc:creator>MMinott</dc:creator>
  <dc:description/>
  <dc:language>en-US</dc:language>
  <cp:lastModifiedBy>rmatthe</cp:lastModifiedBy>
  <cp:lastPrinted>2001-09-25T10:45:41Z</cp:lastPrinted>
  <dcterms:modified xsi:type="dcterms:W3CDTF">2002-01-07T13:55:02Z</dcterms:modified>
  <cp:revision>0</cp:revision>
  <dc:subject/>
  <dc:title/>
</cp:coreProperties>
</file>