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_rels/drawing1.xml.rels" ContentType="application/vnd.openxmlformats-package.relationship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Table" sheetId="2" state="visible" r:id="rId4"/>
    <sheet name="Raptor I&amp;2 Hedges" sheetId="3" state="visible" r:id="rId5"/>
  </sheets>
  <externalReferences>
    <externalReference r:id="rId6"/>
    <externalReference r:id="rId7"/>
    <externalReference r:id="rId8"/>
    <externalReference r:id="rId9"/>
  </externalReferences>
  <definedNames>
    <definedName function="false" hidden="false" localSheetId="0" name="_xlnm.Print_Area" vbProcedure="false">Summary!$A$1:$Q$72</definedName>
    <definedName function="false" hidden="false" localSheetId="1" name="_xlnm.Print_Area" vbProcedure="false">Table!$Y$5:$AD$34</definedName>
    <definedName function="false" hidden="false" name="acpw" vbProcedure="false">'[2]Stock Prices'!$G$5:$H$376</definedName>
    <definedName function="false" hidden="false" name="avci" vbProcedure="false">'[2]Stock Prices'!$E$5:$F$376</definedName>
    <definedName function="false" hidden="false" name="caplg" vbProcedure="false">'[2]Stock Prices'!$I$5:$J$376</definedName>
    <definedName function="false" hidden="false" name="kwk" vbProcedure="false">'[2]Stock Prices'!$Y$5:$Z$376</definedName>
    <definedName function="false" hidden="false" name="pgeo" vbProcedure="false">'[2]Stock Prices'!$W$5:$X$376</definedName>
    <definedName function="false" hidden="false" name="Prices" vbProcedure="false">'[3]Stock Prices'!$A$6:$C$342</definedName>
    <definedName function="false" hidden="false" name="Privates" vbProcedure="false">'[2]Private Values'!$A$4:$AH$375</definedName>
    <definedName function="false" hidden="false" name="qsri" vbProcedure="false">'[2]Stock Prices'!$M$5:$N$376</definedName>
    <definedName function="false" hidden="false" name="wcrzo" vbProcedure="false">'[2]Stock Prices'!$O$5:$P$376</definedName>
    <definedName function="false" hidden="false" name="wtten" vbProcedure="false">'[2]Stock Prices'!$Q$5:$R$376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65" authorId="0">
      <text>
        <r>
          <rPr>
            <b val="true"/>
            <sz val="8"/>
            <color rgb="FF000000"/>
            <rFont val="Tahoma"/>
            <family val="0"/>
          </rPr>
          <t xml:space="preserve">gmckillo:
additional 500,000 per Ryan Siurek, calc used was $48.55 * 50 mm shares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65</xdr:row>
                <xdr:rowOff>8</xdr:rowOff>
              </xdr:from>
              <xdr:to>
                <xdr:col>6</xdr:col>
                <xdr:colOff>14</xdr:colOff>
                <xdr:row>69</xdr:row>
                <xdr:rowOff>14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<sst xmlns="http://schemas.openxmlformats.org/spreadsheetml/2006/main" count="362" uniqueCount="166">
  <si>
    <t xml:space="preserve">Summary of Raptor Transactions</t>
  </si>
  <si>
    <t xml:space="preserve">Including New Terms effective 3/26/01</t>
  </si>
  <si>
    <t xml:space="preserve">As of 8/14/01</t>
  </si>
  <si>
    <t xml:space="preserve">Current TNPC Market Value</t>
  </si>
  <si>
    <t xml:space="preserve">Current ENE Market Value</t>
  </si>
  <si>
    <t xml:space="preserve">(a)</t>
  </si>
  <si>
    <t xml:space="preserve">(b)</t>
  </si>
  <si>
    <t xml:space="preserve">(c)</t>
  </si>
  <si>
    <t xml:space="preserve">(d) = (a)-(b)+(c)</t>
  </si>
  <si>
    <t xml:space="preserve">(e)</t>
  </si>
  <si>
    <t xml:space="preserve">(f)</t>
  </si>
  <si>
    <t xml:space="preserve">(g)</t>
  </si>
  <si>
    <t xml:space="preserve">(h)</t>
  </si>
  <si>
    <t xml:space="preserve">(d)+(e)+(f)+(g)+(h)</t>
  </si>
  <si>
    <t xml:space="preserve">Vehicle</t>
  </si>
  <si>
    <t xml:space="preserve">Asset(s) Contributed</t>
  </si>
  <si>
    <t xml:space="preserve">ENE Shares</t>
  </si>
  <si>
    <t xml:space="preserve">Contributed Share Price</t>
  </si>
  <si>
    <t xml:space="preserve">Undiscounted Contribution Value</t>
  </si>
  <si>
    <t xml:space="preserve">Discounted Contribution Value</t>
  </si>
  <si>
    <t xml:space="preserve">LJM Equity Investment</t>
  </si>
  <si>
    <t xml:space="preserve">Initial Restructured Credit Capacity</t>
  </si>
  <si>
    <t xml:space="preserve">Distribution to LJM</t>
  </si>
  <si>
    <t xml:space="preserve">Change in Stock and Stock Derivatives (since inception)</t>
  </si>
  <si>
    <t xml:space="preserve">Raptor hedge net gain/(loss)</t>
  </si>
  <si>
    <t xml:space="preserve">Note and Other Income/(Loss)</t>
  </si>
  <si>
    <t xml:space="preserve">Current Credit Capacity</t>
  </si>
  <si>
    <t xml:space="preserve">Raptor 1</t>
  </si>
  <si>
    <t xml:space="preserve">ENE Common Stock</t>
  </si>
  <si>
    <t xml:space="preserve">Forward on ENE Common Stock</t>
  </si>
  <si>
    <t xml:space="preserve">    Total ENE Common Stock</t>
  </si>
  <si>
    <t xml:space="preserve">Promissory Note</t>
  </si>
  <si>
    <t xml:space="preserve">Cash</t>
  </si>
  <si>
    <t xml:space="preserve">Total</t>
  </si>
  <si>
    <t xml:space="preserve">Hedged Exposures</t>
  </si>
  <si>
    <t xml:space="preserve">Net Notional Amount</t>
  </si>
  <si>
    <t xml:space="preserve">Publics</t>
  </si>
  <si>
    <t xml:space="preserve">Privates</t>
  </si>
  <si>
    <t xml:space="preserve">     Total</t>
  </si>
  <si>
    <t xml:space="preserve">Raptor 2</t>
  </si>
  <si>
    <t xml:space="preserve">(g,h)</t>
  </si>
  <si>
    <t xml:space="preserve">Hanover Compressor</t>
  </si>
  <si>
    <t xml:space="preserve">Raptor 4</t>
  </si>
  <si>
    <t xml:space="preserve">(i, j )</t>
  </si>
  <si>
    <t xml:space="preserve">Notional Capacity</t>
  </si>
  <si>
    <t xml:space="preserve">Raptor 3</t>
  </si>
  <si>
    <t xml:space="preserve">TNPC Warrants</t>
  </si>
  <si>
    <t xml:space="preserve">n/a</t>
  </si>
  <si>
    <t xml:space="preserve">(d)</t>
  </si>
  <si>
    <t xml:space="preserve">Notional Amount</t>
  </si>
  <si>
    <t xml:space="preserve">18,008,400 TNPC Warrants</t>
  </si>
  <si>
    <t xml:space="preserve">Total All Raptor Structures</t>
  </si>
  <si>
    <t xml:space="preserve">Footnotes:</t>
  </si>
  <si>
    <t xml:space="preserve">Less:</t>
  </si>
  <si>
    <t xml:space="preserve">(a)  Shares contributed by ENE through settlement of UBS forward position.</t>
  </si>
  <si>
    <t xml:space="preserve">Equity payment before Enron cross assignment</t>
  </si>
  <si>
    <t xml:space="preserve">(b)  Shares contributed by forward purchase ENE's economic interest in Whitewing ("WW") partnership.</t>
  </si>
  <si>
    <t xml:space="preserve">(c)  Shares contributed by forward purchase ENE's shares from Jedi I.</t>
  </si>
  <si>
    <t xml:space="preserve">(d)  Amount represents contributed TNPC shares @ $21/share plus LJM's initial investment.</t>
  </si>
  <si>
    <t xml:space="preserve">(e)  Amount is calculated as change in contributed TNPC stock since hedges were put in place at $21/share (ie. 24 MM shares * ($21-$Current TNPC Market Value)</t>
  </si>
  <si>
    <t xml:space="preserve">Credit Capacity after Enron cross assignment</t>
  </si>
  <si>
    <t xml:space="preserve">      less Note monetizations of $30 million on 3/29/01 and $20 million on 6/22/01.</t>
  </si>
  <si>
    <t xml:space="preserve">(f)   Raptor 1 Enron shares are hedged with an $81 put and $116 call.  Includes Raptor I Share Shortfall from below.</t>
  </si>
  <si>
    <t xml:space="preserve">(g)  Raptor 2 Enron shares from WW are hedged with an $78.875 put and $111.8633 call.  Raptor 2 Enron shares from Jedi are hedged with an $61.48 put and $91.02 call.</t>
  </si>
  <si>
    <t xml:space="preserve">(h)  Includes Raptor II Share Shortfall and Derivative Shares from Raptor IV below less the Raptor IV derivative cost of $118.4 million.</t>
  </si>
  <si>
    <t xml:space="preserve">(i)   Raptor 4 Enron shares from WW are hedged with an $83 put and $112.418 call.  Raptor 4 Enron shares from Jedi are hedged with an $61.48 put and $91.02 call.</t>
  </si>
  <si>
    <t xml:space="preserve">(j)  Includes Raptor IV Share Shortfall and Derivative Shares from Raptor I and II below less the Raptor I and II derivative cost of $141.1 million.</t>
  </si>
  <si>
    <t xml:space="preserve">$ Equivalents</t>
  </si>
  <si>
    <t xml:space="preserve">Share Equivalents</t>
  </si>
  <si>
    <t xml:space="preserve">Share Requirements</t>
  </si>
  <si>
    <t xml:space="preserve">Share Shortfall</t>
  </si>
  <si>
    <t xml:space="preserve">Derivative Shares</t>
  </si>
  <si>
    <r>
      <rPr>
        <sz val="10"/>
        <rFont val="Arial"/>
        <family val="0"/>
      </rPr>
      <t xml:space="preserve">     </t>
    </r>
    <r>
      <rPr>
        <i val="true"/>
        <sz val="10"/>
        <rFont val="Arial"/>
        <family val="2"/>
      </rPr>
      <t xml:space="preserve">Input</t>
    </r>
    <r>
      <rPr>
        <sz val="10"/>
        <rFont val="Arial"/>
        <family val="0"/>
      </rPr>
      <t xml:space="preserve"> ENE Stock Price</t>
    </r>
  </si>
  <si>
    <t xml:space="preserve">ENE Shares held by WW</t>
  </si>
  <si>
    <t xml:space="preserve">Osprey 144A Debt outstanding</t>
  </si>
  <si>
    <t xml:space="preserve">     Subtotal:  Remaining value</t>
  </si>
  <si>
    <t xml:space="preserve">     Raptor I commitment</t>
  </si>
  <si>
    <t xml:space="preserve">     Raptor II commitment</t>
  </si>
  <si>
    <t xml:space="preserve">     Raptor IV commitment</t>
  </si>
  <si>
    <t xml:space="preserve">Ending Balance</t>
  </si>
  <si>
    <t xml:space="preserve">Case</t>
  </si>
  <si>
    <t xml:space="preserve">Final</t>
  </si>
  <si>
    <t xml:space="preserve">INPUTS HERE</t>
  </si>
  <si>
    <t xml:space="preserve">1 for Used Option</t>
  </si>
  <si>
    <t xml:space="preserve">Options</t>
  </si>
  <si>
    <t xml:space="preserve">Date</t>
  </si>
  <si>
    <t xml:space="preserve">As of</t>
  </si>
  <si>
    <t xml:space="preserve">ENE supplies Raptor I share shortfall from Whitewing</t>
  </si>
  <si>
    <t xml:space="preserve">ENE supplies Raptor II share shortfall from Whitewing</t>
  </si>
  <si>
    <t xml:space="preserve">ENE supplies Raptor IV share shortfall from Whitewing</t>
  </si>
  <si>
    <t xml:space="preserve">Asset values</t>
  </si>
  <si>
    <t xml:space="preserve">today</t>
  </si>
  <si>
    <t xml:space="preserve">ENE supplies Whitewing share shortfall in</t>
  </si>
  <si>
    <t xml:space="preserve">Cost</t>
  </si>
  <si>
    <t xml:space="preserve">Value Date</t>
  </si>
  <si>
    <t xml:space="preserve">Credit Capacity</t>
  </si>
  <si>
    <t xml:space="preserve">notional</t>
  </si>
  <si>
    <t xml:space="preserve">credit</t>
  </si>
  <si>
    <t xml:space="preserve">ENE</t>
  </si>
  <si>
    <t xml:space="preserve">Osprey</t>
  </si>
  <si>
    <t xml:space="preserve">LJM Equity Payment</t>
  </si>
  <si>
    <t xml:space="preserve">ENE Price</t>
  </si>
  <si>
    <t xml:space="preserve">Raptor I</t>
  </si>
  <si>
    <t xml:space="preserve">   Osprey</t>
  </si>
  <si>
    <t xml:space="preserve">Jedi shares added to Raptor II</t>
  </si>
  <si>
    <t xml:space="preserve">Shares</t>
  </si>
  <si>
    <t xml:space="preserve">Price</t>
  </si>
  <si>
    <t xml:space="preserve">Discount</t>
  </si>
  <si>
    <t xml:space="preserve">Term Date</t>
  </si>
  <si>
    <t xml:space="preserve">   ENE</t>
  </si>
  <si>
    <t xml:space="preserve">Notional Capacity Available in Raptor II Excluding SA LDCs</t>
  </si>
  <si>
    <t xml:space="preserve">Jedi shares added to Raptor IV</t>
  </si>
  <si>
    <t xml:space="preserve">Raptor II</t>
  </si>
  <si>
    <t xml:space="preserve">Notional Capacity Available in Raptor IV</t>
  </si>
  <si>
    <t xml:space="preserve">Colar on Raptor 2 Jedi Shares (Note discount should be changed to 25%)</t>
  </si>
  <si>
    <t xml:space="preserve">Colar on Raptor 4 Jedi Shares (Note discount should be changed to 25%)</t>
  </si>
  <si>
    <t xml:space="preserve">Raptor IV</t>
  </si>
  <si>
    <t xml:space="preserve">Monetize Tahati Note</t>
  </si>
  <si>
    <t xml:space="preserve">Total Osprey</t>
  </si>
  <si>
    <t xml:space="preserve">Total ENE</t>
  </si>
  <si>
    <t xml:space="preserve">Note: 12,000,000 ENE shares contributed from JEDI</t>
  </si>
  <si>
    <t xml:space="preserve">Value</t>
  </si>
  <si>
    <t xml:space="preserve">Credit</t>
  </si>
  <si>
    <t xml:space="preserve"># Shares</t>
  </si>
  <si>
    <t xml:space="preserve">Capacity</t>
  </si>
  <si>
    <t xml:space="preserve">LJM Equity Pay Out</t>
  </si>
  <si>
    <t xml:space="preserve">LJM Payout</t>
  </si>
  <si>
    <t xml:space="preserve">Security/</t>
  </si>
  <si>
    <t xml:space="preserve">Trade </t>
  </si>
  <si>
    <t xml:space="preserve">Settlement </t>
  </si>
  <si>
    <t xml:space="preserve">Instru-</t>
  </si>
  <si>
    <t xml:space="preserve">Posi-</t>
  </si>
  <si>
    <t xml:space="preserve">Strike </t>
  </si>
  <si>
    <t xml:space="preserve">Notional</t>
  </si>
  <si>
    <t xml:space="preserve">Market </t>
  </si>
  <si>
    <t xml:space="preserve">Unrealized </t>
  </si>
  <si>
    <t xml:space="preserve">Realized </t>
  </si>
  <si>
    <t xml:space="preserve">Total </t>
  </si>
  <si>
    <t xml:space="preserve">Prior Day </t>
  </si>
  <si>
    <t xml:space="preserve">Ticker</t>
  </si>
  <si>
    <t xml:space="preserve">ment</t>
  </si>
  <si>
    <t xml:space="preserve">tion</t>
  </si>
  <si>
    <t xml:space="preserve">Units</t>
  </si>
  <si>
    <t xml:space="preserve">Price/Value</t>
  </si>
  <si>
    <t xml:space="preserve">Report Date</t>
  </si>
  <si>
    <t xml:space="preserve">Gain/(Loss)</t>
  </si>
  <si>
    <t xml:space="preserve">Realized</t>
  </si>
  <si>
    <t xml:space="preserve">PUBLICS</t>
  </si>
  <si>
    <t xml:space="preserve">Swap</t>
  </si>
  <si>
    <t xml:space="preserve">Long</t>
  </si>
  <si>
    <t xml:space="preserve">PRIVATES</t>
  </si>
  <si>
    <t xml:space="preserve">Put</t>
  </si>
  <si>
    <t xml:space="preserve">Chewco SLP Exposure</t>
  </si>
  <si>
    <t xml:space="preserve">Totals RAPTOR I</t>
  </si>
  <si>
    <t xml:space="preserve">Terminations</t>
  </si>
  <si>
    <t xml:space="preserve">Public</t>
  </si>
  <si>
    <t xml:space="preserve">Private</t>
  </si>
  <si>
    <t xml:space="preserve">NET</t>
  </si>
  <si>
    <t xml:space="preserve">RAPTOR II</t>
  </si>
  <si>
    <t xml:space="preserve">EI Brazil Gas Holdings and</t>
  </si>
  <si>
    <t xml:space="preserve">EI Brazil 1997 and</t>
  </si>
  <si>
    <t xml:space="preserve">EI Brazil Investments 1997</t>
  </si>
  <si>
    <t xml:space="preserve">Collar</t>
  </si>
  <si>
    <t xml:space="preserve">Cap</t>
  </si>
  <si>
    <t xml:space="preserve">Floor</t>
  </si>
  <si>
    <t xml:space="preserve">Totals RAPTOR II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</si>
</sst>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(\$* #,##0.00_);_(\$* \(#,##0.00\);_(\$* \-??_);_(@_)"/>
    <numFmt numFmtId="166" formatCode="_(* #,##0.00_);_(* \(#,##0.00\);_(* \-??_);_(@_)"/>
    <numFmt numFmtId="167" formatCode="_(* #,##0_);_(* \(#,##0\);_(* \-??_);_(@_)"/>
    <numFmt numFmtId="168" formatCode="_(\$* #,##0_);_(\$* \(#,##0\);_(\$* \-??_);_(@_)"/>
    <numFmt numFmtId="169" formatCode="\$#,##0_);[RED]&quot;($&quot;#,##0\)"/>
    <numFmt numFmtId="170" formatCode="#,##0"/>
    <numFmt numFmtId="171" formatCode="[$-409]m/d/yyyy"/>
    <numFmt numFmtId="172" formatCode="0%"/>
    <numFmt numFmtId="173" formatCode="[$-409]#,##0_);\(#,##0\)"/>
    <numFmt numFmtId="174" formatCode="_(* #,##0.0_);_(* \(#,##0.0\);_(* \-??_);_(@_)"/>
    <numFmt numFmtId="175" formatCode="m/d/yy"/>
    <numFmt numFmtId="176" formatCode="mm/dd/yy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sz val="10"/>
      <name val="Arial"/>
      <family val="2"/>
    </font>
    <font>
      <i val="true"/>
      <sz val="10"/>
      <name val="Arial"/>
      <family val="2"/>
    </font>
    <font>
      <i val="true"/>
      <u val="single"/>
      <sz val="10"/>
      <name val="Arial"/>
      <family val="2"/>
    </font>
    <font>
      <b val="true"/>
      <sz val="8"/>
      <color rgb="FF000000"/>
      <name val="Tahoma"/>
      <family val="0"/>
    </font>
    <font>
      <b val="true"/>
      <sz val="10"/>
      <color rgb="FF0000FF"/>
      <name val="Arial"/>
      <family val="2"/>
    </font>
    <font>
      <sz val="10"/>
      <color rgb="FFFF0000"/>
      <name val="Arial"/>
      <family val="2"/>
    </font>
    <font>
      <b val="true"/>
      <sz val="11.5"/>
      <color rgb="FF000000"/>
      <name val="Arial"/>
      <family val="2"/>
    </font>
    <font>
      <sz val="8"/>
      <color rgb="FF000000"/>
      <name val="Arial"/>
      <family val="2"/>
    </font>
    <font>
      <b val="true"/>
      <sz val="12"/>
      <color rgb="FF000000"/>
      <name val="Arial"/>
      <family val="2"/>
    </font>
    <font>
      <sz val="8.75"/>
      <color rgb="FF000000"/>
      <name val="Arial"/>
      <family val="2"/>
    </font>
    <font>
      <sz val="10"/>
      <color rgb="FF000000"/>
      <name val="Arial"/>
      <family val="2"/>
    </font>
    <font>
      <sz val="10.75"/>
      <color rgb="FF000000"/>
      <name val="Arial"/>
      <family val="2"/>
    </font>
    <font>
      <b val="true"/>
      <sz val="12"/>
      <name val="Times New Roman"/>
      <family val="1"/>
    </font>
    <font>
      <b val="true"/>
      <u val="single"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6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</cellStyleXfs>
  <cellXfs count="1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8" fillId="0" borderId="21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1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8" fillId="0" borderId="1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8" fillId="0" borderId="1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8" fillId="0" borderId="24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18" fillId="0" borderId="25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8" fillId="0" borderId="2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8" fillId="0" borderId="2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8" fillId="0" borderId="24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1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8" fillId="0" borderId="0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8" fillId="0" borderId="0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8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7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externalLink" Target="externalLinks/externalLink3.xml"/><Relationship Id="rId9" Type="http://schemas.openxmlformats.org/officeDocument/2006/relationships/externalLink" Target="externalLinks/externalLink4.xml"/><Relationship Id="rId1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50" strike="noStrike" u="none">
                <a:solidFill>
                  <a:srgbClr val="000000"/>
                </a:solidFill>
                <a:uFillTx/>
                <a:latin typeface="Arial"/>
              </a:rPr>
              <a:t>Capacity - Current Scenario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smooth val="0"/>
        </c:ser>
        <c:ser>
          <c:idx val="1"/>
          <c:order val="1"/>
          <c:tx>
            <c:strRef>
              <c:f>"Capacity"</c:f>
              <c:strCache>
                <c:ptCount val="1"/>
                <c:pt idx="0">
                  <c:v>Capacity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Table!$C$178:$C$277</c:f>
              <c:numCache>
                <c:formatCode>_(* #,##0_);_(* \(#,##0\);_(* \-??_);_(@_)</c:formatCode>
                <c:ptCount val="100"/>
                <c:pt idx="0">
                  <c:v>-1565151072.06706</c:v>
                </c:pt>
                <c:pt idx="1">
                  <c:v>-1531399307.06706</c:v>
                </c:pt>
                <c:pt idx="2">
                  <c:v>-1497647542.06706</c:v>
                </c:pt>
                <c:pt idx="3">
                  <c:v>-1463895777.06706</c:v>
                </c:pt>
                <c:pt idx="4">
                  <c:v>-1430144012.06706</c:v>
                </c:pt>
                <c:pt idx="5">
                  <c:v>-1396392247.06706</c:v>
                </c:pt>
                <c:pt idx="6">
                  <c:v>-1362640482.06706</c:v>
                </c:pt>
                <c:pt idx="7">
                  <c:v>-1328888717.06706</c:v>
                </c:pt>
                <c:pt idx="8">
                  <c:v>-1295136952.06706</c:v>
                </c:pt>
                <c:pt idx="9">
                  <c:v>-1261385187.06706</c:v>
                </c:pt>
                <c:pt idx="10">
                  <c:v>-1227633422.06706</c:v>
                </c:pt>
                <c:pt idx="11">
                  <c:v>-1193881657.06706</c:v>
                </c:pt>
                <c:pt idx="12">
                  <c:v>-1160129892.06706</c:v>
                </c:pt>
                <c:pt idx="13">
                  <c:v>-1126378127.06706</c:v>
                </c:pt>
                <c:pt idx="14">
                  <c:v>-1092626362.06706</c:v>
                </c:pt>
                <c:pt idx="15">
                  <c:v>-1058874597.06706</c:v>
                </c:pt>
                <c:pt idx="16">
                  <c:v>-1025122832.06706</c:v>
                </c:pt>
                <c:pt idx="17">
                  <c:v>-991371067.067056</c:v>
                </c:pt>
                <c:pt idx="18">
                  <c:v>-957619302.067056</c:v>
                </c:pt>
                <c:pt idx="19">
                  <c:v>-923867537.067056</c:v>
                </c:pt>
                <c:pt idx="20">
                  <c:v>-890115772.067056</c:v>
                </c:pt>
                <c:pt idx="21">
                  <c:v>-856364007.067056</c:v>
                </c:pt>
                <c:pt idx="22">
                  <c:v>-824375393.930855</c:v>
                </c:pt>
                <c:pt idx="23">
                  <c:v>-806390780.930855</c:v>
                </c:pt>
                <c:pt idx="24">
                  <c:v>-785108712.067056</c:v>
                </c:pt>
                <c:pt idx="25">
                  <c:v>-751356947.067056</c:v>
                </c:pt>
                <c:pt idx="26">
                  <c:v>-717605182.067056</c:v>
                </c:pt>
                <c:pt idx="27">
                  <c:v>-683853417.067056</c:v>
                </c:pt>
                <c:pt idx="28">
                  <c:v>-650101652.067056</c:v>
                </c:pt>
                <c:pt idx="29">
                  <c:v>-616349887.067056</c:v>
                </c:pt>
                <c:pt idx="30">
                  <c:v>-582598122.067056</c:v>
                </c:pt>
                <c:pt idx="31">
                  <c:v>-548846357.067056</c:v>
                </c:pt>
                <c:pt idx="32">
                  <c:v>-515094592.067056</c:v>
                </c:pt>
                <c:pt idx="33">
                  <c:v>-481352146.392576</c:v>
                </c:pt>
                <c:pt idx="34">
                  <c:v>-461845819.392576</c:v>
                </c:pt>
                <c:pt idx="35">
                  <c:v>-442339492.392576</c:v>
                </c:pt>
                <c:pt idx="36">
                  <c:v>-411305427.957467</c:v>
                </c:pt>
                <c:pt idx="37">
                  <c:v>-377553662.957467</c:v>
                </c:pt>
                <c:pt idx="38">
                  <c:v>-343801897.957467</c:v>
                </c:pt>
                <c:pt idx="39">
                  <c:v>-310050132.957467</c:v>
                </c:pt>
                <c:pt idx="40">
                  <c:v>-276298367.957467</c:v>
                </c:pt>
                <c:pt idx="41">
                  <c:v>-242546602.957467</c:v>
                </c:pt>
                <c:pt idx="42">
                  <c:v>-208794837.957467</c:v>
                </c:pt>
                <c:pt idx="43">
                  <c:v>-175043072.957467</c:v>
                </c:pt>
                <c:pt idx="44">
                  <c:v>-141291307.957467</c:v>
                </c:pt>
                <c:pt idx="45">
                  <c:v>-107539542.957467</c:v>
                </c:pt>
                <c:pt idx="46">
                  <c:v>-73787777.957467</c:v>
                </c:pt>
                <c:pt idx="47">
                  <c:v>-40036012.957467</c:v>
                </c:pt>
                <c:pt idx="48">
                  <c:v>-6284247.95746696</c:v>
                </c:pt>
                <c:pt idx="49">
                  <c:v>27467517.042533</c:v>
                </c:pt>
                <c:pt idx="50">
                  <c:v>61219282.042533</c:v>
                </c:pt>
                <c:pt idx="51">
                  <c:v>94971047.042533</c:v>
                </c:pt>
                <c:pt idx="52">
                  <c:v>128722812.042533</c:v>
                </c:pt>
                <c:pt idx="53">
                  <c:v>162474577.042533</c:v>
                </c:pt>
                <c:pt idx="54">
                  <c:v>196226342.042533</c:v>
                </c:pt>
                <c:pt idx="55">
                  <c:v>229978107.042533</c:v>
                </c:pt>
                <c:pt idx="56">
                  <c:v>263729872.042533</c:v>
                </c:pt>
                <c:pt idx="57">
                  <c:v>297481637.042533</c:v>
                </c:pt>
                <c:pt idx="58">
                  <c:v>331233402.042533</c:v>
                </c:pt>
                <c:pt idx="59">
                  <c:v>364985167.042533</c:v>
                </c:pt>
                <c:pt idx="60">
                  <c:v>398736932.042533</c:v>
                </c:pt>
                <c:pt idx="61">
                  <c:v>432488697.042533</c:v>
                </c:pt>
                <c:pt idx="62">
                  <c:v>466240462.042533</c:v>
                </c:pt>
                <c:pt idx="63">
                  <c:v>499992227.042533</c:v>
                </c:pt>
                <c:pt idx="64">
                  <c:v>533743992.042533</c:v>
                </c:pt>
                <c:pt idx="65">
                  <c:v>567495757.042533</c:v>
                </c:pt>
                <c:pt idx="66">
                  <c:v>601247522.042533</c:v>
                </c:pt>
                <c:pt idx="67">
                  <c:v>634999287.042533</c:v>
                </c:pt>
                <c:pt idx="68">
                  <c:v>668751052.042533</c:v>
                </c:pt>
                <c:pt idx="69">
                  <c:v>702502817.042533</c:v>
                </c:pt>
                <c:pt idx="70">
                  <c:v>736254582.042533</c:v>
                </c:pt>
                <c:pt idx="71">
                  <c:v>770006347.042533</c:v>
                </c:pt>
                <c:pt idx="72">
                  <c:v>803758112.042533</c:v>
                </c:pt>
                <c:pt idx="73">
                  <c:v>837509877.042533</c:v>
                </c:pt>
                <c:pt idx="74">
                  <c:v>871261642.042533</c:v>
                </c:pt>
                <c:pt idx="75">
                  <c:v>905013407.042533</c:v>
                </c:pt>
                <c:pt idx="76">
                  <c:v>938765172.042533</c:v>
                </c:pt>
                <c:pt idx="77">
                  <c:v>972516937.042533</c:v>
                </c:pt>
                <c:pt idx="78">
                  <c:v>1006268702.04253</c:v>
                </c:pt>
                <c:pt idx="79">
                  <c:v>1040020467.04253</c:v>
                </c:pt>
                <c:pt idx="80">
                  <c:v>1073772232.04253</c:v>
                </c:pt>
                <c:pt idx="81">
                  <c:v>1107523997.04253</c:v>
                </c:pt>
                <c:pt idx="82">
                  <c:v>1141275762.04253</c:v>
                </c:pt>
                <c:pt idx="83">
                  <c:v>1175027527.04253</c:v>
                </c:pt>
                <c:pt idx="84">
                  <c:v>1208779292.04253</c:v>
                </c:pt>
                <c:pt idx="85">
                  <c:v>1242531057.04253</c:v>
                </c:pt>
                <c:pt idx="86">
                  <c:v>1276282822.04253</c:v>
                </c:pt>
                <c:pt idx="87">
                  <c:v>1310034587.04253</c:v>
                </c:pt>
                <c:pt idx="88">
                  <c:v>1343786352.04253</c:v>
                </c:pt>
                <c:pt idx="89">
                  <c:v>1377538117.04253</c:v>
                </c:pt>
                <c:pt idx="90">
                  <c:v>1411289882.04253</c:v>
                </c:pt>
                <c:pt idx="91">
                  <c:v>1445041647.04253</c:v>
                </c:pt>
                <c:pt idx="92">
                  <c:v>1478793412.04253</c:v>
                </c:pt>
                <c:pt idx="93">
                  <c:v>1512545177.04253</c:v>
                </c:pt>
                <c:pt idx="94">
                  <c:v>1546296942.04253</c:v>
                </c:pt>
                <c:pt idx="95">
                  <c:v>1580048707.04253</c:v>
                </c:pt>
                <c:pt idx="96">
                  <c:v>1613800472.04253</c:v>
                </c:pt>
                <c:pt idx="97">
                  <c:v>1647552237.04253</c:v>
                </c:pt>
                <c:pt idx="98">
                  <c:v>1681304002.04253</c:v>
                </c:pt>
                <c:pt idx="99">
                  <c:v>1715055767.04253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9719611"/>
        <c:axId val="58940479"/>
      </c:lineChart>
      <c:catAx>
        <c:axId val="5971961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ENE Stock Price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940479"/>
        <c:crossesAt val="0"/>
        <c:auto val="1"/>
        <c:lblAlgn val="ctr"/>
        <c:lblOffset val="100"/>
        <c:noMultiLvlLbl val="0"/>
      </c:catAx>
      <c:valAx>
        <c:axId val="5894047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Credit Capacity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719611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LJM Payout - Current Scenario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"Payout"</c:f>
              <c:strCache>
                <c:ptCount val="1"/>
                <c:pt idx="0">
                  <c:v>Payout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Table!$F$178:$F$277</c:f>
              <c:numCache>
                <c:formatCode>_(* #,##0_);_(* \(#,##0\);_(* \-??_);_(@_)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1763151.86379935</c:v>
                </c:pt>
                <c:pt idx="23">
                  <c:v>17530303.8637994</c:v>
                </c:pt>
                <c:pt idx="24">
                  <c:v>30000000</c:v>
                </c:pt>
                <c:pt idx="25">
                  <c:v>30000000</c:v>
                </c:pt>
                <c:pt idx="26">
                  <c:v>30000000</c:v>
                </c:pt>
                <c:pt idx="27">
                  <c:v>30000000</c:v>
                </c:pt>
                <c:pt idx="28">
                  <c:v>30000000</c:v>
                </c:pt>
                <c:pt idx="29">
                  <c:v>30000000</c:v>
                </c:pt>
                <c:pt idx="30">
                  <c:v>30000000</c:v>
                </c:pt>
                <c:pt idx="31">
                  <c:v>30000000</c:v>
                </c:pt>
                <c:pt idx="32">
                  <c:v>30000000</c:v>
                </c:pt>
                <c:pt idx="33">
                  <c:v>30009319.3255196</c:v>
                </c:pt>
                <c:pt idx="34">
                  <c:v>44254757.3255196</c:v>
                </c:pt>
                <c:pt idx="35">
                  <c:v>58500195.3255196</c:v>
                </c:pt>
                <c:pt idx="36">
                  <c:v>61217895.890411</c:v>
                </c:pt>
                <c:pt idx="37">
                  <c:v>61217895.890411</c:v>
                </c:pt>
                <c:pt idx="38">
                  <c:v>61217895.890411</c:v>
                </c:pt>
                <c:pt idx="39">
                  <c:v>61217895.890411</c:v>
                </c:pt>
                <c:pt idx="40">
                  <c:v>61217895.890411</c:v>
                </c:pt>
                <c:pt idx="41">
                  <c:v>61217895.890411</c:v>
                </c:pt>
                <c:pt idx="42">
                  <c:v>61217895.890411</c:v>
                </c:pt>
                <c:pt idx="43">
                  <c:v>61217895.890411</c:v>
                </c:pt>
                <c:pt idx="44">
                  <c:v>61217895.890411</c:v>
                </c:pt>
                <c:pt idx="45">
                  <c:v>61217895.890411</c:v>
                </c:pt>
                <c:pt idx="46">
                  <c:v>61217895.890411</c:v>
                </c:pt>
                <c:pt idx="47">
                  <c:v>61217895.890411</c:v>
                </c:pt>
                <c:pt idx="48">
                  <c:v>61217895.890411</c:v>
                </c:pt>
                <c:pt idx="49">
                  <c:v>61217895.890411</c:v>
                </c:pt>
                <c:pt idx="50">
                  <c:v>61217895.890411</c:v>
                </c:pt>
                <c:pt idx="51">
                  <c:v>61217895.890411</c:v>
                </c:pt>
                <c:pt idx="52">
                  <c:v>61217895.890411</c:v>
                </c:pt>
                <c:pt idx="53">
                  <c:v>61217895.890411</c:v>
                </c:pt>
                <c:pt idx="54">
                  <c:v>61217895.890411</c:v>
                </c:pt>
                <c:pt idx="55">
                  <c:v>61217895.890411</c:v>
                </c:pt>
                <c:pt idx="56">
                  <c:v>61217895.890411</c:v>
                </c:pt>
                <c:pt idx="57">
                  <c:v>61217895.890411</c:v>
                </c:pt>
                <c:pt idx="58">
                  <c:v>61217895.890411</c:v>
                </c:pt>
                <c:pt idx="59">
                  <c:v>61217895.890411</c:v>
                </c:pt>
                <c:pt idx="60">
                  <c:v>61217895.890411</c:v>
                </c:pt>
                <c:pt idx="61">
                  <c:v>61217895.890411</c:v>
                </c:pt>
                <c:pt idx="62">
                  <c:v>61217895.890411</c:v>
                </c:pt>
                <c:pt idx="63">
                  <c:v>61217895.890411</c:v>
                </c:pt>
                <c:pt idx="64">
                  <c:v>61217895.890411</c:v>
                </c:pt>
                <c:pt idx="65">
                  <c:v>61217895.890411</c:v>
                </c:pt>
                <c:pt idx="66">
                  <c:v>61217895.890411</c:v>
                </c:pt>
                <c:pt idx="67">
                  <c:v>61217895.890411</c:v>
                </c:pt>
                <c:pt idx="68">
                  <c:v>61217895.890411</c:v>
                </c:pt>
                <c:pt idx="69">
                  <c:v>61217895.890411</c:v>
                </c:pt>
                <c:pt idx="70">
                  <c:v>61217895.890411</c:v>
                </c:pt>
                <c:pt idx="71">
                  <c:v>61217895.890411</c:v>
                </c:pt>
                <c:pt idx="72">
                  <c:v>61217895.890411</c:v>
                </c:pt>
                <c:pt idx="73">
                  <c:v>61217895.890411</c:v>
                </c:pt>
                <c:pt idx="74">
                  <c:v>61217895.890411</c:v>
                </c:pt>
                <c:pt idx="75">
                  <c:v>61217895.890411</c:v>
                </c:pt>
                <c:pt idx="76">
                  <c:v>61217895.890411</c:v>
                </c:pt>
                <c:pt idx="77">
                  <c:v>61217895.890411</c:v>
                </c:pt>
                <c:pt idx="78">
                  <c:v>61217895.890411</c:v>
                </c:pt>
                <c:pt idx="79">
                  <c:v>61217895.890411</c:v>
                </c:pt>
                <c:pt idx="80">
                  <c:v>61217895.890411</c:v>
                </c:pt>
                <c:pt idx="81">
                  <c:v>61217895.890411</c:v>
                </c:pt>
                <c:pt idx="82">
                  <c:v>61217895.890411</c:v>
                </c:pt>
                <c:pt idx="83">
                  <c:v>61217895.890411</c:v>
                </c:pt>
                <c:pt idx="84">
                  <c:v>61217895.890411</c:v>
                </c:pt>
                <c:pt idx="85">
                  <c:v>61217895.890411</c:v>
                </c:pt>
                <c:pt idx="86">
                  <c:v>61217895.890411</c:v>
                </c:pt>
                <c:pt idx="87">
                  <c:v>61217895.890411</c:v>
                </c:pt>
                <c:pt idx="88">
                  <c:v>61217895.890411</c:v>
                </c:pt>
                <c:pt idx="89">
                  <c:v>61217895.890411</c:v>
                </c:pt>
                <c:pt idx="90">
                  <c:v>61217895.890411</c:v>
                </c:pt>
                <c:pt idx="91">
                  <c:v>61217895.890411</c:v>
                </c:pt>
                <c:pt idx="92">
                  <c:v>61217895.890411</c:v>
                </c:pt>
                <c:pt idx="93">
                  <c:v>61217895.890411</c:v>
                </c:pt>
                <c:pt idx="94">
                  <c:v>61217895.890411</c:v>
                </c:pt>
                <c:pt idx="95">
                  <c:v>61217895.890411</c:v>
                </c:pt>
                <c:pt idx="96">
                  <c:v>61217895.890411</c:v>
                </c:pt>
                <c:pt idx="97">
                  <c:v>61217895.890411</c:v>
                </c:pt>
                <c:pt idx="98">
                  <c:v>61217895.890411</c:v>
                </c:pt>
                <c:pt idx="99">
                  <c:v>61217895.890411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9503186"/>
        <c:axId val="10128429"/>
      </c:lineChart>
      <c:catAx>
        <c:axId val="5950318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128429"/>
        <c:crossesAt val="0"/>
        <c:auto val="1"/>
        <c:lblAlgn val="ctr"/>
        <c:lblOffset val="100"/>
        <c:noMultiLvlLbl val="0"/>
      </c:catAx>
      <c:valAx>
        <c:axId val="1012842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503186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321840</xdr:colOff>
      <xdr:row>175</xdr:row>
      <xdr:rowOff>105120</xdr:rowOff>
    </xdr:from>
    <xdr:to>
      <xdr:col>12</xdr:col>
      <xdr:colOff>121680</xdr:colOff>
      <xdr:row>196</xdr:row>
      <xdr:rowOff>133200</xdr:rowOff>
    </xdr:to>
    <xdr:graphicFrame>
      <xdr:nvGraphicFramePr>
        <xdr:cNvPr id="0" name="Chart 5"/>
        <xdr:cNvGraphicFramePr/>
      </xdr:nvGraphicFramePr>
      <xdr:xfrm>
        <a:off x="7768440" y="28556280"/>
        <a:ext cx="6501600" cy="3428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331560</xdr:colOff>
      <xdr:row>197</xdr:row>
      <xdr:rowOff>19080</xdr:rowOff>
    </xdr:from>
    <xdr:to>
      <xdr:col>12</xdr:col>
      <xdr:colOff>111240</xdr:colOff>
      <xdr:row>218</xdr:row>
      <xdr:rowOff>47520</xdr:rowOff>
    </xdr:to>
    <xdr:graphicFrame>
      <xdr:nvGraphicFramePr>
        <xdr:cNvPr id="1" name="Chart 6"/>
        <xdr:cNvGraphicFramePr/>
      </xdr:nvGraphicFramePr>
      <xdr:xfrm>
        <a:off x="7778160" y="32032440"/>
        <a:ext cx="6481440" cy="3429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1base329c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2base329c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4base329c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3base329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Daily Position"/>
      <sheetName val="Stock Prices"/>
      <sheetName val="Private Values"/>
      <sheetName val="Private Cash"/>
      <sheetName val="Financials"/>
      <sheetName val="Financials QTR"/>
      <sheetName val="Cash-Int-Trans"/>
      <sheetName val="Amort"/>
      <sheetName val="Shares"/>
      <sheetName val="MPR Raptor"/>
    </sheetNames>
    <sheetDataSet>
      <sheetData sheetId="0">
        <row r="15">
          <cell r="C15">
            <v>-532528418.613066</v>
          </cell>
        </row>
        <row r="21">
          <cell r="C21">
            <v>-395120466.37</v>
          </cell>
        </row>
      </sheetData>
      <sheetData sheetId="1">
        <row r="4">
          <cell r="A4" t="str">
            <v>3TEC Warrants</v>
          </cell>
        </row>
        <row r="4">
          <cell r="G4">
            <v>1.17868389193476</v>
          </cell>
          <cell r="H4">
            <v>78000</v>
          </cell>
          <cell r="I4">
            <v>91937.34</v>
          </cell>
        </row>
        <row r="4">
          <cell r="N4">
            <v>1.48110546323538</v>
          </cell>
          <cell r="O4">
            <v>37117</v>
          </cell>
          <cell r="P4">
            <v>0</v>
          </cell>
          <cell r="Q4">
            <v>-29537.34</v>
          </cell>
        </row>
        <row r="4">
          <cell r="S4">
            <v>-29537.34</v>
          </cell>
          <cell r="T4">
            <v>-29537.34</v>
          </cell>
          <cell r="U4">
            <v>1.47718523395298</v>
          </cell>
        </row>
        <row r="5">
          <cell r="A5" t="str">
            <v>Active Power</v>
          </cell>
        </row>
        <row r="5">
          <cell r="G5">
            <v>53.000000195866</v>
          </cell>
          <cell r="H5">
            <v>324000</v>
          </cell>
          <cell r="I5">
            <v>17172000.06</v>
          </cell>
        </row>
        <row r="5">
          <cell r="N5">
            <v>5.63</v>
          </cell>
          <cell r="O5">
            <v>37117</v>
          </cell>
          <cell r="P5">
            <v>-15347880.06</v>
          </cell>
          <cell r="Q5">
            <v>0</v>
          </cell>
        </row>
        <row r="5">
          <cell r="S5">
            <v>0</v>
          </cell>
          <cell r="T5">
            <v>-15114600.06</v>
          </cell>
          <cell r="U5">
            <v>6.35</v>
          </cell>
        </row>
        <row r="6">
          <cell r="H6">
            <v>255276</v>
          </cell>
          <cell r="I6">
            <v>13529628.05</v>
          </cell>
        </row>
        <row r="6">
          <cell r="P6">
            <v>0</v>
          </cell>
          <cell r="Q6">
            <v>-7079860.94</v>
          </cell>
        </row>
        <row r="6">
          <cell r="S6">
            <v>-7079860.94</v>
          </cell>
          <cell r="T6">
            <v>-7079860.94</v>
          </cell>
        </row>
        <row r="7">
          <cell r="H7">
            <v>165000</v>
          </cell>
          <cell r="I7">
            <v>8745000.03</v>
          </cell>
        </row>
        <row r="7">
          <cell r="P7">
            <v>0</v>
          </cell>
          <cell r="Q7">
            <v>-5168955.03</v>
          </cell>
        </row>
        <row r="7">
          <cell r="S7">
            <v>-5168955.03</v>
          </cell>
          <cell r="T7">
            <v>-5168955.03</v>
          </cell>
        </row>
        <row r="8">
          <cell r="H8">
            <v>100000</v>
          </cell>
          <cell r="I8">
            <v>5300000.02</v>
          </cell>
        </row>
        <row r="8">
          <cell r="P8">
            <v>0</v>
          </cell>
          <cell r="Q8">
            <v>-3238750.02</v>
          </cell>
        </row>
        <row r="8">
          <cell r="S8">
            <v>-3238750.02</v>
          </cell>
          <cell r="T8">
            <v>-3238750.02</v>
          </cell>
        </row>
        <row r="9">
          <cell r="H9">
            <v>35000</v>
          </cell>
          <cell r="I9">
            <v>1855000.01</v>
          </cell>
        </row>
        <row r="9">
          <cell r="P9">
            <v>0</v>
          </cell>
          <cell r="Q9">
            <v>-1140849.51</v>
          </cell>
        </row>
        <row r="9">
          <cell r="S9">
            <v>-1140849.51</v>
          </cell>
          <cell r="T9">
            <v>-1140849.51</v>
          </cell>
        </row>
        <row r="10">
          <cell r="H10">
            <v>100000</v>
          </cell>
          <cell r="I10">
            <v>5300000.02</v>
          </cell>
        </row>
        <row r="10">
          <cell r="P10">
            <v>0</v>
          </cell>
          <cell r="Q10">
            <v>-2835050.02</v>
          </cell>
        </row>
        <row r="10">
          <cell r="S10">
            <v>-2835050.02</v>
          </cell>
          <cell r="T10">
            <v>-2835050.02</v>
          </cell>
        </row>
        <row r="11">
          <cell r="H11">
            <v>150000</v>
          </cell>
          <cell r="I11">
            <v>7950000.03</v>
          </cell>
        </row>
        <row r="11">
          <cell r="P11">
            <v>0</v>
          </cell>
          <cell r="Q11">
            <v>-4333020.03</v>
          </cell>
        </row>
        <row r="11">
          <cell r="S11">
            <v>-4333020.03</v>
          </cell>
          <cell r="T11">
            <v>-4333020.03</v>
          </cell>
        </row>
        <row r="12">
          <cell r="H12">
            <v>147106</v>
          </cell>
          <cell r="I12">
            <v>7796618.03</v>
          </cell>
        </row>
        <row r="12">
          <cell r="P12">
            <v>0</v>
          </cell>
          <cell r="Q12">
            <v>-4111671.57</v>
          </cell>
        </row>
        <row r="12">
          <cell r="S12">
            <v>-4111671.57</v>
          </cell>
          <cell r="T12">
            <v>-4111671.5724</v>
          </cell>
        </row>
        <row r="13">
          <cell r="A13" t="str">
            <v>Avici Systems</v>
          </cell>
        </row>
        <row r="13">
          <cell r="G13">
            <v>162.5</v>
          </cell>
          <cell r="H13">
            <v>1093426</v>
          </cell>
          <cell r="I13">
            <v>177681725</v>
          </cell>
        </row>
        <row r="13">
          <cell r="N13">
            <v>4.2</v>
          </cell>
          <cell r="O13">
            <v>37117</v>
          </cell>
          <cell r="P13">
            <v>-172931035.8</v>
          </cell>
          <cell r="Q13">
            <v>-132061.02</v>
          </cell>
        </row>
        <row r="13">
          <cell r="S13">
            <v>-132061.02</v>
          </cell>
          <cell r="T13">
            <v>-172932005.7</v>
          </cell>
          <cell r="U13">
            <v>4.32</v>
          </cell>
        </row>
        <row r="14">
          <cell r="A14" t="str">
            <v>Carrizo Warrants</v>
          </cell>
        </row>
        <row r="14">
          <cell r="G14">
            <v>4.19540251455472</v>
          </cell>
          <cell r="H14">
            <v>156250</v>
          </cell>
          <cell r="I14">
            <v>655531.64</v>
          </cell>
        </row>
        <row r="14">
          <cell r="N14">
            <v>3.04067838295877</v>
          </cell>
          <cell r="O14">
            <v>37117</v>
          </cell>
          <cell r="P14">
            <v>0</v>
          </cell>
          <cell r="Q14">
            <v>-116000.39</v>
          </cell>
        </row>
        <row r="14">
          <cell r="S14">
            <v>-116000.39</v>
          </cell>
          <cell r="T14">
            <v>-116000.39</v>
          </cell>
          <cell r="U14">
            <v>3.03786068545337</v>
          </cell>
        </row>
        <row r="15">
          <cell r="A15" t="str">
            <v>Catalytica After 12/14</v>
          </cell>
        </row>
        <row r="15">
          <cell r="H15">
            <v>1342889</v>
          </cell>
          <cell r="I15">
            <v>116115000</v>
          </cell>
        </row>
        <row r="15">
          <cell r="N15">
            <v>10.451</v>
          </cell>
          <cell r="O15">
            <v>37117</v>
          </cell>
          <cell r="P15">
            <v>-102080467.06</v>
          </cell>
          <cell r="Q15">
            <v>0</v>
          </cell>
        </row>
        <row r="15">
          <cell r="S15">
            <v>0</v>
          </cell>
          <cell r="T15">
            <v>-101799803.26</v>
          </cell>
          <cell r="U15">
            <v>10.66</v>
          </cell>
        </row>
        <row r="16">
          <cell r="A16" t="str">
            <v>Paradigm</v>
          </cell>
        </row>
        <row r="16">
          <cell r="G16">
            <v>5.875</v>
          </cell>
          <cell r="H16">
            <v>0</v>
          </cell>
          <cell r="I16">
            <v>0</v>
          </cell>
        </row>
        <row r="16">
          <cell r="N16">
            <v>5.96</v>
          </cell>
          <cell r="O16">
            <v>37117</v>
          </cell>
          <cell r="P16">
            <v>0</v>
          </cell>
          <cell r="Q16">
            <v>0</v>
          </cell>
        </row>
        <row r="16">
          <cell r="S16">
            <v>0</v>
          </cell>
          <cell r="T16">
            <v>0</v>
          </cell>
          <cell r="U16">
            <v>6.05</v>
          </cell>
        </row>
        <row r="17">
          <cell r="H17">
            <v>5500</v>
          </cell>
          <cell r="I17">
            <v>32312.5</v>
          </cell>
        </row>
        <row r="17">
          <cell r="P17">
            <v>0</v>
          </cell>
          <cell r="Q17">
            <v>-1306.1</v>
          </cell>
        </row>
        <row r="17">
          <cell r="S17">
            <v>-1306.1</v>
          </cell>
          <cell r="T17">
            <v>-1306.1</v>
          </cell>
        </row>
        <row r="18">
          <cell r="H18">
            <v>3950</v>
          </cell>
          <cell r="I18">
            <v>23206.25</v>
          </cell>
        </row>
        <row r="18">
          <cell r="P18">
            <v>0</v>
          </cell>
          <cell r="Q18">
            <v>-1441.36</v>
          </cell>
        </row>
        <row r="18">
          <cell r="S18">
            <v>-1441.36</v>
          </cell>
          <cell r="T18">
            <v>-1441.355</v>
          </cell>
        </row>
        <row r="19">
          <cell r="H19">
            <v>2050</v>
          </cell>
          <cell r="I19">
            <v>12043.75</v>
          </cell>
        </row>
        <row r="19">
          <cell r="P19">
            <v>0</v>
          </cell>
          <cell r="Q19">
            <v>-475.19</v>
          </cell>
        </row>
        <row r="19">
          <cell r="S19">
            <v>-475.19</v>
          </cell>
          <cell r="T19">
            <v>-475.190000000001</v>
          </cell>
        </row>
        <row r="20">
          <cell r="H20">
            <v>3850</v>
          </cell>
          <cell r="I20">
            <v>22618.75</v>
          </cell>
        </row>
        <row r="20">
          <cell r="P20">
            <v>0</v>
          </cell>
          <cell r="Q20">
            <v>-1169.63</v>
          </cell>
        </row>
        <row r="20">
          <cell r="S20">
            <v>-1169.63</v>
          </cell>
          <cell r="T20">
            <v>-1169.63</v>
          </cell>
        </row>
        <row r="21">
          <cell r="H21">
            <v>3600</v>
          </cell>
          <cell r="I21">
            <v>21150</v>
          </cell>
        </row>
        <row r="21">
          <cell r="P21">
            <v>0</v>
          </cell>
          <cell r="Q21">
            <v>-770.04</v>
          </cell>
        </row>
        <row r="21">
          <cell r="S21">
            <v>-770.04</v>
          </cell>
          <cell r="T21">
            <v>-770.040000000001</v>
          </cell>
        </row>
        <row r="22">
          <cell r="H22">
            <v>1500</v>
          </cell>
          <cell r="I22">
            <v>8812.5</v>
          </cell>
        </row>
        <row r="22">
          <cell r="P22">
            <v>0</v>
          </cell>
          <cell r="Q22">
            <v>-487.5</v>
          </cell>
        </row>
        <row r="22">
          <cell r="S22">
            <v>-487.5</v>
          </cell>
          <cell r="T22">
            <v>-487.5</v>
          </cell>
        </row>
        <row r="23">
          <cell r="H23">
            <v>700</v>
          </cell>
          <cell r="I23">
            <v>4112.5</v>
          </cell>
        </row>
        <row r="23">
          <cell r="P23">
            <v>0</v>
          </cell>
          <cell r="Q23">
            <v>-254.03</v>
          </cell>
        </row>
        <row r="23">
          <cell r="S23">
            <v>-254.03</v>
          </cell>
          <cell r="T23">
            <v>-254.03</v>
          </cell>
        </row>
        <row r="24">
          <cell r="H24">
            <v>12925</v>
          </cell>
          <cell r="I24">
            <v>75934.38</v>
          </cell>
        </row>
        <row r="24">
          <cell r="P24">
            <v>0</v>
          </cell>
          <cell r="Q24">
            <v>-3191.18</v>
          </cell>
        </row>
        <row r="24">
          <cell r="S24">
            <v>-3191.18</v>
          </cell>
          <cell r="T24">
            <v>-3191.1875</v>
          </cell>
        </row>
        <row r="25">
          <cell r="H25">
            <v>5950</v>
          </cell>
          <cell r="I25">
            <v>34956.25</v>
          </cell>
        </row>
        <row r="25">
          <cell r="P25">
            <v>0</v>
          </cell>
          <cell r="Q25">
            <v>-1757.87</v>
          </cell>
        </row>
        <row r="25">
          <cell r="S25">
            <v>-1757.87</v>
          </cell>
          <cell r="T25">
            <v>-1757.868</v>
          </cell>
        </row>
        <row r="26">
          <cell r="H26">
            <v>18500</v>
          </cell>
          <cell r="I26">
            <v>108687.5</v>
          </cell>
        </row>
        <row r="26">
          <cell r="P26">
            <v>0</v>
          </cell>
          <cell r="Q26">
            <v>-5990.3</v>
          </cell>
        </row>
        <row r="26">
          <cell r="S26">
            <v>-5990.3</v>
          </cell>
          <cell r="T26">
            <v>-5990.3</v>
          </cell>
        </row>
        <row r="27">
          <cell r="H27">
            <v>1366</v>
          </cell>
          <cell r="I27">
            <v>8025.25</v>
          </cell>
        </row>
        <row r="27">
          <cell r="P27">
            <v>0</v>
          </cell>
          <cell r="Q27">
            <v>-471.82</v>
          </cell>
        </row>
        <row r="27">
          <cell r="S27">
            <v>-471.82</v>
          </cell>
          <cell r="T27">
            <v>-471.8164</v>
          </cell>
        </row>
        <row r="28">
          <cell r="A28" t="str">
            <v>Place Resources</v>
          </cell>
        </row>
        <row r="28">
          <cell r="G28">
            <v>1.68395</v>
          </cell>
          <cell r="H28">
            <v>735000</v>
          </cell>
          <cell r="I28">
            <v>1237703.25</v>
          </cell>
        </row>
        <row r="28">
          <cell r="N28">
            <v>0</v>
          </cell>
          <cell r="O28">
            <v>37117</v>
          </cell>
          <cell r="P28">
            <v>0</v>
          </cell>
          <cell r="Q28">
            <v>186715.35</v>
          </cell>
        </row>
        <row r="28">
          <cell r="S28">
            <v>186715.35</v>
          </cell>
          <cell r="T28">
            <v>186715.354651162</v>
          </cell>
          <cell r="U28">
            <v>1.93798449612403</v>
          </cell>
        </row>
        <row r="29">
          <cell r="A29" t="str">
            <v>DevX Energy Common</v>
          </cell>
        </row>
        <row r="29">
          <cell r="G29">
            <v>14.0397655556213</v>
          </cell>
          <cell r="H29">
            <v>10134.6</v>
          </cell>
          <cell r="I29">
            <v>142287.41</v>
          </cell>
        </row>
        <row r="29">
          <cell r="N29">
            <v>6</v>
          </cell>
          <cell r="O29">
            <v>37117</v>
          </cell>
          <cell r="P29">
            <v>0</v>
          </cell>
          <cell r="Q29">
            <v>-61218.11</v>
          </cell>
        </row>
        <row r="29">
          <cell r="S29">
            <v>-61218.11</v>
          </cell>
          <cell r="T29">
            <v>-61218.11</v>
          </cell>
          <cell r="U29">
            <v>6.11</v>
          </cell>
        </row>
        <row r="30">
          <cell r="A30" t="str">
            <v>DevX Energy Pref</v>
          </cell>
        </row>
        <row r="30">
          <cell r="G30">
            <v>4.06588235294118</v>
          </cell>
          <cell r="H30">
            <v>127500</v>
          </cell>
          <cell r="I30">
            <v>518400</v>
          </cell>
        </row>
        <row r="30">
          <cell r="N30">
            <v>6</v>
          </cell>
          <cell r="O30">
            <v>37117</v>
          </cell>
          <cell r="P30">
            <v>0</v>
          </cell>
          <cell r="Q30">
            <v>374070</v>
          </cell>
        </row>
        <row r="30">
          <cell r="S30">
            <v>374070</v>
          </cell>
          <cell r="T30">
            <v>374070</v>
          </cell>
          <cell r="U30">
            <v>6.11</v>
          </cell>
        </row>
        <row r="31">
          <cell r="A31" t="str">
            <v>Quicksilver</v>
          </cell>
        </row>
        <row r="31">
          <cell r="G31">
            <v>7.625</v>
          </cell>
          <cell r="H31">
            <v>804243</v>
          </cell>
          <cell r="I31">
            <v>6132352.88</v>
          </cell>
        </row>
        <row r="31">
          <cell r="N31">
            <v>0</v>
          </cell>
          <cell r="O31">
            <v>37117</v>
          </cell>
          <cell r="P31">
            <v>0</v>
          </cell>
          <cell r="Q31">
            <v>-727840.28</v>
          </cell>
        </row>
        <row r="31">
          <cell r="S31">
            <v>-727840.28</v>
          </cell>
          <cell r="T31">
            <v>-727840.28</v>
          </cell>
          <cell r="U31">
            <v>0</v>
          </cell>
        </row>
        <row r="34">
          <cell r="A34" t="str">
            <v>Amerada Hess Exposure</v>
          </cell>
        </row>
        <row r="34">
          <cell r="I34">
            <v>1250000</v>
          </cell>
        </row>
        <row r="34">
          <cell r="N34">
            <v>1250000</v>
          </cell>
          <cell r="O34">
            <v>37117</v>
          </cell>
          <cell r="P34">
            <v>0</v>
          </cell>
          <cell r="Q34">
            <v>0</v>
          </cell>
        </row>
        <row r="34">
          <cell r="S34">
            <v>0</v>
          </cell>
          <cell r="T34">
            <v>0</v>
          </cell>
          <cell r="U34">
            <v>1250000</v>
          </cell>
        </row>
        <row r="35">
          <cell r="A35" t="str">
            <v>Ameritex</v>
          </cell>
        </row>
        <row r="35">
          <cell r="I35">
            <v>4563600</v>
          </cell>
        </row>
        <row r="35">
          <cell r="N35">
            <v>1209030.26</v>
          </cell>
          <cell r="O35">
            <v>37117</v>
          </cell>
          <cell r="P35">
            <v>-3354569.74</v>
          </cell>
          <cell r="Q35">
            <v>0</v>
          </cell>
        </row>
        <row r="35">
          <cell r="S35">
            <v>0</v>
          </cell>
          <cell r="T35">
            <v>-3354569.74</v>
          </cell>
          <cell r="U35">
            <v>1209030.26</v>
          </cell>
        </row>
        <row r="36">
          <cell r="A36" t="str">
            <v>Basic Energy Preferred</v>
          </cell>
        </row>
        <row r="36">
          <cell r="I36">
            <v>2136334</v>
          </cell>
        </row>
        <row r="36">
          <cell r="N36">
            <v>770244.5</v>
          </cell>
          <cell r="O36">
            <v>37117</v>
          </cell>
          <cell r="P36">
            <v>-1366089.5</v>
          </cell>
          <cell r="Q36">
            <v>0</v>
          </cell>
        </row>
        <row r="36">
          <cell r="S36">
            <v>0</v>
          </cell>
          <cell r="T36">
            <v>-1366089.5</v>
          </cell>
          <cell r="U36">
            <v>770244.5</v>
          </cell>
        </row>
        <row r="37">
          <cell r="A37" t="str">
            <v>Black Bay</v>
          </cell>
        </row>
        <row r="37">
          <cell r="I37">
            <v>429975</v>
          </cell>
        </row>
        <row r="37">
          <cell r="N37">
            <v>0</v>
          </cell>
          <cell r="O37">
            <v>37117</v>
          </cell>
          <cell r="P37">
            <v>0</v>
          </cell>
          <cell r="Q37">
            <v>-57827.87</v>
          </cell>
        </row>
        <row r="37">
          <cell r="S37">
            <v>-57827.87</v>
          </cell>
          <cell r="T37">
            <v>-57827.87</v>
          </cell>
          <cell r="U37">
            <v>372147.13</v>
          </cell>
        </row>
        <row r="38">
          <cell r="A38" t="str">
            <v>Brigham Secured SubDebt</v>
          </cell>
        </row>
        <row r="38">
          <cell r="I38">
            <v>12500000</v>
          </cell>
        </row>
        <row r="38">
          <cell r="N38">
            <v>0</v>
          </cell>
          <cell r="O38">
            <v>37117</v>
          </cell>
          <cell r="P38">
            <v>0</v>
          </cell>
          <cell r="Q38">
            <v>65511</v>
          </cell>
        </row>
        <row r="38">
          <cell r="S38">
            <v>65511</v>
          </cell>
          <cell r="T38">
            <v>65511</v>
          </cell>
          <cell r="U38">
            <v>12565511</v>
          </cell>
        </row>
        <row r="39">
          <cell r="A39" t="str">
            <v>Catalytica Before 12/14</v>
          </cell>
        </row>
        <row r="39">
          <cell r="I39">
            <v>0</v>
          </cell>
        </row>
        <row r="39">
          <cell r="N39">
            <v>0</v>
          </cell>
          <cell r="O39">
            <v>37117</v>
          </cell>
          <cell r="P39">
            <v>0</v>
          </cell>
          <cell r="Q39">
            <v>0</v>
          </cell>
        </row>
        <row r="39">
          <cell r="S39">
            <v>0</v>
          </cell>
          <cell r="T39">
            <v>0</v>
          </cell>
          <cell r="U39">
            <v>0</v>
          </cell>
        </row>
        <row r="40">
          <cell r="A40" t="str">
            <v>City Forest IPC</v>
          </cell>
        </row>
        <row r="40">
          <cell r="I40">
            <v>1663000</v>
          </cell>
        </row>
        <row r="40">
          <cell r="N40">
            <v>0</v>
          </cell>
          <cell r="O40">
            <v>37117</v>
          </cell>
          <cell r="P40">
            <v>-1663000</v>
          </cell>
          <cell r="Q40">
            <v>0</v>
          </cell>
        </row>
        <row r="40">
          <cell r="S40">
            <v>0</v>
          </cell>
          <cell r="T40">
            <v>-1663000</v>
          </cell>
          <cell r="U40">
            <v>0</v>
          </cell>
        </row>
        <row r="41">
          <cell r="A41" t="str">
            <v>Ecogas Loan &amp; Equity</v>
          </cell>
        </row>
        <row r="41">
          <cell r="I41">
            <v>12878050</v>
          </cell>
        </row>
        <row r="41">
          <cell r="N41">
            <v>0</v>
          </cell>
          <cell r="O41">
            <v>37117</v>
          </cell>
          <cell r="P41">
            <v>-12878050</v>
          </cell>
          <cell r="Q41">
            <v>0</v>
          </cell>
        </row>
        <row r="41">
          <cell r="S41">
            <v>0</v>
          </cell>
          <cell r="T41">
            <v>-12878050</v>
          </cell>
          <cell r="U41">
            <v>0</v>
          </cell>
        </row>
        <row r="42">
          <cell r="A42" t="str">
            <v>Geo. Pursuit (EBGB)</v>
          </cell>
        </row>
        <row r="42">
          <cell r="I42">
            <v>1012500</v>
          </cell>
        </row>
        <row r="42">
          <cell r="N42">
            <v>0</v>
          </cell>
          <cell r="O42">
            <v>37117</v>
          </cell>
          <cell r="P42">
            <v>0</v>
          </cell>
          <cell r="Q42">
            <v>-887500</v>
          </cell>
        </row>
        <row r="42">
          <cell r="S42">
            <v>-887500</v>
          </cell>
          <cell r="T42">
            <v>-887500</v>
          </cell>
          <cell r="U42">
            <v>125000</v>
          </cell>
        </row>
        <row r="43">
          <cell r="A43" t="str">
            <v>Heartland Common</v>
          </cell>
        </row>
        <row r="43">
          <cell r="G43">
            <v>136.649295766461</v>
          </cell>
          <cell r="H43">
            <v>172031</v>
          </cell>
          <cell r="I43">
            <v>23507915</v>
          </cell>
        </row>
        <row r="43">
          <cell r="N43">
            <v>2.83122062683105E-007</v>
          </cell>
          <cell r="O43">
            <v>37117</v>
          </cell>
          <cell r="P43">
            <v>-23507914.9999997</v>
          </cell>
          <cell r="Q43">
            <v>0</v>
          </cell>
        </row>
        <row r="43">
          <cell r="S43">
            <v>0</v>
          </cell>
          <cell r="T43">
            <v>-23507914.9999997</v>
          </cell>
          <cell r="U43">
            <v>2.83122062683105E-007</v>
          </cell>
        </row>
        <row r="44">
          <cell r="A44" t="str">
            <v>Heartland Common (Condor)</v>
          </cell>
        </row>
        <row r="44">
          <cell r="I44">
            <v>10372212</v>
          </cell>
        </row>
        <row r="44">
          <cell r="N44">
            <v>0</v>
          </cell>
          <cell r="O44">
            <v>37117</v>
          </cell>
          <cell r="P44">
            <v>-10372212</v>
          </cell>
          <cell r="Q44">
            <v>0</v>
          </cell>
        </row>
        <row r="44">
          <cell r="S44">
            <v>0</v>
          </cell>
          <cell r="T44">
            <v>-10372212</v>
          </cell>
          <cell r="U44">
            <v>0</v>
          </cell>
        </row>
        <row r="45">
          <cell r="A45" t="str">
            <v>Heartland Loan</v>
          </cell>
        </row>
        <row r="45">
          <cell r="I45">
            <v>1302980</v>
          </cell>
        </row>
        <row r="45">
          <cell r="N45">
            <v>137317.57</v>
          </cell>
          <cell r="O45">
            <v>37117</v>
          </cell>
          <cell r="P45">
            <v>-1165662.43</v>
          </cell>
          <cell r="Q45">
            <v>0</v>
          </cell>
        </row>
        <row r="45">
          <cell r="S45">
            <v>0</v>
          </cell>
          <cell r="T45">
            <v>-1165662.43</v>
          </cell>
          <cell r="U45">
            <v>137317.57</v>
          </cell>
        </row>
        <row r="46">
          <cell r="A46" t="str">
            <v>Heartland Warrants</v>
          </cell>
        </row>
        <row r="46">
          <cell r="I46">
            <v>3486752</v>
          </cell>
        </row>
        <row r="46">
          <cell r="N46">
            <v>0</v>
          </cell>
          <cell r="O46">
            <v>37117</v>
          </cell>
          <cell r="P46">
            <v>-3486752</v>
          </cell>
          <cell r="Q46">
            <v>0</v>
          </cell>
        </row>
        <row r="46">
          <cell r="S46">
            <v>0</v>
          </cell>
          <cell r="T46">
            <v>-3486752</v>
          </cell>
          <cell r="U46">
            <v>0</v>
          </cell>
        </row>
        <row r="47">
          <cell r="A47" t="str">
            <v>Hughes Rawls Loan</v>
          </cell>
        </row>
        <row r="47">
          <cell r="I47">
            <v>429210</v>
          </cell>
        </row>
        <row r="47">
          <cell r="N47">
            <v>1100000</v>
          </cell>
          <cell r="O47">
            <v>37117</v>
          </cell>
          <cell r="P47">
            <v>670790</v>
          </cell>
          <cell r="Q47">
            <v>0</v>
          </cell>
        </row>
        <row r="47">
          <cell r="S47">
            <v>0</v>
          </cell>
          <cell r="T47">
            <v>670790</v>
          </cell>
          <cell r="U47">
            <v>1100000</v>
          </cell>
        </row>
        <row r="48">
          <cell r="A48" t="str">
            <v>Hughes Rawls Note</v>
          </cell>
        </row>
        <row r="48">
          <cell r="I48">
            <v>470790</v>
          </cell>
        </row>
        <row r="48">
          <cell r="N48">
            <v>0</v>
          </cell>
          <cell r="O48">
            <v>37117</v>
          </cell>
          <cell r="P48">
            <v>-470790</v>
          </cell>
          <cell r="Q48">
            <v>0</v>
          </cell>
        </row>
        <row r="48">
          <cell r="S48">
            <v>0</v>
          </cell>
          <cell r="T48">
            <v>-470790</v>
          </cell>
          <cell r="U48">
            <v>0</v>
          </cell>
        </row>
        <row r="49">
          <cell r="A49" t="str">
            <v>HV Marine Warrants</v>
          </cell>
        </row>
        <row r="49">
          <cell r="I49">
            <v>27082500</v>
          </cell>
        </row>
        <row r="49">
          <cell r="N49">
            <v>10125000</v>
          </cell>
          <cell r="O49">
            <v>37117</v>
          </cell>
          <cell r="P49">
            <v>-16957500</v>
          </cell>
          <cell r="Q49">
            <v>0</v>
          </cell>
        </row>
        <row r="49">
          <cell r="S49">
            <v>0</v>
          </cell>
          <cell r="T49">
            <v>-16957500</v>
          </cell>
          <cell r="U49">
            <v>10125000</v>
          </cell>
        </row>
        <row r="50">
          <cell r="A50" t="str">
            <v>Industrial Holdings</v>
          </cell>
        </row>
        <row r="50">
          <cell r="I50">
            <v>7121810</v>
          </cell>
        </row>
        <row r="50">
          <cell r="N50">
            <v>7121810</v>
          </cell>
          <cell r="O50">
            <v>37117</v>
          </cell>
          <cell r="P50">
            <v>0</v>
          </cell>
          <cell r="Q50">
            <v>0</v>
          </cell>
        </row>
        <row r="50">
          <cell r="S50">
            <v>0</v>
          </cell>
          <cell r="T50">
            <v>0</v>
          </cell>
          <cell r="U50">
            <v>7121810</v>
          </cell>
        </row>
        <row r="51">
          <cell r="A51" t="str">
            <v>Invasion Energy</v>
          </cell>
        </row>
        <row r="51">
          <cell r="I51">
            <v>5644007</v>
          </cell>
        </row>
        <row r="51">
          <cell r="N51">
            <v>5644007</v>
          </cell>
          <cell r="O51">
            <v>37117</v>
          </cell>
          <cell r="P51">
            <v>0</v>
          </cell>
          <cell r="Q51">
            <v>0</v>
          </cell>
        </row>
        <row r="51">
          <cell r="S51">
            <v>0</v>
          </cell>
          <cell r="T51">
            <v>0</v>
          </cell>
          <cell r="U51">
            <v>5644007</v>
          </cell>
        </row>
        <row r="52">
          <cell r="A52" t="str">
            <v>Juniper</v>
          </cell>
        </row>
        <row r="52">
          <cell r="I52">
            <v>20916875</v>
          </cell>
        </row>
        <row r="52">
          <cell r="N52">
            <v>20887594.86</v>
          </cell>
          <cell r="O52">
            <v>37117</v>
          </cell>
          <cell r="P52">
            <v>-29280.1400000006</v>
          </cell>
          <cell r="Q52">
            <v>0</v>
          </cell>
        </row>
        <row r="52">
          <cell r="S52">
            <v>0</v>
          </cell>
          <cell r="T52">
            <v>-29280.1400000006</v>
          </cell>
          <cell r="U52">
            <v>20887594.86</v>
          </cell>
        </row>
        <row r="53">
          <cell r="A53" t="str">
            <v>Juniper Committed Exposurer</v>
          </cell>
        </row>
        <row r="53">
          <cell r="I53">
            <v>2560525</v>
          </cell>
        </row>
        <row r="53">
          <cell r="N53">
            <v>2560525</v>
          </cell>
          <cell r="O53">
            <v>37117</v>
          </cell>
          <cell r="P53">
            <v>0</v>
          </cell>
          <cell r="Q53">
            <v>0</v>
          </cell>
        </row>
        <row r="53">
          <cell r="S53">
            <v>0</v>
          </cell>
          <cell r="T53">
            <v>0</v>
          </cell>
          <cell r="U53">
            <v>2560525</v>
          </cell>
        </row>
        <row r="54">
          <cell r="A54" t="str">
            <v>Keathley Canyon</v>
          </cell>
        </row>
        <row r="54">
          <cell r="I54">
            <v>4774950</v>
          </cell>
        </row>
        <row r="54">
          <cell r="N54">
            <v>0</v>
          </cell>
          <cell r="O54">
            <v>37117</v>
          </cell>
          <cell r="P54">
            <v>0</v>
          </cell>
          <cell r="Q54">
            <v>-2359351.12</v>
          </cell>
        </row>
        <row r="54">
          <cell r="S54">
            <v>-2359351.12</v>
          </cell>
          <cell r="T54">
            <v>-2359351.12</v>
          </cell>
          <cell r="U54">
            <v>2415598.88</v>
          </cell>
        </row>
        <row r="55">
          <cell r="A55" t="str">
            <v>LSI Preferred</v>
          </cell>
        </row>
        <row r="55">
          <cell r="I55">
            <v>1822363</v>
          </cell>
        </row>
        <row r="55">
          <cell r="N55">
            <v>0</v>
          </cell>
          <cell r="O55">
            <v>37117</v>
          </cell>
          <cell r="P55">
            <v>-1822363</v>
          </cell>
          <cell r="Q55">
            <v>0</v>
          </cell>
        </row>
        <row r="55">
          <cell r="S55">
            <v>0</v>
          </cell>
          <cell r="T55">
            <v>-1822363</v>
          </cell>
          <cell r="U55">
            <v>0</v>
          </cell>
        </row>
        <row r="56">
          <cell r="A56" t="str">
            <v>LSI Warrants</v>
          </cell>
        </row>
        <row r="56">
          <cell r="I56">
            <v>1374750</v>
          </cell>
        </row>
        <row r="56">
          <cell r="N56">
            <v>0</v>
          </cell>
          <cell r="O56">
            <v>37117</v>
          </cell>
          <cell r="P56">
            <v>-1374750</v>
          </cell>
          <cell r="Q56">
            <v>0</v>
          </cell>
        </row>
        <row r="56">
          <cell r="S56">
            <v>0</v>
          </cell>
          <cell r="T56">
            <v>-1374750</v>
          </cell>
          <cell r="U56">
            <v>0</v>
          </cell>
        </row>
        <row r="57">
          <cell r="A57" t="str">
            <v>Oconto Falls Common</v>
          </cell>
        </row>
        <row r="57">
          <cell r="I57">
            <v>1803840</v>
          </cell>
        </row>
        <row r="57">
          <cell r="N57">
            <v>1803840</v>
          </cell>
          <cell r="O57">
            <v>37117</v>
          </cell>
          <cell r="P57">
            <v>0</v>
          </cell>
          <cell r="Q57">
            <v>0</v>
          </cell>
        </row>
        <row r="57">
          <cell r="S57">
            <v>0</v>
          </cell>
          <cell r="T57">
            <v>0</v>
          </cell>
          <cell r="U57">
            <v>1803840</v>
          </cell>
        </row>
        <row r="58">
          <cell r="A58" t="str">
            <v>Oconto Falls IPC</v>
          </cell>
        </row>
        <row r="58">
          <cell r="I58">
            <v>2300803</v>
          </cell>
        </row>
        <row r="58">
          <cell r="N58">
            <v>2300803</v>
          </cell>
          <cell r="O58">
            <v>37117</v>
          </cell>
          <cell r="P58">
            <v>0</v>
          </cell>
          <cell r="Q58">
            <v>0</v>
          </cell>
        </row>
        <row r="58">
          <cell r="S58">
            <v>0</v>
          </cell>
          <cell r="T58">
            <v>0</v>
          </cell>
          <cell r="U58">
            <v>2300803</v>
          </cell>
        </row>
        <row r="59">
          <cell r="A59" t="str">
            <v>Texland</v>
          </cell>
        </row>
        <row r="59">
          <cell r="I59">
            <v>7483750</v>
          </cell>
        </row>
        <row r="59">
          <cell r="N59">
            <v>8971988.34</v>
          </cell>
          <cell r="O59">
            <v>37117</v>
          </cell>
          <cell r="P59">
            <v>1488238.34</v>
          </cell>
          <cell r="Q59">
            <v>0</v>
          </cell>
        </row>
        <row r="59">
          <cell r="S59">
            <v>0</v>
          </cell>
          <cell r="T59">
            <v>1488238.34</v>
          </cell>
          <cell r="U59">
            <v>8971988.34</v>
          </cell>
        </row>
        <row r="60">
          <cell r="A60" t="str">
            <v>Texland Committed Exposurer</v>
          </cell>
        </row>
        <row r="60">
          <cell r="I60">
            <v>2343750</v>
          </cell>
        </row>
        <row r="60">
          <cell r="N60">
            <v>2343750</v>
          </cell>
          <cell r="O60">
            <v>37117</v>
          </cell>
          <cell r="P60">
            <v>0</v>
          </cell>
          <cell r="Q60">
            <v>0</v>
          </cell>
        </row>
        <row r="60">
          <cell r="S60">
            <v>0</v>
          </cell>
          <cell r="T60">
            <v>0</v>
          </cell>
          <cell r="U60">
            <v>2343750</v>
          </cell>
        </row>
        <row r="61">
          <cell r="A61" t="str">
            <v>Vastar</v>
          </cell>
        </row>
        <row r="61">
          <cell r="I61">
            <v>16316247</v>
          </cell>
        </row>
        <row r="61">
          <cell r="N61">
            <v>16316247</v>
          </cell>
          <cell r="O61">
            <v>37117</v>
          </cell>
          <cell r="P61">
            <v>0</v>
          </cell>
          <cell r="Q61">
            <v>0</v>
          </cell>
        </row>
        <row r="61">
          <cell r="S61">
            <v>0</v>
          </cell>
          <cell r="T61">
            <v>0</v>
          </cell>
          <cell r="U61">
            <v>16316247</v>
          </cell>
        </row>
        <row r="62">
          <cell r="A62" t="str">
            <v>Vastar Exposure</v>
          </cell>
        </row>
        <row r="62">
          <cell r="I62">
            <v>1050000</v>
          </cell>
        </row>
        <row r="62">
          <cell r="N62">
            <v>1050000</v>
          </cell>
          <cell r="O62">
            <v>37117</v>
          </cell>
          <cell r="P62">
            <v>0</v>
          </cell>
          <cell r="Q62">
            <v>0</v>
          </cell>
        </row>
        <row r="62">
          <cell r="S62">
            <v>0</v>
          </cell>
          <cell r="T62">
            <v>0</v>
          </cell>
          <cell r="U62">
            <v>1050000</v>
          </cell>
        </row>
        <row r="63">
          <cell r="A63" t="str">
            <v>Venoco Convertible</v>
          </cell>
        </row>
        <row r="63">
          <cell r="G63">
            <v>217.28</v>
          </cell>
          <cell r="H63">
            <v>375000</v>
          </cell>
          <cell r="I63">
            <v>81480000</v>
          </cell>
        </row>
        <row r="63">
          <cell r="N63">
            <v>44836040.1</v>
          </cell>
          <cell r="O63">
            <v>37117</v>
          </cell>
          <cell r="P63">
            <v>-36643959.9</v>
          </cell>
          <cell r="Q63">
            <v>0</v>
          </cell>
        </row>
        <row r="63">
          <cell r="S63">
            <v>0</v>
          </cell>
          <cell r="T63">
            <v>-36643959.9</v>
          </cell>
          <cell r="U63">
            <v>44836040.1</v>
          </cell>
        </row>
        <row r="64">
          <cell r="A64" t="str">
            <v>WB Oil &amp; Gas</v>
          </cell>
        </row>
        <row r="64">
          <cell r="G64">
            <v>1360</v>
          </cell>
          <cell r="H64">
            <v>1000</v>
          </cell>
          <cell r="I64">
            <v>1360000</v>
          </cell>
        </row>
        <row r="64">
          <cell r="N64">
            <v>0</v>
          </cell>
          <cell r="O64">
            <v>37117</v>
          </cell>
          <cell r="P64">
            <v>0</v>
          </cell>
          <cell r="Q64">
            <v>-1360000</v>
          </cell>
        </row>
        <row r="64">
          <cell r="S64">
            <v>-1360000</v>
          </cell>
          <cell r="T64">
            <v>-1360000</v>
          </cell>
          <cell r="U64">
            <v>0</v>
          </cell>
        </row>
        <row r="65">
          <cell r="A65" t="str">
            <v>Merlin Credit Derivative</v>
          </cell>
        </row>
        <row r="65">
          <cell r="E65">
            <v>36066314</v>
          </cell>
        </row>
        <row r="65">
          <cell r="I65">
            <v>63109023.64</v>
          </cell>
        </row>
        <row r="65">
          <cell r="N65">
            <v>0</v>
          </cell>
          <cell r="O65">
            <v>37117</v>
          </cell>
          <cell r="P65">
            <v>0</v>
          </cell>
          <cell r="Q65">
            <v>-63109023.64</v>
          </cell>
        </row>
        <row r="65">
          <cell r="S65">
            <v>-63109023.64</v>
          </cell>
          <cell r="T65">
            <v>-63109023.64</v>
          </cell>
          <cell r="U65">
            <v>0</v>
          </cell>
        </row>
        <row r="66">
          <cell r="I66">
            <v>30637566.36</v>
          </cell>
        </row>
        <row r="66">
          <cell r="N66">
            <v>0</v>
          </cell>
        </row>
        <row r="66">
          <cell r="P66">
            <v>0</v>
          </cell>
          <cell r="Q66">
            <v>-30637566.36</v>
          </cell>
        </row>
        <row r="66">
          <cell r="S66">
            <v>-30637566.36</v>
          </cell>
          <cell r="T66">
            <v>-30637566.36</v>
          </cell>
        </row>
        <row r="69">
          <cell r="A69" t="str">
            <v>3TEC Warrants</v>
          </cell>
        </row>
        <row r="69">
          <cell r="G69">
            <v>1.17868389193476</v>
          </cell>
          <cell r="H69">
            <v>46956</v>
          </cell>
          <cell r="I69">
            <v>55346.28</v>
          </cell>
        </row>
        <row r="69">
          <cell r="N69">
            <v>1.48110546323538</v>
          </cell>
          <cell r="O69">
            <v>37117</v>
          </cell>
          <cell r="P69">
            <v>0</v>
          </cell>
          <cell r="Q69">
            <v>-17781.48</v>
          </cell>
        </row>
        <row r="69">
          <cell r="S69">
            <v>-17781.48</v>
          </cell>
          <cell r="T69">
            <v>-17781.48</v>
          </cell>
          <cell r="U69">
            <v>1.47718523395298</v>
          </cell>
        </row>
        <row r="70">
          <cell r="A70" t="str">
            <v>Place Resources</v>
          </cell>
        </row>
        <row r="70">
          <cell r="G70">
            <v>1.68395</v>
          </cell>
          <cell r="H70">
            <v>442470</v>
          </cell>
          <cell r="I70">
            <v>745095.36</v>
          </cell>
        </row>
        <row r="70">
          <cell r="N70">
            <v>0</v>
          </cell>
          <cell r="O70">
            <v>37117</v>
          </cell>
          <cell r="P70">
            <v>0</v>
          </cell>
          <cell r="Q70">
            <v>112402.6435</v>
          </cell>
        </row>
        <row r="70">
          <cell r="S70">
            <v>112402.6435</v>
          </cell>
          <cell r="T70">
            <v>112402.64</v>
          </cell>
          <cell r="U70">
            <v>1.93798449612403</v>
          </cell>
        </row>
        <row r="71">
          <cell r="A71" t="str">
            <v>DevX Energy Common</v>
          </cell>
        </row>
        <row r="71">
          <cell r="G71">
            <v>14.0397655556213</v>
          </cell>
          <cell r="H71">
            <v>6101.0292</v>
          </cell>
          <cell r="I71">
            <v>85657.02</v>
          </cell>
        </row>
        <row r="71">
          <cell r="N71">
            <v>6</v>
          </cell>
          <cell r="O71">
            <v>37117</v>
          </cell>
          <cell r="P71">
            <v>0</v>
          </cell>
          <cell r="Q71">
            <v>-36853.301016</v>
          </cell>
        </row>
        <row r="71">
          <cell r="S71">
            <v>-36853.301016</v>
          </cell>
          <cell r="T71">
            <v>-36853.3</v>
          </cell>
          <cell r="U71">
            <v>6.11</v>
          </cell>
        </row>
        <row r="72">
          <cell r="A72" t="str">
            <v>DevX Energy Pref</v>
          </cell>
        </row>
        <row r="72">
          <cell r="G72">
            <v>4.06588235294118</v>
          </cell>
          <cell r="H72">
            <v>76755</v>
          </cell>
          <cell r="I72">
            <v>312076.8</v>
          </cell>
        </row>
        <row r="72">
          <cell r="N72">
            <v>6</v>
          </cell>
          <cell r="O72">
            <v>37117</v>
          </cell>
          <cell r="P72">
            <v>0</v>
          </cell>
          <cell r="Q72">
            <v>225190.14</v>
          </cell>
        </row>
        <row r="72">
          <cell r="S72">
            <v>225190.14</v>
          </cell>
          <cell r="T72">
            <v>225190.14</v>
          </cell>
          <cell r="U72">
            <v>6.11</v>
          </cell>
        </row>
        <row r="73">
          <cell r="A73" t="str">
            <v>Quicksilver</v>
          </cell>
        </row>
        <row r="73">
          <cell r="G73">
            <v>7.625</v>
          </cell>
          <cell r="H73">
            <v>484154.286</v>
          </cell>
          <cell r="I73">
            <v>3691676.43</v>
          </cell>
        </row>
        <row r="73">
          <cell r="N73">
            <v>0</v>
          </cell>
          <cell r="O73">
            <v>37117</v>
          </cell>
          <cell r="P73">
            <v>0</v>
          </cell>
          <cell r="Q73">
            <v>-438159.84555</v>
          </cell>
        </row>
        <row r="73">
          <cell r="S73">
            <v>-438159.84555</v>
          </cell>
          <cell r="T73">
            <v>-438159.84</v>
          </cell>
          <cell r="U73">
            <v>0</v>
          </cell>
        </row>
        <row r="74">
          <cell r="A74" t="str">
            <v>Ameritex</v>
          </cell>
        </row>
        <row r="74">
          <cell r="I74">
            <v>2747287.2</v>
          </cell>
        </row>
        <row r="74">
          <cell r="N74">
            <v>727836.22</v>
          </cell>
          <cell r="O74">
            <v>37117</v>
          </cell>
          <cell r="P74">
            <v>-2019450.98</v>
          </cell>
          <cell r="Q74">
            <v>0</v>
          </cell>
        </row>
        <row r="74">
          <cell r="S74">
            <v>0</v>
          </cell>
          <cell r="T74">
            <v>-2019450.98</v>
          </cell>
          <cell r="U74">
            <v>727836.22</v>
          </cell>
        </row>
        <row r="75">
          <cell r="A75" t="str">
            <v>Hughes Rawls Note</v>
          </cell>
        </row>
        <row r="75">
          <cell r="I75">
            <v>283415.58</v>
          </cell>
        </row>
        <row r="75">
          <cell r="N75">
            <v>0</v>
          </cell>
          <cell r="O75">
            <v>37117</v>
          </cell>
          <cell r="P75">
            <v>-283415.58</v>
          </cell>
          <cell r="Q75">
            <v>0</v>
          </cell>
        </row>
        <row r="75">
          <cell r="S75">
            <v>0</v>
          </cell>
          <cell r="T75">
            <v>-283415.58</v>
          </cell>
          <cell r="U75">
            <v>0</v>
          </cell>
        </row>
        <row r="80">
          <cell r="T80">
            <v>143958868.992835</v>
          </cell>
        </row>
        <row r="81">
          <cell r="I81">
            <v>64658670.2271658</v>
          </cell>
        </row>
        <row r="82">
          <cell r="I82">
            <v>119468022</v>
          </cell>
        </row>
      </sheetData>
      <sheetData sheetId="2"/>
      <sheetData sheetId="3"/>
      <sheetData sheetId="4"/>
      <sheetData sheetId="5">
        <row r="15">
          <cell r="I15">
            <v>86230984.1404011</v>
          </cell>
        </row>
        <row r="17">
          <cell r="I17">
            <v>128177698.537852</v>
          </cell>
        </row>
        <row r="19">
          <cell r="I19">
            <v>289938455.1</v>
          </cell>
        </row>
        <row r="34">
          <cell r="I34">
            <v>0</v>
          </cell>
        </row>
        <row r="37">
          <cell r="I37">
            <v>0</v>
          </cell>
        </row>
        <row r="39">
          <cell r="I39">
            <v>-395120466.365615</v>
          </cell>
        </row>
      </sheetData>
      <sheetData sheetId="6"/>
      <sheetData sheetId="7">
        <row r="30">
          <cell r="D30">
            <v>36741698.630137</v>
          </cell>
        </row>
      </sheetData>
      <sheetData sheetId="8"/>
      <sheetData sheetId="9">
        <row r="14">
          <cell r="B14">
            <v>0</v>
          </cell>
        </row>
      </sheetData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Daily Position"/>
      <sheetName val="Stock Prices"/>
      <sheetName val="Financials"/>
      <sheetName val="Financials QTR"/>
      <sheetName val="Cash-Int-Trans"/>
      <sheetName val="Jedi Shares"/>
      <sheetName val="Amort"/>
      <sheetName val="Shares"/>
      <sheetName val="MPR Raptor"/>
    </sheetNames>
    <sheetDataSet>
      <sheetData sheetId="0">
        <row r="15">
          <cell r="C15">
            <v>-53095720</v>
          </cell>
        </row>
        <row r="21">
          <cell r="C21">
            <v>127221080.66552</v>
          </cell>
        </row>
      </sheetData>
      <sheetData sheetId="1">
        <row r="6">
          <cell r="I6">
            <v>460000000</v>
          </cell>
        </row>
        <row r="6">
          <cell r="O6">
            <v>37117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</row>
        <row r="10">
          <cell r="H10">
            <v>3314340</v>
          </cell>
          <cell r="I10">
            <v>33143400</v>
          </cell>
        </row>
        <row r="10">
          <cell r="N10">
            <v>31.1</v>
          </cell>
        </row>
        <row r="10">
          <cell r="P10">
            <v>-26103336</v>
          </cell>
          <cell r="Q10">
            <v>-7040064</v>
          </cell>
          <cell r="R10">
            <v>-33143400</v>
          </cell>
          <cell r="S10">
            <v>-7040064</v>
          </cell>
          <cell r="T10">
            <v>-33143400</v>
          </cell>
          <cell r="U10">
            <v>30.95</v>
          </cell>
        </row>
        <row r="11">
          <cell r="H11">
            <v>1995232</v>
          </cell>
          <cell r="I11">
            <v>19952320</v>
          </cell>
        </row>
        <row r="11">
          <cell r="P11">
            <v>-15714201.472</v>
          </cell>
          <cell r="Q11">
            <v>-4238118.528</v>
          </cell>
          <cell r="R11">
            <v>-19952320</v>
          </cell>
          <cell r="S11">
            <v>-4238118.528</v>
          </cell>
          <cell r="T11">
            <v>-19952320</v>
          </cell>
        </row>
        <row r="15">
          <cell r="Q15">
            <v>-11278182.528</v>
          </cell>
        </row>
        <row r="21">
          <cell r="I21">
            <v>0</v>
          </cell>
        </row>
      </sheetData>
      <sheetData sheetId="2"/>
      <sheetData sheetId="3">
        <row r="15">
          <cell r="I15">
            <v>78795260.1923077</v>
          </cell>
        </row>
        <row r="16">
          <cell r="I16">
            <v>10995272.0054457</v>
          </cell>
        </row>
        <row r="18">
          <cell r="I18">
            <v>84152633.4432731</v>
          </cell>
        </row>
        <row r="20">
          <cell r="I20">
            <v>280722901.55</v>
          </cell>
        </row>
        <row r="21">
          <cell r="I21">
            <v>146904740.15</v>
          </cell>
        </row>
        <row r="42">
          <cell r="I42">
            <v>127221080.66552</v>
          </cell>
        </row>
      </sheetData>
      <sheetData sheetId="4"/>
      <sheetData sheetId="5">
        <row r="107">
          <cell r="D107">
            <v>31217895.890411</v>
          </cell>
        </row>
      </sheetData>
      <sheetData sheetId="6"/>
      <sheetData sheetId="7"/>
      <sheetData sheetId="8">
        <row r="23">
          <cell r="B23">
            <v>0</v>
          </cell>
        </row>
        <row r="39">
          <cell r="C39">
            <v>6326045</v>
          </cell>
          <cell r="D39">
            <v>118425531</v>
          </cell>
        </row>
      </sheetData>
      <sheetData sheetId="9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Daily Position"/>
      <sheetName val="Stock Prices"/>
      <sheetName val="Private Values"/>
      <sheetName val="Financials"/>
      <sheetName val="Financials QTR"/>
      <sheetName val="Cash-Int-Trans"/>
      <sheetName val="Jedi Shares"/>
      <sheetName val="Amort"/>
      <sheetName val="Shares"/>
      <sheetName val="MRP Raptor"/>
    </sheetNames>
    <sheetDataSet>
      <sheetData sheetId="0">
        <row r="15">
          <cell r="C15">
            <v>0</v>
          </cell>
        </row>
        <row r="18">
          <cell r="C18">
            <v>188053356.063709</v>
          </cell>
        </row>
        <row r="21">
          <cell r="C21">
            <v>316002491.223799</v>
          </cell>
        </row>
      </sheetData>
      <sheetData sheetId="1"/>
      <sheetData sheetId="2"/>
      <sheetData sheetId="3"/>
      <sheetData sheetId="4">
        <row r="15">
          <cell r="I15">
            <v>69914621.9526915</v>
          </cell>
        </row>
        <row r="16">
          <cell r="I16">
            <v>5665507.93884401</v>
          </cell>
        </row>
        <row r="18">
          <cell r="I18">
            <v>80311713.9353348</v>
          </cell>
        </row>
        <row r="20">
          <cell r="I20">
            <v>253484623.15</v>
          </cell>
        </row>
        <row r="21">
          <cell r="I21">
            <v>75695259.85</v>
          </cell>
        </row>
        <row r="31">
          <cell r="I31">
            <v>30000000</v>
          </cell>
        </row>
        <row r="38">
          <cell r="I38">
            <v>0</v>
          </cell>
        </row>
        <row r="41">
          <cell r="I41">
            <v>-40469683.8</v>
          </cell>
        </row>
        <row r="42">
          <cell r="I42">
            <v>316002491.223799</v>
          </cell>
        </row>
      </sheetData>
      <sheetData sheetId="5"/>
      <sheetData sheetId="6"/>
      <sheetData sheetId="7"/>
      <sheetData sheetId="8"/>
      <sheetData sheetId="9">
        <row r="23">
          <cell r="B23">
            <v>0</v>
          </cell>
        </row>
        <row r="39">
          <cell r="C39">
            <v>11686545</v>
          </cell>
          <cell r="D39">
            <v>141147192</v>
          </cell>
        </row>
      </sheetData>
      <sheetData sheetId="10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Credit Analysis"/>
      <sheetName val="Hawaii Summary"/>
      <sheetName val="A Amort"/>
      <sheetName val="A TRS"/>
      <sheetName val="B_D Amort"/>
      <sheetName val="B_D TRS"/>
      <sheetName val="C Amort"/>
      <sheetName val="C TRS"/>
      <sheetName val="Notional Analysis"/>
      <sheetName val="50 NR"/>
      <sheetName val="258 NP"/>
      <sheetName val="R3 258 NP"/>
      <sheetName val="50 NP"/>
      <sheetName val="Initial"/>
      <sheetName val="Financials QTR"/>
    </sheetNames>
    <sheetDataSet>
      <sheetData sheetId="0">
        <row r="18">
          <cell r="C18">
            <v>-216854555.136375</v>
          </cell>
        </row>
      </sheetData>
      <sheetData sheetId="1">
        <row r="16">
          <cell r="E16">
            <v>12589.4916</v>
          </cell>
        </row>
        <row r="27">
          <cell r="C27">
            <v>-279431667</v>
          </cell>
        </row>
        <row r="28">
          <cell r="C28">
            <v>-3806214.64477489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I3">
            <v>51047222.2222222</v>
          </cell>
        </row>
        <row r="24">
          <cell r="C24">
            <v>50000000</v>
          </cell>
        </row>
      </sheetData>
      <sheetData sheetId="12">
        <row r="4">
          <cell r="G4">
            <v>275969066.244896</v>
          </cell>
        </row>
      </sheetData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7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41"/>
    <col collapsed="false" customWidth="true" hidden="false" outlineLevel="0" max="2" min="2" style="0" width="31.56"/>
    <col collapsed="false" customWidth="true" hidden="false" outlineLevel="0" max="3" min="3" style="0" width="14.99"/>
    <col collapsed="false" customWidth="true" hidden="false" outlineLevel="0" max="4" min="4" style="0" width="3.28"/>
    <col collapsed="false" customWidth="true" hidden="false" outlineLevel="0" max="5" min="5" style="1" width="17.85"/>
    <col collapsed="false" customWidth="true" hidden="false" outlineLevel="0" max="7" min="6" style="0" width="18.41"/>
    <col collapsed="false" customWidth="true" hidden="false" outlineLevel="0" max="8" min="8" style="0" width="18.28"/>
    <col collapsed="false" customWidth="true" hidden="false" outlineLevel="0" max="9" min="9" style="0" width="16.42"/>
    <col collapsed="false" customWidth="true" hidden="false" outlineLevel="0" max="10" min="10" style="0" width="4.28"/>
    <col collapsed="false" customWidth="true" hidden="false" outlineLevel="0" max="11" min="11" style="0" width="13.85"/>
    <col collapsed="false" customWidth="true" hidden="false" outlineLevel="0" max="12" min="12" style="0" width="20.41"/>
    <col collapsed="false" customWidth="true" hidden="false" outlineLevel="0" max="13" min="13" style="0" width="4.56"/>
    <col collapsed="false" customWidth="true" hidden="false" outlineLevel="0" max="14" min="14" style="0" width="17.85"/>
    <col collapsed="false" customWidth="true" hidden="false" outlineLevel="0" max="15" min="15" style="0" width="17.7"/>
    <col collapsed="false" customWidth="true" hidden="false" outlineLevel="0" max="16" min="16" style="0" width="3.14"/>
    <col collapsed="false" customWidth="true" hidden="false" outlineLevel="0" max="17" min="17" style="0" width="16.7"/>
    <col collapsed="false" customWidth="true" hidden="false" outlineLevel="0" max="18" min="18" style="0" width="14.56"/>
    <col collapsed="false" customWidth="true" hidden="false" outlineLevel="0" max="19" min="19" style="0" width="19.14"/>
    <col collapsed="false" customWidth="true" hidden="false" outlineLevel="0" max="20" min="20" style="0" width="16.28"/>
    <col collapsed="false" customWidth="true" hidden="false" outlineLevel="0" max="31" min="21" style="0" width="13.7"/>
  </cols>
  <sheetData>
    <row r="1" customFormat="false" ht="12.75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customFormat="false" ht="12.75" hidden="false" customHeight="false" outlineLevel="0" collapsed="false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customFormat="false" ht="12.75" hidden="false" customHeight="false" outlineLevel="0" collapsed="false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customFormat="false" ht="12.75" hidden="false" customHeight="false" outlineLevel="0" collapsed="false">
      <c r="A4" s="4" t="s">
        <v>3</v>
      </c>
      <c r="C4" s="5" t="n">
        <f aca="false">+Table!B4</f>
        <v>5.22</v>
      </c>
    </row>
    <row r="5" customFormat="false" ht="12.75" hidden="false" customHeight="false" outlineLevel="0" collapsed="false">
      <c r="A5" s="0" t="s">
        <v>4</v>
      </c>
      <c r="C5" s="5" t="n">
        <f aca="false">+Table!B5</f>
        <v>42.93</v>
      </c>
      <c r="J5" s="6"/>
    </row>
    <row r="6" customFormat="false" ht="12.75" hidden="false" customHeight="false" outlineLevel="0" collapsed="false">
      <c r="F6" s="6" t="s">
        <v>5</v>
      </c>
      <c r="G6" s="6" t="s">
        <v>6</v>
      </c>
      <c r="H6" s="6" t="s">
        <v>7</v>
      </c>
      <c r="I6" s="6" t="s">
        <v>8</v>
      </c>
      <c r="J6" s="6"/>
      <c r="K6" s="6" t="s">
        <v>9</v>
      </c>
      <c r="L6" s="6" t="s">
        <v>10</v>
      </c>
      <c r="M6" s="6"/>
      <c r="N6" s="6" t="s">
        <v>11</v>
      </c>
      <c r="O6" s="6" t="s">
        <v>12</v>
      </c>
      <c r="P6" s="6"/>
      <c r="Q6" s="6" t="s">
        <v>13</v>
      </c>
    </row>
    <row r="7" customFormat="false" ht="39" hidden="false" customHeight="true" outlineLevel="0" collapsed="false">
      <c r="A7" s="7" t="s">
        <v>14</v>
      </c>
      <c r="B7" s="7" t="s">
        <v>15</v>
      </c>
      <c r="C7" s="7" t="s">
        <v>16</v>
      </c>
      <c r="D7" s="7"/>
      <c r="E7" s="8" t="s">
        <v>17</v>
      </c>
      <c r="F7" s="7" t="s">
        <v>18</v>
      </c>
      <c r="G7" s="7" t="s">
        <v>19</v>
      </c>
      <c r="H7" s="7" t="s">
        <v>20</v>
      </c>
      <c r="I7" s="7" t="s">
        <v>21</v>
      </c>
      <c r="J7" s="7"/>
      <c r="K7" s="7" t="s">
        <v>22</v>
      </c>
      <c r="L7" s="7" t="s">
        <v>23</v>
      </c>
      <c r="M7" s="7"/>
      <c r="N7" s="7" t="s">
        <v>24</v>
      </c>
      <c r="O7" s="7" t="s">
        <v>25</v>
      </c>
      <c r="P7" s="7"/>
      <c r="Q7" s="7" t="s">
        <v>26</v>
      </c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</row>
    <row r="8" customFormat="false" ht="12.75" hidden="false" customHeight="false" outlineLevel="0" collapsed="false">
      <c r="A8" s="10" t="s">
        <v>27</v>
      </c>
      <c r="B8" s="0" t="s">
        <v>28</v>
      </c>
      <c r="C8" s="11" t="n">
        <v>3739175</v>
      </c>
      <c r="D8" s="11" t="s">
        <v>5</v>
      </c>
      <c r="E8" s="1" t="n">
        <v>70.5</v>
      </c>
      <c r="F8" s="12" t="n">
        <f aca="false">C8*E8</f>
        <v>263611837.5</v>
      </c>
      <c r="G8" s="12"/>
      <c r="H8" s="12"/>
      <c r="I8" s="12"/>
      <c r="J8" s="12"/>
      <c r="L8" s="12"/>
      <c r="M8" s="12"/>
    </row>
    <row r="9" customFormat="false" ht="12.75" hidden="false" customHeight="false" outlineLevel="0" collapsed="false">
      <c r="B9" s="0" t="s">
        <v>29</v>
      </c>
      <c r="C9" s="11" t="n">
        <v>3876755</v>
      </c>
      <c r="D9" s="11" t="s">
        <v>6</v>
      </c>
      <c r="E9" s="1" t="n">
        <v>70.5</v>
      </c>
      <c r="F9" s="13" t="n">
        <f aca="false">C9*E9</f>
        <v>273311227.5</v>
      </c>
      <c r="G9" s="12"/>
      <c r="H9" s="12"/>
      <c r="I9" s="12"/>
      <c r="J9" s="12"/>
      <c r="L9" s="12"/>
      <c r="M9" s="12"/>
    </row>
    <row r="10" customFormat="false" ht="12.75" hidden="false" customHeight="false" outlineLevel="0" collapsed="false">
      <c r="B10" s="0" t="s">
        <v>30</v>
      </c>
      <c r="C10" s="11"/>
      <c r="D10" s="11"/>
      <c r="F10" s="12" t="n">
        <f aca="false">SUM(F8:F9)</f>
        <v>536923065</v>
      </c>
      <c r="G10" s="12" t="n">
        <v>350000000</v>
      </c>
      <c r="H10" s="12"/>
      <c r="I10" s="12"/>
      <c r="J10" s="12"/>
      <c r="L10" s="12"/>
      <c r="M10" s="12"/>
    </row>
    <row r="11" customFormat="false" ht="12.75" hidden="false" customHeight="false" outlineLevel="0" collapsed="false">
      <c r="B11" s="0" t="s">
        <v>31</v>
      </c>
      <c r="C11" s="11"/>
      <c r="D11" s="11"/>
      <c r="F11" s="12" t="n">
        <v>50000000</v>
      </c>
      <c r="G11" s="12" t="n">
        <f aca="false">F11</f>
        <v>50000000</v>
      </c>
      <c r="H11" s="12"/>
      <c r="I11" s="12"/>
      <c r="J11" s="12"/>
      <c r="L11" s="12"/>
      <c r="M11" s="12"/>
    </row>
    <row r="12" customFormat="false" ht="12.75" hidden="false" customHeight="false" outlineLevel="0" collapsed="false">
      <c r="B12" s="0" t="s">
        <v>32</v>
      </c>
      <c r="C12" s="11"/>
      <c r="D12" s="11"/>
      <c r="F12" s="13" t="n">
        <v>1000</v>
      </c>
      <c r="G12" s="13" t="n">
        <f aca="false">F12</f>
        <v>1000</v>
      </c>
      <c r="H12" s="14"/>
      <c r="I12" s="14"/>
      <c r="J12" s="14"/>
      <c r="L12" s="14"/>
      <c r="M12" s="14"/>
    </row>
    <row r="13" customFormat="false" ht="12.75" hidden="false" customHeight="false" outlineLevel="0" collapsed="false">
      <c r="B13" s="15" t="s">
        <v>33</v>
      </c>
      <c r="C13" s="11"/>
      <c r="D13" s="11"/>
      <c r="F13" s="12" t="n">
        <f aca="false">SUM(F10:F12)</f>
        <v>586924065</v>
      </c>
      <c r="G13" s="12" t="n">
        <f aca="false">SUM(G10:G12)</f>
        <v>400001000</v>
      </c>
      <c r="H13" s="12" t="n">
        <v>36000000</v>
      </c>
      <c r="I13" s="12" t="n">
        <f aca="false">F13-G13+H13</f>
        <v>222923065</v>
      </c>
      <c r="J13" s="12"/>
      <c r="K13" s="16" t="n">
        <v>-41000000</v>
      </c>
      <c r="L13" s="16" t="n">
        <f aca="false">(C8+C9)*(C5-E8)+[1]Financials!$I$19+H68*C5</f>
        <v>-86461827.15</v>
      </c>
      <c r="M13" s="12" t="s">
        <v>10</v>
      </c>
      <c r="N13" s="16" t="n">
        <f aca="false">+[1]Summary!$C$15</f>
        <v>-532528418.613066</v>
      </c>
      <c r="O13" s="16" t="n">
        <f aca="false">+[1]Financials!$I$17-[1]Financials!$I$15+[1]Financials!$I$37+[1]Financials!$I$34</f>
        <v>41946714.3974506</v>
      </c>
      <c r="P13" s="17"/>
      <c r="Q13" s="16" t="n">
        <f aca="false">ROUND(SUM(I13:O13),2)</f>
        <v>-395120466.37</v>
      </c>
      <c r="R13" s="18" t="n">
        <f aca="false">+Q13-[1]Summary!$C$21</f>
        <v>0</v>
      </c>
      <c r="S13" s="19"/>
    </row>
    <row r="14" customFormat="false" ht="15" hidden="false" customHeight="false" outlineLevel="0" collapsed="false">
      <c r="B14" s="20" t="s">
        <v>34</v>
      </c>
      <c r="C14" s="21" t="s">
        <v>35</v>
      </c>
      <c r="D14" s="21"/>
      <c r="F14" s="12"/>
      <c r="G14" s="12"/>
      <c r="H14" s="12"/>
      <c r="I14" s="12"/>
      <c r="J14" s="12"/>
      <c r="L14" s="12"/>
      <c r="M14" s="12"/>
      <c r="N14" s="16"/>
      <c r="O14" s="16"/>
      <c r="P14" s="16"/>
      <c r="Q14" s="16"/>
    </row>
    <row r="15" customFormat="false" ht="12.75" hidden="false" customHeight="false" outlineLevel="0" collapsed="false">
      <c r="B15" s="4" t="s">
        <v>36</v>
      </c>
      <c r="C15" s="16" t="n">
        <f aca="false">SUM('Raptor I&amp;2 Hedges'!I5:I14)+SUM('Raptor I&amp;2 Hedges'!I51:I55)+'Raptor I&amp;2 Hedges'!I61</f>
        <v>310806225.062834</v>
      </c>
      <c r="D15" s="16"/>
      <c r="F15" s="12"/>
      <c r="G15" s="12"/>
      <c r="H15" s="12"/>
      <c r="I15" s="12"/>
      <c r="J15" s="12"/>
      <c r="L15" s="12"/>
      <c r="M15" s="12"/>
      <c r="N15" s="16"/>
      <c r="O15" s="16"/>
      <c r="P15" s="16"/>
      <c r="Q15" s="16"/>
    </row>
    <row r="16" customFormat="false" ht="12.75" hidden="false" customHeight="false" outlineLevel="0" collapsed="false">
      <c r="B16" s="4" t="s">
        <v>37</v>
      </c>
      <c r="C16" s="22" t="n">
        <f aca="false">+C17-C15</f>
        <v>238748758.78</v>
      </c>
      <c r="D16" s="16"/>
      <c r="F16" s="12"/>
      <c r="G16" s="12"/>
      <c r="H16" s="12"/>
      <c r="I16" s="12"/>
      <c r="J16" s="12"/>
      <c r="L16" s="12"/>
      <c r="M16" s="12"/>
      <c r="N16" s="16"/>
      <c r="O16" s="16"/>
      <c r="P16" s="16"/>
      <c r="Q16" s="16"/>
    </row>
    <row r="17" customFormat="false" ht="13.5" hidden="false" customHeight="false" outlineLevel="0" collapsed="false">
      <c r="B17" s="4" t="s">
        <v>38</v>
      </c>
      <c r="C17" s="23" t="n">
        <f aca="false">+'Raptor I&amp;2 Hedges'!I59+'Raptor I&amp;2 Hedges'!I61+'Raptor I&amp;2 Hedges'!I62</f>
        <v>549554983.842834</v>
      </c>
      <c r="D17" s="11"/>
      <c r="F17" s="12"/>
      <c r="G17" s="12"/>
      <c r="H17" s="12"/>
      <c r="I17" s="12"/>
      <c r="J17" s="12"/>
      <c r="L17" s="12"/>
      <c r="M17" s="12"/>
      <c r="N17" s="16"/>
      <c r="O17" s="16"/>
      <c r="P17" s="16"/>
      <c r="Q17" s="16"/>
    </row>
    <row r="18" customFormat="false" ht="13.5" hidden="false" customHeight="false" outlineLevel="0" collapsed="false">
      <c r="B18" s="15"/>
      <c r="C18" s="11"/>
      <c r="D18" s="11"/>
      <c r="F18" s="12"/>
      <c r="G18" s="12"/>
      <c r="H18" s="12"/>
      <c r="I18" s="12"/>
      <c r="J18" s="12"/>
      <c r="L18" s="12"/>
      <c r="M18" s="12"/>
      <c r="N18" s="16"/>
      <c r="O18" s="16"/>
      <c r="P18" s="16"/>
      <c r="Q18" s="16"/>
    </row>
    <row r="19" customFormat="false" ht="12.75" hidden="false" customHeight="false" outlineLevel="0" collapsed="false">
      <c r="A19" s="10" t="s">
        <v>39</v>
      </c>
      <c r="B19" s="0" t="s">
        <v>29</v>
      </c>
      <c r="C19" s="11" t="n">
        <v>7809790</v>
      </c>
      <c r="D19" s="11" t="s">
        <v>6</v>
      </c>
      <c r="E19" s="1" t="n">
        <v>68.75</v>
      </c>
      <c r="F19" s="12" t="n">
        <f aca="false">C19*E19</f>
        <v>536923062.5</v>
      </c>
      <c r="G19" s="12" t="n">
        <v>350000000</v>
      </c>
      <c r="H19" s="12"/>
      <c r="I19" s="12"/>
      <c r="J19" s="12"/>
      <c r="L19" s="12"/>
      <c r="M19" s="12"/>
    </row>
    <row r="20" customFormat="false" ht="12.75" hidden="false" customHeight="false" outlineLevel="0" collapsed="false">
      <c r="B20" s="0" t="s">
        <v>29</v>
      </c>
      <c r="C20" s="11" t="n">
        <f aca="false">IF(Table!C11=1,+Table!F11,0)</f>
        <v>7919393</v>
      </c>
      <c r="D20" s="11" t="s">
        <v>7</v>
      </c>
      <c r="E20" s="1" t="n">
        <f aca="false">+Table!H11</f>
        <v>61.48</v>
      </c>
      <c r="F20" s="13" t="n">
        <f aca="false">ROUND(+C20*E20,2)</f>
        <v>486884281.64</v>
      </c>
      <c r="G20" s="13" t="n">
        <f aca="false">+C20*ROUND(+E20*(1-Table!J11),2)</f>
        <v>374904064.62</v>
      </c>
      <c r="H20" s="12"/>
      <c r="I20" s="12"/>
      <c r="J20" s="12"/>
      <c r="L20" s="12"/>
      <c r="M20" s="12"/>
    </row>
    <row r="21" customFormat="false" ht="12.75" hidden="false" customHeight="false" outlineLevel="0" collapsed="false">
      <c r="B21" s="0" t="s">
        <v>30</v>
      </c>
      <c r="C21" s="11"/>
      <c r="D21" s="11"/>
      <c r="F21" s="12" t="n">
        <f aca="false">+F19+F20</f>
        <v>1023807344.14</v>
      </c>
      <c r="G21" s="12" t="n">
        <f aca="false">+G19+G20</f>
        <v>724904064.62</v>
      </c>
      <c r="H21" s="12"/>
      <c r="I21" s="12"/>
      <c r="J21" s="12"/>
      <c r="L21" s="12"/>
      <c r="M21" s="12"/>
    </row>
    <row r="22" customFormat="false" ht="12.75" hidden="false" customHeight="false" outlineLevel="0" collapsed="false">
      <c r="B22" s="0" t="s">
        <v>31</v>
      </c>
      <c r="C22" s="11"/>
      <c r="D22" s="11"/>
      <c r="F22" s="12" t="n">
        <f aca="false">G22</f>
        <v>50000000</v>
      </c>
      <c r="G22" s="12" t="n">
        <v>50000000</v>
      </c>
      <c r="H22" s="12"/>
      <c r="I22" s="12"/>
      <c r="J22" s="12"/>
      <c r="L22" s="12"/>
      <c r="M22" s="12"/>
      <c r="N22" s="16"/>
      <c r="O22" s="16"/>
      <c r="P22" s="16"/>
      <c r="Q22" s="16"/>
    </row>
    <row r="23" customFormat="false" ht="12.75" hidden="false" customHeight="false" outlineLevel="0" collapsed="false">
      <c r="B23" s="0" t="s">
        <v>32</v>
      </c>
      <c r="C23" s="11"/>
      <c r="D23" s="11"/>
      <c r="F23" s="13" t="n">
        <f aca="false">G23</f>
        <v>1000</v>
      </c>
      <c r="G23" s="13" t="n">
        <v>1000</v>
      </c>
      <c r="H23" s="14"/>
      <c r="I23" s="14"/>
      <c r="J23" s="14"/>
      <c r="L23" s="14"/>
      <c r="M23" s="14"/>
      <c r="N23" s="16"/>
      <c r="O23" s="16"/>
      <c r="P23" s="16"/>
      <c r="Q23" s="16"/>
    </row>
    <row r="24" customFormat="false" ht="12.75" hidden="false" customHeight="false" outlineLevel="0" collapsed="false">
      <c r="B24" s="15" t="s">
        <v>33</v>
      </c>
      <c r="C24" s="11"/>
      <c r="D24" s="11"/>
      <c r="F24" s="12" t="n">
        <f aca="false">SUM(F21:F23)</f>
        <v>1073808344.14</v>
      </c>
      <c r="G24" s="12" t="n">
        <f aca="false">SUM(G21:G23)</f>
        <v>774905064.62</v>
      </c>
      <c r="H24" s="12" t="n">
        <v>31100000</v>
      </c>
      <c r="I24" s="12" t="n">
        <f aca="false">F24-G24+H24</f>
        <v>330003279.52</v>
      </c>
      <c r="J24" s="12"/>
      <c r="K24" s="16" t="n">
        <v>-41000000</v>
      </c>
      <c r="L24" s="16" t="n">
        <f aca="false">C19*(C5-E19)+[2]Financials!$I$20+C20*(C5-E20)+[2]Financials!$I$21+H69*C5+[2]Shares!$C$39*C5-[2]Shares!$D$39</f>
        <v>-103048580.1</v>
      </c>
      <c r="M24" s="24" t="s">
        <v>40</v>
      </c>
      <c r="N24" s="16" t="n">
        <f aca="false">+[2]Summary!$C$15</f>
        <v>-53095720</v>
      </c>
      <c r="O24" s="16" t="n">
        <f aca="false">+[2]Financials!$I$18-[2]Financials!$I$15-[2]Financials!$I$16</f>
        <v>-5637898.75448031</v>
      </c>
      <c r="P24" s="17"/>
      <c r="Q24" s="16" t="n">
        <f aca="false">SUM(I24:O24)</f>
        <v>127221080.66552</v>
      </c>
      <c r="R24" s="18" t="n">
        <f aca="false">+Q24-[2]Summary!$C$21</f>
        <v>0</v>
      </c>
      <c r="S24" s="19"/>
    </row>
    <row r="25" customFormat="false" ht="12.75" hidden="false" customHeight="false" outlineLevel="0" collapsed="false">
      <c r="B25" s="20" t="str">
        <f aca="false">B14</f>
        <v>Hedged Exposures</v>
      </c>
      <c r="C25" s="21" t="str">
        <f aca="false">C14</f>
        <v>Net Notional Amount</v>
      </c>
      <c r="D25" s="21"/>
      <c r="F25" s="12"/>
      <c r="G25" s="12"/>
      <c r="H25" s="12"/>
      <c r="I25" s="12"/>
      <c r="J25" s="12"/>
      <c r="L25" s="12"/>
      <c r="M25" s="12"/>
      <c r="N25" s="16"/>
      <c r="O25" s="16"/>
      <c r="P25" s="16"/>
      <c r="Q25" s="16"/>
    </row>
    <row r="26" customFormat="false" ht="12.75" hidden="false" customHeight="false" outlineLevel="0" collapsed="false">
      <c r="B26" s="0" t="s">
        <v>41</v>
      </c>
      <c r="C26" s="11" t="n">
        <f aca="false">+'Raptor I&amp;2 Hedges'!I77</f>
        <v>41817537.472</v>
      </c>
      <c r="D26" s="11"/>
      <c r="F26" s="12"/>
      <c r="G26" s="12"/>
      <c r="H26" s="12"/>
      <c r="I26" s="12"/>
      <c r="J26" s="12"/>
      <c r="L26" s="12"/>
      <c r="M26" s="12"/>
    </row>
    <row r="27" customFormat="false" ht="12.75" hidden="false" customHeight="false" outlineLevel="0" collapsed="false">
      <c r="C27" s="16"/>
      <c r="D27" s="16"/>
      <c r="F27" s="12"/>
      <c r="G27" s="12"/>
      <c r="H27" s="12"/>
      <c r="I27" s="12"/>
      <c r="J27" s="12"/>
      <c r="L27" s="12"/>
      <c r="M27" s="12"/>
    </row>
    <row r="28" customFormat="false" ht="12.75" hidden="false" customHeight="false" outlineLevel="0" collapsed="false">
      <c r="A28" s="10" t="s">
        <v>42</v>
      </c>
      <c r="B28" s="0" t="str">
        <f aca="false">B19</f>
        <v>Forward on ENE Common Stock</v>
      </c>
      <c r="C28" s="11" t="n">
        <v>6326045</v>
      </c>
      <c r="D28" s="11" t="s">
        <v>6</v>
      </c>
      <c r="E28" s="1" t="n">
        <v>84.875</v>
      </c>
      <c r="F28" s="12" t="n">
        <f aca="false">C28*E28</f>
        <v>536923069.375</v>
      </c>
      <c r="G28" s="12" t="n">
        <v>350000000</v>
      </c>
      <c r="H28" s="12"/>
      <c r="I28" s="12"/>
      <c r="J28" s="12"/>
      <c r="L28" s="12"/>
      <c r="M28" s="12"/>
    </row>
    <row r="29" customFormat="false" ht="12.75" hidden="false" customHeight="false" outlineLevel="0" collapsed="false">
      <c r="B29" s="0" t="s">
        <v>29</v>
      </c>
      <c r="C29" s="11" t="n">
        <f aca="false">IF(Table!C13=1,+Table!F13,0)</f>
        <v>4080607</v>
      </c>
      <c r="D29" s="11" t="s">
        <v>7</v>
      </c>
      <c r="E29" s="1" t="n">
        <f aca="false">+Table!H13</f>
        <v>61.48</v>
      </c>
      <c r="F29" s="13" t="n">
        <f aca="false">ROUND(+C29*E29,2)</f>
        <v>250875718.36</v>
      </c>
      <c r="G29" s="13" t="n">
        <f aca="false">+C29*ROUND(+E29*(1-Table!J13),2)</f>
        <v>193175935.38</v>
      </c>
      <c r="H29" s="12"/>
      <c r="I29" s="12"/>
      <c r="J29" s="12"/>
      <c r="L29" s="12"/>
      <c r="M29" s="12"/>
    </row>
    <row r="30" customFormat="false" ht="12.75" hidden="false" customHeight="false" outlineLevel="0" collapsed="false">
      <c r="B30" s="0" t="s">
        <v>30</v>
      </c>
      <c r="C30" s="11"/>
      <c r="D30" s="11"/>
      <c r="F30" s="12" t="n">
        <f aca="false">+F28+F29</f>
        <v>787798787.735</v>
      </c>
      <c r="G30" s="12" t="n">
        <f aca="false">+G28+G29</f>
        <v>543175935.38</v>
      </c>
      <c r="H30" s="12"/>
      <c r="I30" s="12"/>
      <c r="J30" s="12"/>
      <c r="L30" s="12"/>
      <c r="M30" s="12"/>
    </row>
    <row r="31" customFormat="false" ht="12.75" hidden="false" customHeight="false" outlineLevel="0" collapsed="false">
      <c r="B31" s="0" t="s">
        <v>31</v>
      </c>
      <c r="C31" s="11"/>
      <c r="D31" s="11"/>
      <c r="F31" s="12" t="n">
        <v>50000000</v>
      </c>
      <c r="G31" s="12" t="n">
        <f aca="false">F31</f>
        <v>50000000</v>
      </c>
      <c r="H31" s="12"/>
      <c r="I31" s="12"/>
      <c r="J31" s="12"/>
      <c r="L31" s="12"/>
      <c r="M31" s="12"/>
    </row>
    <row r="32" customFormat="false" ht="12.75" hidden="false" customHeight="false" outlineLevel="0" collapsed="false">
      <c r="B32" s="0" t="s">
        <v>32</v>
      </c>
      <c r="C32" s="11"/>
      <c r="D32" s="11"/>
      <c r="F32" s="13" t="n">
        <v>1000</v>
      </c>
      <c r="G32" s="13" t="n">
        <f aca="false">F32</f>
        <v>1000</v>
      </c>
      <c r="H32" s="14"/>
      <c r="I32" s="14"/>
      <c r="J32" s="14"/>
      <c r="L32" s="14"/>
      <c r="M32" s="14"/>
    </row>
    <row r="33" customFormat="false" ht="12.75" hidden="false" customHeight="false" outlineLevel="0" collapsed="false">
      <c r="B33" s="15" t="s">
        <v>33</v>
      </c>
      <c r="C33" s="11"/>
      <c r="D33" s="11"/>
      <c r="F33" s="14" t="n">
        <f aca="false">SUM(F30:F32)</f>
        <v>837799787.735</v>
      </c>
      <c r="G33" s="14" t="n">
        <f aca="false">SUM(G30:G32)</f>
        <v>593176935.38</v>
      </c>
      <c r="H33" s="14" t="n">
        <f aca="false">+[3]Financials!$I$31+[3]Financials!$I$38</f>
        <v>30000000</v>
      </c>
      <c r="I33" s="12" t="n">
        <f aca="false">F33-G33+H33</f>
        <v>274622852.355</v>
      </c>
      <c r="J33" s="12"/>
      <c r="K33" s="16" t="n">
        <f aca="false">+[3]Financials!$I$41</f>
        <v>-40469683.8</v>
      </c>
      <c r="L33" s="16" t="n">
        <f aca="false">C28*(C5-E28)+[3]Financials!$I$20+C29*(C5-E29)+[3]Financials!$I$21+H70*C5+[3]Shares!$C$39*C5-[3]Shares!$D$39</f>
        <v>77117738.625</v>
      </c>
      <c r="M33" s="25" t="s">
        <v>43</v>
      </c>
      <c r="N33" s="16" t="n">
        <f aca="false">+[3]Summary!$C$15</f>
        <v>0</v>
      </c>
      <c r="O33" s="16" t="n">
        <f aca="false">+[3]Financials!$I$18-[3]Financials!$I$15-[3]Financials!$I$16</f>
        <v>4731584.04379934</v>
      </c>
      <c r="P33" s="17"/>
      <c r="Q33" s="16" t="n">
        <f aca="false">SUM(I33:O33)</f>
        <v>316002491.223799</v>
      </c>
      <c r="R33" s="18" t="n">
        <f aca="false">ROUND(+Q33-[3]Summary!$C$21,2)</f>
        <v>0</v>
      </c>
      <c r="S33" s="19"/>
    </row>
    <row r="34" customFormat="false" ht="12.75" hidden="false" customHeight="false" outlineLevel="0" collapsed="false">
      <c r="B34" s="20" t="s">
        <v>34</v>
      </c>
      <c r="C34" s="21" t="s">
        <v>35</v>
      </c>
      <c r="D34" s="21"/>
      <c r="F34" s="14"/>
      <c r="G34" s="14"/>
      <c r="H34" s="14"/>
      <c r="I34" s="14"/>
      <c r="J34" s="14"/>
      <c r="L34" s="14"/>
      <c r="M34" s="14"/>
      <c r="N34" s="16"/>
      <c r="O34" s="16"/>
      <c r="P34" s="16"/>
      <c r="Q34" s="16"/>
    </row>
    <row r="35" customFormat="false" ht="12.75" hidden="false" customHeight="false" outlineLevel="0" collapsed="false">
      <c r="B35" s="15" t="s">
        <v>44</v>
      </c>
      <c r="C35" s="11" t="n">
        <f aca="false">+[3]Summary!$C$18</f>
        <v>188053356.063709</v>
      </c>
      <c r="D35" s="11"/>
      <c r="F35" s="14"/>
      <c r="G35" s="14"/>
      <c r="H35" s="14"/>
      <c r="I35" s="14"/>
      <c r="J35" s="14"/>
      <c r="L35" s="14"/>
      <c r="M35" s="14"/>
      <c r="N35" s="16"/>
      <c r="O35" s="16"/>
      <c r="P35" s="16"/>
      <c r="Q35" s="16"/>
    </row>
    <row r="36" customFormat="false" ht="12.75" hidden="false" customHeight="false" outlineLevel="0" collapsed="false">
      <c r="B36" s="15"/>
      <c r="C36" s="11"/>
      <c r="D36" s="11"/>
      <c r="F36" s="14"/>
      <c r="G36" s="14"/>
      <c r="H36" s="14"/>
      <c r="I36" s="14"/>
      <c r="J36" s="14"/>
      <c r="L36" s="14"/>
      <c r="M36" s="14"/>
      <c r="N36" s="16"/>
      <c r="O36" s="16"/>
      <c r="P36" s="16"/>
      <c r="Q36" s="16"/>
    </row>
    <row r="37" customFormat="false" ht="12.75" hidden="false" customHeight="false" outlineLevel="0" collapsed="false">
      <c r="B37" s="15"/>
      <c r="C37" s="11"/>
      <c r="D37" s="11"/>
      <c r="F37" s="14"/>
      <c r="G37" s="14"/>
      <c r="H37" s="14"/>
      <c r="I37" s="14"/>
      <c r="J37" s="14"/>
      <c r="L37" s="14"/>
      <c r="M37" s="14"/>
      <c r="N37" s="16"/>
      <c r="O37" s="16"/>
      <c r="P37" s="16"/>
      <c r="Q37" s="16"/>
    </row>
    <row r="38" customFormat="false" ht="12.75" hidden="false" customHeight="false" outlineLevel="0" collapsed="false">
      <c r="A38" s="10" t="s">
        <v>45</v>
      </c>
      <c r="B38" s="0" t="s">
        <v>46</v>
      </c>
      <c r="C38" s="11" t="n">
        <f aca="false">120589*200</f>
        <v>24117800</v>
      </c>
      <c r="D38" s="11"/>
      <c r="E38" s="1" t="n">
        <f aca="false">2150/200</f>
        <v>10.75</v>
      </c>
      <c r="F38" s="12" t="n">
        <f aca="false">C38*E38</f>
        <v>259266350</v>
      </c>
      <c r="G38" s="26" t="s">
        <v>47</v>
      </c>
      <c r="H38" s="12"/>
      <c r="I38" s="12"/>
      <c r="J38" s="12"/>
      <c r="L38" s="12"/>
      <c r="M38" s="12"/>
    </row>
    <row r="39" customFormat="false" ht="12.75" hidden="false" customHeight="false" outlineLevel="0" collapsed="false">
      <c r="B39" s="0" t="s">
        <v>31</v>
      </c>
      <c r="C39" s="11"/>
      <c r="D39" s="11"/>
      <c r="F39" s="12" t="n">
        <v>50000000</v>
      </c>
      <c r="G39" s="26" t="s">
        <v>47</v>
      </c>
      <c r="H39" s="12"/>
      <c r="I39" s="12"/>
      <c r="J39" s="12"/>
      <c r="L39" s="12"/>
      <c r="M39" s="12"/>
    </row>
    <row r="40" customFormat="false" ht="12.75" hidden="false" customHeight="false" outlineLevel="0" collapsed="false">
      <c r="B40" s="0" t="s">
        <v>32</v>
      </c>
      <c r="C40" s="11"/>
      <c r="D40" s="11"/>
      <c r="F40" s="13" t="n">
        <v>1000</v>
      </c>
      <c r="G40" s="27" t="s">
        <v>47</v>
      </c>
      <c r="H40" s="14"/>
      <c r="I40" s="14"/>
      <c r="J40" s="14"/>
      <c r="L40" s="14"/>
      <c r="M40" s="14"/>
    </row>
    <row r="41" customFormat="false" ht="12.75" hidden="false" customHeight="false" outlineLevel="0" collapsed="false">
      <c r="B41" s="15" t="s">
        <v>33</v>
      </c>
      <c r="C41" s="11"/>
      <c r="D41" s="11"/>
      <c r="F41" s="12" t="n">
        <f aca="false">SUM(F38:F40)</f>
        <v>309267350</v>
      </c>
      <c r="G41" s="12" t="n">
        <f aca="false">F41</f>
        <v>309267350</v>
      </c>
      <c r="H41" s="12" t="n">
        <v>30000000</v>
      </c>
      <c r="I41" s="12" t="n">
        <f aca="false">(C38*21)+H41+F40</f>
        <v>536474800</v>
      </c>
      <c r="J41" s="12" t="s">
        <v>48</v>
      </c>
      <c r="K41" s="16" t="n">
        <v>-39500000</v>
      </c>
      <c r="L41" s="12" t="n">
        <f aca="false">C38*(C4-21)-'[4]258 NP'!$C$24</f>
        <v>-430578884</v>
      </c>
      <c r="M41" s="28" t="s">
        <v>9</v>
      </c>
      <c r="N41" s="16" t="n">
        <f aca="false">+'[4]Credit Analysis'!$C$27</f>
        <v>-279431667</v>
      </c>
      <c r="O41" s="16" t="n">
        <f aca="false">+'[4]Credit Analysis'!$C$28-'[4]Credit Analysis'!$E$16</f>
        <v>-3818804.13637489</v>
      </c>
      <c r="P41" s="17"/>
      <c r="Q41" s="16" t="n">
        <f aca="false">SUM(I41:O41)</f>
        <v>-216854555.136375</v>
      </c>
      <c r="R41" s="29" t="n">
        <f aca="false">ROUND(+Q41-[4]Summary!$C$18,2)</f>
        <v>0</v>
      </c>
      <c r="S41" s="19"/>
    </row>
    <row r="42" customFormat="false" ht="12.75" hidden="false" customHeight="false" outlineLevel="0" collapsed="false">
      <c r="B42" s="20" t="s">
        <v>34</v>
      </c>
      <c r="C42" s="21" t="s">
        <v>49</v>
      </c>
      <c r="D42" s="21"/>
      <c r="F42" s="12"/>
      <c r="G42" s="12"/>
      <c r="H42" s="12"/>
      <c r="I42" s="12"/>
      <c r="J42" s="12"/>
      <c r="L42" s="12"/>
      <c r="M42" s="12"/>
    </row>
    <row r="43" customFormat="false" ht="13.5" hidden="false" customHeight="false" outlineLevel="0" collapsed="false">
      <c r="B43" s="0" t="s">
        <v>50</v>
      </c>
      <c r="C43" s="30" t="n">
        <f aca="false">B44*21</f>
        <v>378176400</v>
      </c>
      <c r="D43" s="31"/>
      <c r="T43" s="32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customFormat="false" ht="13.5" hidden="true" customHeight="false" outlineLevel="0" collapsed="false">
      <c r="B44" s="0" t="n">
        <v>18008400</v>
      </c>
      <c r="C44" s="11"/>
      <c r="D44" s="11"/>
      <c r="F44" s="12"/>
      <c r="G44" s="12"/>
      <c r="H44" s="12"/>
      <c r="I44" s="12"/>
      <c r="J44" s="12"/>
      <c r="L44" s="12"/>
      <c r="M44" s="1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</row>
    <row r="45" customFormat="false" ht="13.5" hidden="false" customHeight="false" outlineLevel="0" collapsed="false">
      <c r="M45" s="32"/>
      <c r="T45" s="1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</row>
    <row r="46" customFormat="false" ht="12.75" hidden="false" customHeight="false" outlineLevel="0" collapsed="false">
      <c r="C46" s="11" t="n">
        <f aca="false">+C38*8.8</f>
        <v>212236640</v>
      </c>
      <c r="D46" s="11"/>
      <c r="H46" s="35"/>
      <c r="I46" s="35"/>
      <c r="K46" s="35"/>
      <c r="L46" s="35"/>
      <c r="M46" s="14"/>
      <c r="N46" s="35"/>
      <c r="O46" s="35"/>
      <c r="P46" s="32"/>
      <c r="Q46" s="35"/>
      <c r="T46" s="32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 customFormat="false" ht="13.5" hidden="false" customHeight="false" outlineLevel="0" collapsed="false">
      <c r="A47" s="10" t="s">
        <v>51</v>
      </c>
      <c r="H47" s="36" t="n">
        <f aca="false">H13+H24+H41+H33</f>
        <v>127100000</v>
      </c>
      <c r="I47" s="36" t="n">
        <f aca="false">I13+I24+I41+I33</f>
        <v>1364023996.875</v>
      </c>
      <c r="K47" s="36" t="n">
        <f aca="false">K13+K24+K41+K33</f>
        <v>-161969683.8</v>
      </c>
      <c r="L47" s="36" t="n">
        <f aca="false">L13+L24+L41+L33</f>
        <v>-542971552.625</v>
      </c>
      <c r="M47" s="14"/>
      <c r="N47" s="36" t="n">
        <f aca="false">N13+N24+N41+N33</f>
        <v>-865055805.613066</v>
      </c>
      <c r="O47" s="36" t="n">
        <f aca="false">O13+O24+O41+O33</f>
        <v>37221595.5503947</v>
      </c>
      <c r="P47" s="14"/>
      <c r="Q47" s="36" t="n">
        <f aca="false">Q13+Q24+Q41+Q33</f>
        <v>-168751449.617056</v>
      </c>
      <c r="T47" s="32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 customFormat="false" ht="13.5" hidden="false" customHeight="false" outlineLevel="0" collapsed="false">
      <c r="T48" s="32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</row>
    <row r="49" customFormat="false" ht="12.75" hidden="false" customHeight="false" outlineLevel="0" collapsed="false">
      <c r="A49" s="37" t="s">
        <v>52</v>
      </c>
      <c r="M49" s="0" t="s">
        <v>53</v>
      </c>
      <c r="T49" s="32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</row>
    <row r="50" customFormat="false" ht="12.75" hidden="false" customHeight="false" outlineLevel="0" collapsed="false">
      <c r="A50" s="0" t="s">
        <v>54</v>
      </c>
      <c r="M50" s="0" t="s">
        <v>55</v>
      </c>
      <c r="Q50" s="14" t="n">
        <f aca="false">-(IF(Q13&gt;'[1]Cash-Int-Trans'!$D$30,'[1]Cash-Int-Trans'!$D$30,IF(Q13&lt;0,0,Q13))+IF(Q24&gt;'[2]Cash-Int-Trans'!$D$107,'[2]Cash-Int-Trans'!$D$107,IF(Q24&lt;0,0,Q24))+IF(Q33&gt;H33,H33,IF(Q33&lt;0,0,Q33))+IF((Q41-'[4]R3 258 NP'!$G$4+'[4]258 NP'!$I$3)&gt;H41,H41,IF((Q41-'[4]R3 258 NP'!$G$4+'[4]258 NP'!$I$3)&lt;0,0,Q41)))</f>
        <v>-61217895.890411</v>
      </c>
      <c r="T50" s="32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</row>
    <row r="51" customFormat="false" ht="12.75" hidden="false" customHeight="false" outlineLevel="0" collapsed="false">
      <c r="A51" s="0" t="s">
        <v>56</v>
      </c>
      <c r="Q51" s="37"/>
      <c r="T51" s="32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</row>
    <row r="52" customFormat="false" ht="12.75" hidden="false" customHeight="false" outlineLevel="0" collapsed="false">
      <c r="A52" s="0" t="s">
        <v>57</v>
      </c>
      <c r="Q52" s="32"/>
      <c r="T52" s="32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</row>
    <row r="53" customFormat="false" ht="12.75" hidden="false" customHeight="false" outlineLevel="0" collapsed="false">
      <c r="A53" s="0" t="s">
        <v>58</v>
      </c>
      <c r="E53" s="0"/>
      <c r="T53" s="32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</row>
    <row r="54" customFormat="false" ht="13.5" hidden="false" customHeight="false" outlineLevel="0" collapsed="false">
      <c r="A54" s="0" t="s">
        <v>59</v>
      </c>
      <c r="E54" s="0"/>
      <c r="M54" s="12" t="s">
        <v>60</v>
      </c>
      <c r="Q54" s="36" t="n">
        <f aca="false">+Q47+Q50</f>
        <v>-229969345.507467</v>
      </c>
      <c r="T54" s="32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</row>
    <row r="55" customFormat="false" ht="13.5" hidden="false" customHeight="false" outlineLevel="0" collapsed="false">
      <c r="A55" s="0" t="s">
        <v>61</v>
      </c>
      <c r="E55" s="0"/>
      <c r="M55" s="12"/>
      <c r="Q55" s="14"/>
      <c r="T55" s="32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</row>
    <row r="56" customFormat="false" ht="12.75" hidden="false" customHeight="false" outlineLevel="0" collapsed="false">
      <c r="A56" s="0" t="s">
        <v>62</v>
      </c>
      <c r="E56" s="0"/>
    </row>
    <row r="57" customFormat="false" ht="12.75" hidden="false" customHeight="false" outlineLevel="0" collapsed="false">
      <c r="A57" s="0" t="s">
        <v>63</v>
      </c>
      <c r="E57" s="0"/>
    </row>
    <row r="58" customFormat="false" ht="12.75" hidden="false" customHeight="false" outlineLevel="0" collapsed="false">
      <c r="A58" s="0" t="s">
        <v>64</v>
      </c>
      <c r="E58" s="0"/>
    </row>
    <row r="59" customFormat="false" ht="12.75" hidden="false" customHeight="false" outlineLevel="0" collapsed="false">
      <c r="A59" s="0" t="s">
        <v>65</v>
      </c>
      <c r="E59" s="0"/>
    </row>
    <row r="60" customFormat="false" ht="12.75" hidden="false" customHeight="false" outlineLevel="0" collapsed="false">
      <c r="A60" s="0" t="s">
        <v>66</v>
      </c>
      <c r="E60" s="0"/>
    </row>
    <row r="61" customFormat="false" ht="12.75" hidden="false" customHeight="false" outlineLevel="0" collapsed="false">
      <c r="E61" s="0"/>
    </row>
    <row r="62" customFormat="false" ht="12.75" hidden="false" customHeight="false" outlineLevel="0" collapsed="false">
      <c r="E62" s="38" t="s">
        <v>67</v>
      </c>
      <c r="F62" s="27" t="s">
        <v>68</v>
      </c>
      <c r="G62" s="27" t="s">
        <v>69</v>
      </c>
      <c r="H62" s="27" t="s">
        <v>70</v>
      </c>
      <c r="I62" s="27" t="s">
        <v>71</v>
      </c>
    </row>
    <row r="63" customFormat="false" ht="12.75" hidden="false" customHeight="false" outlineLevel="0" collapsed="false">
      <c r="A63" s="32" t="s">
        <v>72</v>
      </c>
      <c r="E63" s="1" t="n">
        <f aca="false">+C5</f>
        <v>42.93</v>
      </c>
    </row>
    <row r="64" customFormat="false" ht="12.75" hidden="false" customHeight="false" outlineLevel="0" collapsed="false">
      <c r="B64" s="0" t="s">
        <v>73</v>
      </c>
      <c r="C64" s="39" t="n">
        <v>50000000</v>
      </c>
      <c r="E64" s="12" t="n">
        <f aca="false">C64*E63</f>
        <v>2146500000</v>
      </c>
      <c r="F64" s="11" t="n">
        <f aca="false">ROUND(E64/E63+0.49,0)</f>
        <v>50000000</v>
      </c>
      <c r="G64" s="11"/>
      <c r="H64" s="11"/>
      <c r="I64" s="11"/>
    </row>
    <row r="65" customFormat="false" ht="12.75" hidden="false" customHeight="false" outlineLevel="0" collapsed="false">
      <c r="B65" s="0" t="s">
        <v>74</v>
      </c>
      <c r="E65" s="22" t="n">
        <f aca="false">1400000000+1027000000+500000</f>
        <v>2427500000</v>
      </c>
      <c r="F65" s="40" t="n">
        <f aca="false">ROUND(E65/E63+0.49,0)</f>
        <v>56545540</v>
      </c>
      <c r="G65" s="40"/>
      <c r="H65" s="40"/>
      <c r="I65" s="40"/>
    </row>
    <row r="66" customFormat="false" ht="12.75" hidden="false" customHeight="false" outlineLevel="0" collapsed="false">
      <c r="B66" s="0" t="s">
        <v>75</v>
      </c>
      <c r="E66" s="16" t="n">
        <f aca="false">E64-E65</f>
        <v>-281000000</v>
      </c>
      <c r="F66" s="41" t="n">
        <f aca="false">F64-F65</f>
        <v>-6545540</v>
      </c>
      <c r="G66" s="41"/>
      <c r="H66" s="41"/>
      <c r="I66" s="41"/>
    </row>
    <row r="67" customFormat="false" ht="12.75" hidden="false" customHeight="false" outlineLevel="0" collapsed="false">
      <c r="B67" s="0" t="s">
        <v>53</v>
      </c>
    </row>
    <row r="68" customFormat="false" ht="12.75" hidden="false" customHeight="false" outlineLevel="0" collapsed="false">
      <c r="B68" s="0" t="s">
        <v>76</v>
      </c>
      <c r="E68" s="16" t="n">
        <f aca="false">+F68*E63</f>
        <v>0</v>
      </c>
      <c r="F68" s="11" t="n">
        <f aca="false">+[1]Shares!$B$14</f>
        <v>0</v>
      </c>
      <c r="G68" s="11" t="n">
        <v>3876755</v>
      </c>
      <c r="H68" s="11" t="n">
        <f aca="false">+F68-G68</f>
        <v>-3876755</v>
      </c>
      <c r="I68" s="11" t="n">
        <f aca="false">-H68</f>
        <v>3876755</v>
      </c>
    </row>
    <row r="69" customFormat="false" ht="12.75" hidden="false" customHeight="false" outlineLevel="0" collapsed="false">
      <c r="B69" s="0" t="s">
        <v>77</v>
      </c>
      <c r="E69" s="16" t="n">
        <f aca="false">+F69*E63</f>
        <v>0</v>
      </c>
      <c r="F69" s="11" t="n">
        <f aca="false">+[2]Shares!$B$23</f>
        <v>0</v>
      </c>
      <c r="G69" s="11" t="n">
        <v>7809790</v>
      </c>
      <c r="H69" s="11" t="n">
        <f aca="false">+F69-G69</f>
        <v>-7809790</v>
      </c>
      <c r="I69" s="11" t="n">
        <f aca="false">-H69</f>
        <v>7809790</v>
      </c>
    </row>
    <row r="70" customFormat="false" ht="12.75" hidden="false" customHeight="false" outlineLevel="0" collapsed="false">
      <c r="B70" s="0" t="s">
        <v>78</v>
      </c>
      <c r="E70" s="22" t="n">
        <f aca="false">+F70*E63</f>
        <v>0</v>
      </c>
      <c r="F70" s="40" t="n">
        <f aca="false">+[3]Shares!$B$23</f>
        <v>0</v>
      </c>
      <c r="G70" s="40" t="n">
        <v>6326045</v>
      </c>
      <c r="H70" s="40" t="n">
        <f aca="false">+F70-G70</f>
        <v>-6326045</v>
      </c>
      <c r="I70" s="40" t="n">
        <f aca="false">-H70</f>
        <v>6326045</v>
      </c>
    </row>
    <row r="72" customFormat="false" ht="13.5" hidden="false" customHeight="false" outlineLevel="0" collapsed="false">
      <c r="B72" s="0" t="s">
        <v>79</v>
      </c>
      <c r="E72" s="42" t="n">
        <f aca="false">E66-SUM(E68:E70)</f>
        <v>-281000000</v>
      </c>
      <c r="F72" s="43" t="n">
        <f aca="false">F66-SUM(F68:F70)</f>
        <v>-6545540</v>
      </c>
      <c r="G72" s="43"/>
      <c r="H72" s="43" t="n">
        <f aca="false">SUM(H68:H70)</f>
        <v>-18012590</v>
      </c>
      <c r="I72" s="43" t="n">
        <f aca="false">SUM(I68:I70)</f>
        <v>18012590</v>
      </c>
    </row>
    <row r="73" customFormat="false" ht="13.5" hidden="false" customHeight="false" outlineLevel="0" collapsed="false"/>
    <row r="75" customFormat="false" ht="12.75" hidden="false" customHeight="false" outlineLevel="0" collapsed="false">
      <c r="F75" s="11"/>
    </row>
  </sheetData>
  <mergeCells count="3">
    <mergeCell ref="A1:Q1"/>
    <mergeCell ref="A2:Q2"/>
    <mergeCell ref="A3:Q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>&amp;L&amp;F&amp;R&amp;D  &amp;T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2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0" activeCellId="0" sqref="A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4.41"/>
    <col collapsed="false" customWidth="true" hidden="false" outlineLevel="0" max="2" min="2" style="0" width="19.28"/>
    <col collapsed="false" customWidth="true" hidden="false" outlineLevel="0" max="3" min="3" style="0" width="15.41"/>
    <col collapsed="false" customWidth="true" hidden="false" outlineLevel="0" max="4" min="4" style="0" width="15.56"/>
    <col collapsed="false" customWidth="true" hidden="false" outlineLevel="0" max="5" min="5" style="0" width="15.13"/>
    <col collapsed="false" customWidth="true" hidden="false" outlineLevel="0" max="7" min="6" style="0" width="15.85"/>
    <col collapsed="false" customWidth="true" hidden="false" outlineLevel="0" max="8" min="8" style="0" width="16.13"/>
    <col collapsed="false" customWidth="true" hidden="false" outlineLevel="0" max="9" min="9" style="0" width="16.7"/>
    <col collapsed="false" customWidth="true" hidden="false" outlineLevel="0" max="10" min="10" style="0" width="15.99"/>
    <col collapsed="false" customWidth="true" hidden="false" outlineLevel="0" max="11" min="11" style="0" width="14.99"/>
    <col collapsed="false" customWidth="true" hidden="false" outlineLevel="0" max="12" min="12" style="0" width="15.41"/>
    <col collapsed="false" customWidth="true" hidden="false" outlineLevel="0" max="13" min="13" style="0" width="13.7"/>
    <col collapsed="false" customWidth="true" hidden="false" outlineLevel="0" max="15" min="15" style="0" width="4.56"/>
    <col collapsed="false" customWidth="true" hidden="false" outlineLevel="0" max="17" min="17" style="0" width="12.28"/>
    <col collapsed="false" customWidth="true" hidden="false" outlineLevel="0" max="18" min="18" style="0" width="14.99"/>
    <col collapsed="false" customWidth="true" hidden="false" outlineLevel="0" max="19" min="19" style="0" width="4.14"/>
    <col collapsed="false" customWidth="true" hidden="false" outlineLevel="0" max="22" min="20" style="0" width="13.56"/>
    <col collapsed="false" customWidth="true" hidden="false" outlineLevel="0" max="23" min="23" style="0" width="4.85"/>
    <col collapsed="false" customWidth="true" hidden="false" outlineLevel="0" max="25" min="25" style="0" width="13.85"/>
    <col collapsed="false" customWidth="true" hidden="false" outlineLevel="0" max="27" min="26" style="0" width="15.99"/>
    <col collapsed="false" customWidth="true" hidden="false" outlineLevel="0" max="30" min="28" style="0" width="17.7"/>
  </cols>
  <sheetData>
    <row r="1" customFormat="false" ht="13.5" hidden="false" customHeight="false" outlineLevel="0" collapsed="false">
      <c r="A1" s="44" t="s">
        <v>80</v>
      </c>
      <c r="B1" s="45" t="s">
        <v>81</v>
      </c>
    </row>
    <row r="2" customFormat="false" ht="13.5" hidden="false" customHeight="false" outlineLevel="0" collapsed="false">
      <c r="B2" s="46" t="s">
        <v>82</v>
      </c>
      <c r="C2" s="47" t="s">
        <v>83</v>
      </c>
      <c r="D2" s="0" t="s">
        <v>84</v>
      </c>
      <c r="I2" s="48" t="n">
        <v>36976</v>
      </c>
      <c r="J2" s="0" t="s">
        <v>85</v>
      </c>
      <c r="L2" s="0" t="n">
        <v>0.2</v>
      </c>
    </row>
    <row r="3" customFormat="false" ht="12.75" hidden="false" customHeight="false" outlineLevel="0" collapsed="false">
      <c r="A3" s="0" t="s">
        <v>86</v>
      </c>
      <c r="B3" s="49" t="n">
        <v>37117</v>
      </c>
      <c r="C3" s="50" t="n">
        <v>0</v>
      </c>
      <c r="D3" s="0" t="s">
        <v>87</v>
      </c>
      <c r="H3" s="51" t="n">
        <v>38338200.2157992</v>
      </c>
      <c r="I3" s="52" t="n">
        <f aca="false">+H3/J3</f>
        <v>0.688037759694472</v>
      </c>
      <c r="J3" s="53" t="n">
        <v>55721070.0657236</v>
      </c>
      <c r="K3" s="0" t="n">
        <v>70</v>
      </c>
      <c r="L3" s="0" t="n">
        <f aca="false">+K3*(1+L2)</f>
        <v>84</v>
      </c>
      <c r="M3" s="0" t="n">
        <f aca="false">+L3*(1+L2)</f>
        <v>100.8</v>
      </c>
      <c r="R3" s="11"/>
      <c r="S3" s="11"/>
      <c r="T3" s="11"/>
      <c r="U3" s="11"/>
      <c r="V3" s="11"/>
      <c r="W3" s="11"/>
    </row>
    <row r="4" customFormat="false" ht="12.75" hidden="false" customHeight="false" outlineLevel="0" collapsed="false">
      <c r="A4" s="4" t="s">
        <v>3</v>
      </c>
      <c r="B4" s="54" t="n">
        <v>5.22</v>
      </c>
      <c r="C4" s="50" t="n">
        <v>0</v>
      </c>
      <c r="D4" s="0" t="s">
        <v>88</v>
      </c>
      <c r="H4" s="51" t="n">
        <v>102808992.48035</v>
      </c>
      <c r="I4" s="52" t="n">
        <f aca="false">+H4/J4</f>
        <v>0.688037759694472</v>
      </c>
      <c r="J4" s="53" t="n">
        <v>149423474.266882</v>
      </c>
      <c r="R4" s="11"/>
      <c r="S4" s="11"/>
      <c r="T4" s="11"/>
      <c r="U4" s="11"/>
      <c r="V4" s="11"/>
      <c r="W4" s="11"/>
    </row>
    <row r="5" customFormat="false" ht="13.5" hidden="false" customHeight="false" outlineLevel="0" collapsed="false">
      <c r="A5" s="0" t="s">
        <v>4</v>
      </c>
      <c r="B5" s="55" t="n">
        <v>42.93</v>
      </c>
      <c r="C5" s="50" t="n">
        <v>0</v>
      </c>
      <c r="D5" s="0" t="s">
        <v>89</v>
      </c>
      <c r="H5" s="51" t="n">
        <v>118425530.686941</v>
      </c>
      <c r="I5" s="52" t="n">
        <f aca="false">+H5/J5</f>
        <v>0.688037759694472</v>
      </c>
      <c r="J5" s="53" t="n">
        <v>172120685.265193</v>
      </c>
      <c r="R5" s="11"/>
      <c r="S5" s="11"/>
      <c r="T5" s="11"/>
      <c r="U5" s="11"/>
      <c r="V5" s="11"/>
      <c r="W5" s="11"/>
      <c r="Y5" s="0" t="s">
        <v>90</v>
      </c>
      <c r="Z5" s="44" t="s">
        <v>91</v>
      </c>
      <c r="AA5" s="16" t="n">
        <f aca="false">('[1]Daily Position'!$T$80+'[2]Daily Position'!$I$21)</f>
        <v>143958868.992835</v>
      </c>
    </row>
    <row r="6" customFormat="false" ht="12.75" hidden="false" customHeight="false" outlineLevel="0" collapsed="false">
      <c r="C6" s="50"/>
      <c r="D6" s="0" t="s">
        <v>92</v>
      </c>
      <c r="G6" s="56" t="s">
        <v>93</v>
      </c>
      <c r="H6" s="51"/>
      <c r="I6" s="48"/>
      <c r="J6" s="41" t="n">
        <f aca="false">SUM(J3:J5)</f>
        <v>377265229.597799</v>
      </c>
      <c r="Y6" s="0" t="s">
        <v>94</v>
      </c>
      <c r="Z6" s="57" t="n">
        <f aca="false">+B3</f>
        <v>37117</v>
      </c>
      <c r="AA6" s="58"/>
    </row>
    <row r="7" customFormat="false" ht="13.5" hidden="false" customHeight="false" outlineLevel="0" collapsed="false">
      <c r="A7" s="0" t="s">
        <v>95</v>
      </c>
      <c r="B7" s="11" t="n">
        <f aca="false">+Summary!Q54</f>
        <v>-229969345.507467</v>
      </c>
      <c r="C7" s="11" t="n">
        <f aca="false">SUMIF($F$7:$F$9,"=1",$G$7:$G$9)</f>
        <v>0</v>
      </c>
      <c r="D7" s="50" t="n">
        <v>1</v>
      </c>
      <c r="E7" s="0" t="s">
        <v>27</v>
      </c>
      <c r="F7" s="50" t="n">
        <v>4</v>
      </c>
      <c r="G7" s="59" t="n">
        <f aca="false">+H3</f>
        <v>38338200.2157992</v>
      </c>
      <c r="H7" s="0" t="s">
        <v>96</v>
      </c>
      <c r="I7" s="60" t="n">
        <v>14734509.7541502</v>
      </c>
      <c r="J7" s="0" t="s">
        <v>97</v>
      </c>
      <c r="K7" s="60" t="n">
        <f aca="false">+[1]Financials!$I$39</f>
        <v>-395120466.365615</v>
      </c>
      <c r="Q7" s="0" t="s">
        <v>98</v>
      </c>
      <c r="U7" s="0" t="s">
        <v>99</v>
      </c>
    </row>
    <row r="8" customFormat="false" ht="13.5" hidden="false" customHeight="false" outlineLevel="0" collapsed="false">
      <c r="A8" s="0" t="s">
        <v>100</v>
      </c>
      <c r="B8" s="11" t="n">
        <f aca="false">-Summary!Q50</f>
        <v>61217895.890411</v>
      </c>
      <c r="C8" s="11" t="n">
        <f aca="false">SUMIF($F$7:$F$9,"=2",$G$7:$G$9)</f>
        <v>118425530.686941</v>
      </c>
      <c r="D8" s="50" t="n">
        <v>1</v>
      </c>
      <c r="E8" s="0" t="s">
        <v>39</v>
      </c>
      <c r="F8" s="50" t="n">
        <v>4</v>
      </c>
      <c r="G8" s="59" t="n">
        <f aca="false">+H4</f>
        <v>102808992.48035</v>
      </c>
      <c r="I8" s="60" t="n">
        <v>493326421.975311</v>
      </c>
      <c r="K8" s="60" t="n">
        <f aca="false">+[2]Financials!$I$42</f>
        <v>127221080.66552</v>
      </c>
      <c r="Y8" s="61" t="s">
        <v>101</v>
      </c>
      <c r="Z8" s="62" t="n">
        <v>40</v>
      </c>
      <c r="AA8" s="62" t="n">
        <v>60</v>
      </c>
      <c r="AB8" s="62" t="n">
        <v>80</v>
      </c>
      <c r="AC8" s="62" t="n">
        <v>100</v>
      </c>
      <c r="AD8" s="63" t="n">
        <v>120</v>
      </c>
    </row>
    <row r="9" customFormat="false" ht="12.75" hidden="false" customHeight="false" outlineLevel="0" collapsed="false">
      <c r="B9" s="11"/>
      <c r="C9" s="11" t="n">
        <f aca="false">SUMIF($F$7:$F$9,"=4",$G$7:$G$9)</f>
        <v>141147192.696149</v>
      </c>
      <c r="D9" s="50" t="n">
        <v>1</v>
      </c>
      <c r="E9" s="0" t="s">
        <v>42</v>
      </c>
      <c r="F9" s="50" t="n">
        <v>2</v>
      </c>
      <c r="G9" s="59" t="n">
        <f aca="false">+H5</f>
        <v>118425530.686941</v>
      </c>
      <c r="I9" s="60" t="n">
        <v>522376483.443709</v>
      </c>
      <c r="K9" s="60" t="n">
        <f aca="false">+[3]Financials!$I$42</f>
        <v>316002491.223799</v>
      </c>
      <c r="P9" s="0" t="s">
        <v>102</v>
      </c>
      <c r="Q9" s="64" t="n">
        <f aca="false">+Summary!I68</f>
        <v>3876755</v>
      </c>
      <c r="R9" s="40" t="n">
        <v>9</v>
      </c>
      <c r="S9" s="11"/>
      <c r="T9" s="0" t="s">
        <v>102</v>
      </c>
      <c r="U9" s="64" t="n">
        <f aca="false">+Summary!F68</f>
        <v>0</v>
      </c>
      <c r="V9" s="40" t="n">
        <v>9</v>
      </c>
      <c r="W9" s="11"/>
      <c r="Y9" s="65" t="s">
        <v>102</v>
      </c>
      <c r="Z9" s="66"/>
      <c r="AA9" s="66"/>
      <c r="AB9" s="66"/>
      <c r="AC9" s="66"/>
      <c r="AD9" s="67"/>
    </row>
    <row r="10" customFormat="false" ht="12.75" hidden="false" customHeight="false" outlineLevel="0" collapsed="false">
      <c r="B10" s="11"/>
      <c r="G10" s="12" t="n">
        <f aca="false">SUM(G7:G9)</f>
        <v>259572723.38309</v>
      </c>
      <c r="Q10" s="68" t="n">
        <v>40</v>
      </c>
      <c r="R10" s="11" t="n">
        <f aca="true">TABLE($Q$9,$B$5,$Q10,$B$4,R$9)</f>
        <v>3876755</v>
      </c>
      <c r="S10" s="11"/>
      <c r="U10" s="68" t="n">
        <v>40</v>
      </c>
      <c r="V10" s="11" t="n">
        <f aca="true">TABLE($U$9,$B$5,$U10,$B$4,V$9)</f>
        <v>0</v>
      </c>
      <c r="W10" s="11"/>
      <c r="Y10" s="69" t="s">
        <v>103</v>
      </c>
      <c r="Z10" s="11" t="n">
        <f aca="false" t="array" ref="Z10:AD10">TRANSPOSE(V10:V14)</f>
        <v>0</v>
      </c>
      <c r="AA10" s="11" t="n">
        <v>0</v>
      </c>
      <c r="AB10" s="11" t="n">
        <v>0</v>
      </c>
      <c r="AC10" s="11" t="n">
        <v>0</v>
      </c>
      <c r="AD10" s="70" t="n">
        <v>0</v>
      </c>
    </row>
    <row r="11" customFormat="false" ht="12.75" hidden="false" customHeight="false" outlineLevel="0" collapsed="false">
      <c r="B11" s="11"/>
      <c r="C11" s="50" t="n">
        <v>1</v>
      </c>
      <c r="D11" s="0" t="s">
        <v>104</v>
      </c>
      <c r="E11" s="71"/>
      <c r="F11" s="72" t="n">
        <f aca="false">+B13</f>
        <v>7919393</v>
      </c>
      <c r="G11" s="0" t="s">
        <v>105</v>
      </c>
      <c r="H11" s="73" t="n">
        <v>61.48</v>
      </c>
      <c r="I11" s="0" t="s">
        <v>106</v>
      </c>
      <c r="J11" s="74" t="n">
        <v>0.23</v>
      </c>
      <c r="K11" s="0" t="s">
        <v>107</v>
      </c>
      <c r="L11" s="48" t="n">
        <v>38412</v>
      </c>
      <c r="M11" s="0" t="s">
        <v>108</v>
      </c>
      <c r="Q11" s="68" t="n">
        <v>60</v>
      </c>
      <c r="R11" s="11" t="n">
        <f aca="true">TABLE($Q$9,$B$5,$Q11,$B$4,R$9)</f>
        <v>3876755</v>
      </c>
      <c r="S11" s="11"/>
      <c r="U11" s="68" t="n">
        <v>60</v>
      </c>
      <c r="V11" s="11" t="n">
        <f aca="true">TABLE($U$9,$B$5,$U11,$B$4,V$9)</f>
        <v>0</v>
      </c>
      <c r="W11" s="11"/>
      <c r="Y11" s="69" t="s">
        <v>109</v>
      </c>
      <c r="Z11" s="11" t="n">
        <f aca="false" t="array" ref="Z11:AD11">TRANSPOSE(R10:R14)</f>
        <v>3876755</v>
      </c>
      <c r="AA11" s="11" t="n">
        <v>3876755</v>
      </c>
      <c r="AB11" s="11" t="n">
        <v>3876755</v>
      </c>
      <c r="AC11" s="11" t="n">
        <v>3876755</v>
      </c>
      <c r="AD11" s="70" t="n">
        <v>3876755</v>
      </c>
    </row>
    <row r="12" customFormat="false" ht="12.75" hidden="false" customHeight="false" outlineLevel="0" collapsed="false">
      <c r="B12" s="11" t="n">
        <f aca="false">+C12/(1-J11)</f>
        <v>486884274.400481</v>
      </c>
      <c r="C12" s="75" t="n">
        <f aca="false">+E12-C8</f>
        <v>374900891.28837</v>
      </c>
      <c r="D12" s="11" t="n">
        <f aca="false">+C12-F11*H11*(1-J11)</f>
        <v>-5.57442963123322</v>
      </c>
      <c r="E12" s="60" t="n">
        <f aca="false">+I8</f>
        <v>493326421.975311</v>
      </c>
      <c r="F12" s="0" t="s">
        <v>110</v>
      </c>
      <c r="Q12" s="68" t="n">
        <v>80</v>
      </c>
      <c r="R12" s="11" t="n">
        <f aca="true">TABLE($Q$9,$B$5,$Q12,$B$4,R$9)</f>
        <v>3876755</v>
      </c>
      <c r="S12" s="11"/>
      <c r="U12" s="68" t="n">
        <v>80</v>
      </c>
      <c r="V12" s="11" t="n">
        <f aca="true">TABLE($U$9,$B$5,$U12,$B$4,V$9)</f>
        <v>0</v>
      </c>
      <c r="W12" s="11"/>
      <c r="Y12" s="69"/>
      <c r="Z12" s="11"/>
      <c r="AA12" s="11"/>
      <c r="AB12" s="11"/>
      <c r="AC12" s="11"/>
      <c r="AD12" s="70"/>
    </row>
    <row r="13" customFormat="false" ht="12.75" hidden="false" customHeight="false" outlineLevel="0" collapsed="false">
      <c r="B13" s="11" t="n">
        <f aca="false">ROUND(+B12/H11,0)</f>
        <v>7919393</v>
      </c>
      <c r="C13" s="50" t="n">
        <v>1</v>
      </c>
      <c r="D13" s="0" t="s">
        <v>111</v>
      </c>
      <c r="E13" s="71"/>
      <c r="F13" s="72" t="n">
        <f aca="false">12000000-F11</f>
        <v>4080607</v>
      </c>
      <c r="G13" s="0" t="s">
        <v>105</v>
      </c>
      <c r="H13" s="73" t="n">
        <v>61.48</v>
      </c>
      <c r="I13" s="0" t="s">
        <v>106</v>
      </c>
      <c r="J13" s="74" t="n">
        <f aca="false">+J11</f>
        <v>0.23</v>
      </c>
      <c r="K13" s="0" t="s">
        <v>107</v>
      </c>
      <c r="L13" s="48" t="n">
        <v>38412</v>
      </c>
      <c r="M13" s="0" t="s">
        <v>108</v>
      </c>
      <c r="Q13" s="68" t="n">
        <v>100</v>
      </c>
      <c r="R13" s="11" t="n">
        <f aca="true">TABLE($Q$9,$B$5,$Q13,$B$4,R$9)</f>
        <v>3876755</v>
      </c>
      <c r="S13" s="11"/>
      <c r="U13" s="68" t="n">
        <v>100</v>
      </c>
      <c r="V13" s="11" t="n">
        <f aca="true">TABLE($U$9,$B$5,$U13,$B$4,V$9)</f>
        <v>0</v>
      </c>
      <c r="W13" s="11"/>
      <c r="Y13" s="69" t="s">
        <v>112</v>
      </c>
      <c r="Z13" s="11"/>
      <c r="AA13" s="11"/>
      <c r="AB13" s="11"/>
      <c r="AC13" s="11"/>
      <c r="AD13" s="70"/>
    </row>
    <row r="14" customFormat="false" ht="12.75" hidden="false" customHeight="false" outlineLevel="0" collapsed="false">
      <c r="B14" s="11" t="n">
        <f aca="false">+C14/(1-J13)</f>
        <v>495102974.99683</v>
      </c>
      <c r="C14" s="60" t="n">
        <f aca="false">+E14-C9</f>
        <v>381229290.747559</v>
      </c>
      <c r="D14" s="11" t="n">
        <f aca="false">+C14-F13*H13*(1-J13)</f>
        <v>188054987.610359</v>
      </c>
      <c r="E14" s="60" t="n">
        <f aca="false">+I9</f>
        <v>522376483.443709</v>
      </c>
      <c r="F14" s="0" t="s">
        <v>113</v>
      </c>
      <c r="Q14" s="68" t="n">
        <v>120</v>
      </c>
      <c r="R14" s="11" t="n">
        <f aca="true">TABLE($Q$9,$B$5,$Q14,$B$4,R$9)</f>
        <v>3876755</v>
      </c>
      <c r="S14" s="11"/>
      <c r="U14" s="68" t="n">
        <v>120</v>
      </c>
      <c r="V14" s="11" t="n">
        <f aca="true">TABLE($U$9,$B$5,$U14,$B$4,V$9)</f>
        <v>0</v>
      </c>
      <c r="W14" s="11"/>
      <c r="Y14" s="69" t="s">
        <v>103</v>
      </c>
      <c r="Z14" s="11" t="n">
        <f aca="false" t="array" ref="Z14:AD14">TRANSPOSE(V18:V22)</f>
        <v>0</v>
      </c>
      <c r="AA14" s="11" t="n">
        <v>0</v>
      </c>
      <c r="AB14" s="11" t="n">
        <v>0</v>
      </c>
      <c r="AC14" s="11" t="n">
        <v>0</v>
      </c>
      <c r="AD14" s="70" t="n">
        <v>0</v>
      </c>
    </row>
    <row r="15" customFormat="false" ht="12.75" hidden="false" customHeight="false" outlineLevel="0" collapsed="false">
      <c r="B15" s="11" t="n">
        <f aca="false">+B14/H13</f>
        <v>8053073.76377408</v>
      </c>
      <c r="D15" s="60"/>
      <c r="F15" s="41"/>
      <c r="Q15" s="1"/>
      <c r="U15" s="1"/>
      <c r="Y15" s="69" t="s">
        <v>109</v>
      </c>
      <c r="Z15" s="11" t="n">
        <f aca="false" t="array" ref="Z15:AD15">TRANSPOSE(R18:R22)</f>
        <v>7809790</v>
      </c>
      <c r="AA15" s="11" t="n">
        <v>7809790</v>
      </c>
      <c r="AB15" s="11" t="n">
        <v>7809790</v>
      </c>
      <c r="AC15" s="11" t="n">
        <v>7809790</v>
      </c>
      <c r="AD15" s="70" t="n">
        <v>7809790</v>
      </c>
    </row>
    <row r="16" customFormat="false" ht="12.75" hidden="false" customHeight="false" outlineLevel="0" collapsed="false">
      <c r="B16" s="11"/>
      <c r="C16" s="50" t="n">
        <v>1</v>
      </c>
      <c r="D16" s="60" t="s">
        <v>114</v>
      </c>
      <c r="H16" s="73" t="n">
        <v>61.48</v>
      </c>
      <c r="I16" s="73" t="n">
        <v>91.02</v>
      </c>
      <c r="Q16" s="1"/>
      <c r="U16" s="1"/>
      <c r="Y16" s="69"/>
      <c r="Z16" s="11"/>
      <c r="AA16" s="11"/>
      <c r="AB16" s="11"/>
      <c r="AC16" s="11"/>
      <c r="AD16" s="70"/>
    </row>
    <row r="17" customFormat="false" ht="12.75" hidden="false" customHeight="false" outlineLevel="0" collapsed="false">
      <c r="B17" s="11"/>
      <c r="C17" s="50" t="n">
        <v>1</v>
      </c>
      <c r="D17" s="60" t="s">
        <v>115</v>
      </c>
      <c r="H17" s="73" t="n">
        <v>61.48</v>
      </c>
      <c r="I17" s="73" t="n">
        <v>91.02</v>
      </c>
      <c r="P17" s="0" t="s">
        <v>112</v>
      </c>
      <c r="Q17" s="64" t="n">
        <f aca="false">+Summary!I69</f>
        <v>7809790</v>
      </c>
      <c r="R17" s="40" t="n">
        <v>9</v>
      </c>
      <c r="S17" s="11"/>
      <c r="T17" s="0" t="s">
        <v>112</v>
      </c>
      <c r="U17" s="64" t="n">
        <f aca="false">+Summary!F69</f>
        <v>0</v>
      </c>
      <c r="V17" s="40" t="n">
        <v>9</v>
      </c>
      <c r="W17" s="11"/>
      <c r="Y17" s="69" t="s">
        <v>116</v>
      </c>
      <c r="Z17" s="11"/>
      <c r="AA17" s="11"/>
      <c r="AB17" s="11"/>
      <c r="AC17" s="11"/>
      <c r="AD17" s="70"/>
    </row>
    <row r="18" customFormat="false" ht="12.75" hidden="false" customHeight="false" outlineLevel="0" collapsed="false">
      <c r="B18" s="11"/>
      <c r="D18" s="60"/>
      <c r="Q18" s="68" t="n">
        <v>40</v>
      </c>
      <c r="R18" s="11" t="n">
        <f aca="true">TABLE($Q$17,$B$5,$Q18,$B$4,R$17)</f>
        <v>7809790</v>
      </c>
      <c r="S18" s="11"/>
      <c r="U18" s="68" t="n">
        <v>40</v>
      </c>
      <c r="V18" s="11" t="n">
        <f aca="true">TABLE($U$17,$B$5,$U18,$B$4,V$17)</f>
        <v>0</v>
      </c>
      <c r="W18" s="11"/>
      <c r="Y18" s="69" t="s">
        <v>103</v>
      </c>
      <c r="Z18" s="11" t="n">
        <f aca="false" t="array" ref="Z18:AD18">TRANSPOSE(V26:V30)</f>
        <v>0</v>
      </c>
      <c r="AA18" s="11" t="n">
        <v>0</v>
      </c>
      <c r="AB18" s="11" t="n">
        <v>0</v>
      </c>
      <c r="AC18" s="11" t="n">
        <v>0</v>
      </c>
      <c r="AD18" s="70" t="n">
        <v>0</v>
      </c>
    </row>
    <row r="19" customFormat="false" ht="12.75" hidden="false" customHeight="false" outlineLevel="0" collapsed="false">
      <c r="B19" s="11"/>
      <c r="C19" s="50" t="n">
        <v>1</v>
      </c>
      <c r="D19" s="0" t="s">
        <v>117</v>
      </c>
      <c r="F19" s="51" t="n">
        <f aca="false">30000000*1+50000000*0</f>
        <v>30000000</v>
      </c>
      <c r="G19" s="57" t="n">
        <v>36979</v>
      </c>
      <c r="Q19" s="68" t="n">
        <v>60</v>
      </c>
      <c r="R19" s="11" t="n">
        <f aca="true">TABLE($Q$17,$B$5,$Q19,$B$4,R$17)</f>
        <v>7809790</v>
      </c>
      <c r="S19" s="11"/>
      <c r="U19" s="68" t="n">
        <v>60</v>
      </c>
      <c r="V19" s="11" t="n">
        <f aca="true">TABLE($U$17,$B$5,$U19,$B$4,V$17)</f>
        <v>0</v>
      </c>
      <c r="W19" s="11"/>
      <c r="Y19" s="69" t="s">
        <v>109</v>
      </c>
      <c r="Z19" s="11" t="n">
        <f aca="false" t="array" ref="Z19:AD19">TRANSPOSE(R26:R30)</f>
        <v>6326045</v>
      </c>
      <c r="AA19" s="11" t="n">
        <v>6326045</v>
      </c>
      <c r="AB19" s="11" t="n">
        <v>6326045</v>
      </c>
      <c r="AC19" s="11" t="n">
        <v>6326045</v>
      </c>
      <c r="AD19" s="70" t="n">
        <v>6326045</v>
      </c>
    </row>
    <row r="20" customFormat="false" ht="12.75" hidden="false" customHeight="false" outlineLevel="0" collapsed="false">
      <c r="B20" s="11"/>
      <c r="C20" s="50" t="n">
        <v>1</v>
      </c>
      <c r="D20" s="0" t="s">
        <v>117</v>
      </c>
      <c r="F20" s="51" t="n">
        <v>20000000</v>
      </c>
      <c r="G20" s="57" t="n">
        <v>37064</v>
      </c>
      <c r="Q20" s="68" t="n">
        <v>80</v>
      </c>
      <c r="R20" s="11" t="n">
        <f aca="true">TABLE($Q$17,$B$5,$Q20,$B$4,R$17)</f>
        <v>7809790</v>
      </c>
      <c r="S20" s="11"/>
      <c r="U20" s="68" t="n">
        <v>80</v>
      </c>
      <c r="V20" s="11" t="n">
        <f aca="true">TABLE($U$17,$B$5,$U20,$B$4,V$17)</f>
        <v>0</v>
      </c>
      <c r="W20" s="11"/>
      <c r="Y20" s="69"/>
      <c r="Z20" s="32"/>
      <c r="AA20" s="32"/>
      <c r="AB20" s="32"/>
      <c r="AC20" s="32"/>
      <c r="AD20" s="76"/>
    </row>
    <row r="21" customFormat="false" ht="12.75" hidden="false" customHeight="false" outlineLevel="0" collapsed="false">
      <c r="C21" s="77"/>
      <c r="D21" s="77"/>
      <c r="E21" s="77"/>
      <c r="F21" s="77"/>
      <c r="G21" s="77"/>
      <c r="I21" s="77"/>
      <c r="J21" s="77"/>
      <c r="K21" s="77"/>
      <c r="L21" s="77"/>
      <c r="M21" s="77"/>
      <c r="Q21" s="68" t="n">
        <v>100</v>
      </c>
      <c r="R21" s="11" t="n">
        <f aca="true">TABLE($Q$17,$B$5,$Q21,$B$4,R$17)</f>
        <v>7809790</v>
      </c>
      <c r="S21" s="11"/>
      <c r="U21" s="68" t="n">
        <v>100</v>
      </c>
      <c r="V21" s="11" t="n">
        <f aca="true">TABLE($U$17,$B$5,$U21,$B$4,V$17)</f>
        <v>0</v>
      </c>
      <c r="W21" s="11"/>
      <c r="Y21" s="69" t="s">
        <v>33</v>
      </c>
      <c r="Z21" s="78" t="n">
        <f aca="false">SUM(Z10:Z19)</f>
        <v>18012590</v>
      </c>
      <c r="AA21" s="78" t="n">
        <f aca="false">SUM(AA10:AA19)</f>
        <v>18012590</v>
      </c>
      <c r="AB21" s="78" t="n">
        <f aca="false">SUM(AB10:AB19)</f>
        <v>18012590</v>
      </c>
      <c r="AC21" s="78" t="n">
        <f aca="false">SUM(AC10:AC19)</f>
        <v>18012590</v>
      </c>
      <c r="AD21" s="79" t="n">
        <f aca="false">SUM(AD10:AD19)</f>
        <v>18012590</v>
      </c>
    </row>
    <row r="22" customFormat="false" ht="12.75" hidden="false" customHeight="false" outlineLevel="0" collapsed="false">
      <c r="B22" s="77" t="s">
        <v>60</v>
      </c>
      <c r="C22" s="77"/>
      <c r="D22" s="77"/>
      <c r="E22" s="77"/>
      <c r="F22" s="77"/>
      <c r="G22" s="77"/>
      <c r="H22" s="80"/>
      <c r="I22" s="77"/>
      <c r="J22" s="77"/>
      <c r="K22" s="77"/>
      <c r="L22" s="77"/>
      <c r="M22" s="77"/>
      <c r="Q22" s="68" t="n">
        <v>120</v>
      </c>
      <c r="R22" s="11" t="n">
        <f aca="true">TABLE($Q$17,$B$5,$Q22,$B$4,R$17)</f>
        <v>7809790</v>
      </c>
      <c r="S22" s="11"/>
      <c r="U22" s="68" t="n">
        <v>120</v>
      </c>
      <c r="V22" s="11" t="n">
        <f aca="true">TABLE($U$17,$B$5,$U22,$B$4,V$17)</f>
        <v>0</v>
      </c>
      <c r="W22" s="11"/>
      <c r="Y22" s="69"/>
      <c r="Z22" s="32"/>
      <c r="AA22" s="32"/>
      <c r="AB22" s="32"/>
      <c r="AC22" s="32"/>
      <c r="AD22" s="76"/>
    </row>
    <row r="23" customFormat="false" ht="12.75" hidden="false" customHeight="false" outlineLevel="0" collapsed="false">
      <c r="A23" s="57" t="n">
        <f aca="false">+B3</f>
        <v>37117</v>
      </c>
      <c r="G23" s="41"/>
      <c r="Q23" s="1"/>
      <c r="U23" s="1"/>
      <c r="Y23" s="69" t="s">
        <v>118</v>
      </c>
      <c r="Z23" s="78" t="n">
        <f aca="false">+Z10+Z14+Z18</f>
        <v>0</v>
      </c>
      <c r="AA23" s="78" t="n">
        <f aca="false">+AA10+AA14+AA18</f>
        <v>0</v>
      </c>
      <c r="AB23" s="78" t="n">
        <f aca="false">+AB10+AB14+AB18</f>
        <v>0</v>
      </c>
      <c r="AC23" s="78" t="n">
        <f aca="false">+AC10+AC14+AC18</f>
        <v>0</v>
      </c>
      <c r="AD23" s="79" t="n">
        <f aca="false">+AD10+AD14+AD18</f>
        <v>0</v>
      </c>
    </row>
    <row r="24" customFormat="false" ht="13.5" hidden="false" customHeight="false" outlineLevel="0" collapsed="false">
      <c r="A24" s="1"/>
      <c r="B24" s="81" t="n">
        <f aca="false">+$B$7</f>
        <v>-229969345.507467</v>
      </c>
      <c r="C24" s="82" t="n">
        <v>100</v>
      </c>
      <c r="D24" s="38" t="n">
        <f aca="false">+C24+1</f>
        <v>101</v>
      </c>
      <c r="E24" s="38" t="n">
        <f aca="false">+D24+1</f>
        <v>102</v>
      </c>
      <c r="F24" s="38" t="n">
        <f aca="false">+E24+1</f>
        <v>103</v>
      </c>
      <c r="G24" s="38" t="n">
        <f aca="false">+F24+1</f>
        <v>104</v>
      </c>
      <c r="H24" s="38" t="n">
        <f aca="false">+G24+1</f>
        <v>105</v>
      </c>
      <c r="I24" s="38" t="n">
        <f aca="false">+H24+1</f>
        <v>106</v>
      </c>
      <c r="J24" s="38" t="n">
        <f aca="false">+I24+1</f>
        <v>107</v>
      </c>
      <c r="K24" s="38" t="n">
        <f aca="false">+J24+1</f>
        <v>108</v>
      </c>
      <c r="L24" s="38" t="n">
        <f aca="false">+K24+1</f>
        <v>109</v>
      </c>
      <c r="M24" s="1"/>
      <c r="N24" s="1"/>
      <c r="O24" s="1"/>
      <c r="P24" s="1"/>
      <c r="Q24" s="1"/>
      <c r="T24" s="1"/>
      <c r="U24" s="1"/>
      <c r="X24" s="1"/>
      <c r="Y24" s="83" t="s">
        <v>119</v>
      </c>
      <c r="Z24" s="84" t="n">
        <f aca="false">+Z11+Z15+Z19</f>
        <v>18012590</v>
      </c>
      <c r="AA24" s="84" t="n">
        <f aca="false">+AA11+AA15+AA19</f>
        <v>18012590</v>
      </c>
      <c r="AB24" s="84" t="n">
        <f aca="false">+AB11+AB15+AB19</f>
        <v>18012590</v>
      </c>
      <c r="AC24" s="84" t="n">
        <f aca="false">+AC11+AC15+AC19</f>
        <v>18012590</v>
      </c>
      <c r="AD24" s="85" t="n">
        <f aca="false">+AD11+AD15+AD19</f>
        <v>18012590</v>
      </c>
    </row>
    <row r="25" customFormat="false" ht="12.75" hidden="false" customHeight="false" outlineLevel="0" collapsed="false">
      <c r="B25" s="86" t="n">
        <v>4</v>
      </c>
      <c r="C25" s="11" t="n">
        <f aca="true">TABLE($B$24,$B$4,$B25,$B$5,C$24)</f>
        <v>1666820167.04253</v>
      </c>
      <c r="D25" s="11" t="n">
        <f aca="true">TABLE($B$24,$B$4,$B25,$B$5,D$24)</f>
        <v>1700571932.04253</v>
      </c>
      <c r="E25" s="11" t="n">
        <f aca="true">TABLE($B$24,$B$4,$B25,$B$5,E$24)</f>
        <v>1734323697.04253</v>
      </c>
      <c r="F25" s="11" t="n">
        <f aca="true">TABLE($B$24,$B$4,$B25,$B$5,F$24)</f>
        <v>1768075462.04253</v>
      </c>
      <c r="G25" s="11" t="n">
        <f aca="true">TABLE($B$24,$B$4,$B25,$B$5,G$24)</f>
        <v>1801827227.04253</v>
      </c>
      <c r="H25" s="11" t="n">
        <f aca="true">TABLE($B$24,$B$4,$B25,$B$5,H$24)</f>
        <v>1835578992.04253</v>
      </c>
      <c r="I25" s="11" t="n">
        <f aca="true">TABLE($B$24,$B$4,$B25,$B$5,I$24)</f>
        <v>1869330757.04253</v>
      </c>
      <c r="J25" s="11" t="n">
        <f aca="true">TABLE($B$24,$B$4,$B25,$B$5,J$24)</f>
        <v>1903082522.04253</v>
      </c>
      <c r="K25" s="11" t="n">
        <f aca="true">TABLE($B$24,$B$4,$B25,$B$5,K$24)</f>
        <v>1936834287.04253</v>
      </c>
      <c r="L25" s="11" t="n">
        <f aca="true">TABLE($B$24,$B$4,$B25,$B$5,L$24)</f>
        <v>1970586052.04253</v>
      </c>
      <c r="P25" s="0" t="s">
        <v>116</v>
      </c>
      <c r="Q25" s="64" t="n">
        <f aca="false">+Summary!I70</f>
        <v>6326045</v>
      </c>
      <c r="R25" s="40" t="n">
        <v>9</v>
      </c>
      <c r="S25" s="11"/>
      <c r="T25" s="0" t="s">
        <v>116</v>
      </c>
      <c r="U25" s="64" t="n">
        <f aca="false">+Summary!F70</f>
        <v>0</v>
      </c>
      <c r="V25" s="40" t="n">
        <v>9</v>
      </c>
      <c r="W25" s="11"/>
      <c r="Y25" s="87" t="s">
        <v>120</v>
      </c>
    </row>
    <row r="26" customFormat="false" ht="12.75" hidden="false" customHeight="false" outlineLevel="0" collapsed="false">
      <c r="B26" s="88" t="n">
        <f aca="false">+B25+0.5</f>
        <v>4.5</v>
      </c>
      <c r="C26" s="11" t="n">
        <f aca="true">TABLE($B$24,$B$4,$B26,$B$5,C$24)</f>
        <v>1678879067.04253</v>
      </c>
      <c r="D26" s="11" t="n">
        <f aca="true">TABLE($B$24,$B$4,$B26,$B$5,D$24)</f>
        <v>1712630832.04253</v>
      </c>
      <c r="E26" s="11" t="n">
        <f aca="true">TABLE($B$24,$B$4,$B26,$B$5,E$24)</f>
        <v>1746382597.04253</v>
      </c>
      <c r="F26" s="11" t="n">
        <f aca="true">TABLE($B$24,$B$4,$B26,$B$5,F$24)</f>
        <v>1780134362.04253</v>
      </c>
      <c r="G26" s="11" t="n">
        <f aca="true">TABLE($B$24,$B$4,$B26,$B$5,G$24)</f>
        <v>1813886127.04253</v>
      </c>
      <c r="H26" s="11" t="n">
        <f aca="true">TABLE($B$24,$B$4,$B26,$B$5,H$24)</f>
        <v>1847637892.04253</v>
      </c>
      <c r="I26" s="11" t="n">
        <f aca="true">TABLE($B$24,$B$4,$B26,$B$5,I$24)</f>
        <v>1881389657.04253</v>
      </c>
      <c r="J26" s="11" t="n">
        <f aca="true">TABLE($B$24,$B$4,$B26,$B$5,J$24)</f>
        <v>1915141422.04253</v>
      </c>
      <c r="K26" s="11" t="n">
        <f aca="true">TABLE($B$24,$B$4,$B26,$B$5,K$24)</f>
        <v>1948893187.04253</v>
      </c>
      <c r="L26" s="11" t="n">
        <f aca="true">TABLE($B$24,$B$4,$B26,$B$5,L$24)</f>
        <v>1982644952.04253</v>
      </c>
      <c r="Q26" s="68" t="n">
        <v>40</v>
      </c>
      <c r="R26" s="11" t="n">
        <f aca="true">TABLE($Q$25,$B$5,$Q26,$B$4,R$25)</f>
        <v>6326045</v>
      </c>
      <c r="S26" s="11"/>
      <c r="U26" s="68" t="n">
        <v>40</v>
      </c>
      <c r="V26" s="11" t="n">
        <f aca="true">TABLE($U$25,$B$5,$U26,$B$4,V$25)</f>
        <v>0</v>
      </c>
      <c r="W26" s="11"/>
    </row>
    <row r="27" customFormat="false" ht="12.75" hidden="false" customHeight="false" outlineLevel="0" collapsed="false">
      <c r="B27" s="88" t="n">
        <f aca="false">+B26+0.5</f>
        <v>5</v>
      </c>
      <c r="C27" s="11" t="n">
        <f aca="true">TABLE($B$24,$B$4,$B27,$B$5,C$24)</f>
        <v>1690937967.04253</v>
      </c>
      <c r="D27" s="11" t="n">
        <f aca="true">TABLE($B$24,$B$4,$B27,$B$5,D$24)</f>
        <v>1724689732.04253</v>
      </c>
      <c r="E27" s="11" t="n">
        <f aca="true">TABLE($B$24,$B$4,$B27,$B$5,E$24)</f>
        <v>1758441497.04253</v>
      </c>
      <c r="F27" s="11" t="n">
        <f aca="true">TABLE($B$24,$B$4,$B27,$B$5,F$24)</f>
        <v>1792193262.04253</v>
      </c>
      <c r="G27" s="11" t="n">
        <f aca="true">TABLE($B$24,$B$4,$B27,$B$5,G$24)</f>
        <v>1825945027.04253</v>
      </c>
      <c r="H27" s="11" t="n">
        <f aca="true">TABLE($B$24,$B$4,$B27,$B$5,H$24)</f>
        <v>1859696792.04253</v>
      </c>
      <c r="I27" s="11" t="n">
        <f aca="true">TABLE($B$24,$B$4,$B27,$B$5,I$24)</f>
        <v>1893448557.04253</v>
      </c>
      <c r="J27" s="11" t="n">
        <f aca="true">TABLE($B$24,$B$4,$B27,$B$5,J$24)</f>
        <v>1927200322.04253</v>
      </c>
      <c r="K27" s="11" t="n">
        <f aca="true">TABLE($B$24,$B$4,$B27,$B$5,K$24)</f>
        <v>1960952087.04253</v>
      </c>
      <c r="L27" s="11" t="n">
        <f aca="true">TABLE($B$24,$B$4,$B27,$B$5,L$24)</f>
        <v>1994703852.04253</v>
      </c>
      <c r="Q27" s="68" t="n">
        <v>60</v>
      </c>
      <c r="R27" s="11" t="n">
        <f aca="true">TABLE($Q$25,$B$5,$Q27,$B$4,R$25)</f>
        <v>6326045</v>
      </c>
      <c r="S27" s="11"/>
      <c r="U27" s="68" t="n">
        <v>60</v>
      </c>
      <c r="V27" s="11" t="n">
        <f aca="true">TABLE($U$25,$B$5,$U27,$B$4,V$25)</f>
        <v>0</v>
      </c>
      <c r="W27" s="11"/>
      <c r="Y27" s="0" t="s">
        <v>121</v>
      </c>
      <c r="Z27" s="16" t="n">
        <f aca="false">+Z8*Z21</f>
        <v>720503600</v>
      </c>
      <c r="AA27" s="16" t="n">
        <f aca="false">+AA8*AA21</f>
        <v>1080755400</v>
      </c>
      <c r="AB27" s="16" t="n">
        <f aca="false">+AB8*AB21</f>
        <v>1441007200</v>
      </c>
      <c r="AC27" s="16" t="n">
        <f aca="false">+AC8*AC21</f>
        <v>1801259000</v>
      </c>
      <c r="AD27" s="16" t="n">
        <f aca="false">+AD8*AD21</f>
        <v>2161510800</v>
      </c>
    </row>
    <row r="28" customFormat="false" ht="12.75" hidden="false" customHeight="false" outlineLevel="0" collapsed="false">
      <c r="B28" s="88" t="n">
        <f aca="false">+B27+0.5</f>
        <v>5.5</v>
      </c>
      <c r="C28" s="11" t="n">
        <f aca="true">TABLE($B$24,$B$4,$B28,$B$5,C$24)</f>
        <v>1702996867.04253</v>
      </c>
      <c r="D28" s="11" t="n">
        <f aca="true">TABLE($B$24,$B$4,$B28,$B$5,D$24)</f>
        <v>1736748632.04253</v>
      </c>
      <c r="E28" s="11" t="n">
        <f aca="true">TABLE($B$24,$B$4,$B28,$B$5,E$24)</f>
        <v>1770500397.04253</v>
      </c>
      <c r="F28" s="11" t="n">
        <f aca="true">TABLE($B$24,$B$4,$B28,$B$5,F$24)</f>
        <v>1804252162.04253</v>
      </c>
      <c r="G28" s="11" t="n">
        <f aca="true">TABLE($B$24,$B$4,$B28,$B$5,G$24)</f>
        <v>1838003927.04253</v>
      </c>
      <c r="H28" s="11" t="n">
        <f aca="true">TABLE($B$24,$B$4,$B28,$B$5,H$24)</f>
        <v>1871755692.04253</v>
      </c>
      <c r="I28" s="11" t="n">
        <f aca="true">TABLE($B$24,$B$4,$B28,$B$5,I$24)</f>
        <v>1905507457.04253</v>
      </c>
      <c r="J28" s="11" t="n">
        <f aca="true">TABLE($B$24,$B$4,$B28,$B$5,J$24)</f>
        <v>1939259222.04253</v>
      </c>
      <c r="K28" s="11" t="n">
        <f aca="true">TABLE($B$24,$B$4,$B28,$B$5,K$24)</f>
        <v>1973010987.04253</v>
      </c>
      <c r="L28" s="11" t="n">
        <f aca="true">TABLE($B$24,$B$4,$B28,$B$5,L$24)</f>
        <v>2006762752.04253</v>
      </c>
      <c r="Q28" s="68" t="n">
        <v>80</v>
      </c>
      <c r="R28" s="11" t="n">
        <f aca="true">TABLE($Q$25,$B$5,$Q28,$B$4,R$25)</f>
        <v>6326045</v>
      </c>
      <c r="S28" s="11"/>
      <c r="U28" s="68" t="n">
        <v>80</v>
      </c>
      <c r="V28" s="11" t="n">
        <f aca="true">TABLE($U$25,$B$5,$U28,$B$4,V$25)</f>
        <v>0</v>
      </c>
      <c r="W28" s="11"/>
    </row>
    <row r="29" customFormat="false" ht="12.75" hidden="false" customHeight="false" outlineLevel="0" collapsed="false">
      <c r="B29" s="88" t="n">
        <f aca="false">+B28+0.5</f>
        <v>6</v>
      </c>
      <c r="C29" s="11" t="n">
        <f aca="true">TABLE($B$24,$B$4,$B29,$B$5,C$24)</f>
        <v>1715055767.04253</v>
      </c>
      <c r="D29" s="11" t="n">
        <f aca="true">TABLE($B$24,$B$4,$B29,$B$5,D$24)</f>
        <v>1748807532.04253</v>
      </c>
      <c r="E29" s="11" t="n">
        <f aca="true">TABLE($B$24,$B$4,$B29,$B$5,E$24)</f>
        <v>1782559297.04253</v>
      </c>
      <c r="F29" s="11" t="n">
        <f aca="true">TABLE($B$24,$B$4,$B29,$B$5,F$24)</f>
        <v>1816311062.04253</v>
      </c>
      <c r="G29" s="11" t="n">
        <f aca="true">TABLE($B$24,$B$4,$B29,$B$5,G$24)</f>
        <v>1850062827.04253</v>
      </c>
      <c r="H29" s="11" t="n">
        <f aca="true">TABLE($B$24,$B$4,$B29,$B$5,H$24)</f>
        <v>1883814592.04253</v>
      </c>
      <c r="I29" s="11" t="n">
        <f aca="true">TABLE($B$24,$B$4,$B29,$B$5,I$24)</f>
        <v>1917566357.04253</v>
      </c>
      <c r="J29" s="11" t="n">
        <f aca="true">TABLE($B$24,$B$4,$B29,$B$5,J$24)</f>
        <v>1951318122.04253</v>
      </c>
      <c r="K29" s="11" t="n">
        <f aca="true">TABLE($B$24,$B$4,$B29,$B$5,K$24)</f>
        <v>1985069887.04253</v>
      </c>
      <c r="L29" s="11" t="n">
        <f aca="true">TABLE($B$24,$B$4,$B29,$B$5,L$24)</f>
        <v>2018821652.04253</v>
      </c>
      <c r="Q29" s="68" t="n">
        <v>100</v>
      </c>
      <c r="R29" s="11" t="n">
        <f aca="true">TABLE($Q$25,$B$5,$Q29,$B$4,R$25)</f>
        <v>6326045</v>
      </c>
      <c r="S29" s="11"/>
      <c r="U29" s="68" t="n">
        <v>100</v>
      </c>
      <c r="V29" s="11" t="n">
        <f aca="true">TABLE($U$25,$B$5,$U29,$B$4,V$25)</f>
        <v>0</v>
      </c>
      <c r="W29" s="11"/>
      <c r="Y29" s="0" t="s">
        <v>95</v>
      </c>
      <c r="Z29" s="16" t="n">
        <f aca="false" t="array" ref="Z29:AD29">TRANSPOSE(R34:R38)</f>
        <v>-237696732.957467</v>
      </c>
      <c r="AA29" s="16" t="n">
        <v>437338567.042533</v>
      </c>
      <c r="AB29" s="16" t="n">
        <v>1112373867.04253</v>
      </c>
      <c r="AC29" s="16" t="n">
        <v>1787409167.04253</v>
      </c>
      <c r="AD29" s="16" t="n">
        <v>2462444467.04253</v>
      </c>
    </row>
    <row r="30" customFormat="false" ht="12.75" hidden="false" customHeight="false" outlineLevel="0" collapsed="false">
      <c r="B30" s="88" t="n">
        <f aca="false">+B29+0.5</f>
        <v>6.5</v>
      </c>
      <c r="C30" s="11" t="n">
        <f aca="true">TABLE($B$24,$B$4,$B30,$B$5,C$24)</f>
        <v>1727114667.04253</v>
      </c>
      <c r="D30" s="11" t="n">
        <f aca="true">TABLE($B$24,$B$4,$B30,$B$5,D$24)</f>
        <v>1760866432.04253</v>
      </c>
      <c r="E30" s="11" t="n">
        <f aca="true">TABLE($B$24,$B$4,$B30,$B$5,E$24)</f>
        <v>1794618197.04253</v>
      </c>
      <c r="F30" s="11" t="n">
        <f aca="true">TABLE($B$24,$B$4,$B30,$B$5,F$24)</f>
        <v>1828369962.04253</v>
      </c>
      <c r="G30" s="11" t="n">
        <f aca="true">TABLE($B$24,$B$4,$B30,$B$5,G$24)</f>
        <v>1862121727.04253</v>
      </c>
      <c r="H30" s="11" t="n">
        <f aca="true">TABLE($B$24,$B$4,$B30,$B$5,H$24)</f>
        <v>1895873492.04253</v>
      </c>
      <c r="I30" s="11" t="n">
        <f aca="true">TABLE($B$24,$B$4,$B30,$B$5,I$24)</f>
        <v>1929625257.04253</v>
      </c>
      <c r="J30" s="11" t="n">
        <f aca="true">TABLE($B$24,$B$4,$B30,$B$5,J$24)</f>
        <v>1963377022.04253</v>
      </c>
      <c r="K30" s="11" t="n">
        <f aca="true">TABLE($B$24,$B$4,$B30,$B$5,K$24)</f>
        <v>1997128787.04253</v>
      </c>
      <c r="L30" s="11" t="n">
        <f aca="true">TABLE($B$24,$B$4,$B30,$B$5,L$24)</f>
        <v>2030880552.04253</v>
      </c>
      <c r="Q30" s="68" t="n">
        <v>120</v>
      </c>
      <c r="R30" s="11" t="n">
        <f aca="true">TABLE($Q$25,$B$5,$Q30,$B$4,R$25)</f>
        <v>6326045</v>
      </c>
      <c r="S30" s="11"/>
      <c r="U30" s="68" t="n">
        <v>120</v>
      </c>
      <c r="V30" s="11" t="n">
        <f aca="true">TABLE($U$25,$B$5,$U30,$B$4,V$25)</f>
        <v>0</v>
      </c>
      <c r="W30" s="11"/>
    </row>
    <row r="31" customFormat="false" ht="13.5" hidden="false" customHeight="false" outlineLevel="0" collapsed="false">
      <c r="B31" s="88" t="n">
        <f aca="false">+B30+0.5</f>
        <v>7</v>
      </c>
      <c r="C31" s="11" t="n">
        <f aca="true">TABLE($B$24,$B$4,$B31,$B$5,C$24)</f>
        <v>1739173567.04253</v>
      </c>
      <c r="D31" s="11" t="n">
        <f aca="true">TABLE($B$24,$B$4,$B31,$B$5,D$24)</f>
        <v>1772925332.04253</v>
      </c>
      <c r="E31" s="11" t="n">
        <f aca="true">TABLE($B$24,$B$4,$B31,$B$5,E$24)</f>
        <v>1806677097.04253</v>
      </c>
      <c r="F31" s="11" t="n">
        <f aca="true">TABLE($B$24,$B$4,$B31,$B$5,F$24)</f>
        <v>1840428862.04253</v>
      </c>
      <c r="G31" s="11" t="n">
        <f aca="true">TABLE($B$24,$B$4,$B31,$B$5,G$24)</f>
        <v>1874180627.04253</v>
      </c>
      <c r="H31" s="11" t="n">
        <f aca="true">TABLE($B$24,$B$4,$B31,$B$5,H$24)</f>
        <v>1907932392.04253</v>
      </c>
      <c r="I31" s="11" t="n">
        <f aca="true">TABLE($B$24,$B$4,$B31,$B$5,I$24)</f>
        <v>1941684157.04253</v>
      </c>
      <c r="J31" s="11" t="n">
        <f aca="true">TABLE($B$24,$B$4,$B31,$B$5,J$24)</f>
        <v>1975435922.04253</v>
      </c>
      <c r="K31" s="11" t="n">
        <f aca="true">TABLE($B$24,$B$4,$B31,$B$5,K$24)</f>
        <v>2009187687.04253</v>
      </c>
      <c r="L31" s="11" t="n">
        <f aca="true">TABLE($B$24,$B$4,$B31,$B$5,L$24)</f>
        <v>2042939452.04253</v>
      </c>
      <c r="Z31" s="89" t="n">
        <f aca="false">+Z27-(IF(Z29&gt;0,Z29,0))</f>
        <v>720503600</v>
      </c>
      <c r="AA31" s="89" t="n">
        <f aca="false">+AA27-(IF(AA29&gt;0,AA29,0))</f>
        <v>643416832.957467</v>
      </c>
      <c r="AB31" s="89" t="n">
        <f aca="false">+AB27-(IF(AB29&gt;0,AB29,0))</f>
        <v>328633332.957467</v>
      </c>
      <c r="AC31" s="89" t="n">
        <f aca="false">+AC27-(IF(AC29&gt;0,AC29,0))</f>
        <v>13849832.9574668</v>
      </c>
      <c r="AD31" s="89" t="n">
        <f aca="false">+AD27-(IF(AD29&gt;0,AD29,0))</f>
        <v>-300933667.042533</v>
      </c>
    </row>
    <row r="32" customFormat="false" ht="13.5" hidden="false" customHeight="false" outlineLevel="0" collapsed="false">
      <c r="B32" s="88" t="n">
        <f aca="false">+B31+0.5</f>
        <v>7.5</v>
      </c>
      <c r="C32" s="11" t="n">
        <f aca="true">TABLE($B$24,$B$4,$B32,$B$5,C$24)</f>
        <v>1751232467.04253</v>
      </c>
      <c r="D32" s="11" t="n">
        <f aca="true">TABLE($B$24,$B$4,$B32,$B$5,D$24)</f>
        <v>1784984232.04253</v>
      </c>
      <c r="E32" s="11" t="n">
        <f aca="true">TABLE($B$24,$B$4,$B32,$B$5,E$24)</f>
        <v>1818735997.04253</v>
      </c>
      <c r="F32" s="11" t="n">
        <f aca="true">TABLE($B$24,$B$4,$B32,$B$5,F$24)</f>
        <v>1852487762.04253</v>
      </c>
      <c r="G32" s="11" t="n">
        <f aca="true">TABLE($B$24,$B$4,$B32,$B$5,G$24)</f>
        <v>1886239527.04253</v>
      </c>
      <c r="H32" s="11" t="n">
        <f aca="true">TABLE($B$24,$B$4,$B32,$B$5,H$24)</f>
        <v>1919991292.04253</v>
      </c>
      <c r="I32" s="11" t="n">
        <f aca="true">TABLE($B$24,$B$4,$B32,$B$5,I$24)</f>
        <v>1953743057.04253</v>
      </c>
      <c r="J32" s="11" t="n">
        <f aca="true">TABLE($B$24,$B$4,$B32,$B$5,J$24)</f>
        <v>1987494822.04253</v>
      </c>
      <c r="K32" s="11" t="n">
        <f aca="true">TABLE($B$24,$B$4,$B32,$B$5,K$24)</f>
        <v>2021246587.04253</v>
      </c>
      <c r="L32" s="11" t="n">
        <f aca="true">TABLE($B$24,$B$4,$B32,$B$5,L$24)</f>
        <v>2054998352.04253</v>
      </c>
    </row>
    <row r="33" customFormat="false" ht="13.5" hidden="false" customHeight="false" outlineLevel="0" collapsed="false">
      <c r="B33" s="88" t="n">
        <f aca="false">+B32+0.5</f>
        <v>8</v>
      </c>
      <c r="C33" s="11" t="n">
        <f aca="true">TABLE($B$24,$B$4,$B33,$B$5,C$24)</f>
        <v>1763291367.04253</v>
      </c>
      <c r="D33" s="11" t="n">
        <f aca="true">TABLE($B$24,$B$4,$B33,$B$5,D$24)</f>
        <v>1797043132.04253</v>
      </c>
      <c r="E33" s="11" t="n">
        <f aca="true">TABLE($B$24,$B$4,$B33,$B$5,E$24)</f>
        <v>1830794897.04253</v>
      </c>
      <c r="F33" s="11" t="n">
        <f aca="true">TABLE($B$24,$B$4,$B33,$B$5,F$24)</f>
        <v>1864546662.04253</v>
      </c>
      <c r="G33" s="11" t="n">
        <f aca="true">TABLE($B$24,$B$4,$B33,$B$5,G$24)</f>
        <v>1898298427.04253</v>
      </c>
      <c r="H33" s="11" t="n">
        <f aca="true">TABLE($B$24,$B$4,$B33,$B$5,H$24)</f>
        <v>1932050192.04253</v>
      </c>
      <c r="I33" s="11" t="n">
        <f aca="true">TABLE($B$24,$B$4,$B33,$B$5,I$24)</f>
        <v>1965801957.04253</v>
      </c>
      <c r="J33" s="11" t="n">
        <f aca="true">TABLE($B$24,$B$4,$B33,$B$5,J$24)</f>
        <v>1999553722.04253</v>
      </c>
      <c r="K33" s="11" t="n">
        <f aca="true">TABLE($B$24,$B$4,$B33,$B$5,K$24)</f>
        <v>2033305487.04253</v>
      </c>
      <c r="L33" s="11" t="n">
        <f aca="true">TABLE($B$24,$B$4,$B33,$B$5,L$24)</f>
        <v>2067057252.04253</v>
      </c>
      <c r="P33" s="0" t="s">
        <v>122</v>
      </c>
      <c r="Q33" s="90" t="n">
        <f aca="false">+Summary!Q54</f>
        <v>-229969345.507467</v>
      </c>
      <c r="R33" s="37" t="n">
        <v>9</v>
      </c>
      <c r="Y33" s="0" t="s">
        <v>123</v>
      </c>
      <c r="Z33" s="91" t="n">
        <f aca="false">+Z31/Z8</f>
        <v>18012590</v>
      </c>
      <c r="AA33" s="91" t="n">
        <f aca="false">+AA31/AA8</f>
        <v>10723613.8826245</v>
      </c>
      <c r="AB33" s="91" t="n">
        <f aca="false">+AB31/AB8</f>
        <v>4107916.66196834</v>
      </c>
      <c r="AC33" s="91" t="n">
        <f aca="false">+AC31/AC8</f>
        <v>138498.329574668</v>
      </c>
      <c r="AD33" s="91" t="n">
        <f aca="false">+AD31/AD8</f>
        <v>-2507780.55868778</v>
      </c>
    </row>
    <row r="34" customFormat="false" ht="13.5" hidden="false" customHeight="false" outlineLevel="0" collapsed="false">
      <c r="B34" s="88" t="n">
        <f aca="false">+B33+0.5</f>
        <v>8.5</v>
      </c>
      <c r="C34" s="11" t="n">
        <f aca="true">TABLE($B$24,$B$4,$B34,$B$5,C$24)</f>
        <v>1775350267.04253</v>
      </c>
      <c r="D34" s="11" t="n">
        <f aca="true">TABLE($B$24,$B$4,$B34,$B$5,D$24)</f>
        <v>1809102032.04253</v>
      </c>
      <c r="E34" s="11" t="n">
        <f aca="true">TABLE($B$24,$B$4,$B34,$B$5,E$24)</f>
        <v>1842853797.04253</v>
      </c>
      <c r="F34" s="11" t="n">
        <f aca="true">TABLE($B$24,$B$4,$B34,$B$5,F$24)</f>
        <v>1876605562.04253</v>
      </c>
      <c r="G34" s="11" t="n">
        <f aca="true">TABLE($B$24,$B$4,$B34,$B$5,G$24)</f>
        <v>1910357327.04253</v>
      </c>
      <c r="H34" s="11" t="n">
        <f aca="true">TABLE($B$24,$B$4,$B34,$B$5,H$24)</f>
        <v>1944109092.04253</v>
      </c>
      <c r="I34" s="11" t="n">
        <f aca="true">TABLE($B$24,$B$4,$B34,$B$5,I$24)</f>
        <v>1977860857.04253</v>
      </c>
      <c r="J34" s="11" t="n">
        <f aca="true">TABLE($B$24,$B$4,$B34,$B$5,J$24)</f>
        <v>2011612622.04253</v>
      </c>
      <c r="K34" s="11" t="n">
        <f aca="true">TABLE($B$24,$B$4,$B34,$B$5,K$24)</f>
        <v>2045364387.04253</v>
      </c>
      <c r="L34" s="11" t="n">
        <f aca="true">TABLE($B$24,$B$4,$B34,$B$5,L$24)</f>
        <v>2079116152.04253</v>
      </c>
      <c r="P34" s="0" t="s">
        <v>124</v>
      </c>
      <c r="Q34" s="68" t="n">
        <v>40</v>
      </c>
      <c r="R34" s="16" t="n">
        <f aca="true">TABLE($Q$33,$B$5,$Q34,$B$4,R$33)</f>
        <v>-237696732.957467</v>
      </c>
    </row>
    <row r="35" customFormat="false" ht="12.75" hidden="false" customHeight="false" outlineLevel="0" collapsed="false">
      <c r="B35" s="88" t="n">
        <f aca="false">+B34+0.5</f>
        <v>9</v>
      </c>
      <c r="C35" s="11" t="n">
        <f aca="true">TABLE($B$24,$B$4,$B35,$B$5,C$24)</f>
        <v>1787409167.04253</v>
      </c>
      <c r="D35" s="11" t="n">
        <f aca="true">TABLE($B$24,$B$4,$B35,$B$5,D$24)</f>
        <v>1821160932.04253</v>
      </c>
      <c r="E35" s="11" t="n">
        <f aca="true">TABLE($B$24,$B$4,$B35,$B$5,E$24)</f>
        <v>1854912697.04253</v>
      </c>
      <c r="F35" s="11" t="n">
        <f aca="true">TABLE($B$24,$B$4,$B35,$B$5,F$24)</f>
        <v>1888664462.04253</v>
      </c>
      <c r="G35" s="11" t="n">
        <f aca="true">TABLE($B$24,$B$4,$B35,$B$5,G$24)</f>
        <v>1922416227.04253</v>
      </c>
      <c r="H35" s="11" t="n">
        <f aca="true">TABLE($B$24,$B$4,$B35,$B$5,H$24)</f>
        <v>1956167992.04253</v>
      </c>
      <c r="I35" s="11" t="n">
        <f aca="true">TABLE($B$24,$B$4,$B35,$B$5,I$24)</f>
        <v>1989919757.04253</v>
      </c>
      <c r="J35" s="11" t="n">
        <f aca="true">TABLE($B$24,$B$4,$B35,$B$5,J$24)</f>
        <v>2023671522.04253</v>
      </c>
      <c r="K35" s="11" t="n">
        <f aca="true">TABLE($B$24,$B$4,$B35,$B$5,K$24)</f>
        <v>2057423287.04253</v>
      </c>
      <c r="L35" s="11" t="n">
        <f aca="true">TABLE($B$24,$B$4,$B35,$B$5,L$24)</f>
        <v>2091175052.04253</v>
      </c>
      <c r="Q35" s="68" t="n">
        <v>60</v>
      </c>
      <c r="R35" s="16" t="n">
        <f aca="true">TABLE($Q$33,$B$5,$Q35,$B$4,R$33)</f>
        <v>437338567.042533</v>
      </c>
    </row>
    <row r="36" customFormat="false" ht="12.75" hidden="false" customHeight="false" outlineLevel="0" collapsed="false">
      <c r="Q36" s="68" t="n">
        <v>80</v>
      </c>
      <c r="R36" s="16" t="n">
        <f aca="true">TABLE($Q$33,$B$5,$Q36,$B$4,R$33)</f>
        <v>1112373867.04253</v>
      </c>
    </row>
    <row r="37" customFormat="false" ht="12.75" hidden="false" customHeight="false" outlineLevel="0" collapsed="false">
      <c r="B37" s="81" t="n">
        <f aca="false">+$B$7</f>
        <v>-229969345.507467</v>
      </c>
      <c r="C37" s="92" t="n">
        <f aca="false">+L24+1</f>
        <v>110</v>
      </c>
      <c r="D37" s="38" t="n">
        <f aca="false">+C37+1</f>
        <v>111</v>
      </c>
      <c r="E37" s="38" t="n">
        <f aca="false">+D37+1</f>
        <v>112</v>
      </c>
      <c r="F37" s="38" t="n">
        <f aca="false">+E37+1</f>
        <v>113</v>
      </c>
      <c r="G37" s="38" t="n">
        <f aca="false">+F37+1</f>
        <v>114</v>
      </c>
      <c r="H37" s="38" t="n">
        <f aca="false">+G37+1</f>
        <v>115</v>
      </c>
      <c r="I37" s="38" t="n">
        <f aca="false">+H37+1</f>
        <v>116</v>
      </c>
      <c r="J37" s="38" t="n">
        <f aca="false">+I37+1</f>
        <v>117</v>
      </c>
      <c r="K37" s="38" t="n">
        <f aca="false">+J37+1</f>
        <v>118</v>
      </c>
      <c r="L37" s="38" t="n">
        <f aca="false">+K37+1</f>
        <v>119</v>
      </c>
      <c r="Q37" s="68" t="n">
        <v>100</v>
      </c>
      <c r="R37" s="16" t="n">
        <f aca="true">TABLE($Q$33,$B$5,$Q37,$B$4,R$33)</f>
        <v>1787409167.04253</v>
      </c>
    </row>
    <row r="38" customFormat="false" ht="12.75" hidden="false" customHeight="false" outlineLevel="0" collapsed="false">
      <c r="B38" s="93" t="n">
        <f aca="false">+B25</f>
        <v>4</v>
      </c>
      <c r="C38" s="11" t="n">
        <f aca="true">TABLE($B$37,$B$4,$B38,$B$5,C$37)</f>
        <v>2004337817.04253</v>
      </c>
      <c r="D38" s="11" t="n">
        <f aca="true">TABLE($B$37,$B$4,$B38,$B$5,D$37)</f>
        <v>2038089582.04253</v>
      </c>
      <c r="E38" s="11" t="n">
        <f aca="true">TABLE($B$37,$B$4,$B38,$B$5,E$37)</f>
        <v>2071841347.04253</v>
      </c>
      <c r="F38" s="11" t="n">
        <f aca="true">TABLE($B$37,$B$4,$B38,$B$5,F$37)</f>
        <v>2105593112.04253</v>
      </c>
      <c r="G38" s="11" t="n">
        <f aca="true">TABLE($B$37,$B$4,$B38,$B$5,G$37)</f>
        <v>2139344877.04253</v>
      </c>
      <c r="H38" s="11" t="n">
        <f aca="true">TABLE($B$37,$B$4,$B38,$B$5,H$37)</f>
        <v>2173096642.04253</v>
      </c>
      <c r="I38" s="11" t="n">
        <f aca="true">TABLE($B$37,$B$4,$B38,$B$5,I$37)</f>
        <v>2206848407.04253</v>
      </c>
      <c r="J38" s="11" t="n">
        <f aca="true">TABLE($B$37,$B$4,$B38,$B$5,J$37)</f>
        <v>2240600172.04253</v>
      </c>
      <c r="K38" s="11" t="n">
        <f aca="true">TABLE($B$37,$B$4,$B38,$B$5,K$37)</f>
        <v>2274351937.04253</v>
      </c>
      <c r="L38" s="11" t="n">
        <f aca="true">TABLE($B$37,$B$4,$B38,$B$5,L$37)</f>
        <v>2308103702.04253</v>
      </c>
      <c r="Q38" s="68" t="n">
        <v>120</v>
      </c>
      <c r="R38" s="16" t="n">
        <f aca="true">TABLE($Q$33,$B$5,$Q38,$B$4,R$33)</f>
        <v>2462444467.04253</v>
      </c>
    </row>
    <row r="39" customFormat="false" ht="12.75" hidden="false" customHeight="false" outlineLevel="0" collapsed="false">
      <c r="B39" s="88" t="n">
        <f aca="false">+B38+0.5</f>
        <v>4.5</v>
      </c>
      <c r="C39" s="11" t="n">
        <f aca="true">TABLE($B$37,$B$4,$B39,$B$5,C$37)</f>
        <v>2016396717.04253</v>
      </c>
      <c r="D39" s="11" t="n">
        <f aca="true">TABLE($B$37,$B$4,$B39,$B$5,D$37)</f>
        <v>2050148482.04253</v>
      </c>
      <c r="E39" s="11" t="n">
        <f aca="true">TABLE($B$37,$B$4,$B39,$B$5,E$37)</f>
        <v>2083900247.04253</v>
      </c>
      <c r="F39" s="11" t="n">
        <f aca="true">TABLE($B$37,$B$4,$B39,$B$5,F$37)</f>
        <v>2117652012.04253</v>
      </c>
      <c r="G39" s="11" t="n">
        <f aca="true">TABLE($B$37,$B$4,$B39,$B$5,G$37)</f>
        <v>2151403777.04253</v>
      </c>
      <c r="H39" s="11" t="n">
        <f aca="true">TABLE($B$37,$B$4,$B39,$B$5,H$37)</f>
        <v>2185155542.04253</v>
      </c>
      <c r="I39" s="11" t="n">
        <f aca="true">TABLE($B$37,$B$4,$B39,$B$5,I$37)</f>
        <v>2218907307.04253</v>
      </c>
      <c r="J39" s="11" t="n">
        <f aca="true">TABLE($B$37,$B$4,$B39,$B$5,J$37)</f>
        <v>2252659072.04253</v>
      </c>
      <c r="K39" s="11" t="n">
        <f aca="true">TABLE($B$37,$B$4,$B39,$B$5,K$37)</f>
        <v>2286410837.04253</v>
      </c>
      <c r="L39" s="11" t="n">
        <f aca="true">TABLE($B$37,$B$4,$B39,$B$5,L$37)</f>
        <v>2320162602.04253</v>
      </c>
    </row>
    <row r="40" customFormat="false" ht="12.75" hidden="false" customHeight="false" outlineLevel="0" collapsed="false">
      <c r="B40" s="88" t="n">
        <f aca="false">+B39+0.5</f>
        <v>5</v>
      </c>
      <c r="C40" s="11" t="n">
        <f aca="true">TABLE($B$37,$B$4,$B40,$B$5,C$37)</f>
        <v>2028455617.04253</v>
      </c>
      <c r="D40" s="11" t="n">
        <f aca="true">TABLE($B$37,$B$4,$B40,$B$5,D$37)</f>
        <v>2062207382.04253</v>
      </c>
      <c r="E40" s="11" t="n">
        <f aca="true">TABLE($B$37,$B$4,$B40,$B$5,E$37)</f>
        <v>2095959147.04253</v>
      </c>
      <c r="F40" s="11" t="n">
        <f aca="true">TABLE($B$37,$B$4,$B40,$B$5,F$37)</f>
        <v>2129710912.04253</v>
      </c>
      <c r="G40" s="11" t="n">
        <f aca="true">TABLE($B$37,$B$4,$B40,$B$5,G$37)</f>
        <v>2163462677.04253</v>
      </c>
      <c r="H40" s="11" t="n">
        <f aca="true">TABLE($B$37,$B$4,$B40,$B$5,H$37)</f>
        <v>2197214442.04253</v>
      </c>
      <c r="I40" s="11" t="n">
        <f aca="true">TABLE($B$37,$B$4,$B40,$B$5,I$37)</f>
        <v>2230966207.04253</v>
      </c>
      <c r="J40" s="11" t="n">
        <f aca="true">TABLE($B$37,$B$4,$B40,$B$5,J$37)</f>
        <v>2264717972.04253</v>
      </c>
      <c r="K40" s="11" t="n">
        <f aca="true">TABLE($B$37,$B$4,$B40,$B$5,K$37)</f>
        <v>2298469737.04253</v>
      </c>
      <c r="L40" s="11" t="n">
        <f aca="true">TABLE($B$37,$B$4,$B40,$B$5,L$37)</f>
        <v>2332221502.04253</v>
      </c>
    </row>
    <row r="41" customFormat="false" ht="12.75" hidden="false" customHeight="false" outlineLevel="0" collapsed="false">
      <c r="B41" s="88" t="n">
        <f aca="false">+B40+0.5</f>
        <v>5.5</v>
      </c>
      <c r="C41" s="11" t="n">
        <f aca="true">TABLE($B$37,$B$4,$B41,$B$5,C$37)</f>
        <v>2040514517.04253</v>
      </c>
      <c r="D41" s="11" t="n">
        <f aca="true">TABLE($B$37,$B$4,$B41,$B$5,D$37)</f>
        <v>2074266282.04253</v>
      </c>
      <c r="E41" s="11" t="n">
        <f aca="true">TABLE($B$37,$B$4,$B41,$B$5,E$37)</f>
        <v>2108018047.04253</v>
      </c>
      <c r="F41" s="11" t="n">
        <f aca="true">TABLE($B$37,$B$4,$B41,$B$5,F$37)</f>
        <v>2141769812.04253</v>
      </c>
      <c r="G41" s="11" t="n">
        <f aca="true">TABLE($B$37,$B$4,$B41,$B$5,G$37)</f>
        <v>2175521577.04253</v>
      </c>
      <c r="H41" s="11" t="n">
        <f aca="true">TABLE($B$37,$B$4,$B41,$B$5,H$37)</f>
        <v>2209273342.04253</v>
      </c>
      <c r="I41" s="11" t="n">
        <f aca="true">TABLE($B$37,$B$4,$B41,$B$5,I$37)</f>
        <v>2243025107.04253</v>
      </c>
      <c r="J41" s="11" t="n">
        <f aca="true">TABLE($B$37,$B$4,$B41,$B$5,J$37)</f>
        <v>2276776872.04253</v>
      </c>
      <c r="K41" s="11" t="n">
        <f aca="true">TABLE($B$37,$B$4,$B41,$B$5,K$37)</f>
        <v>2310528637.04253</v>
      </c>
      <c r="L41" s="11" t="n">
        <f aca="true">TABLE($B$37,$B$4,$B41,$B$5,L$37)</f>
        <v>2344280402.04253</v>
      </c>
    </row>
    <row r="42" customFormat="false" ht="12.75" hidden="false" customHeight="false" outlineLevel="0" collapsed="false">
      <c r="B42" s="88" t="n">
        <f aca="false">+B41+0.5</f>
        <v>6</v>
      </c>
      <c r="C42" s="11" t="n">
        <f aca="true">TABLE($B$37,$B$4,$B42,$B$5,C$37)</f>
        <v>2052573417.04253</v>
      </c>
      <c r="D42" s="11" t="n">
        <f aca="true">TABLE($B$37,$B$4,$B42,$B$5,D$37)</f>
        <v>2086325182.04253</v>
      </c>
      <c r="E42" s="11" t="n">
        <f aca="true">TABLE($B$37,$B$4,$B42,$B$5,E$37)</f>
        <v>2120076947.04253</v>
      </c>
      <c r="F42" s="11" t="n">
        <f aca="true">TABLE($B$37,$B$4,$B42,$B$5,F$37)</f>
        <v>2153828712.04253</v>
      </c>
      <c r="G42" s="11" t="n">
        <f aca="true">TABLE($B$37,$B$4,$B42,$B$5,G$37)</f>
        <v>2187580477.04253</v>
      </c>
      <c r="H42" s="11" t="n">
        <f aca="true">TABLE($B$37,$B$4,$B42,$B$5,H$37)</f>
        <v>2221332242.04253</v>
      </c>
      <c r="I42" s="11" t="n">
        <f aca="true">TABLE($B$37,$B$4,$B42,$B$5,I$37)</f>
        <v>2255084007.04253</v>
      </c>
      <c r="J42" s="11" t="n">
        <f aca="true">TABLE($B$37,$B$4,$B42,$B$5,J$37)</f>
        <v>2288835772.04253</v>
      </c>
      <c r="K42" s="11" t="n">
        <f aca="true">TABLE($B$37,$B$4,$B42,$B$5,K$37)</f>
        <v>2322587537.04253</v>
      </c>
      <c r="L42" s="11" t="n">
        <f aca="true">TABLE($B$37,$B$4,$B42,$B$5,L$37)</f>
        <v>2356339302.04253</v>
      </c>
    </row>
    <row r="43" customFormat="false" ht="12.75" hidden="false" customHeight="false" outlineLevel="0" collapsed="false">
      <c r="B43" s="88" t="n">
        <f aca="false">+B42+0.5</f>
        <v>6.5</v>
      </c>
      <c r="C43" s="11" t="n">
        <f aca="true">TABLE($B$37,$B$4,$B43,$B$5,C$37)</f>
        <v>2064632317.04253</v>
      </c>
      <c r="D43" s="11" t="n">
        <f aca="true">TABLE($B$37,$B$4,$B43,$B$5,D$37)</f>
        <v>2098384082.04253</v>
      </c>
      <c r="E43" s="11" t="n">
        <f aca="true">TABLE($B$37,$B$4,$B43,$B$5,E$37)</f>
        <v>2132135847.04253</v>
      </c>
      <c r="F43" s="11" t="n">
        <f aca="true">TABLE($B$37,$B$4,$B43,$B$5,F$37)</f>
        <v>2165887612.04253</v>
      </c>
      <c r="G43" s="11" t="n">
        <f aca="true">TABLE($B$37,$B$4,$B43,$B$5,G$37)</f>
        <v>2199639377.04253</v>
      </c>
      <c r="H43" s="11" t="n">
        <f aca="true">TABLE($B$37,$B$4,$B43,$B$5,H$37)</f>
        <v>2233391142.04253</v>
      </c>
      <c r="I43" s="11" t="n">
        <f aca="true">TABLE($B$37,$B$4,$B43,$B$5,I$37)</f>
        <v>2267142907.04253</v>
      </c>
      <c r="J43" s="11" t="n">
        <f aca="true">TABLE($B$37,$B$4,$B43,$B$5,J$37)</f>
        <v>2300894672.04253</v>
      </c>
      <c r="K43" s="11" t="n">
        <f aca="true">TABLE($B$37,$B$4,$B43,$B$5,K$37)</f>
        <v>2334646437.04253</v>
      </c>
      <c r="L43" s="11" t="n">
        <f aca="true">TABLE($B$37,$B$4,$B43,$B$5,L$37)</f>
        <v>2368398202.04253</v>
      </c>
    </row>
    <row r="44" customFormat="false" ht="12.75" hidden="false" customHeight="false" outlineLevel="0" collapsed="false">
      <c r="B44" s="88" t="n">
        <f aca="false">+B43+0.5</f>
        <v>7</v>
      </c>
      <c r="C44" s="11" t="n">
        <f aca="true">TABLE($B$37,$B$4,$B44,$B$5,C$37)</f>
        <v>2076691217.04253</v>
      </c>
      <c r="D44" s="11" t="n">
        <f aca="true">TABLE($B$37,$B$4,$B44,$B$5,D$37)</f>
        <v>2110442982.04253</v>
      </c>
      <c r="E44" s="11" t="n">
        <f aca="true">TABLE($B$37,$B$4,$B44,$B$5,E$37)</f>
        <v>2144194747.04253</v>
      </c>
      <c r="F44" s="11" t="n">
        <f aca="true">TABLE($B$37,$B$4,$B44,$B$5,F$37)</f>
        <v>2177946512.04253</v>
      </c>
      <c r="G44" s="11" t="n">
        <f aca="true">TABLE($B$37,$B$4,$B44,$B$5,G$37)</f>
        <v>2211698277.04253</v>
      </c>
      <c r="H44" s="11" t="n">
        <f aca="true">TABLE($B$37,$B$4,$B44,$B$5,H$37)</f>
        <v>2245450042.04253</v>
      </c>
      <c r="I44" s="11" t="n">
        <f aca="true">TABLE($B$37,$B$4,$B44,$B$5,I$37)</f>
        <v>2279201807.04253</v>
      </c>
      <c r="J44" s="11" t="n">
        <f aca="true">TABLE($B$37,$B$4,$B44,$B$5,J$37)</f>
        <v>2312953572.04253</v>
      </c>
      <c r="K44" s="11" t="n">
        <f aca="true">TABLE($B$37,$B$4,$B44,$B$5,K$37)</f>
        <v>2346705337.04253</v>
      </c>
      <c r="L44" s="11" t="n">
        <f aca="true">TABLE($B$37,$B$4,$B44,$B$5,L$37)</f>
        <v>2380457102.04253</v>
      </c>
    </row>
    <row r="45" customFormat="false" ht="12.75" hidden="false" customHeight="false" outlineLevel="0" collapsed="false">
      <c r="B45" s="88" t="n">
        <f aca="false">+B44+0.5</f>
        <v>7.5</v>
      </c>
      <c r="C45" s="11" t="n">
        <f aca="true">TABLE($B$37,$B$4,$B45,$B$5,C$37)</f>
        <v>2088750117.04253</v>
      </c>
      <c r="D45" s="11" t="n">
        <f aca="true">TABLE($B$37,$B$4,$B45,$B$5,D$37)</f>
        <v>2122501882.04253</v>
      </c>
      <c r="E45" s="11" t="n">
        <f aca="true">TABLE($B$37,$B$4,$B45,$B$5,E$37)</f>
        <v>2156253647.04253</v>
      </c>
      <c r="F45" s="11" t="n">
        <f aca="true">TABLE($B$37,$B$4,$B45,$B$5,F$37)</f>
        <v>2190005412.04253</v>
      </c>
      <c r="G45" s="11" t="n">
        <f aca="true">TABLE($B$37,$B$4,$B45,$B$5,G$37)</f>
        <v>2223757177.04253</v>
      </c>
      <c r="H45" s="11" t="n">
        <f aca="true">TABLE($B$37,$B$4,$B45,$B$5,H$37)</f>
        <v>2257508942.04253</v>
      </c>
      <c r="I45" s="11" t="n">
        <f aca="true">TABLE($B$37,$B$4,$B45,$B$5,I$37)</f>
        <v>2291260707.04253</v>
      </c>
      <c r="J45" s="11" t="n">
        <f aca="true">TABLE($B$37,$B$4,$B45,$B$5,J$37)</f>
        <v>2325012472.04253</v>
      </c>
      <c r="K45" s="11" t="n">
        <f aca="true">TABLE($B$37,$B$4,$B45,$B$5,K$37)</f>
        <v>2358764237.04253</v>
      </c>
      <c r="L45" s="11" t="n">
        <f aca="true">TABLE($B$37,$B$4,$B45,$B$5,L$37)</f>
        <v>2392516002.04253</v>
      </c>
    </row>
    <row r="46" customFormat="false" ht="12.75" hidden="false" customHeight="false" outlineLevel="0" collapsed="false">
      <c r="B46" s="88" t="n">
        <f aca="false">+B45+0.5</f>
        <v>8</v>
      </c>
      <c r="C46" s="11" t="n">
        <f aca="true">TABLE($B$37,$B$4,$B46,$B$5,C$37)</f>
        <v>2100809017.04253</v>
      </c>
      <c r="D46" s="11" t="n">
        <f aca="true">TABLE($B$37,$B$4,$B46,$B$5,D$37)</f>
        <v>2134560782.04253</v>
      </c>
      <c r="E46" s="11" t="n">
        <f aca="true">TABLE($B$37,$B$4,$B46,$B$5,E$37)</f>
        <v>2168312547.04253</v>
      </c>
      <c r="F46" s="11" t="n">
        <f aca="true">TABLE($B$37,$B$4,$B46,$B$5,F$37)</f>
        <v>2202064312.04253</v>
      </c>
      <c r="G46" s="11" t="n">
        <f aca="true">TABLE($B$37,$B$4,$B46,$B$5,G$37)</f>
        <v>2235816077.04253</v>
      </c>
      <c r="H46" s="11" t="n">
        <f aca="true">TABLE($B$37,$B$4,$B46,$B$5,H$37)</f>
        <v>2269567842.04253</v>
      </c>
      <c r="I46" s="11" t="n">
        <f aca="true">TABLE($B$37,$B$4,$B46,$B$5,I$37)</f>
        <v>2303319607.04253</v>
      </c>
      <c r="J46" s="11" t="n">
        <f aca="true">TABLE($B$37,$B$4,$B46,$B$5,J$37)</f>
        <v>2337071372.04253</v>
      </c>
      <c r="K46" s="11" t="n">
        <f aca="true">TABLE($B$37,$B$4,$B46,$B$5,K$37)</f>
        <v>2370823137.04253</v>
      </c>
      <c r="L46" s="11" t="n">
        <f aca="true">TABLE($B$37,$B$4,$B46,$B$5,L$37)</f>
        <v>2404574902.04253</v>
      </c>
    </row>
    <row r="47" customFormat="false" ht="12.75" hidden="false" customHeight="false" outlineLevel="0" collapsed="false">
      <c r="B47" s="88" t="n">
        <f aca="false">+B46+0.5</f>
        <v>8.5</v>
      </c>
      <c r="C47" s="11" t="n">
        <f aca="true">TABLE($B$37,$B$4,$B47,$B$5,C$37)</f>
        <v>2112867917.04253</v>
      </c>
      <c r="D47" s="11" t="n">
        <f aca="true">TABLE($B$37,$B$4,$B47,$B$5,D$37)</f>
        <v>2146619682.04253</v>
      </c>
      <c r="E47" s="11" t="n">
        <f aca="true">TABLE($B$37,$B$4,$B47,$B$5,E$37)</f>
        <v>2180371447.04253</v>
      </c>
      <c r="F47" s="11" t="n">
        <f aca="true">TABLE($B$37,$B$4,$B47,$B$5,F$37)</f>
        <v>2214123212.04253</v>
      </c>
      <c r="G47" s="11" t="n">
        <f aca="true">TABLE($B$37,$B$4,$B47,$B$5,G$37)</f>
        <v>2247874977.04253</v>
      </c>
      <c r="H47" s="11" t="n">
        <f aca="true">TABLE($B$37,$B$4,$B47,$B$5,H$37)</f>
        <v>2281626742.04253</v>
      </c>
      <c r="I47" s="11" t="n">
        <f aca="true">TABLE($B$37,$B$4,$B47,$B$5,I$37)</f>
        <v>2315378507.04253</v>
      </c>
      <c r="J47" s="11" t="n">
        <f aca="true">TABLE($B$37,$B$4,$B47,$B$5,J$37)</f>
        <v>2349130272.04253</v>
      </c>
      <c r="K47" s="11" t="n">
        <f aca="true">TABLE($B$37,$B$4,$B47,$B$5,K$37)</f>
        <v>2382882037.04253</v>
      </c>
      <c r="L47" s="11" t="n">
        <f aca="true">TABLE($B$37,$B$4,$B47,$B$5,L$37)</f>
        <v>2416633802.04253</v>
      </c>
    </row>
    <row r="48" customFormat="false" ht="12.75" hidden="false" customHeight="false" outlineLevel="0" collapsed="false">
      <c r="B48" s="88" t="n">
        <f aca="false">+B47+0.5</f>
        <v>9</v>
      </c>
      <c r="C48" s="11" t="n">
        <f aca="true">TABLE($B$37,$B$4,$B48,$B$5,C$37)</f>
        <v>2124926817.04253</v>
      </c>
      <c r="D48" s="11" t="n">
        <f aca="true">TABLE($B$37,$B$4,$B48,$B$5,D$37)</f>
        <v>2158678582.04253</v>
      </c>
      <c r="E48" s="11" t="n">
        <f aca="true">TABLE($B$37,$B$4,$B48,$B$5,E$37)</f>
        <v>2192430347.04253</v>
      </c>
      <c r="F48" s="11" t="n">
        <f aca="true">TABLE($B$37,$B$4,$B48,$B$5,F$37)</f>
        <v>2226182112.04253</v>
      </c>
      <c r="G48" s="11" t="n">
        <f aca="true">TABLE($B$37,$B$4,$B48,$B$5,G$37)</f>
        <v>2259933877.04253</v>
      </c>
      <c r="H48" s="11" t="n">
        <f aca="true">TABLE($B$37,$B$4,$B48,$B$5,H$37)</f>
        <v>2293685642.04253</v>
      </c>
      <c r="I48" s="11" t="n">
        <f aca="true">TABLE($B$37,$B$4,$B48,$B$5,I$37)</f>
        <v>2327437407.04253</v>
      </c>
      <c r="J48" s="11" t="n">
        <f aca="true">TABLE($B$37,$B$4,$B48,$B$5,J$37)</f>
        <v>2361189172.04253</v>
      </c>
      <c r="K48" s="11" t="n">
        <f aca="true">TABLE($B$37,$B$4,$B48,$B$5,K$37)</f>
        <v>2394940937.04253</v>
      </c>
      <c r="L48" s="11" t="n">
        <f aca="true">TABLE($B$37,$B$4,$B48,$B$5,L$37)</f>
        <v>2428692702.04253</v>
      </c>
    </row>
    <row r="50" customFormat="false" ht="12.75" hidden="false" customHeight="false" outlineLevel="0" collapsed="false">
      <c r="B50" s="81" t="n">
        <f aca="false">+$B$7</f>
        <v>-229969345.507467</v>
      </c>
      <c r="C50" s="92" t="n">
        <f aca="false">+L37+1</f>
        <v>120</v>
      </c>
      <c r="D50" s="38" t="n">
        <f aca="false">+C50+1</f>
        <v>121</v>
      </c>
      <c r="E50" s="38" t="n">
        <f aca="false">+D50+1</f>
        <v>122</v>
      </c>
      <c r="F50" s="38" t="n">
        <f aca="false">+E50+1</f>
        <v>123</v>
      </c>
      <c r="G50" s="38" t="n">
        <f aca="false">+F50+1</f>
        <v>124</v>
      </c>
      <c r="H50" s="38" t="n">
        <f aca="false">+G50+1</f>
        <v>125</v>
      </c>
      <c r="I50" s="38" t="n">
        <f aca="false">+H50+1</f>
        <v>126</v>
      </c>
      <c r="J50" s="38" t="n">
        <f aca="false">+I50+1</f>
        <v>127</v>
      </c>
      <c r="K50" s="38" t="n">
        <f aca="false">+J50+1</f>
        <v>128</v>
      </c>
      <c r="L50" s="38" t="n">
        <f aca="false">+K50+1</f>
        <v>129</v>
      </c>
    </row>
    <row r="51" customFormat="false" ht="12.75" hidden="false" customHeight="false" outlineLevel="0" collapsed="false">
      <c r="B51" s="93" t="n">
        <f aca="false">+B38</f>
        <v>4</v>
      </c>
      <c r="C51" s="11" t="n">
        <f aca="true">TABLE($B$50,$B$4,$B51,$B$5,C$50)</f>
        <v>2341855467.04253</v>
      </c>
      <c r="D51" s="11" t="n">
        <f aca="true">TABLE($B$50,$B$4,$B51,$B$5,D$50)</f>
        <v>2375607232.04253</v>
      </c>
      <c r="E51" s="11" t="n">
        <f aca="true">TABLE($B$50,$B$4,$B51,$B$5,E$50)</f>
        <v>2409358997.04253</v>
      </c>
      <c r="F51" s="11" t="n">
        <f aca="true">TABLE($B$50,$B$4,$B51,$B$5,F$50)</f>
        <v>2443110762.04253</v>
      </c>
      <c r="G51" s="11" t="n">
        <f aca="true">TABLE($B$50,$B$4,$B51,$B$5,G$50)</f>
        <v>2476862527.04253</v>
      </c>
      <c r="H51" s="11" t="n">
        <f aca="true">TABLE($B$50,$B$4,$B51,$B$5,H$50)</f>
        <v>2510614292.04253</v>
      </c>
      <c r="I51" s="11" t="n">
        <f aca="true">TABLE($B$50,$B$4,$B51,$B$5,I$50)</f>
        <v>2544366057.04253</v>
      </c>
      <c r="J51" s="11" t="n">
        <f aca="true">TABLE($B$50,$B$4,$B51,$B$5,J$50)</f>
        <v>2578117822.04253</v>
      </c>
      <c r="K51" s="11" t="n">
        <f aca="true">TABLE($B$50,$B$4,$B51,$B$5,K$50)</f>
        <v>2611869587.04253</v>
      </c>
      <c r="L51" s="11" t="n">
        <f aca="true">TABLE($B$50,$B$4,$B51,$B$5,L$50)</f>
        <v>2645621352.04253</v>
      </c>
    </row>
    <row r="52" customFormat="false" ht="12.75" hidden="false" customHeight="false" outlineLevel="0" collapsed="false">
      <c r="B52" s="88" t="n">
        <f aca="false">+B51+0.5</f>
        <v>4.5</v>
      </c>
      <c r="C52" s="11" t="n">
        <f aca="true">TABLE($B$50,$B$4,$B52,$B$5,C$50)</f>
        <v>2353914367.04253</v>
      </c>
      <c r="D52" s="11" t="n">
        <f aca="true">TABLE($B$50,$B$4,$B52,$B$5,D$50)</f>
        <v>2387666132.04253</v>
      </c>
      <c r="E52" s="11" t="n">
        <f aca="true">TABLE($B$50,$B$4,$B52,$B$5,E$50)</f>
        <v>2421417897.04253</v>
      </c>
      <c r="F52" s="11" t="n">
        <f aca="true">TABLE($B$50,$B$4,$B52,$B$5,F$50)</f>
        <v>2455169662.04253</v>
      </c>
      <c r="G52" s="11" t="n">
        <f aca="true">TABLE($B$50,$B$4,$B52,$B$5,G$50)</f>
        <v>2488921427.04253</v>
      </c>
      <c r="H52" s="11" t="n">
        <f aca="true">TABLE($B$50,$B$4,$B52,$B$5,H$50)</f>
        <v>2522673192.04253</v>
      </c>
      <c r="I52" s="11" t="n">
        <f aca="true">TABLE($B$50,$B$4,$B52,$B$5,I$50)</f>
        <v>2556424957.04253</v>
      </c>
      <c r="J52" s="11" t="n">
        <f aca="true">TABLE($B$50,$B$4,$B52,$B$5,J$50)</f>
        <v>2590176722.04253</v>
      </c>
      <c r="K52" s="11" t="n">
        <f aca="true">TABLE($B$50,$B$4,$B52,$B$5,K$50)</f>
        <v>2623928487.04253</v>
      </c>
      <c r="L52" s="11" t="n">
        <f aca="true">TABLE($B$50,$B$4,$B52,$B$5,L$50)</f>
        <v>2657680252.04253</v>
      </c>
    </row>
    <row r="53" customFormat="false" ht="12.75" hidden="false" customHeight="false" outlineLevel="0" collapsed="false">
      <c r="B53" s="88" t="n">
        <f aca="false">+B52+0.5</f>
        <v>5</v>
      </c>
      <c r="C53" s="11" t="n">
        <f aca="true">TABLE($B$50,$B$4,$B53,$B$5,C$50)</f>
        <v>2365973267.04253</v>
      </c>
      <c r="D53" s="11" t="n">
        <f aca="true">TABLE($B$50,$B$4,$B53,$B$5,D$50)</f>
        <v>2399725032.04253</v>
      </c>
      <c r="E53" s="11" t="n">
        <f aca="true">TABLE($B$50,$B$4,$B53,$B$5,E$50)</f>
        <v>2433476797.04253</v>
      </c>
      <c r="F53" s="11" t="n">
        <f aca="true">TABLE($B$50,$B$4,$B53,$B$5,F$50)</f>
        <v>2467228562.04253</v>
      </c>
      <c r="G53" s="11" t="n">
        <f aca="true">TABLE($B$50,$B$4,$B53,$B$5,G$50)</f>
        <v>2500980327.04253</v>
      </c>
      <c r="H53" s="11" t="n">
        <f aca="true">TABLE($B$50,$B$4,$B53,$B$5,H$50)</f>
        <v>2534732092.04253</v>
      </c>
      <c r="I53" s="11" t="n">
        <f aca="true">TABLE($B$50,$B$4,$B53,$B$5,I$50)</f>
        <v>2568483857.04253</v>
      </c>
      <c r="J53" s="11" t="n">
        <f aca="true">TABLE($B$50,$B$4,$B53,$B$5,J$50)</f>
        <v>2602235622.04253</v>
      </c>
      <c r="K53" s="11" t="n">
        <f aca="true">TABLE($B$50,$B$4,$B53,$B$5,K$50)</f>
        <v>2635987387.04253</v>
      </c>
      <c r="L53" s="11" t="n">
        <f aca="true">TABLE($B$50,$B$4,$B53,$B$5,L$50)</f>
        <v>2669739152.04253</v>
      </c>
    </row>
    <row r="54" customFormat="false" ht="12.75" hidden="false" customHeight="false" outlineLevel="0" collapsed="false">
      <c r="B54" s="88" t="n">
        <f aca="false">+B53+0.5</f>
        <v>5.5</v>
      </c>
      <c r="C54" s="11" t="n">
        <f aca="true">TABLE($B$50,$B$4,$B54,$B$5,C$50)</f>
        <v>2378032167.04253</v>
      </c>
      <c r="D54" s="11" t="n">
        <f aca="true">TABLE($B$50,$B$4,$B54,$B$5,D$50)</f>
        <v>2411783932.04253</v>
      </c>
      <c r="E54" s="11" t="n">
        <f aca="true">TABLE($B$50,$B$4,$B54,$B$5,E$50)</f>
        <v>2445535697.04253</v>
      </c>
      <c r="F54" s="11" t="n">
        <f aca="true">TABLE($B$50,$B$4,$B54,$B$5,F$50)</f>
        <v>2479287462.04253</v>
      </c>
      <c r="G54" s="11" t="n">
        <f aca="true">TABLE($B$50,$B$4,$B54,$B$5,G$50)</f>
        <v>2513039227.04253</v>
      </c>
      <c r="H54" s="11" t="n">
        <f aca="true">TABLE($B$50,$B$4,$B54,$B$5,H$50)</f>
        <v>2546790992.04253</v>
      </c>
      <c r="I54" s="11" t="n">
        <f aca="true">TABLE($B$50,$B$4,$B54,$B$5,I$50)</f>
        <v>2580542757.04253</v>
      </c>
      <c r="J54" s="11" t="n">
        <f aca="true">TABLE($B$50,$B$4,$B54,$B$5,J$50)</f>
        <v>2614294522.04253</v>
      </c>
      <c r="K54" s="11" t="n">
        <f aca="true">TABLE($B$50,$B$4,$B54,$B$5,K$50)</f>
        <v>2648046287.04253</v>
      </c>
      <c r="L54" s="11" t="n">
        <f aca="true">TABLE($B$50,$B$4,$B54,$B$5,L$50)</f>
        <v>2681798052.04253</v>
      </c>
    </row>
    <row r="55" customFormat="false" ht="12.75" hidden="false" customHeight="false" outlineLevel="0" collapsed="false">
      <c r="B55" s="88" t="n">
        <f aca="false">+B54+0.5</f>
        <v>6</v>
      </c>
      <c r="C55" s="11" t="n">
        <f aca="true">TABLE($B$50,$B$4,$B55,$B$5,C$50)</f>
        <v>2390091067.04253</v>
      </c>
      <c r="D55" s="11" t="n">
        <f aca="true">TABLE($B$50,$B$4,$B55,$B$5,D$50)</f>
        <v>2423842832.04253</v>
      </c>
      <c r="E55" s="11" t="n">
        <f aca="true">TABLE($B$50,$B$4,$B55,$B$5,E$50)</f>
        <v>2457594597.04253</v>
      </c>
      <c r="F55" s="11" t="n">
        <f aca="true">TABLE($B$50,$B$4,$B55,$B$5,F$50)</f>
        <v>2491346362.04253</v>
      </c>
      <c r="G55" s="11" t="n">
        <f aca="true">TABLE($B$50,$B$4,$B55,$B$5,G$50)</f>
        <v>2525098127.04253</v>
      </c>
      <c r="H55" s="11" t="n">
        <f aca="true">TABLE($B$50,$B$4,$B55,$B$5,H$50)</f>
        <v>2558849892.04253</v>
      </c>
      <c r="I55" s="11" t="n">
        <f aca="true">TABLE($B$50,$B$4,$B55,$B$5,I$50)</f>
        <v>2592601657.04253</v>
      </c>
      <c r="J55" s="11" t="n">
        <f aca="true">TABLE($B$50,$B$4,$B55,$B$5,J$50)</f>
        <v>2626353422.04253</v>
      </c>
      <c r="K55" s="11" t="n">
        <f aca="true">TABLE($B$50,$B$4,$B55,$B$5,K$50)</f>
        <v>2660105187.04253</v>
      </c>
      <c r="L55" s="11" t="n">
        <f aca="true">TABLE($B$50,$B$4,$B55,$B$5,L$50)</f>
        <v>2693856952.04253</v>
      </c>
    </row>
    <row r="56" customFormat="false" ht="12.75" hidden="false" customHeight="false" outlineLevel="0" collapsed="false">
      <c r="B56" s="88" t="n">
        <f aca="false">+B55+0.5</f>
        <v>6.5</v>
      </c>
      <c r="C56" s="11" t="n">
        <f aca="true">TABLE($B$50,$B$4,$B56,$B$5,C$50)</f>
        <v>2402149967.04253</v>
      </c>
      <c r="D56" s="11" t="n">
        <f aca="true">TABLE($B$50,$B$4,$B56,$B$5,D$50)</f>
        <v>2435901732.04253</v>
      </c>
      <c r="E56" s="11" t="n">
        <f aca="true">TABLE($B$50,$B$4,$B56,$B$5,E$50)</f>
        <v>2469653497.04253</v>
      </c>
      <c r="F56" s="11" t="n">
        <f aca="true">TABLE($B$50,$B$4,$B56,$B$5,F$50)</f>
        <v>2503405262.04253</v>
      </c>
      <c r="G56" s="11" t="n">
        <f aca="true">TABLE($B$50,$B$4,$B56,$B$5,G$50)</f>
        <v>2537157027.04253</v>
      </c>
      <c r="H56" s="11" t="n">
        <f aca="true">TABLE($B$50,$B$4,$B56,$B$5,H$50)</f>
        <v>2570908792.04253</v>
      </c>
      <c r="I56" s="11" t="n">
        <f aca="true">TABLE($B$50,$B$4,$B56,$B$5,I$50)</f>
        <v>2604660557.04253</v>
      </c>
      <c r="J56" s="11" t="n">
        <f aca="true">TABLE($B$50,$B$4,$B56,$B$5,J$50)</f>
        <v>2638412322.04253</v>
      </c>
      <c r="K56" s="11" t="n">
        <f aca="true">TABLE($B$50,$B$4,$B56,$B$5,K$50)</f>
        <v>2672164087.04253</v>
      </c>
      <c r="L56" s="11" t="n">
        <f aca="true">TABLE($B$50,$B$4,$B56,$B$5,L$50)</f>
        <v>2705915852.04253</v>
      </c>
    </row>
    <row r="57" customFormat="false" ht="12.75" hidden="false" customHeight="false" outlineLevel="0" collapsed="false">
      <c r="B57" s="88" t="n">
        <f aca="false">+B56+0.5</f>
        <v>7</v>
      </c>
      <c r="C57" s="11" t="n">
        <f aca="true">TABLE($B$50,$B$4,$B57,$B$5,C$50)</f>
        <v>2414208867.04253</v>
      </c>
      <c r="D57" s="11" t="n">
        <f aca="true">TABLE($B$50,$B$4,$B57,$B$5,D$50)</f>
        <v>2447960632.04253</v>
      </c>
      <c r="E57" s="11" t="n">
        <f aca="true">TABLE($B$50,$B$4,$B57,$B$5,E$50)</f>
        <v>2481712397.04253</v>
      </c>
      <c r="F57" s="11" t="n">
        <f aca="true">TABLE($B$50,$B$4,$B57,$B$5,F$50)</f>
        <v>2515464162.04253</v>
      </c>
      <c r="G57" s="11" t="n">
        <f aca="true">TABLE($B$50,$B$4,$B57,$B$5,G$50)</f>
        <v>2549215927.04253</v>
      </c>
      <c r="H57" s="11" t="n">
        <f aca="true">TABLE($B$50,$B$4,$B57,$B$5,H$50)</f>
        <v>2582967692.04253</v>
      </c>
      <c r="I57" s="11" t="n">
        <f aca="true">TABLE($B$50,$B$4,$B57,$B$5,I$50)</f>
        <v>2616719457.04253</v>
      </c>
      <c r="J57" s="11" t="n">
        <f aca="true">TABLE($B$50,$B$4,$B57,$B$5,J$50)</f>
        <v>2650471222.04253</v>
      </c>
      <c r="K57" s="11" t="n">
        <f aca="true">TABLE($B$50,$B$4,$B57,$B$5,K$50)</f>
        <v>2684222987.04253</v>
      </c>
      <c r="L57" s="11" t="n">
        <f aca="true">TABLE($B$50,$B$4,$B57,$B$5,L$50)</f>
        <v>2717974752.04253</v>
      </c>
    </row>
    <row r="58" customFormat="false" ht="12.75" hidden="false" customHeight="false" outlineLevel="0" collapsed="false">
      <c r="B58" s="88" t="n">
        <f aca="false">+B57+0.5</f>
        <v>7.5</v>
      </c>
      <c r="C58" s="11" t="n">
        <f aca="true">TABLE($B$50,$B$4,$B58,$B$5,C$50)</f>
        <v>2426267767.04253</v>
      </c>
      <c r="D58" s="11" t="n">
        <f aca="true">TABLE($B$50,$B$4,$B58,$B$5,D$50)</f>
        <v>2460019532.04253</v>
      </c>
      <c r="E58" s="11" t="n">
        <f aca="true">TABLE($B$50,$B$4,$B58,$B$5,E$50)</f>
        <v>2493771297.04253</v>
      </c>
      <c r="F58" s="11" t="n">
        <f aca="true">TABLE($B$50,$B$4,$B58,$B$5,F$50)</f>
        <v>2527523062.04253</v>
      </c>
      <c r="G58" s="11" t="n">
        <f aca="true">TABLE($B$50,$B$4,$B58,$B$5,G$50)</f>
        <v>2561274827.04253</v>
      </c>
      <c r="H58" s="11" t="n">
        <f aca="true">TABLE($B$50,$B$4,$B58,$B$5,H$50)</f>
        <v>2595026592.04253</v>
      </c>
      <c r="I58" s="11" t="n">
        <f aca="true">TABLE($B$50,$B$4,$B58,$B$5,I$50)</f>
        <v>2628778357.04253</v>
      </c>
      <c r="J58" s="11" t="n">
        <f aca="true">TABLE($B$50,$B$4,$B58,$B$5,J$50)</f>
        <v>2662530122.04253</v>
      </c>
      <c r="K58" s="11" t="n">
        <f aca="true">TABLE($B$50,$B$4,$B58,$B$5,K$50)</f>
        <v>2696281887.04253</v>
      </c>
      <c r="L58" s="11" t="n">
        <f aca="true">TABLE($B$50,$B$4,$B58,$B$5,L$50)</f>
        <v>2730033652.04253</v>
      </c>
    </row>
    <row r="59" customFormat="false" ht="12.75" hidden="false" customHeight="false" outlineLevel="0" collapsed="false">
      <c r="B59" s="88" t="n">
        <f aca="false">+B58+0.5</f>
        <v>8</v>
      </c>
      <c r="C59" s="11" t="n">
        <f aca="true">TABLE($B$50,$B$4,$B59,$B$5,C$50)</f>
        <v>2438326667.04253</v>
      </c>
      <c r="D59" s="11" t="n">
        <f aca="true">TABLE($B$50,$B$4,$B59,$B$5,D$50)</f>
        <v>2472078432.04253</v>
      </c>
      <c r="E59" s="11" t="n">
        <f aca="true">TABLE($B$50,$B$4,$B59,$B$5,E$50)</f>
        <v>2505830197.04253</v>
      </c>
      <c r="F59" s="11" t="n">
        <f aca="true">TABLE($B$50,$B$4,$B59,$B$5,F$50)</f>
        <v>2539581962.04253</v>
      </c>
      <c r="G59" s="11" t="n">
        <f aca="true">TABLE($B$50,$B$4,$B59,$B$5,G$50)</f>
        <v>2573333727.04253</v>
      </c>
      <c r="H59" s="11" t="n">
        <f aca="true">TABLE($B$50,$B$4,$B59,$B$5,H$50)</f>
        <v>2607085492.04253</v>
      </c>
      <c r="I59" s="11" t="n">
        <f aca="true">TABLE($B$50,$B$4,$B59,$B$5,I$50)</f>
        <v>2640837257.04253</v>
      </c>
      <c r="J59" s="11" t="n">
        <f aca="true">TABLE($B$50,$B$4,$B59,$B$5,J$50)</f>
        <v>2674589022.04253</v>
      </c>
      <c r="K59" s="11" t="n">
        <f aca="true">TABLE($B$50,$B$4,$B59,$B$5,K$50)</f>
        <v>2708340787.04253</v>
      </c>
      <c r="L59" s="11" t="n">
        <f aca="true">TABLE($B$50,$B$4,$B59,$B$5,L$50)</f>
        <v>2742092552.04253</v>
      </c>
    </row>
    <row r="60" customFormat="false" ht="12.75" hidden="false" customHeight="false" outlineLevel="0" collapsed="false">
      <c r="B60" s="88" t="n">
        <f aca="false">+B59+0.5</f>
        <v>8.5</v>
      </c>
      <c r="C60" s="11" t="n">
        <f aca="true">TABLE($B$50,$B$4,$B60,$B$5,C$50)</f>
        <v>2450385567.04253</v>
      </c>
      <c r="D60" s="11" t="n">
        <f aca="true">TABLE($B$50,$B$4,$B60,$B$5,D$50)</f>
        <v>2484137332.04253</v>
      </c>
      <c r="E60" s="11" t="n">
        <f aca="true">TABLE($B$50,$B$4,$B60,$B$5,E$50)</f>
        <v>2517889097.04253</v>
      </c>
      <c r="F60" s="11" t="n">
        <f aca="true">TABLE($B$50,$B$4,$B60,$B$5,F$50)</f>
        <v>2551640862.04253</v>
      </c>
      <c r="G60" s="11" t="n">
        <f aca="true">TABLE($B$50,$B$4,$B60,$B$5,G$50)</f>
        <v>2585392627.04253</v>
      </c>
      <c r="H60" s="11" t="n">
        <f aca="true">TABLE($B$50,$B$4,$B60,$B$5,H$50)</f>
        <v>2619144392.04253</v>
      </c>
      <c r="I60" s="11" t="n">
        <f aca="true">TABLE($B$50,$B$4,$B60,$B$5,I$50)</f>
        <v>2652896157.04253</v>
      </c>
      <c r="J60" s="11" t="n">
        <f aca="true">TABLE($B$50,$B$4,$B60,$B$5,J$50)</f>
        <v>2686647922.04253</v>
      </c>
      <c r="K60" s="11" t="n">
        <f aca="true">TABLE($B$50,$B$4,$B60,$B$5,K$50)</f>
        <v>2720399687.04253</v>
      </c>
      <c r="L60" s="11" t="n">
        <f aca="true">TABLE($B$50,$B$4,$B60,$B$5,L$50)</f>
        <v>2754151452.04253</v>
      </c>
    </row>
    <row r="61" customFormat="false" ht="12.75" hidden="false" customHeight="false" outlineLevel="0" collapsed="false">
      <c r="B61" s="88" t="n">
        <f aca="false">+B60+0.5</f>
        <v>9</v>
      </c>
      <c r="C61" s="11" t="n">
        <f aca="true">TABLE($B$50,$B$4,$B61,$B$5,C$50)</f>
        <v>2462444467.04253</v>
      </c>
      <c r="D61" s="11" t="n">
        <f aca="true">TABLE($B$50,$B$4,$B61,$B$5,D$50)</f>
        <v>2496196232.04253</v>
      </c>
      <c r="E61" s="11" t="n">
        <f aca="true">TABLE($B$50,$B$4,$B61,$B$5,E$50)</f>
        <v>2529947997.04253</v>
      </c>
      <c r="F61" s="11" t="n">
        <f aca="true">TABLE($B$50,$B$4,$B61,$B$5,F$50)</f>
        <v>2563699762.04253</v>
      </c>
      <c r="G61" s="11" t="n">
        <f aca="true">TABLE($B$50,$B$4,$B61,$B$5,G$50)</f>
        <v>2597451527.04253</v>
      </c>
      <c r="H61" s="11" t="n">
        <f aca="true">TABLE($B$50,$B$4,$B61,$B$5,H$50)</f>
        <v>2631203292.04253</v>
      </c>
      <c r="I61" s="11" t="n">
        <f aca="true">TABLE($B$50,$B$4,$B61,$B$5,I$50)</f>
        <v>2664955057.04253</v>
      </c>
      <c r="J61" s="11" t="n">
        <f aca="true">TABLE($B$50,$B$4,$B61,$B$5,J$50)</f>
        <v>2698706822.04253</v>
      </c>
      <c r="K61" s="11" t="n">
        <f aca="true">TABLE($B$50,$B$4,$B61,$B$5,K$50)</f>
        <v>2732458587.04253</v>
      </c>
      <c r="L61" s="11" t="n">
        <f aca="true">TABLE($B$50,$B$4,$B61,$B$5,L$50)</f>
        <v>2766210352.04253</v>
      </c>
    </row>
    <row r="63" customFormat="false" ht="12.75" hidden="false" customHeight="false" outlineLevel="0" collapsed="false">
      <c r="B63" s="81" t="n">
        <f aca="false">+$B$7</f>
        <v>-229969345.507467</v>
      </c>
      <c r="C63" s="92" t="n">
        <f aca="false">+L50+1</f>
        <v>130</v>
      </c>
      <c r="D63" s="38" t="n">
        <f aca="false">+C63+1</f>
        <v>131</v>
      </c>
      <c r="E63" s="38" t="n">
        <f aca="false">+D63+1</f>
        <v>132</v>
      </c>
      <c r="F63" s="38" t="n">
        <f aca="false">+E63+1</f>
        <v>133</v>
      </c>
      <c r="G63" s="38" t="n">
        <f aca="false">+F63+1</f>
        <v>134</v>
      </c>
      <c r="H63" s="38" t="n">
        <f aca="false">+G63+1</f>
        <v>135</v>
      </c>
      <c r="I63" s="38" t="n">
        <f aca="false">+H63+1</f>
        <v>136</v>
      </c>
      <c r="J63" s="38" t="n">
        <f aca="false">+I63+1</f>
        <v>137</v>
      </c>
      <c r="K63" s="38" t="n">
        <f aca="false">+J63+1</f>
        <v>138</v>
      </c>
      <c r="L63" s="38" t="n">
        <f aca="false">+K63+1</f>
        <v>139</v>
      </c>
    </row>
    <row r="64" customFormat="false" ht="12.75" hidden="false" customHeight="false" outlineLevel="0" collapsed="false">
      <c r="B64" s="93" t="n">
        <f aca="false">+B51</f>
        <v>4</v>
      </c>
      <c r="C64" s="11" t="n">
        <f aca="true">TABLE($B$63,$B$4,$B64,$B$5,C$63)</f>
        <v>2679373117.04253</v>
      </c>
      <c r="D64" s="11" t="n">
        <f aca="true">TABLE($B$63,$B$4,$B64,$B$5,D$63)</f>
        <v>2713124882.04253</v>
      </c>
      <c r="E64" s="11" t="n">
        <f aca="true">TABLE($B$63,$B$4,$B64,$B$5,E$63)</f>
        <v>2746876647.04253</v>
      </c>
      <c r="F64" s="11" t="n">
        <f aca="true">TABLE($B$63,$B$4,$B64,$B$5,F$63)</f>
        <v>2780628412.04253</v>
      </c>
      <c r="G64" s="11" t="n">
        <f aca="true">TABLE($B$63,$B$4,$B64,$B$5,G$63)</f>
        <v>2814380177.04253</v>
      </c>
      <c r="H64" s="11" t="n">
        <f aca="true">TABLE($B$63,$B$4,$B64,$B$5,H$63)</f>
        <v>2848131942.04253</v>
      </c>
      <c r="I64" s="11" t="n">
        <f aca="true">TABLE($B$63,$B$4,$B64,$B$5,I$63)</f>
        <v>2881883707.04253</v>
      </c>
      <c r="J64" s="11" t="n">
        <f aca="true">TABLE($B$63,$B$4,$B64,$B$5,J$63)</f>
        <v>2915635472.04253</v>
      </c>
      <c r="K64" s="11" t="n">
        <f aca="true">TABLE($B$63,$B$4,$B64,$B$5,K$63)</f>
        <v>2949387237.04253</v>
      </c>
      <c r="L64" s="11" t="n">
        <f aca="true">TABLE($B$63,$B$4,$B64,$B$5,L$63)</f>
        <v>2983139002.04253</v>
      </c>
    </row>
    <row r="65" customFormat="false" ht="12.75" hidden="false" customHeight="false" outlineLevel="0" collapsed="false">
      <c r="B65" s="88" t="n">
        <f aca="false">+B64+0.5</f>
        <v>4.5</v>
      </c>
      <c r="C65" s="11" t="n">
        <f aca="true">TABLE($B$63,$B$4,$B65,$B$5,C$63)</f>
        <v>2691432017.04253</v>
      </c>
      <c r="D65" s="11" t="n">
        <f aca="true">TABLE($B$63,$B$4,$B65,$B$5,D$63)</f>
        <v>2725183782.04253</v>
      </c>
      <c r="E65" s="11" t="n">
        <f aca="true">TABLE($B$63,$B$4,$B65,$B$5,E$63)</f>
        <v>2758935547.04253</v>
      </c>
      <c r="F65" s="11" t="n">
        <f aca="true">TABLE($B$63,$B$4,$B65,$B$5,F$63)</f>
        <v>2792687312.04253</v>
      </c>
      <c r="G65" s="11" t="n">
        <f aca="true">TABLE($B$63,$B$4,$B65,$B$5,G$63)</f>
        <v>2826439077.04253</v>
      </c>
      <c r="H65" s="11" t="n">
        <f aca="true">TABLE($B$63,$B$4,$B65,$B$5,H$63)</f>
        <v>2860190842.04253</v>
      </c>
      <c r="I65" s="11" t="n">
        <f aca="true">TABLE($B$63,$B$4,$B65,$B$5,I$63)</f>
        <v>2893942607.04253</v>
      </c>
      <c r="J65" s="11" t="n">
        <f aca="true">TABLE($B$63,$B$4,$B65,$B$5,J$63)</f>
        <v>2927694372.04253</v>
      </c>
      <c r="K65" s="11" t="n">
        <f aca="true">TABLE($B$63,$B$4,$B65,$B$5,K$63)</f>
        <v>2961446137.04253</v>
      </c>
      <c r="L65" s="11" t="n">
        <f aca="true">TABLE($B$63,$B$4,$B65,$B$5,L$63)</f>
        <v>2995197902.04253</v>
      </c>
    </row>
    <row r="66" customFormat="false" ht="12.75" hidden="false" customHeight="false" outlineLevel="0" collapsed="false">
      <c r="B66" s="88" t="n">
        <f aca="false">+B65+0.5</f>
        <v>5</v>
      </c>
      <c r="C66" s="11" t="n">
        <f aca="true">TABLE($B$63,$B$4,$B66,$B$5,C$63)</f>
        <v>2703490917.04253</v>
      </c>
      <c r="D66" s="11" t="n">
        <f aca="true">TABLE($B$63,$B$4,$B66,$B$5,D$63)</f>
        <v>2737242682.04253</v>
      </c>
      <c r="E66" s="11" t="n">
        <f aca="true">TABLE($B$63,$B$4,$B66,$B$5,E$63)</f>
        <v>2770994447.04253</v>
      </c>
      <c r="F66" s="11" t="n">
        <f aca="true">TABLE($B$63,$B$4,$B66,$B$5,F$63)</f>
        <v>2804746212.04253</v>
      </c>
      <c r="G66" s="11" t="n">
        <f aca="true">TABLE($B$63,$B$4,$B66,$B$5,G$63)</f>
        <v>2838497977.04253</v>
      </c>
      <c r="H66" s="11" t="n">
        <f aca="true">TABLE($B$63,$B$4,$B66,$B$5,H$63)</f>
        <v>2872249742.04253</v>
      </c>
      <c r="I66" s="11" t="n">
        <f aca="true">TABLE($B$63,$B$4,$B66,$B$5,I$63)</f>
        <v>2906001507.04253</v>
      </c>
      <c r="J66" s="11" t="n">
        <f aca="true">TABLE($B$63,$B$4,$B66,$B$5,J$63)</f>
        <v>2939753272.04253</v>
      </c>
      <c r="K66" s="11" t="n">
        <f aca="true">TABLE($B$63,$B$4,$B66,$B$5,K$63)</f>
        <v>2973505037.04253</v>
      </c>
      <c r="L66" s="11" t="n">
        <f aca="true">TABLE($B$63,$B$4,$B66,$B$5,L$63)</f>
        <v>3007256802.04253</v>
      </c>
    </row>
    <row r="67" customFormat="false" ht="12.75" hidden="false" customHeight="false" outlineLevel="0" collapsed="false">
      <c r="B67" s="88" t="n">
        <f aca="false">+B66+0.5</f>
        <v>5.5</v>
      </c>
      <c r="C67" s="11" t="n">
        <f aca="true">TABLE($B$63,$B$4,$B67,$B$5,C$63)</f>
        <v>2715549817.04253</v>
      </c>
      <c r="D67" s="11" t="n">
        <f aca="true">TABLE($B$63,$B$4,$B67,$B$5,D$63)</f>
        <v>2749301582.04253</v>
      </c>
      <c r="E67" s="11" t="n">
        <f aca="true">TABLE($B$63,$B$4,$B67,$B$5,E$63)</f>
        <v>2783053347.04253</v>
      </c>
      <c r="F67" s="11" t="n">
        <f aca="true">TABLE($B$63,$B$4,$B67,$B$5,F$63)</f>
        <v>2816805112.04253</v>
      </c>
      <c r="G67" s="11" t="n">
        <f aca="true">TABLE($B$63,$B$4,$B67,$B$5,G$63)</f>
        <v>2850556877.04253</v>
      </c>
      <c r="H67" s="11" t="n">
        <f aca="true">TABLE($B$63,$B$4,$B67,$B$5,H$63)</f>
        <v>2884308642.04253</v>
      </c>
      <c r="I67" s="11" t="n">
        <f aca="true">TABLE($B$63,$B$4,$B67,$B$5,I$63)</f>
        <v>2918060407.04253</v>
      </c>
      <c r="J67" s="11" t="n">
        <f aca="true">TABLE($B$63,$B$4,$B67,$B$5,J$63)</f>
        <v>2951812172.04253</v>
      </c>
      <c r="K67" s="11" t="n">
        <f aca="true">TABLE($B$63,$B$4,$B67,$B$5,K$63)</f>
        <v>2985563937.04253</v>
      </c>
      <c r="L67" s="11" t="n">
        <f aca="true">TABLE($B$63,$B$4,$B67,$B$5,L$63)</f>
        <v>3019315702.04253</v>
      </c>
    </row>
    <row r="68" customFormat="false" ht="12.75" hidden="false" customHeight="false" outlineLevel="0" collapsed="false">
      <c r="B68" s="88" t="n">
        <f aca="false">+B67+0.5</f>
        <v>6</v>
      </c>
      <c r="C68" s="11" t="n">
        <f aca="true">TABLE($B$63,$B$4,$B68,$B$5,C$63)</f>
        <v>2727608717.04253</v>
      </c>
      <c r="D68" s="11" t="n">
        <f aca="true">TABLE($B$63,$B$4,$B68,$B$5,D$63)</f>
        <v>2761360482.04253</v>
      </c>
      <c r="E68" s="11" t="n">
        <f aca="true">TABLE($B$63,$B$4,$B68,$B$5,E$63)</f>
        <v>2795112247.04253</v>
      </c>
      <c r="F68" s="11" t="n">
        <f aca="true">TABLE($B$63,$B$4,$B68,$B$5,F$63)</f>
        <v>2828864012.04253</v>
      </c>
      <c r="G68" s="11" t="n">
        <f aca="true">TABLE($B$63,$B$4,$B68,$B$5,G$63)</f>
        <v>2862615777.04253</v>
      </c>
      <c r="H68" s="11" t="n">
        <f aca="true">TABLE($B$63,$B$4,$B68,$B$5,H$63)</f>
        <v>2896367542.04253</v>
      </c>
      <c r="I68" s="11" t="n">
        <f aca="true">TABLE($B$63,$B$4,$B68,$B$5,I$63)</f>
        <v>2930119307.04253</v>
      </c>
      <c r="J68" s="11" t="n">
        <f aca="true">TABLE($B$63,$B$4,$B68,$B$5,J$63)</f>
        <v>2963871072.04253</v>
      </c>
      <c r="K68" s="11" t="n">
        <f aca="true">TABLE($B$63,$B$4,$B68,$B$5,K$63)</f>
        <v>2997622837.04253</v>
      </c>
      <c r="L68" s="11" t="n">
        <f aca="true">TABLE($B$63,$B$4,$B68,$B$5,L$63)</f>
        <v>3031374602.04253</v>
      </c>
    </row>
    <row r="69" customFormat="false" ht="12.75" hidden="false" customHeight="false" outlineLevel="0" collapsed="false">
      <c r="B69" s="88" t="n">
        <f aca="false">+B68+0.5</f>
        <v>6.5</v>
      </c>
      <c r="C69" s="11" t="n">
        <f aca="true">TABLE($B$63,$B$4,$B69,$B$5,C$63)</f>
        <v>2739667617.04253</v>
      </c>
      <c r="D69" s="11" t="n">
        <f aca="true">TABLE($B$63,$B$4,$B69,$B$5,D$63)</f>
        <v>2773419382.04253</v>
      </c>
      <c r="E69" s="11" t="n">
        <f aca="true">TABLE($B$63,$B$4,$B69,$B$5,E$63)</f>
        <v>2807171147.04253</v>
      </c>
      <c r="F69" s="11" t="n">
        <f aca="true">TABLE($B$63,$B$4,$B69,$B$5,F$63)</f>
        <v>2840922912.04253</v>
      </c>
      <c r="G69" s="11" t="n">
        <f aca="true">TABLE($B$63,$B$4,$B69,$B$5,G$63)</f>
        <v>2874674677.04253</v>
      </c>
      <c r="H69" s="11" t="n">
        <f aca="true">TABLE($B$63,$B$4,$B69,$B$5,H$63)</f>
        <v>2908426442.04253</v>
      </c>
      <c r="I69" s="11" t="n">
        <f aca="true">TABLE($B$63,$B$4,$B69,$B$5,I$63)</f>
        <v>2942178207.04253</v>
      </c>
      <c r="J69" s="11" t="n">
        <f aca="true">TABLE($B$63,$B$4,$B69,$B$5,J$63)</f>
        <v>2975929972.04253</v>
      </c>
      <c r="K69" s="11" t="n">
        <f aca="true">TABLE($B$63,$B$4,$B69,$B$5,K$63)</f>
        <v>3009681737.04253</v>
      </c>
      <c r="L69" s="11" t="n">
        <f aca="true">TABLE($B$63,$B$4,$B69,$B$5,L$63)</f>
        <v>3043433502.04253</v>
      </c>
    </row>
    <row r="70" customFormat="false" ht="12.75" hidden="false" customHeight="false" outlineLevel="0" collapsed="false">
      <c r="B70" s="88" t="n">
        <f aca="false">+B69+0.5</f>
        <v>7</v>
      </c>
      <c r="C70" s="11" t="n">
        <f aca="true">TABLE($B$63,$B$4,$B70,$B$5,C$63)</f>
        <v>2751726517.04253</v>
      </c>
      <c r="D70" s="11" t="n">
        <f aca="true">TABLE($B$63,$B$4,$B70,$B$5,D$63)</f>
        <v>2785478282.04253</v>
      </c>
      <c r="E70" s="11" t="n">
        <f aca="true">TABLE($B$63,$B$4,$B70,$B$5,E$63)</f>
        <v>2819230047.04253</v>
      </c>
      <c r="F70" s="11" t="n">
        <f aca="true">TABLE($B$63,$B$4,$B70,$B$5,F$63)</f>
        <v>2852981812.04253</v>
      </c>
      <c r="G70" s="11" t="n">
        <f aca="true">TABLE($B$63,$B$4,$B70,$B$5,G$63)</f>
        <v>2886733577.04253</v>
      </c>
      <c r="H70" s="11" t="n">
        <f aca="true">TABLE($B$63,$B$4,$B70,$B$5,H$63)</f>
        <v>2920485342.04253</v>
      </c>
      <c r="I70" s="11" t="n">
        <f aca="true">TABLE($B$63,$B$4,$B70,$B$5,I$63)</f>
        <v>2954237107.04253</v>
      </c>
      <c r="J70" s="11" t="n">
        <f aca="true">TABLE($B$63,$B$4,$B70,$B$5,J$63)</f>
        <v>2987988872.04253</v>
      </c>
      <c r="K70" s="11" t="n">
        <f aca="true">TABLE($B$63,$B$4,$B70,$B$5,K$63)</f>
        <v>3021740637.04253</v>
      </c>
      <c r="L70" s="11" t="n">
        <f aca="true">TABLE($B$63,$B$4,$B70,$B$5,L$63)</f>
        <v>3055492402.04253</v>
      </c>
    </row>
    <row r="71" customFormat="false" ht="12.75" hidden="false" customHeight="false" outlineLevel="0" collapsed="false">
      <c r="B71" s="88" t="n">
        <f aca="false">+B70+0.5</f>
        <v>7.5</v>
      </c>
      <c r="C71" s="11" t="n">
        <f aca="true">TABLE($B$63,$B$4,$B71,$B$5,C$63)</f>
        <v>2763785417.04253</v>
      </c>
      <c r="D71" s="11" t="n">
        <f aca="true">TABLE($B$63,$B$4,$B71,$B$5,D$63)</f>
        <v>2797537182.04253</v>
      </c>
      <c r="E71" s="11" t="n">
        <f aca="true">TABLE($B$63,$B$4,$B71,$B$5,E$63)</f>
        <v>2831288947.04253</v>
      </c>
      <c r="F71" s="11" t="n">
        <f aca="true">TABLE($B$63,$B$4,$B71,$B$5,F$63)</f>
        <v>2865040712.04253</v>
      </c>
      <c r="G71" s="11" t="n">
        <f aca="true">TABLE($B$63,$B$4,$B71,$B$5,G$63)</f>
        <v>2898792477.04253</v>
      </c>
      <c r="H71" s="11" t="n">
        <f aca="true">TABLE($B$63,$B$4,$B71,$B$5,H$63)</f>
        <v>2932544242.04253</v>
      </c>
      <c r="I71" s="11" t="n">
        <f aca="true">TABLE($B$63,$B$4,$B71,$B$5,I$63)</f>
        <v>2966296007.04253</v>
      </c>
      <c r="J71" s="11" t="n">
        <f aca="true">TABLE($B$63,$B$4,$B71,$B$5,J$63)</f>
        <v>3000047772.04253</v>
      </c>
      <c r="K71" s="11" t="n">
        <f aca="true">TABLE($B$63,$B$4,$B71,$B$5,K$63)</f>
        <v>3033799537.04253</v>
      </c>
      <c r="L71" s="11" t="n">
        <f aca="true">TABLE($B$63,$B$4,$B71,$B$5,L$63)</f>
        <v>3067551302.04253</v>
      </c>
    </row>
    <row r="72" customFormat="false" ht="12.75" hidden="false" customHeight="false" outlineLevel="0" collapsed="false">
      <c r="B72" s="88" t="n">
        <f aca="false">+B71+0.5</f>
        <v>8</v>
      </c>
      <c r="C72" s="11" t="n">
        <f aca="true">TABLE($B$63,$B$4,$B72,$B$5,C$63)</f>
        <v>2775844317.04253</v>
      </c>
      <c r="D72" s="11" t="n">
        <f aca="true">TABLE($B$63,$B$4,$B72,$B$5,D$63)</f>
        <v>2809596082.04253</v>
      </c>
      <c r="E72" s="11" t="n">
        <f aca="true">TABLE($B$63,$B$4,$B72,$B$5,E$63)</f>
        <v>2843347847.04253</v>
      </c>
      <c r="F72" s="11" t="n">
        <f aca="true">TABLE($B$63,$B$4,$B72,$B$5,F$63)</f>
        <v>2877099612.04253</v>
      </c>
      <c r="G72" s="11" t="n">
        <f aca="true">TABLE($B$63,$B$4,$B72,$B$5,G$63)</f>
        <v>2910851377.04253</v>
      </c>
      <c r="H72" s="11" t="n">
        <f aca="true">TABLE($B$63,$B$4,$B72,$B$5,H$63)</f>
        <v>2944603142.04253</v>
      </c>
      <c r="I72" s="11" t="n">
        <f aca="true">TABLE($B$63,$B$4,$B72,$B$5,I$63)</f>
        <v>2978354907.04253</v>
      </c>
      <c r="J72" s="11" t="n">
        <f aca="true">TABLE($B$63,$B$4,$B72,$B$5,J$63)</f>
        <v>3012106672.04253</v>
      </c>
      <c r="K72" s="11" t="n">
        <f aca="true">TABLE($B$63,$B$4,$B72,$B$5,K$63)</f>
        <v>3045858437.04253</v>
      </c>
      <c r="L72" s="11" t="n">
        <f aca="true">TABLE($B$63,$B$4,$B72,$B$5,L$63)</f>
        <v>3079610202.04253</v>
      </c>
    </row>
    <row r="73" customFormat="false" ht="12.75" hidden="false" customHeight="false" outlineLevel="0" collapsed="false">
      <c r="B73" s="88" t="n">
        <f aca="false">+B72+0.5</f>
        <v>8.5</v>
      </c>
      <c r="C73" s="11" t="n">
        <f aca="true">TABLE($B$63,$B$4,$B73,$B$5,C$63)</f>
        <v>2787903217.04253</v>
      </c>
      <c r="D73" s="11" t="n">
        <f aca="true">TABLE($B$63,$B$4,$B73,$B$5,D$63)</f>
        <v>2821654982.04253</v>
      </c>
      <c r="E73" s="11" t="n">
        <f aca="true">TABLE($B$63,$B$4,$B73,$B$5,E$63)</f>
        <v>2855406747.04253</v>
      </c>
      <c r="F73" s="11" t="n">
        <f aca="true">TABLE($B$63,$B$4,$B73,$B$5,F$63)</f>
        <v>2889158512.04253</v>
      </c>
      <c r="G73" s="11" t="n">
        <f aca="true">TABLE($B$63,$B$4,$B73,$B$5,G$63)</f>
        <v>2922910277.04253</v>
      </c>
      <c r="H73" s="11" t="n">
        <f aca="true">TABLE($B$63,$B$4,$B73,$B$5,H$63)</f>
        <v>2956662042.04253</v>
      </c>
      <c r="I73" s="11" t="n">
        <f aca="true">TABLE($B$63,$B$4,$B73,$B$5,I$63)</f>
        <v>2990413807.04253</v>
      </c>
      <c r="J73" s="11" t="n">
        <f aca="true">TABLE($B$63,$B$4,$B73,$B$5,J$63)</f>
        <v>3024165572.04253</v>
      </c>
      <c r="K73" s="11" t="n">
        <f aca="true">TABLE($B$63,$B$4,$B73,$B$5,K$63)</f>
        <v>3057917337.04253</v>
      </c>
      <c r="L73" s="11" t="n">
        <f aca="true">TABLE($B$63,$B$4,$B73,$B$5,L$63)</f>
        <v>3091669102.04253</v>
      </c>
    </row>
    <row r="74" customFormat="false" ht="12.75" hidden="false" customHeight="false" outlineLevel="0" collapsed="false">
      <c r="B74" s="88" t="n">
        <f aca="false">+B73+0.5</f>
        <v>9</v>
      </c>
      <c r="C74" s="11" t="n">
        <f aca="true">TABLE($B$63,$B$4,$B74,$B$5,C$63)</f>
        <v>2799962117.04253</v>
      </c>
      <c r="D74" s="11" t="n">
        <f aca="true">TABLE($B$63,$B$4,$B74,$B$5,D$63)</f>
        <v>2833713882.04253</v>
      </c>
      <c r="E74" s="11" t="n">
        <f aca="true">TABLE($B$63,$B$4,$B74,$B$5,E$63)</f>
        <v>2867465647.04253</v>
      </c>
      <c r="F74" s="11" t="n">
        <f aca="true">TABLE($B$63,$B$4,$B74,$B$5,F$63)</f>
        <v>2901217412.04253</v>
      </c>
      <c r="G74" s="11" t="n">
        <f aca="true">TABLE($B$63,$B$4,$B74,$B$5,G$63)</f>
        <v>2934969177.04253</v>
      </c>
      <c r="H74" s="11" t="n">
        <f aca="true">TABLE($B$63,$B$4,$B74,$B$5,H$63)</f>
        <v>2968720942.04253</v>
      </c>
      <c r="I74" s="11" t="n">
        <f aca="true">TABLE($B$63,$B$4,$B74,$B$5,I$63)</f>
        <v>3002472707.04253</v>
      </c>
      <c r="J74" s="11" t="n">
        <f aca="true">TABLE($B$63,$B$4,$B74,$B$5,J$63)</f>
        <v>3036224472.04253</v>
      </c>
      <c r="K74" s="11" t="n">
        <f aca="true">TABLE($B$63,$B$4,$B74,$B$5,K$63)</f>
        <v>3069976237.04253</v>
      </c>
      <c r="L74" s="11" t="n">
        <f aca="true">TABLE($B$63,$B$4,$B74,$B$5,L$63)</f>
        <v>3103728002.04253</v>
      </c>
    </row>
    <row r="75" customFormat="false" ht="12.75" hidden="false" customHeight="false" outlineLevel="0" collapsed="false">
      <c r="B75" s="1"/>
      <c r="C75" s="11"/>
      <c r="D75" s="11"/>
      <c r="E75" s="11"/>
      <c r="F75" s="11"/>
      <c r="G75" s="11"/>
      <c r="H75" s="11"/>
      <c r="I75" s="11"/>
      <c r="J75" s="11"/>
      <c r="K75" s="11"/>
      <c r="L75" s="11"/>
    </row>
    <row r="76" customFormat="false" ht="12.75" hidden="false" customHeight="false" outlineLevel="0" collapsed="false">
      <c r="B76" s="81" t="n">
        <f aca="false">+$B$7</f>
        <v>-229969345.507467</v>
      </c>
      <c r="C76" s="92" t="n">
        <f aca="false">+L63+1</f>
        <v>140</v>
      </c>
      <c r="D76" s="38" t="n">
        <f aca="false">+C76+1</f>
        <v>141</v>
      </c>
      <c r="E76" s="38" t="n">
        <f aca="false">+D76+1</f>
        <v>142</v>
      </c>
      <c r="F76" s="38" t="n">
        <f aca="false">+E76+1</f>
        <v>143</v>
      </c>
      <c r="G76" s="38" t="n">
        <f aca="false">+F76+1</f>
        <v>144</v>
      </c>
      <c r="H76" s="38" t="n">
        <f aca="false">+G76+1</f>
        <v>145</v>
      </c>
      <c r="I76" s="38" t="n">
        <f aca="false">+H76+1</f>
        <v>146</v>
      </c>
      <c r="J76" s="38" t="n">
        <f aca="false">+I76+1</f>
        <v>147</v>
      </c>
      <c r="K76" s="38" t="n">
        <f aca="false">+J76+1</f>
        <v>148</v>
      </c>
      <c r="L76" s="38" t="n">
        <f aca="false">+K76+1</f>
        <v>149</v>
      </c>
    </row>
    <row r="77" customFormat="false" ht="12.75" hidden="false" customHeight="false" outlineLevel="0" collapsed="false">
      <c r="B77" s="93" t="n">
        <f aca="false">+B64</f>
        <v>4</v>
      </c>
      <c r="C77" s="11" t="n">
        <f aca="true">TABLE($B$76,$B$4,$B77,$B$5,C$76)</f>
        <v>3016890767.04253</v>
      </c>
      <c r="D77" s="11" t="n">
        <f aca="true">TABLE($B$76,$B$4,$B77,$B$5,D$76)</f>
        <v>3050642532.04253</v>
      </c>
      <c r="E77" s="11" t="n">
        <f aca="true">TABLE($B$76,$B$4,$B77,$B$5,E$76)</f>
        <v>3084394297.04253</v>
      </c>
      <c r="F77" s="11" t="n">
        <f aca="true">TABLE($B$76,$B$4,$B77,$B$5,F$76)</f>
        <v>3118146062.04253</v>
      </c>
      <c r="G77" s="11" t="n">
        <f aca="true">TABLE($B$76,$B$4,$B77,$B$5,G$76)</f>
        <v>3151897827.04253</v>
      </c>
      <c r="H77" s="11" t="n">
        <f aca="true">TABLE($B$76,$B$4,$B77,$B$5,H$76)</f>
        <v>3185649592.04253</v>
      </c>
      <c r="I77" s="11" t="n">
        <f aca="true">TABLE($B$76,$B$4,$B77,$B$5,I$76)</f>
        <v>3219401357.04253</v>
      </c>
      <c r="J77" s="11" t="n">
        <f aca="true">TABLE($B$76,$B$4,$B77,$B$5,J$76)</f>
        <v>3253153122.04253</v>
      </c>
      <c r="K77" s="11" t="n">
        <f aca="true">TABLE($B$76,$B$4,$B77,$B$5,K$76)</f>
        <v>3286904887.04253</v>
      </c>
      <c r="L77" s="11" t="n">
        <f aca="true">TABLE($B$76,$B$4,$B77,$B$5,L$76)</f>
        <v>3319162826.16253</v>
      </c>
    </row>
    <row r="78" customFormat="false" ht="12.75" hidden="false" customHeight="false" outlineLevel="0" collapsed="false">
      <c r="B78" s="88" t="n">
        <f aca="false">+B77+0.5</f>
        <v>4.5</v>
      </c>
      <c r="C78" s="11" t="n">
        <f aca="true">TABLE($B$76,$B$4,$B78,$B$5,C$76)</f>
        <v>3028949667.04253</v>
      </c>
      <c r="D78" s="11" t="n">
        <f aca="true">TABLE($B$76,$B$4,$B78,$B$5,D$76)</f>
        <v>3062701432.04253</v>
      </c>
      <c r="E78" s="11" t="n">
        <f aca="true">TABLE($B$76,$B$4,$B78,$B$5,E$76)</f>
        <v>3096453197.04253</v>
      </c>
      <c r="F78" s="11" t="n">
        <f aca="true">TABLE($B$76,$B$4,$B78,$B$5,F$76)</f>
        <v>3130204962.04253</v>
      </c>
      <c r="G78" s="11" t="n">
        <f aca="true">TABLE($B$76,$B$4,$B78,$B$5,G$76)</f>
        <v>3163956727.04253</v>
      </c>
      <c r="H78" s="11" t="n">
        <f aca="true">TABLE($B$76,$B$4,$B78,$B$5,H$76)</f>
        <v>3197708492.04253</v>
      </c>
      <c r="I78" s="11" t="n">
        <f aca="true">TABLE($B$76,$B$4,$B78,$B$5,I$76)</f>
        <v>3231460257.04253</v>
      </c>
      <c r="J78" s="11" t="n">
        <f aca="true">TABLE($B$76,$B$4,$B78,$B$5,J$76)</f>
        <v>3265212022.04253</v>
      </c>
      <c r="K78" s="11" t="n">
        <f aca="true">TABLE($B$76,$B$4,$B78,$B$5,K$76)</f>
        <v>3298963787.04253</v>
      </c>
      <c r="L78" s="11" t="n">
        <f aca="true">TABLE($B$76,$B$4,$B78,$B$5,L$76)</f>
        <v>3331221726.16253</v>
      </c>
    </row>
    <row r="79" customFormat="false" ht="12.75" hidden="false" customHeight="false" outlineLevel="0" collapsed="false">
      <c r="B79" s="88" t="n">
        <f aca="false">+B78+0.5</f>
        <v>5</v>
      </c>
      <c r="C79" s="11" t="n">
        <f aca="true">TABLE($B$76,$B$4,$B79,$B$5,C$76)</f>
        <v>3041008567.04253</v>
      </c>
      <c r="D79" s="11" t="n">
        <f aca="true">TABLE($B$76,$B$4,$B79,$B$5,D$76)</f>
        <v>3074760332.04253</v>
      </c>
      <c r="E79" s="11" t="n">
        <f aca="true">TABLE($B$76,$B$4,$B79,$B$5,E$76)</f>
        <v>3108512097.04253</v>
      </c>
      <c r="F79" s="11" t="n">
        <f aca="true">TABLE($B$76,$B$4,$B79,$B$5,F$76)</f>
        <v>3142263862.04253</v>
      </c>
      <c r="G79" s="11" t="n">
        <f aca="true">TABLE($B$76,$B$4,$B79,$B$5,G$76)</f>
        <v>3176015627.04253</v>
      </c>
      <c r="H79" s="11" t="n">
        <f aca="true">TABLE($B$76,$B$4,$B79,$B$5,H$76)</f>
        <v>3209767392.04253</v>
      </c>
      <c r="I79" s="11" t="n">
        <f aca="true">TABLE($B$76,$B$4,$B79,$B$5,I$76)</f>
        <v>3243519157.04253</v>
      </c>
      <c r="J79" s="11" t="n">
        <f aca="true">TABLE($B$76,$B$4,$B79,$B$5,J$76)</f>
        <v>3277270922.04253</v>
      </c>
      <c r="K79" s="11" t="n">
        <f aca="true">TABLE($B$76,$B$4,$B79,$B$5,K$76)</f>
        <v>3311022687.04253</v>
      </c>
      <c r="L79" s="11" t="n">
        <f aca="true">TABLE($B$76,$B$4,$B79,$B$5,L$76)</f>
        <v>3343280626.16253</v>
      </c>
    </row>
    <row r="80" customFormat="false" ht="12.75" hidden="false" customHeight="false" outlineLevel="0" collapsed="false">
      <c r="B80" s="88" t="n">
        <f aca="false">+B79+0.5</f>
        <v>5.5</v>
      </c>
      <c r="C80" s="11" t="n">
        <f aca="true">TABLE($B$76,$B$4,$B80,$B$5,C$76)</f>
        <v>3053067467.04253</v>
      </c>
      <c r="D80" s="11" t="n">
        <f aca="true">TABLE($B$76,$B$4,$B80,$B$5,D$76)</f>
        <v>3086819232.04253</v>
      </c>
      <c r="E80" s="11" t="n">
        <f aca="true">TABLE($B$76,$B$4,$B80,$B$5,E$76)</f>
        <v>3120570997.04253</v>
      </c>
      <c r="F80" s="11" t="n">
        <f aca="true">TABLE($B$76,$B$4,$B80,$B$5,F$76)</f>
        <v>3154322762.04253</v>
      </c>
      <c r="G80" s="11" t="n">
        <f aca="true">TABLE($B$76,$B$4,$B80,$B$5,G$76)</f>
        <v>3188074527.04253</v>
      </c>
      <c r="H80" s="11" t="n">
        <f aca="true">TABLE($B$76,$B$4,$B80,$B$5,H$76)</f>
        <v>3221826292.04253</v>
      </c>
      <c r="I80" s="11" t="n">
        <f aca="true">TABLE($B$76,$B$4,$B80,$B$5,I$76)</f>
        <v>3255578057.04253</v>
      </c>
      <c r="J80" s="11" t="n">
        <f aca="true">TABLE($B$76,$B$4,$B80,$B$5,J$76)</f>
        <v>3289329822.04253</v>
      </c>
      <c r="K80" s="11" t="n">
        <f aca="true">TABLE($B$76,$B$4,$B80,$B$5,K$76)</f>
        <v>3323081587.04253</v>
      </c>
      <c r="L80" s="11" t="n">
        <f aca="true">TABLE($B$76,$B$4,$B80,$B$5,L$76)</f>
        <v>3355339526.16253</v>
      </c>
    </row>
    <row r="81" customFormat="false" ht="12.75" hidden="false" customHeight="false" outlineLevel="0" collapsed="false">
      <c r="B81" s="88" t="n">
        <f aca="false">+B80+0.5</f>
        <v>6</v>
      </c>
      <c r="C81" s="11" t="n">
        <f aca="true">TABLE($B$76,$B$4,$B81,$B$5,C$76)</f>
        <v>3065126367.04253</v>
      </c>
      <c r="D81" s="11" t="n">
        <f aca="true">TABLE($B$76,$B$4,$B81,$B$5,D$76)</f>
        <v>3098878132.04253</v>
      </c>
      <c r="E81" s="11" t="n">
        <f aca="true">TABLE($B$76,$B$4,$B81,$B$5,E$76)</f>
        <v>3132629897.04253</v>
      </c>
      <c r="F81" s="11" t="n">
        <f aca="true">TABLE($B$76,$B$4,$B81,$B$5,F$76)</f>
        <v>3166381662.04253</v>
      </c>
      <c r="G81" s="11" t="n">
        <f aca="true">TABLE($B$76,$B$4,$B81,$B$5,G$76)</f>
        <v>3200133427.04253</v>
      </c>
      <c r="H81" s="11" t="n">
        <f aca="true">TABLE($B$76,$B$4,$B81,$B$5,H$76)</f>
        <v>3233885192.04253</v>
      </c>
      <c r="I81" s="11" t="n">
        <f aca="true">TABLE($B$76,$B$4,$B81,$B$5,I$76)</f>
        <v>3267636957.04253</v>
      </c>
      <c r="J81" s="11" t="n">
        <f aca="true">TABLE($B$76,$B$4,$B81,$B$5,J$76)</f>
        <v>3301388722.04253</v>
      </c>
      <c r="K81" s="11" t="n">
        <f aca="true">TABLE($B$76,$B$4,$B81,$B$5,K$76)</f>
        <v>3335140487.04253</v>
      </c>
      <c r="L81" s="11" t="n">
        <f aca="true">TABLE($B$76,$B$4,$B81,$B$5,L$76)</f>
        <v>3367398426.16253</v>
      </c>
    </row>
    <row r="82" customFormat="false" ht="12.75" hidden="false" customHeight="false" outlineLevel="0" collapsed="false">
      <c r="B82" s="88" t="n">
        <f aca="false">+B81+0.5</f>
        <v>6.5</v>
      </c>
      <c r="C82" s="11" t="n">
        <f aca="true">TABLE($B$76,$B$4,$B82,$B$5,C$76)</f>
        <v>3077185267.04253</v>
      </c>
      <c r="D82" s="11" t="n">
        <f aca="true">TABLE($B$76,$B$4,$B82,$B$5,D$76)</f>
        <v>3110937032.04253</v>
      </c>
      <c r="E82" s="11" t="n">
        <f aca="true">TABLE($B$76,$B$4,$B82,$B$5,E$76)</f>
        <v>3144688797.04253</v>
      </c>
      <c r="F82" s="11" t="n">
        <f aca="true">TABLE($B$76,$B$4,$B82,$B$5,F$76)</f>
        <v>3178440562.04253</v>
      </c>
      <c r="G82" s="11" t="n">
        <f aca="true">TABLE($B$76,$B$4,$B82,$B$5,G$76)</f>
        <v>3212192327.04253</v>
      </c>
      <c r="H82" s="11" t="n">
        <f aca="true">TABLE($B$76,$B$4,$B82,$B$5,H$76)</f>
        <v>3245944092.04253</v>
      </c>
      <c r="I82" s="11" t="n">
        <f aca="true">TABLE($B$76,$B$4,$B82,$B$5,I$76)</f>
        <v>3279695857.04253</v>
      </c>
      <c r="J82" s="11" t="n">
        <f aca="true">TABLE($B$76,$B$4,$B82,$B$5,J$76)</f>
        <v>3313447622.04253</v>
      </c>
      <c r="K82" s="11" t="n">
        <f aca="true">TABLE($B$76,$B$4,$B82,$B$5,K$76)</f>
        <v>3347199387.04253</v>
      </c>
      <c r="L82" s="11" t="n">
        <f aca="true">TABLE($B$76,$B$4,$B82,$B$5,L$76)</f>
        <v>3379457326.16253</v>
      </c>
    </row>
    <row r="83" customFormat="false" ht="12.75" hidden="false" customHeight="false" outlineLevel="0" collapsed="false">
      <c r="B83" s="88" t="n">
        <f aca="false">+B82+0.5</f>
        <v>7</v>
      </c>
      <c r="C83" s="11" t="n">
        <f aca="true">TABLE($B$76,$B$4,$B83,$B$5,C$76)</f>
        <v>3089244167.04253</v>
      </c>
      <c r="D83" s="11" t="n">
        <f aca="true">TABLE($B$76,$B$4,$B83,$B$5,D$76)</f>
        <v>3122995932.04253</v>
      </c>
      <c r="E83" s="11" t="n">
        <f aca="true">TABLE($B$76,$B$4,$B83,$B$5,E$76)</f>
        <v>3156747697.04253</v>
      </c>
      <c r="F83" s="11" t="n">
        <f aca="true">TABLE($B$76,$B$4,$B83,$B$5,F$76)</f>
        <v>3190499462.04253</v>
      </c>
      <c r="G83" s="11" t="n">
        <f aca="true">TABLE($B$76,$B$4,$B83,$B$5,G$76)</f>
        <v>3224251227.04253</v>
      </c>
      <c r="H83" s="11" t="n">
        <f aca="true">TABLE($B$76,$B$4,$B83,$B$5,H$76)</f>
        <v>3258002992.04253</v>
      </c>
      <c r="I83" s="11" t="n">
        <f aca="true">TABLE($B$76,$B$4,$B83,$B$5,I$76)</f>
        <v>3291754757.04253</v>
      </c>
      <c r="J83" s="11" t="n">
        <f aca="true">TABLE($B$76,$B$4,$B83,$B$5,J$76)</f>
        <v>3325506522.04253</v>
      </c>
      <c r="K83" s="11" t="n">
        <f aca="true">TABLE($B$76,$B$4,$B83,$B$5,K$76)</f>
        <v>3359258287.04253</v>
      </c>
      <c r="L83" s="11" t="n">
        <f aca="true">TABLE($B$76,$B$4,$B83,$B$5,L$76)</f>
        <v>3391516226.16253</v>
      </c>
    </row>
    <row r="84" customFormat="false" ht="12.75" hidden="false" customHeight="false" outlineLevel="0" collapsed="false">
      <c r="B84" s="88" t="n">
        <f aca="false">+B83+0.5</f>
        <v>7.5</v>
      </c>
      <c r="C84" s="11" t="n">
        <f aca="true">TABLE($B$76,$B$4,$B84,$B$5,C$76)</f>
        <v>3101303067.04253</v>
      </c>
      <c r="D84" s="11" t="n">
        <f aca="true">TABLE($B$76,$B$4,$B84,$B$5,D$76)</f>
        <v>3135054832.04253</v>
      </c>
      <c r="E84" s="11" t="n">
        <f aca="true">TABLE($B$76,$B$4,$B84,$B$5,E$76)</f>
        <v>3168806597.04253</v>
      </c>
      <c r="F84" s="11" t="n">
        <f aca="true">TABLE($B$76,$B$4,$B84,$B$5,F$76)</f>
        <v>3202558362.04253</v>
      </c>
      <c r="G84" s="11" t="n">
        <f aca="true">TABLE($B$76,$B$4,$B84,$B$5,G$76)</f>
        <v>3236310127.04253</v>
      </c>
      <c r="H84" s="11" t="n">
        <f aca="true">TABLE($B$76,$B$4,$B84,$B$5,H$76)</f>
        <v>3270061892.04253</v>
      </c>
      <c r="I84" s="11" t="n">
        <f aca="true">TABLE($B$76,$B$4,$B84,$B$5,I$76)</f>
        <v>3303813657.04253</v>
      </c>
      <c r="J84" s="11" t="n">
        <f aca="true">TABLE($B$76,$B$4,$B84,$B$5,J$76)</f>
        <v>3337565422.04253</v>
      </c>
      <c r="K84" s="11" t="n">
        <f aca="true">TABLE($B$76,$B$4,$B84,$B$5,K$76)</f>
        <v>3371317187.04253</v>
      </c>
      <c r="L84" s="11" t="n">
        <f aca="true">TABLE($B$76,$B$4,$B84,$B$5,L$76)</f>
        <v>3403575126.16253</v>
      </c>
    </row>
    <row r="85" customFormat="false" ht="12.75" hidden="false" customHeight="false" outlineLevel="0" collapsed="false">
      <c r="B85" s="88" t="n">
        <f aca="false">+B84+0.5</f>
        <v>8</v>
      </c>
      <c r="C85" s="11" t="n">
        <f aca="true">TABLE($B$76,$B$4,$B85,$B$5,C$76)</f>
        <v>3113361967.04253</v>
      </c>
      <c r="D85" s="11" t="n">
        <f aca="true">TABLE($B$76,$B$4,$B85,$B$5,D$76)</f>
        <v>3147113732.04253</v>
      </c>
      <c r="E85" s="11" t="n">
        <f aca="true">TABLE($B$76,$B$4,$B85,$B$5,E$76)</f>
        <v>3180865497.04253</v>
      </c>
      <c r="F85" s="11" t="n">
        <f aca="true">TABLE($B$76,$B$4,$B85,$B$5,F$76)</f>
        <v>3214617262.04253</v>
      </c>
      <c r="G85" s="11" t="n">
        <f aca="true">TABLE($B$76,$B$4,$B85,$B$5,G$76)</f>
        <v>3248369027.04253</v>
      </c>
      <c r="H85" s="11" t="n">
        <f aca="true">TABLE($B$76,$B$4,$B85,$B$5,H$76)</f>
        <v>3282120792.04253</v>
      </c>
      <c r="I85" s="11" t="n">
        <f aca="true">TABLE($B$76,$B$4,$B85,$B$5,I$76)</f>
        <v>3315872557.04253</v>
      </c>
      <c r="J85" s="11" t="n">
        <f aca="true">TABLE($B$76,$B$4,$B85,$B$5,J$76)</f>
        <v>3349624322.04253</v>
      </c>
      <c r="K85" s="11" t="n">
        <f aca="true">TABLE($B$76,$B$4,$B85,$B$5,K$76)</f>
        <v>3383376087.04253</v>
      </c>
      <c r="L85" s="11" t="n">
        <f aca="true">TABLE($B$76,$B$4,$B85,$B$5,L$76)</f>
        <v>3415634026.16253</v>
      </c>
    </row>
    <row r="86" customFormat="false" ht="12.75" hidden="false" customHeight="false" outlineLevel="0" collapsed="false">
      <c r="B86" s="88" t="n">
        <f aca="false">+B85+0.5</f>
        <v>8.5</v>
      </c>
      <c r="C86" s="11" t="n">
        <f aca="true">TABLE($B$76,$B$4,$B86,$B$5,C$76)</f>
        <v>3125420867.04253</v>
      </c>
      <c r="D86" s="11" t="n">
        <f aca="true">TABLE($B$76,$B$4,$B86,$B$5,D$76)</f>
        <v>3159172632.04253</v>
      </c>
      <c r="E86" s="11" t="n">
        <f aca="true">TABLE($B$76,$B$4,$B86,$B$5,E$76)</f>
        <v>3192924397.04253</v>
      </c>
      <c r="F86" s="11" t="n">
        <f aca="true">TABLE($B$76,$B$4,$B86,$B$5,F$76)</f>
        <v>3226676162.04253</v>
      </c>
      <c r="G86" s="11" t="n">
        <f aca="true">TABLE($B$76,$B$4,$B86,$B$5,G$76)</f>
        <v>3260427927.04253</v>
      </c>
      <c r="H86" s="11" t="n">
        <f aca="true">TABLE($B$76,$B$4,$B86,$B$5,H$76)</f>
        <v>3294179692.04253</v>
      </c>
      <c r="I86" s="11" t="n">
        <f aca="true">TABLE($B$76,$B$4,$B86,$B$5,I$76)</f>
        <v>3327931457.04253</v>
      </c>
      <c r="J86" s="11" t="n">
        <f aca="true">TABLE($B$76,$B$4,$B86,$B$5,J$76)</f>
        <v>3361683222.04253</v>
      </c>
      <c r="K86" s="11" t="n">
        <f aca="true">TABLE($B$76,$B$4,$B86,$B$5,K$76)</f>
        <v>3395434987.04253</v>
      </c>
      <c r="L86" s="11" t="n">
        <f aca="true">TABLE($B$76,$B$4,$B86,$B$5,L$76)</f>
        <v>3427692926.16253</v>
      </c>
    </row>
    <row r="87" customFormat="false" ht="12.75" hidden="false" customHeight="false" outlineLevel="0" collapsed="false">
      <c r="B87" s="88" t="n">
        <f aca="false">+B86+0.5</f>
        <v>9</v>
      </c>
      <c r="C87" s="11" t="n">
        <f aca="true">TABLE($B$76,$B$4,$B87,$B$5,C$76)</f>
        <v>3137479767.04253</v>
      </c>
      <c r="D87" s="11" t="n">
        <f aca="true">TABLE($B$76,$B$4,$B87,$B$5,D$76)</f>
        <v>3171231532.04253</v>
      </c>
      <c r="E87" s="11" t="n">
        <f aca="true">TABLE($B$76,$B$4,$B87,$B$5,E$76)</f>
        <v>3204983297.04253</v>
      </c>
      <c r="F87" s="11" t="n">
        <f aca="true">TABLE($B$76,$B$4,$B87,$B$5,F$76)</f>
        <v>3238735062.04253</v>
      </c>
      <c r="G87" s="11" t="n">
        <f aca="true">TABLE($B$76,$B$4,$B87,$B$5,G$76)</f>
        <v>3272486827.04253</v>
      </c>
      <c r="H87" s="11" t="n">
        <f aca="true">TABLE($B$76,$B$4,$B87,$B$5,H$76)</f>
        <v>3306238592.04253</v>
      </c>
      <c r="I87" s="11" t="n">
        <f aca="true">TABLE($B$76,$B$4,$B87,$B$5,I$76)</f>
        <v>3339990357.04253</v>
      </c>
      <c r="J87" s="11" t="n">
        <f aca="true">TABLE($B$76,$B$4,$B87,$B$5,J$76)</f>
        <v>3373742122.04253</v>
      </c>
      <c r="K87" s="11" t="n">
        <f aca="true">TABLE($B$76,$B$4,$B87,$B$5,K$76)</f>
        <v>3407493887.04253</v>
      </c>
      <c r="L87" s="11" t="n">
        <f aca="true">TABLE($B$76,$B$4,$B87,$B$5,L$76)</f>
        <v>3439751826.16253</v>
      </c>
    </row>
    <row r="88" customFormat="false" ht="12.75" hidden="false" customHeight="false" outlineLevel="0" collapsed="false">
      <c r="B88" s="1"/>
      <c r="C88" s="11"/>
      <c r="D88" s="11"/>
      <c r="E88" s="11"/>
      <c r="F88" s="11"/>
      <c r="G88" s="11"/>
      <c r="H88" s="11"/>
      <c r="I88" s="11"/>
      <c r="J88" s="11"/>
      <c r="K88" s="11"/>
      <c r="L88" s="11"/>
    </row>
    <row r="89" customFormat="false" ht="12.75" hidden="false" customHeight="false" outlineLevel="0" collapsed="false">
      <c r="B89" s="1"/>
      <c r="C89" s="11"/>
      <c r="D89" s="11"/>
      <c r="E89" s="11"/>
      <c r="F89" s="11"/>
      <c r="G89" s="11"/>
      <c r="H89" s="11"/>
      <c r="I89" s="11"/>
      <c r="J89" s="11"/>
      <c r="K89" s="11"/>
      <c r="L89" s="11"/>
    </row>
    <row r="90" customFormat="false" ht="12.75" hidden="false" customHeight="false" outlineLevel="0" collapsed="false">
      <c r="B90" s="1"/>
      <c r="C90" s="11"/>
      <c r="D90" s="11"/>
      <c r="E90" s="11"/>
      <c r="F90" s="11"/>
      <c r="G90" s="11"/>
      <c r="H90" s="11"/>
      <c r="I90" s="11"/>
      <c r="J90" s="11"/>
      <c r="K90" s="11"/>
      <c r="L90" s="11"/>
    </row>
    <row r="91" customFormat="false" ht="12.75" hidden="false" customHeight="false" outlineLevel="0" collapsed="false">
      <c r="B91" s="1"/>
      <c r="C91" s="11"/>
      <c r="D91" s="11"/>
      <c r="E91" s="11"/>
      <c r="F91" s="11"/>
      <c r="G91" s="11"/>
      <c r="H91" s="11"/>
      <c r="I91" s="11"/>
      <c r="J91" s="11"/>
      <c r="K91" s="11"/>
      <c r="L91" s="11"/>
    </row>
    <row r="92" customFormat="false" ht="13.5" hidden="false" customHeight="false" outlineLevel="0" collapsed="false">
      <c r="A92" s="44" t="str">
        <f aca="false">+A1</f>
        <v>Case</v>
      </c>
      <c r="B92" s="94" t="str">
        <f aca="false">+B1</f>
        <v>Final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</row>
    <row r="93" customFormat="false" ht="13.5" hidden="false" customHeight="false" outlineLevel="0" collapsed="false">
      <c r="B93" s="46" t="s">
        <v>82</v>
      </c>
      <c r="C93" s="47" t="s">
        <v>83</v>
      </c>
      <c r="D93" s="0" t="s">
        <v>84</v>
      </c>
      <c r="I93" s="48" t="n">
        <f aca="false">+I2</f>
        <v>36976</v>
      </c>
      <c r="J93" s="0" t="s">
        <v>85</v>
      </c>
    </row>
    <row r="94" customFormat="false" ht="12.75" hidden="false" customHeight="false" outlineLevel="0" collapsed="false">
      <c r="A94" s="0" t="s">
        <v>85</v>
      </c>
      <c r="B94" s="49" t="n">
        <f aca="false">+B3</f>
        <v>37117</v>
      </c>
      <c r="C94" s="50" t="n">
        <f aca="false">+C3</f>
        <v>0</v>
      </c>
      <c r="D94" s="0" t="s">
        <v>87</v>
      </c>
      <c r="H94" s="51" t="n">
        <f aca="false">+H3</f>
        <v>38338200.2157992</v>
      </c>
      <c r="I94" s="74" t="n">
        <f aca="false">+I3</f>
        <v>0.688037759694472</v>
      </c>
      <c r="J94" s="72" t="n">
        <f aca="false">+J3</f>
        <v>55721070.0657236</v>
      </c>
    </row>
    <row r="95" customFormat="false" ht="12.75" hidden="false" customHeight="false" outlineLevel="0" collapsed="false">
      <c r="A95" s="4" t="s">
        <v>3</v>
      </c>
      <c r="B95" s="54" t="n">
        <f aca="false">+B4</f>
        <v>5.22</v>
      </c>
      <c r="C95" s="50" t="n">
        <f aca="false">+C4</f>
        <v>0</v>
      </c>
      <c r="D95" s="0" t="s">
        <v>88</v>
      </c>
      <c r="H95" s="51" t="n">
        <f aca="false">+H4</f>
        <v>102808992.48035</v>
      </c>
      <c r="I95" s="74" t="n">
        <f aca="false">+I4</f>
        <v>0.688037759694472</v>
      </c>
      <c r="J95" s="72" t="n">
        <f aca="false">+J4</f>
        <v>149423474.266882</v>
      </c>
    </row>
    <row r="96" customFormat="false" ht="12.75" hidden="false" customHeight="false" outlineLevel="0" collapsed="false">
      <c r="A96" s="0" t="s">
        <v>4</v>
      </c>
      <c r="B96" s="54" t="n">
        <f aca="false">+B5</f>
        <v>42.93</v>
      </c>
      <c r="C96" s="50" t="n">
        <f aca="false">+C5</f>
        <v>0</v>
      </c>
      <c r="D96" s="0" t="s">
        <v>89</v>
      </c>
      <c r="H96" s="51" t="n">
        <f aca="false">+H5</f>
        <v>118425530.686941</v>
      </c>
      <c r="I96" s="74" t="n">
        <f aca="false">+I5</f>
        <v>0.688037759694472</v>
      </c>
      <c r="J96" s="72" t="n">
        <f aca="false">+J5</f>
        <v>172120685.265193</v>
      </c>
    </row>
    <row r="97" customFormat="false" ht="12.75" hidden="false" customHeight="false" outlineLevel="0" collapsed="false">
      <c r="C97" s="50"/>
      <c r="D97" s="0" t="s">
        <v>92</v>
      </c>
      <c r="G97" s="56" t="s">
        <v>93</v>
      </c>
      <c r="H97" s="51"/>
      <c r="I97" s="48"/>
      <c r="J97" s="41" t="n">
        <v>378730000</v>
      </c>
    </row>
    <row r="98" customFormat="false" ht="12.75" hidden="false" customHeight="false" outlineLevel="0" collapsed="false">
      <c r="A98" s="0" t="s">
        <v>95</v>
      </c>
      <c r="B98" s="11" t="n">
        <f aca="false">+B7</f>
        <v>-229969345.507467</v>
      </c>
      <c r="D98" s="50" t="n">
        <f aca="false">+D7</f>
        <v>1</v>
      </c>
      <c r="E98" s="0" t="s">
        <v>27</v>
      </c>
      <c r="F98" s="50" t="n">
        <f aca="false">+F7</f>
        <v>4</v>
      </c>
      <c r="G98" s="59" t="n">
        <f aca="false">+H94</f>
        <v>38338200.2157992</v>
      </c>
      <c r="H98" s="0" t="s">
        <v>96</v>
      </c>
      <c r="I98" s="60" t="n">
        <f aca="false">+I7</f>
        <v>14734509.7541502</v>
      </c>
      <c r="J98" s="0" t="s">
        <v>97</v>
      </c>
      <c r="K98" s="60" t="n">
        <v>-141018263.209752</v>
      </c>
    </row>
    <row r="99" customFormat="false" ht="12.75" hidden="false" customHeight="false" outlineLevel="0" collapsed="false">
      <c r="A99" s="0" t="s">
        <v>100</v>
      </c>
      <c r="B99" s="11" t="n">
        <f aca="false">+B8</f>
        <v>61217895.890411</v>
      </c>
      <c r="D99" s="50" t="n">
        <f aca="false">+D8</f>
        <v>1</v>
      </c>
      <c r="E99" s="0" t="s">
        <v>39</v>
      </c>
      <c r="F99" s="50" t="n">
        <f aca="false">+F8</f>
        <v>4</v>
      </c>
      <c r="G99" s="59" t="n">
        <f aca="false">+H95</f>
        <v>102808992.48035</v>
      </c>
      <c r="I99" s="60" t="n">
        <f aca="false">+I8</f>
        <v>493326421.975311</v>
      </c>
      <c r="K99" s="60" t="n">
        <v>148965003.659614</v>
      </c>
    </row>
    <row r="100" customFormat="false" ht="12.75" hidden="false" customHeight="false" outlineLevel="0" collapsed="false">
      <c r="B100" s="11"/>
      <c r="D100" s="50" t="n">
        <f aca="false">+D9</f>
        <v>1</v>
      </c>
      <c r="E100" s="0" t="s">
        <v>42</v>
      </c>
      <c r="F100" s="50" t="n">
        <f aca="false">+F9</f>
        <v>2</v>
      </c>
      <c r="G100" s="59" t="n">
        <f aca="false">+H96</f>
        <v>118425530.686941</v>
      </c>
      <c r="I100" s="60" t="n">
        <f aca="false">+I9</f>
        <v>522376483.443709</v>
      </c>
      <c r="K100" s="60" t="n">
        <v>-200692918.989264</v>
      </c>
    </row>
    <row r="101" customFormat="false" ht="12.75" hidden="false" customHeight="false" outlineLevel="0" collapsed="false">
      <c r="B101" s="11"/>
      <c r="G101" s="12" t="n">
        <f aca="false">+G10</f>
        <v>259572723.38309</v>
      </c>
    </row>
    <row r="102" customFormat="false" ht="12.75" hidden="false" customHeight="false" outlineLevel="0" collapsed="false">
      <c r="B102" s="11"/>
      <c r="C102" s="50" t="n">
        <f aca="false">+C11</f>
        <v>1</v>
      </c>
      <c r="D102" s="0" t="s">
        <v>104</v>
      </c>
      <c r="E102" s="71"/>
      <c r="F102" s="72" t="n">
        <f aca="false">+F11</f>
        <v>7919393</v>
      </c>
      <c r="G102" s="0" t="s">
        <v>105</v>
      </c>
      <c r="H102" s="73" t="n">
        <f aca="false">+H11</f>
        <v>61.48</v>
      </c>
      <c r="I102" s="0" t="s">
        <v>106</v>
      </c>
      <c r="J102" s="74" t="n">
        <f aca="false">+J11</f>
        <v>0.23</v>
      </c>
      <c r="K102" s="0" t="s">
        <v>107</v>
      </c>
      <c r="L102" s="48" t="n">
        <f aca="false">+L11</f>
        <v>38412</v>
      </c>
      <c r="M102" s="0" t="s">
        <v>108</v>
      </c>
    </row>
    <row r="103" customFormat="false" ht="12.75" hidden="false" customHeight="false" outlineLevel="0" collapsed="false">
      <c r="B103" s="11"/>
      <c r="D103" s="60" t="n">
        <v>493326421.975311</v>
      </c>
      <c r="E103" s="0" t="s">
        <v>110</v>
      </c>
    </row>
    <row r="104" customFormat="false" ht="12.75" hidden="false" customHeight="false" outlineLevel="0" collapsed="false">
      <c r="B104" s="11"/>
      <c r="C104" s="50" t="n">
        <f aca="false">+C13</f>
        <v>1</v>
      </c>
      <c r="D104" s="0" t="s">
        <v>111</v>
      </c>
      <c r="E104" s="71"/>
      <c r="F104" s="72" t="n">
        <f aca="false">+F13</f>
        <v>4080607</v>
      </c>
      <c r="G104" s="0" t="s">
        <v>105</v>
      </c>
      <c r="H104" s="73" t="n">
        <f aca="false">+H13</f>
        <v>61.48</v>
      </c>
      <c r="I104" s="0" t="s">
        <v>106</v>
      </c>
      <c r="J104" s="74" t="n">
        <f aca="false">+J13</f>
        <v>0.23</v>
      </c>
      <c r="K104" s="0" t="s">
        <v>107</v>
      </c>
      <c r="L104" s="48" t="n">
        <f aca="false">+L13</f>
        <v>38412</v>
      </c>
      <c r="M104" s="0" t="s">
        <v>108</v>
      </c>
    </row>
    <row r="105" customFormat="false" ht="12.75" hidden="false" customHeight="false" outlineLevel="0" collapsed="false">
      <c r="B105" s="11"/>
      <c r="D105" s="60" t="n">
        <v>522376483.443709</v>
      </c>
      <c r="E105" s="0" t="s">
        <v>113</v>
      </c>
    </row>
    <row r="106" customFormat="false" ht="12.75" hidden="false" customHeight="false" outlineLevel="0" collapsed="false">
      <c r="B106" s="11"/>
      <c r="D106" s="60"/>
    </row>
    <row r="107" customFormat="false" ht="12.75" hidden="false" customHeight="false" outlineLevel="0" collapsed="false">
      <c r="B107" s="11"/>
      <c r="C107" s="50" t="n">
        <f aca="false">+C19</f>
        <v>1</v>
      </c>
      <c r="D107" s="0" t="s">
        <v>117</v>
      </c>
      <c r="F107" s="51" t="n">
        <f aca="false">+F19</f>
        <v>30000000</v>
      </c>
    </row>
    <row r="108" customFormat="false" ht="12.75" hidden="false" customHeight="false" outlineLevel="0" collapsed="false">
      <c r="B108" s="1"/>
      <c r="C108" s="11"/>
      <c r="D108" s="11"/>
      <c r="E108" s="11"/>
      <c r="F108" s="11"/>
      <c r="G108" s="11"/>
      <c r="H108" s="11"/>
      <c r="I108" s="11"/>
      <c r="J108" s="11"/>
      <c r="K108" s="11"/>
      <c r="L108" s="11"/>
    </row>
    <row r="109" customFormat="false" ht="12.75" hidden="false" customHeight="false" outlineLevel="0" collapsed="false">
      <c r="B109" s="77" t="s">
        <v>125</v>
      </c>
      <c r="C109" s="77"/>
      <c r="D109" s="77"/>
      <c r="E109" s="77"/>
      <c r="F109" s="77"/>
      <c r="G109" s="77"/>
      <c r="H109" s="80"/>
      <c r="I109" s="77"/>
      <c r="J109" s="77"/>
      <c r="K109" s="77"/>
      <c r="L109" s="77"/>
    </row>
    <row r="110" customFormat="false" ht="12.75" hidden="false" customHeight="false" outlineLevel="0" collapsed="false">
      <c r="A110" s="57" t="n">
        <f aca="false">+B3</f>
        <v>37117</v>
      </c>
    </row>
    <row r="111" customFormat="false" ht="12.75" hidden="false" customHeight="false" outlineLevel="0" collapsed="false">
      <c r="A111" s="1"/>
      <c r="B111" s="81" t="n">
        <f aca="false">+$B$8</f>
        <v>61217895.890411</v>
      </c>
      <c r="C111" s="95" t="n">
        <f aca="false">+C24</f>
        <v>100</v>
      </c>
      <c r="D111" s="38" t="n">
        <f aca="false">+C111+1</f>
        <v>101</v>
      </c>
      <c r="E111" s="38" t="n">
        <f aca="false">+D111+1</f>
        <v>102</v>
      </c>
      <c r="F111" s="38" t="n">
        <f aca="false">+E111+1</f>
        <v>103</v>
      </c>
      <c r="G111" s="38" t="n">
        <f aca="false">+F111+1</f>
        <v>104</v>
      </c>
      <c r="H111" s="38" t="n">
        <f aca="false">+G111+1</f>
        <v>105</v>
      </c>
      <c r="I111" s="38" t="n">
        <f aca="false">+H111+1</f>
        <v>106</v>
      </c>
      <c r="J111" s="38" t="n">
        <f aca="false">+I111+1</f>
        <v>107</v>
      </c>
      <c r="K111" s="38" t="n">
        <f aca="false">+J111+1</f>
        <v>108</v>
      </c>
      <c r="L111" s="38" t="n">
        <f aca="false">+K111+1</f>
        <v>109</v>
      </c>
    </row>
    <row r="112" customFormat="false" ht="12.75" hidden="false" customHeight="false" outlineLevel="0" collapsed="false">
      <c r="B112" s="93" t="n">
        <f aca="false">+B25</f>
        <v>4</v>
      </c>
      <c r="C112" s="11" t="n">
        <f aca="true">TABLE($B$111,$B$4,$B112,$B$5,C$111)</f>
        <v>61217895.890411</v>
      </c>
      <c r="D112" s="11" t="n">
        <f aca="true">TABLE($B$111,$B$4,$B112,$B$5,D$111)</f>
        <v>61217895.890411</v>
      </c>
      <c r="E112" s="11" t="n">
        <f aca="true">TABLE($B$111,$B$4,$B112,$B$5,E$111)</f>
        <v>61217895.890411</v>
      </c>
      <c r="F112" s="11" t="n">
        <f aca="true">TABLE($B$111,$B$4,$B112,$B$5,F$111)</f>
        <v>61217895.890411</v>
      </c>
      <c r="G112" s="11" t="n">
        <f aca="true">TABLE($B$111,$B$4,$B112,$B$5,G$111)</f>
        <v>61217895.890411</v>
      </c>
      <c r="H112" s="11" t="n">
        <f aca="true">TABLE($B$111,$B$4,$B112,$B$5,H$111)</f>
        <v>61217895.890411</v>
      </c>
      <c r="I112" s="11" t="n">
        <f aca="true">TABLE($B$111,$B$4,$B112,$B$5,I$111)</f>
        <v>61217895.890411</v>
      </c>
      <c r="J112" s="11" t="n">
        <f aca="true">TABLE($B$111,$B$4,$B112,$B$5,J$111)</f>
        <v>61217895.890411</v>
      </c>
      <c r="K112" s="11" t="n">
        <f aca="true">TABLE($B$111,$B$4,$B112,$B$5,K$111)</f>
        <v>61217895.890411</v>
      </c>
      <c r="L112" s="11" t="n">
        <f aca="true">TABLE($B$111,$B$4,$B112,$B$5,L$111)</f>
        <v>61217895.890411</v>
      </c>
    </row>
    <row r="113" customFormat="false" ht="12.75" hidden="false" customHeight="false" outlineLevel="0" collapsed="false">
      <c r="B113" s="88" t="n">
        <f aca="false">+B112+0.5</f>
        <v>4.5</v>
      </c>
      <c r="C113" s="11" t="n">
        <f aca="true">TABLE($B$111,$B$4,$B113,$B$5,C$111)</f>
        <v>61217895.890411</v>
      </c>
      <c r="D113" s="11" t="n">
        <f aca="true">TABLE($B$111,$B$4,$B113,$B$5,D$111)</f>
        <v>61217895.890411</v>
      </c>
      <c r="E113" s="11" t="n">
        <f aca="true">TABLE($B$111,$B$4,$B113,$B$5,E$111)</f>
        <v>61217895.890411</v>
      </c>
      <c r="F113" s="11" t="n">
        <f aca="true">TABLE($B$111,$B$4,$B113,$B$5,F$111)</f>
        <v>61217895.890411</v>
      </c>
      <c r="G113" s="11" t="n">
        <f aca="true">TABLE($B$111,$B$4,$B113,$B$5,G$111)</f>
        <v>61217895.890411</v>
      </c>
      <c r="H113" s="11" t="n">
        <f aca="true">TABLE($B$111,$B$4,$B113,$B$5,H$111)</f>
        <v>61217895.890411</v>
      </c>
      <c r="I113" s="11" t="n">
        <f aca="true">TABLE($B$111,$B$4,$B113,$B$5,I$111)</f>
        <v>61217895.890411</v>
      </c>
      <c r="J113" s="11" t="n">
        <f aca="true">TABLE($B$111,$B$4,$B113,$B$5,J$111)</f>
        <v>61217895.890411</v>
      </c>
      <c r="K113" s="11" t="n">
        <f aca="true">TABLE($B$111,$B$4,$B113,$B$5,K$111)</f>
        <v>61217895.890411</v>
      </c>
      <c r="L113" s="11" t="n">
        <f aca="true">TABLE($B$111,$B$4,$B113,$B$5,L$111)</f>
        <v>61217895.890411</v>
      </c>
    </row>
    <row r="114" customFormat="false" ht="12.75" hidden="false" customHeight="false" outlineLevel="0" collapsed="false">
      <c r="B114" s="88" t="n">
        <f aca="false">+B113+0.5</f>
        <v>5</v>
      </c>
      <c r="C114" s="11" t="n">
        <f aca="true">TABLE($B$111,$B$4,$B114,$B$5,C$111)</f>
        <v>61217895.890411</v>
      </c>
      <c r="D114" s="11" t="n">
        <f aca="true">TABLE($B$111,$B$4,$B114,$B$5,D$111)</f>
        <v>61217895.890411</v>
      </c>
      <c r="E114" s="11" t="n">
        <f aca="true">TABLE($B$111,$B$4,$B114,$B$5,E$111)</f>
        <v>61217895.890411</v>
      </c>
      <c r="F114" s="11" t="n">
        <f aca="true">TABLE($B$111,$B$4,$B114,$B$5,F$111)</f>
        <v>61217895.890411</v>
      </c>
      <c r="G114" s="11" t="n">
        <f aca="true">TABLE($B$111,$B$4,$B114,$B$5,G$111)</f>
        <v>61217895.890411</v>
      </c>
      <c r="H114" s="11" t="n">
        <f aca="true">TABLE($B$111,$B$4,$B114,$B$5,H$111)</f>
        <v>61217895.890411</v>
      </c>
      <c r="I114" s="11" t="n">
        <f aca="true">TABLE($B$111,$B$4,$B114,$B$5,I$111)</f>
        <v>61217895.890411</v>
      </c>
      <c r="J114" s="11" t="n">
        <f aca="true">TABLE($B$111,$B$4,$B114,$B$5,J$111)</f>
        <v>61217895.890411</v>
      </c>
      <c r="K114" s="11" t="n">
        <f aca="true">TABLE($B$111,$B$4,$B114,$B$5,K$111)</f>
        <v>61217895.890411</v>
      </c>
      <c r="L114" s="11" t="n">
        <f aca="true">TABLE($B$111,$B$4,$B114,$B$5,L$111)</f>
        <v>61217895.890411</v>
      </c>
    </row>
    <row r="115" customFormat="false" ht="12.75" hidden="false" customHeight="false" outlineLevel="0" collapsed="false">
      <c r="B115" s="88" t="n">
        <f aca="false">+B114+0.5</f>
        <v>5.5</v>
      </c>
      <c r="C115" s="11" t="n">
        <f aca="true">TABLE($B$111,$B$4,$B115,$B$5,C$111)</f>
        <v>61217895.890411</v>
      </c>
      <c r="D115" s="11" t="n">
        <f aca="true">TABLE($B$111,$B$4,$B115,$B$5,D$111)</f>
        <v>61217895.890411</v>
      </c>
      <c r="E115" s="11" t="n">
        <f aca="true">TABLE($B$111,$B$4,$B115,$B$5,E$111)</f>
        <v>61217895.890411</v>
      </c>
      <c r="F115" s="11" t="n">
        <f aca="true">TABLE($B$111,$B$4,$B115,$B$5,F$111)</f>
        <v>61217895.890411</v>
      </c>
      <c r="G115" s="11" t="n">
        <f aca="true">TABLE($B$111,$B$4,$B115,$B$5,G$111)</f>
        <v>61217895.890411</v>
      </c>
      <c r="H115" s="11" t="n">
        <f aca="true">TABLE($B$111,$B$4,$B115,$B$5,H$111)</f>
        <v>61217895.890411</v>
      </c>
      <c r="I115" s="11" t="n">
        <f aca="true">TABLE($B$111,$B$4,$B115,$B$5,I$111)</f>
        <v>61217895.890411</v>
      </c>
      <c r="J115" s="11" t="n">
        <f aca="true">TABLE($B$111,$B$4,$B115,$B$5,J$111)</f>
        <v>61217895.890411</v>
      </c>
      <c r="K115" s="11" t="n">
        <f aca="true">TABLE($B$111,$B$4,$B115,$B$5,K$111)</f>
        <v>61217895.890411</v>
      </c>
      <c r="L115" s="11" t="n">
        <f aca="true">TABLE($B$111,$B$4,$B115,$B$5,L$111)</f>
        <v>61217895.890411</v>
      </c>
    </row>
    <row r="116" customFormat="false" ht="12.75" hidden="false" customHeight="false" outlineLevel="0" collapsed="false">
      <c r="B116" s="88" t="n">
        <f aca="false">+B115+0.5</f>
        <v>6</v>
      </c>
      <c r="C116" s="11" t="n">
        <f aca="true">TABLE($B$111,$B$4,$B116,$B$5,C$111)</f>
        <v>61217895.890411</v>
      </c>
      <c r="D116" s="11" t="n">
        <f aca="true">TABLE($B$111,$B$4,$B116,$B$5,D$111)</f>
        <v>61217895.890411</v>
      </c>
      <c r="E116" s="11" t="n">
        <f aca="true">TABLE($B$111,$B$4,$B116,$B$5,E$111)</f>
        <v>61217895.890411</v>
      </c>
      <c r="F116" s="11" t="n">
        <f aca="true">TABLE($B$111,$B$4,$B116,$B$5,F$111)</f>
        <v>61217895.890411</v>
      </c>
      <c r="G116" s="11" t="n">
        <f aca="true">TABLE($B$111,$B$4,$B116,$B$5,G$111)</f>
        <v>61217895.890411</v>
      </c>
      <c r="H116" s="11" t="n">
        <f aca="true">TABLE($B$111,$B$4,$B116,$B$5,H$111)</f>
        <v>61217895.890411</v>
      </c>
      <c r="I116" s="11" t="n">
        <f aca="true">TABLE($B$111,$B$4,$B116,$B$5,I$111)</f>
        <v>61217895.890411</v>
      </c>
      <c r="J116" s="11" t="n">
        <f aca="true">TABLE($B$111,$B$4,$B116,$B$5,J$111)</f>
        <v>61217895.890411</v>
      </c>
      <c r="K116" s="11" t="n">
        <f aca="true">TABLE($B$111,$B$4,$B116,$B$5,K$111)</f>
        <v>61217895.890411</v>
      </c>
      <c r="L116" s="11" t="n">
        <f aca="true">TABLE($B$111,$B$4,$B116,$B$5,L$111)</f>
        <v>61217895.890411</v>
      </c>
    </row>
    <row r="117" customFormat="false" ht="12.75" hidden="false" customHeight="false" outlineLevel="0" collapsed="false">
      <c r="B117" s="88" t="n">
        <f aca="false">+B116+0.5</f>
        <v>6.5</v>
      </c>
      <c r="C117" s="11" t="n">
        <f aca="true">TABLE($B$111,$B$4,$B117,$B$5,C$111)</f>
        <v>61217895.890411</v>
      </c>
      <c r="D117" s="11" t="n">
        <f aca="true">TABLE($B$111,$B$4,$B117,$B$5,D$111)</f>
        <v>61217895.890411</v>
      </c>
      <c r="E117" s="11" t="n">
        <f aca="true">TABLE($B$111,$B$4,$B117,$B$5,E$111)</f>
        <v>61217895.890411</v>
      </c>
      <c r="F117" s="11" t="n">
        <f aca="true">TABLE($B$111,$B$4,$B117,$B$5,F$111)</f>
        <v>61217895.890411</v>
      </c>
      <c r="G117" s="11" t="n">
        <f aca="true">TABLE($B$111,$B$4,$B117,$B$5,G$111)</f>
        <v>61217895.890411</v>
      </c>
      <c r="H117" s="11" t="n">
        <f aca="true">TABLE($B$111,$B$4,$B117,$B$5,H$111)</f>
        <v>61217895.890411</v>
      </c>
      <c r="I117" s="11" t="n">
        <f aca="true">TABLE($B$111,$B$4,$B117,$B$5,I$111)</f>
        <v>61217895.890411</v>
      </c>
      <c r="J117" s="11" t="n">
        <f aca="true">TABLE($B$111,$B$4,$B117,$B$5,J$111)</f>
        <v>61217895.890411</v>
      </c>
      <c r="K117" s="11" t="n">
        <f aca="true">TABLE($B$111,$B$4,$B117,$B$5,K$111)</f>
        <v>61217895.890411</v>
      </c>
      <c r="L117" s="11" t="n">
        <f aca="true">TABLE($B$111,$B$4,$B117,$B$5,L$111)</f>
        <v>61217895.890411</v>
      </c>
    </row>
    <row r="118" customFormat="false" ht="12.75" hidden="false" customHeight="false" outlineLevel="0" collapsed="false">
      <c r="B118" s="88" t="n">
        <f aca="false">+B117+0.5</f>
        <v>7</v>
      </c>
      <c r="C118" s="11" t="n">
        <f aca="true">TABLE($B$111,$B$4,$B118,$B$5,C$111)</f>
        <v>61217895.890411</v>
      </c>
      <c r="D118" s="11" t="n">
        <f aca="true">TABLE($B$111,$B$4,$B118,$B$5,D$111)</f>
        <v>61217895.890411</v>
      </c>
      <c r="E118" s="11" t="n">
        <f aca="true">TABLE($B$111,$B$4,$B118,$B$5,E$111)</f>
        <v>61217895.890411</v>
      </c>
      <c r="F118" s="11" t="n">
        <f aca="true">TABLE($B$111,$B$4,$B118,$B$5,F$111)</f>
        <v>61217895.890411</v>
      </c>
      <c r="G118" s="11" t="n">
        <f aca="true">TABLE($B$111,$B$4,$B118,$B$5,G$111)</f>
        <v>61217895.890411</v>
      </c>
      <c r="H118" s="11" t="n">
        <f aca="true">TABLE($B$111,$B$4,$B118,$B$5,H$111)</f>
        <v>61217895.890411</v>
      </c>
      <c r="I118" s="11" t="n">
        <f aca="true">TABLE($B$111,$B$4,$B118,$B$5,I$111)</f>
        <v>61217895.890411</v>
      </c>
      <c r="J118" s="11" t="n">
        <f aca="true">TABLE($B$111,$B$4,$B118,$B$5,J$111)</f>
        <v>61217895.890411</v>
      </c>
      <c r="K118" s="11" t="n">
        <f aca="true">TABLE($B$111,$B$4,$B118,$B$5,K$111)</f>
        <v>61217895.890411</v>
      </c>
      <c r="L118" s="11" t="n">
        <f aca="true">TABLE($B$111,$B$4,$B118,$B$5,L$111)</f>
        <v>61217895.890411</v>
      </c>
    </row>
    <row r="119" customFormat="false" ht="12.75" hidden="false" customHeight="false" outlineLevel="0" collapsed="false">
      <c r="B119" s="88" t="n">
        <f aca="false">+B118+0.5</f>
        <v>7.5</v>
      </c>
      <c r="C119" s="11" t="n">
        <f aca="true">TABLE($B$111,$B$4,$B119,$B$5,C$111)</f>
        <v>61217895.890411</v>
      </c>
      <c r="D119" s="11" t="n">
        <f aca="true">TABLE($B$111,$B$4,$B119,$B$5,D$111)</f>
        <v>61217895.890411</v>
      </c>
      <c r="E119" s="11" t="n">
        <f aca="true">TABLE($B$111,$B$4,$B119,$B$5,E$111)</f>
        <v>61217895.890411</v>
      </c>
      <c r="F119" s="11" t="n">
        <f aca="true">TABLE($B$111,$B$4,$B119,$B$5,F$111)</f>
        <v>61217895.890411</v>
      </c>
      <c r="G119" s="11" t="n">
        <f aca="true">TABLE($B$111,$B$4,$B119,$B$5,G$111)</f>
        <v>61217895.890411</v>
      </c>
      <c r="H119" s="11" t="n">
        <f aca="true">TABLE($B$111,$B$4,$B119,$B$5,H$111)</f>
        <v>61217895.890411</v>
      </c>
      <c r="I119" s="11" t="n">
        <f aca="true">TABLE($B$111,$B$4,$B119,$B$5,I$111)</f>
        <v>61217895.890411</v>
      </c>
      <c r="J119" s="11" t="n">
        <f aca="true">TABLE($B$111,$B$4,$B119,$B$5,J$111)</f>
        <v>61217895.890411</v>
      </c>
      <c r="K119" s="11" t="n">
        <f aca="true">TABLE($B$111,$B$4,$B119,$B$5,K$111)</f>
        <v>61217895.890411</v>
      </c>
      <c r="L119" s="11" t="n">
        <f aca="true">TABLE($B$111,$B$4,$B119,$B$5,L$111)</f>
        <v>61217895.890411</v>
      </c>
    </row>
    <row r="120" customFormat="false" ht="12.75" hidden="false" customHeight="false" outlineLevel="0" collapsed="false">
      <c r="B120" s="88" t="n">
        <f aca="false">+B119+0.5</f>
        <v>8</v>
      </c>
      <c r="C120" s="11" t="n">
        <f aca="true">TABLE($B$111,$B$4,$B120,$B$5,C$111)</f>
        <v>61217895.890411</v>
      </c>
      <c r="D120" s="11" t="n">
        <f aca="true">TABLE($B$111,$B$4,$B120,$B$5,D$111)</f>
        <v>61217895.890411</v>
      </c>
      <c r="E120" s="11" t="n">
        <f aca="true">TABLE($B$111,$B$4,$B120,$B$5,E$111)</f>
        <v>61217895.890411</v>
      </c>
      <c r="F120" s="11" t="n">
        <f aca="true">TABLE($B$111,$B$4,$B120,$B$5,F$111)</f>
        <v>61217895.890411</v>
      </c>
      <c r="G120" s="11" t="n">
        <f aca="true">TABLE($B$111,$B$4,$B120,$B$5,G$111)</f>
        <v>61217895.890411</v>
      </c>
      <c r="H120" s="11" t="n">
        <f aca="true">TABLE($B$111,$B$4,$B120,$B$5,H$111)</f>
        <v>61217895.890411</v>
      </c>
      <c r="I120" s="11" t="n">
        <f aca="true">TABLE($B$111,$B$4,$B120,$B$5,I$111)</f>
        <v>61217895.890411</v>
      </c>
      <c r="J120" s="11" t="n">
        <f aca="true">TABLE($B$111,$B$4,$B120,$B$5,J$111)</f>
        <v>61217895.890411</v>
      </c>
      <c r="K120" s="11" t="n">
        <f aca="true">TABLE($B$111,$B$4,$B120,$B$5,K$111)</f>
        <v>61217895.890411</v>
      </c>
      <c r="L120" s="11" t="n">
        <f aca="true">TABLE($B$111,$B$4,$B120,$B$5,L$111)</f>
        <v>61217895.890411</v>
      </c>
    </row>
    <row r="121" customFormat="false" ht="12.75" hidden="false" customHeight="false" outlineLevel="0" collapsed="false">
      <c r="B121" s="88" t="n">
        <f aca="false">+B120+0.5</f>
        <v>8.5</v>
      </c>
      <c r="C121" s="11" t="n">
        <f aca="true">TABLE($B$111,$B$4,$B121,$B$5,C$111)</f>
        <v>61217895.890411</v>
      </c>
      <c r="D121" s="11" t="n">
        <f aca="true">TABLE($B$111,$B$4,$B121,$B$5,D$111)</f>
        <v>61217895.890411</v>
      </c>
      <c r="E121" s="11" t="n">
        <f aca="true">TABLE($B$111,$B$4,$B121,$B$5,E$111)</f>
        <v>61217895.890411</v>
      </c>
      <c r="F121" s="11" t="n">
        <f aca="true">TABLE($B$111,$B$4,$B121,$B$5,F$111)</f>
        <v>61217895.890411</v>
      </c>
      <c r="G121" s="11" t="n">
        <f aca="true">TABLE($B$111,$B$4,$B121,$B$5,G$111)</f>
        <v>61217895.890411</v>
      </c>
      <c r="H121" s="11" t="n">
        <f aca="true">TABLE($B$111,$B$4,$B121,$B$5,H$111)</f>
        <v>61217895.890411</v>
      </c>
      <c r="I121" s="11" t="n">
        <f aca="true">TABLE($B$111,$B$4,$B121,$B$5,I$111)</f>
        <v>61217895.890411</v>
      </c>
      <c r="J121" s="11" t="n">
        <f aca="true">TABLE($B$111,$B$4,$B121,$B$5,J$111)</f>
        <v>61217895.890411</v>
      </c>
      <c r="K121" s="11" t="n">
        <f aca="true">TABLE($B$111,$B$4,$B121,$B$5,K$111)</f>
        <v>61217895.890411</v>
      </c>
      <c r="L121" s="11" t="n">
        <f aca="true">TABLE($B$111,$B$4,$B121,$B$5,L$111)</f>
        <v>61217895.890411</v>
      </c>
    </row>
    <row r="122" customFormat="false" ht="12.75" hidden="false" customHeight="false" outlineLevel="0" collapsed="false">
      <c r="B122" s="88" t="n">
        <f aca="false">+B121+0.5</f>
        <v>9</v>
      </c>
      <c r="C122" s="11" t="n">
        <f aca="true">TABLE($B$111,$B$4,$B122,$B$5,C$111)</f>
        <v>61217895.890411</v>
      </c>
      <c r="D122" s="11" t="n">
        <f aca="true">TABLE($B$111,$B$4,$B122,$B$5,D$111)</f>
        <v>61217895.890411</v>
      </c>
      <c r="E122" s="11" t="n">
        <f aca="true">TABLE($B$111,$B$4,$B122,$B$5,E$111)</f>
        <v>61217895.890411</v>
      </c>
      <c r="F122" s="11" t="n">
        <f aca="true">TABLE($B$111,$B$4,$B122,$B$5,F$111)</f>
        <v>61217895.890411</v>
      </c>
      <c r="G122" s="11" t="n">
        <f aca="true">TABLE($B$111,$B$4,$B122,$B$5,G$111)</f>
        <v>61217895.890411</v>
      </c>
      <c r="H122" s="11" t="n">
        <f aca="true">TABLE($B$111,$B$4,$B122,$B$5,H$111)</f>
        <v>61217895.890411</v>
      </c>
      <c r="I122" s="11" t="n">
        <f aca="true">TABLE($B$111,$B$4,$B122,$B$5,I$111)</f>
        <v>61217895.890411</v>
      </c>
      <c r="J122" s="11" t="n">
        <f aca="true">TABLE($B$111,$B$4,$B122,$B$5,J$111)</f>
        <v>61217895.890411</v>
      </c>
      <c r="K122" s="11" t="n">
        <f aca="true">TABLE($B$111,$B$4,$B122,$B$5,K$111)</f>
        <v>61217895.890411</v>
      </c>
      <c r="L122" s="11" t="n">
        <f aca="true">TABLE($B$111,$B$4,$B122,$B$5,L$111)</f>
        <v>61217895.890411</v>
      </c>
    </row>
    <row r="124" customFormat="false" ht="12.75" hidden="false" customHeight="false" outlineLevel="0" collapsed="false">
      <c r="B124" s="81" t="n">
        <f aca="false">+$B$8</f>
        <v>61217895.890411</v>
      </c>
      <c r="C124" s="92" t="n">
        <f aca="false">+L111+1</f>
        <v>110</v>
      </c>
      <c r="D124" s="38" t="n">
        <f aca="false">+C124+1</f>
        <v>111</v>
      </c>
      <c r="E124" s="38" t="n">
        <f aca="false">+D124+1</f>
        <v>112</v>
      </c>
      <c r="F124" s="38" t="n">
        <f aca="false">+E124+1</f>
        <v>113</v>
      </c>
      <c r="G124" s="38" t="n">
        <f aca="false">+F124+1</f>
        <v>114</v>
      </c>
      <c r="H124" s="38" t="n">
        <f aca="false">+G124+1</f>
        <v>115</v>
      </c>
      <c r="I124" s="38" t="n">
        <f aca="false">+H124+1</f>
        <v>116</v>
      </c>
      <c r="J124" s="38" t="n">
        <f aca="false">+I124+1</f>
        <v>117</v>
      </c>
      <c r="K124" s="38" t="n">
        <f aca="false">+J124+1</f>
        <v>118</v>
      </c>
      <c r="L124" s="38" t="n">
        <f aca="false">+K124+1</f>
        <v>119</v>
      </c>
    </row>
    <row r="125" customFormat="false" ht="12.75" hidden="false" customHeight="false" outlineLevel="0" collapsed="false">
      <c r="B125" s="93" t="n">
        <f aca="false">+B112</f>
        <v>4</v>
      </c>
      <c r="C125" s="11" t="n">
        <f aca="true">TABLE($B$124,$B$4,$B125,$B$5,C$124)</f>
        <v>61217895.890411</v>
      </c>
      <c r="D125" s="11" t="n">
        <f aca="true">TABLE($B$124,$B$4,$B125,$B$5,D$124)</f>
        <v>61217895.890411</v>
      </c>
      <c r="E125" s="11" t="n">
        <f aca="true">TABLE($B$124,$B$4,$B125,$B$5,E$124)</f>
        <v>61217895.890411</v>
      </c>
      <c r="F125" s="11" t="n">
        <f aca="true">TABLE($B$124,$B$4,$B125,$B$5,F$124)</f>
        <v>61217895.890411</v>
      </c>
      <c r="G125" s="11" t="n">
        <f aca="true">TABLE($B$124,$B$4,$B125,$B$5,G$124)</f>
        <v>61217895.890411</v>
      </c>
      <c r="H125" s="11" t="n">
        <f aca="true">TABLE($B$124,$B$4,$B125,$B$5,H$124)</f>
        <v>61217895.890411</v>
      </c>
      <c r="I125" s="11" t="n">
        <f aca="true">TABLE($B$124,$B$4,$B125,$B$5,I$124)</f>
        <v>61217895.890411</v>
      </c>
      <c r="J125" s="11" t="n">
        <f aca="true">TABLE($B$124,$B$4,$B125,$B$5,J$124)</f>
        <v>61217895.890411</v>
      </c>
      <c r="K125" s="11" t="n">
        <f aca="true">TABLE($B$124,$B$4,$B125,$B$5,K$124)</f>
        <v>61217895.890411</v>
      </c>
      <c r="L125" s="11" t="n">
        <f aca="true">TABLE($B$124,$B$4,$B125,$B$5,L$124)</f>
        <v>61217895.890411</v>
      </c>
    </row>
    <row r="126" customFormat="false" ht="12.75" hidden="false" customHeight="false" outlineLevel="0" collapsed="false">
      <c r="B126" s="88" t="n">
        <f aca="false">+B125+0.5</f>
        <v>4.5</v>
      </c>
      <c r="C126" s="11" t="n">
        <f aca="true">TABLE($B$124,$B$4,$B126,$B$5,C$124)</f>
        <v>61217895.890411</v>
      </c>
      <c r="D126" s="11" t="n">
        <f aca="true">TABLE($B$124,$B$4,$B126,$B$5,D$124)</f>
        <v>61217895.890411</v>
      </c>
      <c r="E126" s="11" t="n">
        <f aca="true">TABLE($B$124,$B$4,$B126,$B$5,E$124)</f>
        <v>61217895.890411</v>
      </c>
      <c r="F126" s="11" t="n">
        <f aca="true">TABLE($B$124,$B$4,$B126,$B$5,F$124)</f>
        <v>61217895.890411</v>
      </c>
      <c r="G126" s="11" t="n">
        <f aca="true">TABLE($B$124,$B$4,$B126,$B$5,G$124)</f>
        <v>61217895.890411</v>
      </c>
      <c r="H126" s="11" t="n">
        <f aca="true">TABLE($B$124,$B$4,$B126,$B$5,H$124)</f>
        <v>61217895.890411</v>
      </c>
      <c r="I126" s="11" t="n">
        <f aca="true">TABLE($B$124,$B$4,$B126,$B$5,I$124)</f>
        <v>61217895.890411</v>
      </c>
      <c r="J126" s="11" t="n">
        <f aca="true">TABLE($B$124,$B$4,$B126,$B$5,J$124)</f>
        <v>61217895.890411</v>
      </c>
      <c r="K126" s="11" t="n">
        <f aca="true">TABLE($B$124,$B$4,$B126,$B$5,K$124)</f>
        <v>61217895.890411</v>
      </c>
      <c r="L126" s="11" t="n">
        <f aca="true">TABLE($B$124,$B$4,$B126,$B$5,L$124)</f>
        <v>61217895.890411</v>
      </c>
    </row>
    <row r="127" customFormat="false" ht="12.75" hidden="false" customHeight="false" outlineLevel="0" collapsed="false">
      <c r="B127" s="88" t="n">
        <f aca="false">+B126+0.5</f>
        <v>5</v>
      </c>
      <c r="C127" s="11" t="n">
        <f aca="true">TABLE($B$124,$B$4,$B127,$B$5,C$124)</f>
        <v>61217895.890411</v>
      </c>
      <c r="D127" s="11" t="n">
        <f aca="true">TABLE($B$124,$B$4,$B127,$B$5,D$124)</f>
        <v>61217895.890411</v>
      </c>
      <c r="E127" s="11" t="n">
        <f aca="true">TABLE($B$124,$B$4,$B127,$B$5,E$124)</f>
        <v>61217895.890411</v>
      </c>
      <c r="F127" s="11" t="n">
        <f aca="true">TABLE($B$124,$B$4,$B127,$B$5,F$124)</f>
        <v>61217895.890411</v>
      </c>
      <c r="G127" s="11" t="n">
        <f aca="true">TABLE($B$124,$B$4,$B127,$B$5,G$124)</f>
        <v>61217895.890411</v>
      </c>
      <c r="H127" s="11" t="n">
        <f aca="true">TABLE($B$124,$B$4,$B127,$B$5,H$124)</f>
        <v>61217895.890411</v>
      </c>
      <c r="I127" s="11" t="n">
        <f aca="true">TABLE($B$124,$B$4,$B127,$B$5,I$124)</f>
        <v>61217895.890411</v>
      </c>
      <c r="J127" s="11" t="n">
        <f aca="true">TABLE($B$124,$B$4,$B127,$B$5,J$124)</f>
        <v>61217895.890411</v>
      </c>
      <c r="K127" s="11" t="n">
        <f aca="true">TABLE($B$124,$B$4,$B127,$B$5,K$124)</f>
        <v>61217895.890411</v>
      </c>
      <c r="L127" s="11" t="n">
        <f aca="true">TABLE($B$124,$B$4,$B127,$B$5,L$124)</f>
        <v>61217895.890411</v>
      </c>
    </row>
    <row r="128" customFormat="false" ht="12.75" hidden="false" customHeight="false" outlineLevel="0" collapsed="false">
      <c r="B128" s="88" t="n">
        <f aca="false">+B127+0.5</f>
        <v>5.5</v>
      </c>
      <c r="C128" s="11" t="n">
        <f aca="true">TABLE($B$124,$B$4,$B128,$B$5,C$124)</f>
        <v>61217895.890411</v>
      </c>
      <c r="D128" s="11" t="n">
        <f aca="true">TABLE($B$124,$B$4,$B128,$B$5,D$124)</f>
        <v>61217895.890411</v>
      </c>
      <c r="E128" s="11" t="n">
        <f aca="true">TABLE($B$124,$B$4,$B128,$B$5,E$124)</f>
        <v>61217895.890411</v>
      </c>
      <c r="F128" s="11" t="n">
        <f aca="true">TABLE($B$124,$B$4,$B128,$B$5,F$124)</f>
        <v>61217895.890411</v>
      </c>
      <c r="G128" s="11" t="n">
        <f aca="true">TABLE($B$124,$B$4,$B128,$B$5,G$124)</f>
        <v>61217895.890411</v>
      </c>
      <c r="H128" s="11" t="n">
        <f aca="true">TABLE($B$124,$B$4,$B128,$B$5,H$124)</f>
        <v>61217895.890411</v>
      </c>
      <c r="I128" s="11" t="n">
        <f aca="true">TABLE($B$124,$B$4,$B128,$B$5,I$124)</f>
        <v>61217895.890411</v>
      </c>
      <c r="J128" s="11" t="n">
        <f aca="true">TABLE($B$124,$B$4,$B128,$B$5,J$124)</f>
        <v>61217895.890411</v>
      </c>
      <c r="K128" s="11" t="n">
        <f aca="true">TABLE($B$124,$B$4,$B128,$B$5,K$124)</f>
        <v>61217895.890411</v>
      </c>
      <c r="L128" s="11" t="n">
        <f aca="true">TABLE($B$124,$B$4,$B128,$B$5,L$124)</f>
        <v>61217895.890411</v>
      </c>
    </row>
    <row r="129" customFormat="false" ht="12.75" hidden="false" customHeight="false" outlineLevel="0" collapsed="false">
      <c r="B129" s="88" t="n">
        <f aca="false">+B128+0.5</f>
        <v>6</v>
      </c>
      <c r="C129" s="11" t="n">
        <f aca="true">TABLE($B$124,$B$4,$B129,$B$5,C$124)</f>
        <v>61217895.890411</v>
      </c>
      <c r="D129" s="11" t="n">
        <f aca="true">TABLE($B$124,$B$4,$B129,$B$5,D$124)</f>
        <v>61217895.890411</v>
      </c>
      <c r="E129" s="11" t="n">
        <f aca="true">TABLE($B$124,$B$4,$B129,$B$5,E$124)</f>
        <v>61217895.890411</v>
      </c>
      <c r="F129" s="11" t="n">
        <f aca="true">TABLE($B$124,$B$4,$B129,$B$5,F$124)</f>
        <v>61217895.890411</v>
      </c>
      <c r="G129" s="11" t="n">
        <f aca="true">TABLE($B$124,$B$4,$B129,$B$5,G$124)</f>
        <v>61217895.890411</v>
      </c>
      <c r="H129" s="11" t="n">
        <f aca="true">TABLE($B$124,$B$4,$B129,$B$5,H$124)</f>
        <v>61217895.890411</v>
      </c>
      <c r="I129" s="11" t="n">
        <f aca="true">TABLE($B$124,$B$4,$B129,$B$5,I$124)</f>
        <v>61217895.890411</v>
      </c>
      <c r="J129" s="11" t="n">
        <f aca="true">TABLE($B$124,$B$4,$B129,$B$5,J$124)</f>
        <v>61217895.890411</v>
      </c>
      <c r="K129" s="11" t="n">
        <f aca="true">TABLE($B$124,$B$4,$B129,$B$5,K$124)</f>
        <v>61217895.890411</v>
      </c>
      <c r="L129" s="11" t="n">
        <f aca="true">TABLE($B$124,$B$4,$B129,$B$5,L$124)</f>
        <v>61217895.890411</v>
      </c>
    </row>
    <row r="130" customFormat="false" ht="12.75" hidden="false" customHeight="false" outlineLevel="0" collapsed="false">
      <c r="B130" s="88" t="n">
        <f aca="false">+B129+0.5</f>
        <v>6.5</v>
      </c>
      <c r="C130" s="11" t="n">
        <f aca="true">TABLE($B$124,$B$4,$B130,$B$5,C$124)</f>
        <v>61217895.890411</v>
      </c>
      <c r="D130" s="11" t="n">
        <f aca="true">TABLE($B$124,$B$4,$B130,$B$5,D$124)</f>
        <v>61217895.890411</v>
      </c>
      <c r="E130" s="11" t="n">
        <f aca="true">TABLE($B$124,$B$4,$B130,$B$5,E$124)</f>
        <v>61217895.890411</v>
      </c>
      <c r="F130" s="11" t="n">
        <f aca="true">TABLE($B$124,$B$4,$B130,$B$5,F$124)</f>
        <v>61217895.890411</v>
      </c>
      <c r="G130" s="11" t="n">
        <f aca="true">TABLE($B$124,$B$4,$B130,$B$5,G$124)</f>
        <v>61217895.890411</v>
      </c>
      <c r="H130" s="11" t="n">
        <f aca="true">TABLE($B$124,$B$4,$B130,$B$5,H$124)</f>
        <v>61217895.890411</v>
      </c>
      <c r="I130" s="11" t="n">
        <f aca="true">TABLE($B$124,$B$4,$B130,$B$5,I$124)</f>
        <v>61217895.890411</v>
      </c>
      <c r="J130" s="11" t="n">
        <f aca="true">TABLE($B$124,$B$4,$B130,$B$5,J$124)</f>
        <v>61217895.890411</v>
      </c>
      <c r="K130" s="11" t="n">
        <f aca="true">TABLE($B$124,$B$4,$B130,$B$5,K$124)</f>
        <v>61217895.890411</v>
      </c>
      <c r="L130" s="11" t="n">
        <f aca="true">TABLE($B$124,$B$4,$B130,$B$5,L$124)</f>
        <v>61217895.890411</v>
      </c>
    </row>
    <row r="131" customFormat="false" ht="12.75" hidden="false" customHeight="false" outlineLevel="0" collapsed="false">
      <c r="B131" s="88" t="n">
        <f aca="false">+B130+0.5</f>
        <v>7</v>
      </c>
      <c r="C131" s="11" t="n">
        <f aca="true">TABLE($B$124,$B$4,$B131,$B$5,C$124)</f>
        <v>61217895.890411</v>
      </c>
      <c r="D131" s="11" t="n">
        <f aca="true">TABLE($B$124,$B$4,$B131,$B$5,D$124)</f>
        <v>61217895.890411</v>
      </c>
      <c r="E131" s="11" t="n">
        <f aca="true">TABLE($B$124,$B$4,$B131,$B$5,E$124)</f>
        <v>61217895.890411</v>
      </c>
      <c r="F131" s="11" t="n">
        <f aca="true">TABLE($B$124,$B$4,$B131,$B$5,F$124)</f>
        <v>61217895.890411</v>
      </c>
      <c r="G131" s="11" t="n">
        <f aca="true">TABLE($B$124,$B$4,$B131,$B$5,G$124)</f>
        <v>61217895.890411</v>
      </c>
      <c r="H131" s="11" t="n">
        <f aca="true">TABLE($B$124,$B$4,$B131,$B$5,H$124)</f>
        <v>61217895.890411</v>
      </c>
      <c r="I131" s="11" t="n">
        <f aca="true">TABLE($B$124,$B$4,$B131,$B$5,I$124)</f>
        <v>61217895.890411</v>
      </c>
      <c r="J131" s="11" t="n">
        <f aca="true">TABLE($B$124,$B$4,$B131,$B$5,J$124)</f>
        <v>61217895.890411</v>
      </c>
      <c r="K131" s="11" t="n">
        <f aca="true">TABLE($B$124,$B$4,$B131,$B$5,K$124)</f>
        <v>61217895.890411</v>
      </c>
      <c r="L131" s="11" t="n">
        <f aca="true">TABLE($B$124,$B$4,$B131,$B$5,L$124)</f>
        <v>61217895.890411</v>
      </c>
    </row>
    <row r="132" customFormat="false" ht="12.75" hidden="false" customHeight="false" outlineLevel="0" collapsed="false">
      <c r="B132" s="88" t="n">
        <f aca="false">+B131+0.5</f>
        <v>7.5</v>
      </c>
      <c r="C132" s="11" t="n">
        <f aca="true">TABLE($B$124,$B$4,$B132,$B$5,C$124)</f>
        <v>61217895.890411</v>
      </c>
      <c r="D132" s="11" t="n">
        <f aca="true">TABLE($B$124,$B$4,$B132,$B$5,D$124)</f>
        <v>61217895.890411</v>
      </c>
      <c r="E132" s="11" t="n">
        <f aca="true">TABLE($B$124,$B$4,$B132,$B$5,E$124)</f>
        <v>61217895.890411</v>
      </c>
      <c r="F132" s="11" t="n">
        <f aca="true">TABLE($B$124,$B$4,$B132,$B$5,F$124)</f>
        <v>61217895.890411</v>
      </c>
      <c r="G132" s="11" t="n">
        <f aca="true">TABLE($B$124,$B$4,$B132,$B$5,G$124)</f>
        <v>61217895.890411</v>
      </c>
      <c r="H132" s="11" t="n">
        <f aca="true">TABLE($B$124,$B$4,$B132,$B$5,H$124)</f>
        <v>61217895.890411</v>
      </c>
      <c r="I132" s="11" t="n">
        <f aca="true">TABLE($B$124,$B$4,$B132,$B$5,I$124)</f>
        <v>61217895.890411</v>
      </c>
      <c r="J132" s="11" t="n">
        <f aca="true">TABLE($B$124,$B$4,$B132,$B$5,J$124)</f>
        <v>61217895.890411</v>
      </c>
      <c r="K132" s="11" t="n">
        <f aca="true">TABLE($B$124,$B$4,$B132,$B$5,K$124)</f>
        <v>61217895.890411</v>
      </c>
      <c r="L132" s="11" t="n">
        <f aca="true">TABLE($B$124,$B$4,$B132,$B$5,L$124)</f>
        <v>61217895.890411</v>
      </c>
    </row>
    <row r="133" customFormat="false" ht="12.75" hidden="false" customHeight="false" outlineLevel="0" collapsed="false">
      <c r="B133" s="88" t="n">
        <f aca="false">+B132+0.5</f>
        <v>8</v>
      </c>
      <c r="C133" s="11" t="n">
        <f aca="true">TABLE($B$124,$B$4,$B133,$B$5,C$124)</f>
        <v>61217895.890411</v>
      </c>
      <c r="D133" s="11" t="n">
        <f aca="true">TABLE($B$124,$B$4,$B133,$B$5,D$124)</f>
        <v>61217895.890411</v>
      </c>
      <c r="E133" s="11" t="n">
        <f aca="true">TABLE($B$124,$B$4,$B133,$B$5,E$124)</f>
        <v>61217895.890411</v>
      </c>
      <c r="F133" s="11" t="n">
        <f aca="true">TABLE($B$124,$B$4,$B133,$B$5,F$124)</f>
        <v>61217895.890411</v>
      </c>
      <c r="G133" s="11" t="n">
        <f aca="true">TABLE($B$124,$B$4,$B133,$B$5,G$124)</f>
        <v>61217895.890411</v>
      </c>
      <c r="H133" s="11" t="n">
        <f aca="true">TABLE($B$124,$B$4,$B133,$B$5,H$124)</f>
        <v>61217895.890411</v>
      </c>
      <c r="I133" s="11" t="n">
        <f aca="true">TABLE($B$124,$B$4,$B133,$B$5,I$124)</f>
        <v>61217895.890411</v>
      </c>
      <c r="J133" s="11" t="n">
        <f aca="true">TABLE($B$124,$B$4,$B133,$B$5,J$124)</f>
        <v>61217895.890411</v>
      </c>
      <c r="K133" s="11" t="n">
        <f aca="true">TABLE($B$124,$B$4,$B133,$B$5,K$124)</f>
        <v>61217895.890411</v>
      </c>
      <c r="L133" s="11" t="n">
        <f aca="true">TABLE($B$124,$B$4,$B133,$B$5,L$124)</f>
        <v>61217895.890411</v>
      </c>
    </row>
    <row r="134" customFormat="false" ht="12.75" hidden="false" customHeight="false" outlineLevel="0" collapsed="false">
      <c r="B134" s="88" t="n">
        <f aca="false">+B133+0.5</f>
        <v>8.5</v>
      </c>
      <c r="C134" s="11" t="n">
        <f aca="true">TABLE($B$124,$B$4,$B134,$B$5,C$124)</f>
        <v>61217895.890411</v>
      </c>
      <c r="D134" s="11" t="n">
        <f aca="true">TABLE($B$124,$B$4,$B134,$B$5,D$124)</f>
        <v>61217895.890411</v>
      </c>
      <c r="E134" s="11" t="n">
        <f aca="true">TABLE($B$124,$B$4,$B134,$B$5,E$124)</f>
        <v>61217895.890411</v>
      </c>
      <c r="F134" s="11" t="n">
        <f aca="true">TABLE($B$124,$B$4,$B134,$B$5,F$124)</f>
        <v>61217895.890411</v>
      </c>
      <c r="G134" s="11" t="n">
        <f aca="true">TABLE($B$124,$B$4,$B134,$B$5,G$124)</f>
        <v>61217895.890411</v>
      </c>
      <c r="H134" s="11" t="n">
        <f aca="true">TABLE($B$124,$B$4,$B134,$B$5,H$124)</f>
        <v>61217895.890411</v>
      </c>
      <c r="I134" s="11" t="n">
        <f aca="true">TABLE($B$124,$B$4,$B134,$B$5,I$124)</f>
        <v>61217895.890411</v>
      </c>
      <c r="J134" s="11" t="n">
        <f aca="true">TABLE($B$124,$B$4,$B134,$B$5,J$124)</f>
        <v>61217895.890411</v>
      </c>
      <c r="K134" s="11" t="n">
        <f aca="true">TABLE($B$124,$B$4,$B134,$B$5,K$124)</f>
        <v>61217895.890411</v>
      </c>
      <c r="L134" s="11" t="n">
        <f aca="true">TABLE($B$124,$B$4,$B134,$B$5,L$124)</f>
        <v>61217895.890411</v>
      </c>
    </row>
    <row r="135" customFormat="false" ht="12.75" hidden="false" customHeight="false" outlineLevel="0" collapsed="false">
      <c r="B135" s="88" t="n">
        <f aca="false">+B134+0.5</f>
        <v>9</v>
      </c>
      <c r="C135" s="11" t="n">
        <f aca="true">TABLE($B$124,$B$4,$B135,$B$5,C$124)</f>
        <v>61217895.890411</v>
      </c>
      <c r="D135" s="11" t="n">
        <f aca="true">TABLE($B$124,$B$4,$B135,$B$5,D$124)</f>
        <v>61217895.890411</v>
      </c>
      <c r="E135" s="11" t="n">
        <f aca="true">TABLE($B$124,$B$4,$B135,$B$5,E$124)</f>
        <v>61217895.890411</v>
      </c>
      <c r="F135" s="11" t="n">
        <f aca="true">TABLE($B$124,$B$4,$B135,$B$5,F$124)</f>
        <v>61217895.890411</v>
      </c>
      <c r="G135" s="11" t="n">
        <f aca="true">TABLE($B$124,$B$4,$B135,$B$5,G$124)</f>
        <v>61217895.890411</v>
      </c>
      <c r="H135" s="11" t="n">
        <f aca="true">TABLE($B$124,$B$4,$B135,$B$5,H$124)</f>
        <v>61217895.890411</v>
      </c>
      <c r="I135" s="11" t="n">
        <f aca="true">TABLE($B$124,$B$4,$B135,$B$5,I$124)</f>
        <v>61217895.890411</v>
      </c>
      <c r="J135" s="11" t="n">
        <f aca="true">TABLE($B$124,$B$4,$B135,$B$5,J$124)</f>
        <v>61217895.890411</v>
      </c>
      <c r="K135" s="11" t="n">
        <f aca="true">TABLE($B$124,$B$4,$B135,$B$5,K$124)</f>
        <v>61217895.890411</v>
      </c>
      <c r="L135" s="11" t="n">
        <f aca="true">TABLE($B$124,$B$4,$B135,$B$5,L$124)</f>
        <v>61217895.890411</v>
      </c>
    </row>
    <row r="137" customFormat="false" ht="12.75" hidden="false" customHeight="false" outlineLevel="0" collapsed="false">
      <c r="B137" s="81" t="n">
        <f aca="false">+$B$8</f>
        <v>61217895.890411</v>
      </c>
      <c r="C137" s="92" t="n">
        <f aca="false">+L124+1</f>
        <v>120</v>
      </c>
      <c r="D137" s="38" t="n">
        <f aca="false">+C137+1</f>
        <v>121</v>
      </c>
      <c r="E137" s="38" t="n">
        <f aca="false">+D137+1</f>
        <v>122</v>
      </c>
      <c r="F137" s="38" t="n">
        <f aca="false">+E137+1</f>
        <v>123</v>
      </c>
      <c r="G137" s="38" t="n">
        <f aca="false">+F137+1</f>
        <v>124</v>
      </c>
      <c r="H137" s="38" t="n">
        <f aca="false">+G137+1</f>
        <v>125</v>
      </c>
      <c r="I137" s="38" t="n">
        <f aca="false">+H137+1</f>
        <v>126</v>
      </c>
      <c r="J137" s="38" t="n">
        <f aca="false">+I137+1</f>
        <v>127</v>
      </c>
      <c r="K137" s="38" t="n">
        <f aca="false">+J137+1</f>
        <v>128</v>
      </c>
      <c r="L137" s="38" t="n">
        <f aca="false">+K137+1</f>
        <v>129</v>
      </c>
    </row>
    <row r="138" customFormat="false" ht="12.75" hidden="false" customHeight="false" outlineLevel="0" collapsed="false">
      <c r="B138" s="93" t="n">
        <f aca="false">+B125</f>
        <v>4</v>
      </c>
      <c r="C138" s="11" t="n">
        <f aca="true">TABLE($B$137,$B$4,$B138,$B$5,C$137)</f>
        <v>61217895.890411</v>
      </c>
      <c r="D138" s="11" t="n">
        <f aca="true">TABLE($B$137,$B$4,$B138,$B$5,D$137)</f>
        <v>61217895.890411</v>
      </c>
      <c r="E138" s="11" t="n">
        <f aca="true">TABLE($B$137,$B$4,$B138,$B$5,E$137)</f>
        <v>61217895.890411</v>
      </c>
      <c r="F138" s="11" t="n">
        <f aca="true">TABLE($B$137,$B$4,$B138,$B$5,F$137)</f>
        <v>61217895.890411</v>
      </c>
      <c r="G138" s="11" t="n">
        <f aca="true">TABLE($B$137,$B$4,$B138,$B$5,G$137)</f>
        <v>61217895.890411</v>
      </c>
      <c r="H138" s="11" t="n">
        <f aca="true">TABLE($B$137,$B$4,$B138,$B$5,H$137)</f>
        <v>61217895.890411</v>
      </c>
      <c r="I138" s="11" t="n">
        <f aca="true">TABLE($B$137,$B$4,$B138,$B$5,I$137)</f>
        <v>61217895.890411</v>
      </c>
      <c r="J138" s="11" t="n">
        <f aca="true">TABLE($B$137,$B$4,$B138,$B$5,J$137)</f>
        <v>61217895.890411</v>
      </c>
      <c r="K138" s="11" t="n">
        <f aca="true">TABLE($B$137,$B$4,$B138,$B$5,K$137)</f>
        <v>61217895.890411</v>
      </c>
      <c r="L138" s="11" t="n">
        <f aca="true">TABLE($B$137,$B$4,$B138,$B$5,L$137)</f>
        <v>61217895.890411</v>
      </c>
    </row>
    <row r="139" customFormat="false" ht="12.75" hidden="false" customHeight="false" outlineLevel="0" collapsed="false">
      <c r="B139" s="88" t="n">
        <f aca="false">+B138+0.5</f>
        <v>4.5</v>
      </c>
      <c r="C139" s="11" t="n">
        <f aca="true">TABLE($B$137,$B$4,$B139,$B$5,C$137)</f>
        <v>61217895.890411</v>
      </c>
      <c r="D139" s="11" t="n">
        <f aca="true">TABLE($B$137,$B$4,$B139,$B$5,D$137)</f>
        <v>61217895.890411</v>
      </c>
      <c r="E139" s="11" t="n">
        <f aca="true">TABLE($B$137,$B$4,$B139,$B$5,E$137)</f>
        <v>61217895.890411</v>
      </c>
      <c r="F139" s="11" t="n">
        <f aca="true">TABLE($B$137,$B$4,$B139,$B$5,F$137)</f>
        <v>61217895.890411</v>
      </c>
      <c r="G139" s="11" t="n">
        <f aca="true">TABLE($B$137,$B$4,$B139,$B$5,G$137)</f>
        <v>61217895.890411</v>
      </c>
      <c r="H139" s="11" t="n">
        <f aca="true">TABLE($B$137,$B$4,$B139,$B$5,H$137)</f>
        <v>61217895.890411</v>
      </c>
      <c r="I139" s="11" t="n">
        <f aca="true">TABLE($B$137,$B$4,$B139,$B$5,I$137)</f>
        <v>61217895.890411</v>
      </c>
      <c r="J139" s="11" t="n">
        <f aca="true">TABLE($B$137,$B$4,$B139,$B$5,J$137)</f>
        <v>61217895.890411</v>
      </c>
      <c r="K139" s="11" t="n">
        <f aca="true">TABLE($B$137,$B$4,$B139,$B$5,K$137)</f>
        <v>61217895.890411</v>
      </c>
      <c r="L139" s="11" t="n">
        <f aca="true">TABLE($B$137,$B$4,$B139,$B$5,L$137)</f>
        <v>61217895.890411</v>
      </c>
    </row>
    <row r="140" customFormat="false" ht="12.75" hidden="false" customHeight="false" outlineLevel="0" collapsed="false">
      <c r="B140" s="88" t="n">
        <f aca="false">+B139+0.5</f>
        <v>5</v>
      </c>
      <c r="C140" s="11" t="n">
        <f aca="true">TABLE($B$137,$B$4,$B140,$B$5,C$137)</f>
        <v>61217895.890411</v>
      </c>
      <c r="D140" s="11" t="n">
        <f aca="true">TABLE($B$137,$B$4,$B140,$B$5,D$137)</f>
        <v>61217895.890411</v>
      </c>
      <c r="E140" s="11" t="n">
        <f aca="true">TABLE($B$137,$B$4,$B140,$B$5,E$137)</f>
        <v>61217895.890411</v>
      </c>
      <c r="F140" s="11" t="n">
        <f aca="true">TABLE($B$137,$B$4,$B140,$B$5,F$137)</f>
        <v>61217895.890411</v>
      </c>
      <c r="G140" s="11" t="n">
        <f aca="true">TABLE($B$137,$B$4,$B140,$B$5,G$137)</f>
        <v>61217895.890411</v>
      </c>
      <c r="H140" s="11" t="n">
        <f aca="true">TABLE($B$137,$B$4,$B140,$B$5,H$137)</f>
        <v>61217895.890411</v>
      </c>
      <c r="I140" s="11" t="n">
        <f aca="true">TABLE($B$137,$B$4,$B140,$B$5,I$137)</f>
        <v>61217895.890411</v>
      </c>
      <c r="J140" s="11" t="n">
        <f aca="true">TABLE($B$137,$B$4,$B140,$B$5,J$137)</f>
        <v>61217895.890411</v>
      </c>
      <c r="K140" s="11" t="n">
        <f aca="true">TABLE($B$137,$B$4,$B140,$B$5,K$137)</f>
        <v>61217895.890411</v>
      </c>
      <c r="L140" s="11" t="n">
        <f aca="true">TABLE($B$137,$B$4,$B140,$B$5,L$137)</f>
        <v>61217895.890411</v>
      </c>
    </row>
    <row r="141" customFormat="false" ht="12.75" hidden="false" customHeight="false" outlineLevel="0" collapsed="false">
      <c r="B141" s="88" t="n">
        <f aca="false">+B140+0.5</f>
        <v>5.5</v>
      </c>
      <c r="C141" s="11" t="n">
        <f aca="true">TABLE($B$137,$B$4,$B141,$B$5,C$137)</f>
        <v>61217895.890411</v>
      </c>
      <c r="D141" s="11" t="n">
        <f aca="true">TABLE($B$137,$B$4,$B141,$B$5,D$137)</f>
        <v>61217895.890411</v>
      </c>
      <c r="E141" s="11" t="n">
        <f aca="true">TABLE($B$137,$B$4,$B141,$B$5,E$137)</f>
        <v>61217895.890411</v>
      </c>
      <c r="F141" s="11" t="n">
        <f aca="true">TABLE($B$137,$B$4,$B141,$B$5,F$137)</f>
        <v>61217895.890411</v>
      </c>
      <c r="G141" s="11" t="n">
        <f aca="true">TABLE($B$137,$B$4,$B141,$B$5,G$137)</f>
        <v>61217895.890411</v>
      </c>
      <c r="H141" s="11" t="n">
        <f aca="true">TABLE($B$137,$B$4,$B141,$B$5,H$137)</f>
        <v>61217895.890411</v>
      </c>
      <c r="I141" s="11" t="n">
        <f aca="true">TABLE($B$137,$B$4,$B141,$B$5,I$137)</f>
        <v>61217895.890411</v>
      </c>
      <c r="J141" s="11" t="n">
        <f aca="true">TABLE($B$137,$B$4,$B141,$B$5,J$137)</f>
        <v>61217895.890411</v>
      </c>
      <c r="K141" s="11" t="n">
        <f aca="true">TABLE($B$137,$B$4,$B141,$B$5,K$137)</f>
        <v>61217895.890411</v>
      </c>
      <c r="L141" s="11" t="n">
        <f aca="true">TABLE($B$137,$B$4,$B141,$B$5,L$137)</f>
        <v>61217895.890411</v>
      </c>
    </row>
    <row r="142" customFormat="false" ht="12.75" hidden="false" customHeight="false" outlineLevel="0" collapsed="false">
      <c r="B142" s="88" t="n">
        <f aca="false">+B141+0.5</f>
        <v>6</v>
      </c>
      <c r="C142" s="11" t="n">
        <f aca="true">TABLE($B$137,$B$4,$B142,$B$5,C$137)</f>
        <v>61217895.890411</v>
      </c>
      <c r="D142" s="11" t="n">
        <f aca="true">TABLE($B$137,$B$4,$B142,$B$5,D$137)</f>
        <v>61217895.890411</v>
      </c>
      <c r="E142" s="11" t="n">
        <f aca="true">TABLE($B$137,$B$4,$B142,$B$5,E$137)</f>
        <v>61217895.890411</v>
      </c>
      <c r="F142" s="11" t="n">
        <f aca="true">TABLE($B$137,$B$4,$B142,$B$5,F$137)</f>
        <v>61217895.890411</v>
      </c>
      <c r="G142" s="11" t="n">
        <f aca="true">TABLE($B$137,$B$4,$B142,$B$5,G$137)</f>
        <v>61217895.890411</v>
      </c>
      <c r="H142" s="11" t="n">
        <f aca="true">TABLE($B$137,$B$4,$B142,$B$5,H$137)</f>
        <v>61217895.890411</v>
      </c>
      <c r="I142" s="11" t="n">
        <f aca="true">TABLE($B$137,$B$4,$B142,$B$5,I$137)</f>
        <v>61217895.890411</v>
      </c>
      <c r="J142" s="11" t="n">
        <f aca="true">TABLE($B$137,$B$4,$B142,$B$5,J$137)</f>
        <v>61217895.890411</v>
      </c>
      <c r="K142" s="11" t="n">
        <f aca="true">TABLE($B$137,$B$4,$B142,$B$5,K$137)</f>
        <v>61217895.890411</v>
      </c>
      <c r="L142" s="11" t="n">
        <f aca="true">TABLE($B$137,$B$4,$B142,$B$5,L$137)</f>
        <v>61217895.890411</v>
      </c>
    </row>
    <row r="143" customFormat="false" ht="12.75" hidden="false" customHeight="false" outlineLevel="0" collapsed="false">
      <c r="B143" s="88" t="n">
        <f aca="false">+B142+0.5</f>
        <v>6.5</v>
      </c>
      <c r="C143" s="11" t="n">
        <f aca="true">TABLE($B$137,$B$4,$B143,$B$5,C$137)</f>
        <v>61217895.890411</v>
      </c>
      <c r="D143" s="11" t="n">
        <f aca="true">TABLE($B$137,$B$4,$B143,$B$5,D$137)</f>
        <v>61217895.890411</v>
      </c>
      <c r="E143" s="11" t="n">
        <f aca="true">TABLE($B$137,$B$4,$B143,$B$5,E$137)</f>
        <v>61217895.890411</v>
      </c>
      <c r="F143" s="11" t="n">
        <f aca="true">TABLE($B$137,$B$4,$B143,$B$5,F$137)</f>
        <v>61217895.890411</v>
      </c>
      <c r="G143" s="11" t="n">
        <f aca="true">TABLE($B$137,$B$4,$B143,$B$5,G$137)</f>
        <v>61217895.890411</v>
      </c>
      <c r="H143" s="11" t="n">
        <f aca="true">TABLE($B$137,$B$4,$B143,$B$5,H$137)</f>
        <v>61217895.890411</v>
      </c>
      <c r="I143" s="11" t="n">
        <f aca="true">TABLE($B$137,$B$4,$B143,$B$5,I$137)</f>
        <v>61217895.890411</v>
      </c>
      <c r="J143" s="11" t="n">
        <f aca="true">TABLE($B$137,$B$4,$B143,$B$5,J$137)</f>
        <v>61217895.890411</v>
      </c>
      <c r="K143" s="11" t="n">
        <f aca="true">TABLE($B$137,$B$4,$B143,$B$5,K$137)</f>
        <v>61217895.890411</v>
      </c>
      <c r="L143" s="11" t="n">
        <f aca="true">TABLE($B$137,$B$4,$B143,$B$5,L$137)</f>
        <v>61217895.890411</v>
      </c>
    </row>
    <row r="144" customFormat="false" ht="12.75" hidden="false" customHeight="false" outlineLevel="0" collapsed="false">
      <c r="B144" s="88" t="n">
        <f aca="false">+B143+0.5</f>
        <v>7</v>
      </c>
      <c r="C144" s="11" t="n">
        <f aca="true">TABLE($B$137,$B$4,$B144,$B$5,C$137)</f>
        <v>61217895.890411</v>
      </c>
      <c r="D144" s="11" t="n">
        <f aca="true">TABLE($B$137,$B$4,$B144,$B$5,D$137)</f>
        <v>61217895.890411</v>
      </c>
      <c r="E144" s="11" t="n">
        <f aca="true">TABLE($B$137,$B$4,$B144,$B$5,E$137)</f>
        <v>61217895.890411</v>
      </c>
      <c r="F144" s="11" t="n">
        <f aca="true">TABLE($B$137,$B$4,$B144,$B$5,F$137)</f>
        <v>61217895.890411</v>
      </c>
      <c r="G144" s="11" t="n">
        <f aca="true">TABLE($B$137,$B$4,$B144,$B$5,G$137)</f>
        <v>61217895.890411</v>
      </c>
      <c r="H144" s="11" t="n">
        <f aca="true">TABLE($B$137,$B$4,$B144,$B$5,H$137)</f>
        <v>61217895.890411</v>
      </c>
      <c r="I144" s="11" t="n">
        <f aca="true">TABLE($B$137,$B$4,$B144,$B$5,I$137)</f>
        <v>61217895.890411</v>
      </c>
      <c r="J144" s="11" t="n">
        <f aca="true">TABLE($B$137,$B$4,$B144,$B$5,J$137)</f>
        <v>61217895.890411</v>
      </c>
      <c r="K144" s="11" t="n">
        <f aca="true">TABLE($B$137,$B$4,$B144,$B$5,K$137)</f>
        <v>61217895.890411</v>
      </c>
      <c r="L144" s="11" t="n">
        <f aca="true">TABLE($B$137,$B$4,$B144,$B$5,L$137)</f>
        <v>61217895.890411</v>
      </c>
    </row>
    <row r="145" customFormat="false" ht="12.75" hidden="false" customHeight="false" outlineLevel="0" collapsed="false">
      <c r="B145" s="88" t="n">
        <f aca="false">+B144+0.5</f>
        <v>7.5</v>
      </c>
      <c r="C145" s="11" t="n">
        <f aca="true">TABLE($B$137,$B$4,$B145,$B$5,C$137)</f>
        <v>61217895.890411</v>
      </c>
      <c r="D145" s="11" t="n">
        <f aca="true">TABLE($B$137,$B$4,$B145,$B$5,D$137)</f>
        <v>61217895.890411</v>
      </c>
      <c r="E145" s="11" t="n">
        <f aca="true">TABLE($B$137,$B$4,$B145,$B$5,E$137)</f>
        <v>61217895.890411</v>
      </c>
      <c r="F145" s="11" t="n">
        <f aca="true">TABLE($B$137,$B$4,$B145,$B$5,F$137)</f>
        <v>61217895.890411</v>
      </c>
      <c r="G145" s="11" t="n">
        <f aca="true">TABLE($B$137,$B$4,$B145,$B$5,G$137)</f>
        <v>61217895.890411</v>
      </c>
      <c r="H145" s="11" t="n">
        <f aca="true">TABLE($B$137,$B$4,$B145,$B$5,H$137)</f>
        <v>61217895.890411</v>
      </c>
      <c r="I145" s="11" t="n">
        <f aca="true">TABLE($B$137,$B$4,$B145,$B$5,I$137)</f>
        <v>61217895.890411</v>
      </c>
      <c r="J145" s="11" t="n">
        <f aca="true">TABLE($B$137,$B$4,$B145,$B$5,J$137)</f>
        <v>61217895.890411</v>
      </c>
      <c r="K145" s="11" t="n">
        <f aca="true">TABLE($B$137,$B$4,$B145,$B$5,K$137)</f>
        <v>61217895.890411</v>
      </c>
      <c r="L145" s="11" t="n">
        <f aca="true">TABLE($B$137,$B$4,$B145,$B$5,L$137)</f>
        <v>61217895.890411</v>
      </c>
    </row>
    <row r="146" customFormat="false" ht="12.75" hidden="false" customHeight="false" outlineLevel="0" collapsed="false">
      <c r="B146" s="88" t="n">
        <f aca="false">+B145+0.5</f>
        <v>8</v>
      </c>
      <c r="C146" s="11" t="n">
        <f aca="true">TABLE($B$137,$B$4,$B146,$B$5,C$137)</f>
        <v>61217895.890411</v>
      </c>
      <c r="D146" s="11" t="n">
        <f aca="true">TABLE($B$137,$B$4,$B146,$B$5,D$137)</f>
        <v>61217895.890411</v>
      </c>
      <c r="E146" s="11" t="n">
        <f aca="true">TABLE($B$137,$B$4,$B146,$B$5,E$137)</f>
        <v>61217895.890411</v>
      </c>
      <c r="F146" s="11" t="n">
        <f aca="true">TABLE($B$137,$B$4,$B146,$B$5,F$137)</f>
        <v>61217895.890411</v>
      </c>
      <c r="G146" s="11" t="n">
        <f aca="true">TABLE($B$137,$B$4,$B146,$B$5,G$137)</f>
        <v>61217895.890411</v>
      </c>
      <c r="H146" s="11" t="n">
        <f aca="true">TABLE($B$137,$B$4,$B146,$B$5,H$137)</f>
        <v>61217895.890411</v>
      </c>
      <c r="I146" s="11" t="n">
        <f aca="true">TABLE($B$137,$B$4,$B146,$B$5,I$137)</f>
        <v>61217895.890411</v>
      </c>
      <c r="J146" s="11" t="n">
        <f aca="true">TABLE($B$137,$B$4,$B146,$B$5,J$137)</f>
        <v>61217895.890411</v>
      </c>
      <c r="K146" s="11" t="n">
        <f aca="true">TABLE($B$137,$B$4,$B146,$B$5,K$137)</f>
        <v>61217895.890411</v>
      </c>
      <c r="L146" s="11" t="n">
        <f aca="true">TABLE($B$137,$B$4,$B146,$B$5,L$137)</f>
        <v>61217895.890411</v>
      </c>
    </row>
    <row r="147" customFormat="false" ht="12.75" hidden="false" customHeight="false" outlineLevel="0" collapsed="false">
      <c r="B147" s="88" t="n">
        <f aca="false">+B146+0.5</f>
        <v>8.5</v>
      </c>
      <c r="C147" s="11" t="n">
        <f aca="true">TABLE($B$137,$B$4,$B147,$B$5,C$137)</f>
        <v>61217895.890411</v>
      </c>
      <c r="D147" s="11" t="n">
        <f aca="true">TABLE($B$137,$B$4,$B147,$B$5,D$137)</f>
        <v>61217895.890411</v>
      </c>
      <c r="E147" s="11" t="n">
        <f aca="true">TABLE($B$137,$B$4,$B147,$B$5,E$137)</f>
        <v>61217895.890411</v>
      </c>
      <c r="F147" s="11" t="n">
        <f aca="true">TABLE($B$137,$B$4,$B147,$B$5,F$137)</f>
        <v>61217895.890411</v>
      </c>
      <c r="G147" s="11" t="n">
        <f aca="true">TABLE($B$137,$B$4,$B147,$B$5,G$137)</f>
        <v>61217895.890411</v>
      </c>
      <c r="H147" s="11" t="n">
        <f aca="true">TABLE($B$137,$B$4,$B147,$B$5,H$137)</f>
        <v>61217895.890411</v>
      </c>
      <c r="I147" s="11" t="n">
        <f aca="true">TABLE($B$137,$B$4,$B147,$B$5,I$137)</f>
        <v>61217895.890411</v>
      </c>
      <c r="J147" s="11" t="n">
        <f aca="true">TABLE($B$137,$B$4,$B147,$B$5,J$137)</f>
        <v>61217895.890411</v>
      </c>
      <c r="K147" s="11" t="n">
        <f aca="true">TABLE($B$137,$B$4,$B147,$B$5,K$137)</f>
        <v>61217895.890411</v>
      </c>
      <c r="L147" s="11" t="n">
        <f aca="true">TABLE($B$137,$B$4,$B147,$B$5,L$137)</f>
        <v>61217895.890411</v>
      </c>
    </row>
    <row r="148" customFormat="false" ht="12.75" hidden="false" customHeight="false" outlineLevel="0" collapsed="false">
      <c r="B148" s="88" t="n">
        <f aca="false">+B147+0.5</f>
        <v>9</v>
      </c>
      <c r="C148" s="11" t="n">
        <f aca="true">TABLE($B$137,$B$4,$B148,$B$5,C$137)</f>
        <v>61217895.890411</v>
      </c>
      <c r="D148" s="11" t="n">
        <f aca="true">TABLE($B$137,$B$4,$B148,$B$5,D$137)</f>
        <v>61217895.890411</v>
      </c>
      <c r="E148" s="11" t="n">
        <f aca="true">TABLE($B$137,$B$4,$B148,$B$5,E$137)</f>
        <v>61217895.890411</v>
      </c>
      <c r="F148" s="11" t="n">
        <f aca="true">TABLE($B$137,$B$4,$B148,$B$5,F$137)</f>
        <v>61217895.890411</v>
      </c>
      <c r="G148" s="11" t="n">
        <f aca="true">TABLE($B$137,$B$4,$B148,$B$5,G$137)</f>
        <v>61217895.890411</v>
      </c>
      <c r="H148" s="11" t="n">
        <f aca="true">TABLE($B$137,$B$4,$B148,$B$5,H$137)</f>
        <v>61217895.890411</v>
      </c>
      <c r="I148" s="11" t="n">
        <f aca="true">TABLE($B$137,$B$4,$B148,$B$5,I$137)</f>
        <v>61217895.890411</v>
      </c>
      <c r="J148" s="11" t="n">
        <f aca="true">TABLE($B$137,$B$4,$B148,$B$5,J$137)</f>
        <v>61217895.890411</v>
      </c>
      <c r="K148" s="11" t="n">
        <f aca="true">TABLE($B$137,$B$4,$B148,$B$5,K$137)</f>
        <v>61217895.890411</v>
      </c>
      <c r="L148" s="11" t="n">
        <f aca="true">TABLE($B$137,$B$4,$B148,$B$5,L$137)</f>
        <v>61217895.890411</v>
      </c>
    </row>
    <row r="150" customFormat="false" ht="12.75" hidden="false" customHeight="false" outlineLevel="0" collapsed="false">
      <c r="B150" s="81" t="n">
        <f aca="false">+$B$8</f>
        <v>61217895.890411</v>
      </c>
      <c r="C150" s="92" t="n">
        <f aca="false">+L137+1</f>
        <v>130</v>
      </c>
      <c r="D150" s="38" t="n">
        <f aca="false">+C150+1</f>
        <v>131</v>
      </c>
      <c r="E150" s="38" t="n">
        <f aca="false">+D150+1</f>
        <v>132</v>
      </c>
      <c r="F150" s="38" t="n">
        <f aca="false">+E150+1</f>
        <v>133</v>
      </c>
      <c r="G150" s="38" t="n">
        <f aca="false">+F150+1</f>
        <v>134</v>
      </c>
      <c r="H150" s="38" t="n">
        <f aca="false">+G150+1</f>
        <v>135</v>
      </c>
      <c r="I150" s="38" t="n">
        <f aca="false">+H150+1</f>
        <v>136</v>
      </c>
      <c r="J150" s="38" t="n">
        <f aca="false">+I150+1</f>
        <v>137</v>
      </c>
      <c r="K150" s="38" t="n">
        <f aca="false">+J150+1</f>
        <v>138</v>
      </c>
      <c r="L150" s="38" t="n">
        <f aca="false">+K150+1</f>
        <v>139</v>
      </c>
    </row>
    <row r="151" customFormat="false" ht="12.75" hidden="false" customHeight="false" outlineLevel="0" collapsed="false">
      <c r="B151" s="93" t="n">
        <f aca="false">+B138</f>
        <v>4</v>
      </c>
      <c r="C151" s="11" t="n">
        <f aca="true">TABLE($B$150,$B$4,$B151,$B$5,C$150)</f>
        <v>61217895.890411</v>
      </c>
      <c r="D151" s="11" t="n">
        <f aca="true">TABLE($B$150,$B$4,$B151,$B$5,D$150)</f>
        <v>61217895.890411</v>
      </c>
      <c r="E151" s="11" t="n">
        <f aca="true">TABLE($B$150,$B$4,$B151,$B$5,E$150)</f>
        <v>61217895.890411</v>
      </c>
      <c r="F151" s="11" t="n">
        <f aca="true">TABLE($B$150,$B$4,$B151,$B$5,F$150)</f>
        <v>61217895.890411</v>
      </c>
      <c r="G151" s="11" t="n">
        <f aca="true">TABLE($B$150,$B$4,$B151,$B$5,G$150)</f>
        <v>61217895.890411</v>
      </c>
      <c r="H151" s="11" t="n">
        <f aca="true">TABLE($B$150,$B$4,$B151,$B$5,H$150)</f>
        <v>61217895.890411</v>
      </c>
      <c r="I151" s="11" t="n">
        <f aca="true">TABLE($B$150,$B$4,$B151,$B$5,I$150)</f>
        <v>61217895.890411</v>
      </c>
      <c r="J151" s="11" t="n">
        <f aca="true">TABLE($B$150,$B$4,$B151,$B$5,J$150)</f>
        <v>61217895.890411</v>
      </c>
      <c r="K151" s="11" t="n">
        <f aca="true">TABLE($B$150,$B$4,$B151,$B$5,K$150)</f>
        <v>61217895.890411</v>
      </c>
      <c r="L151" s="11" t="n">
        <f aca="true">TABLE($B$150,$B$4,$B151,$B$5,L$150)</f>
        <v>61217895.890411</v>
      </c>
    </row>
    <row r="152" customFormat="false" ht="12.75" hidden="false" customHeight="false" outlineLevel="0" collapsed="false">
      <c r="B152" s="88" t="n">
        <f aca="false">+B151+0.5</f>
        <v>4.5</v>
      </c>
      <c r="C152" s="11" t="n">
        <f aca="true">TABLE($B$150,$B$4,$B152,$B$5,C$150)</f>
        <v>61217895.890411</v>
      </c>
      <c r="D152" s="11" t="n">
        <f aca="true">TABLE($B$150,$B$4,$B152,$B$5,D$150)</f>
        <v>61217895.890411</v>
      </c>
      <c r="E152" s="11" t="n">
        <f aca="true">TABLE($B$150,$B$4,$B152,$B$5,E$150)</f>
        <v>61217895.890411</v>
      </c>
      <c r="F152" s="11" t="n">
        <f aca="true">TABLE($B$150,$B$4,$B152,$B$5,F$150)</f>
        <v>61217895.890411</v>
      </c>
      <c r="G152" s="11" t="n">
        <f aca="true">TABLE($B$150,$B$4,$B152,$B$5,G$150)</f>
        <v>61217895.890411</v>
      </c>
      <c r="H152" s="11" t="n">
        <f aca="true">TABLE($B$150,$B$4,$B152,$B$5,H$150)</f>
        <v>61217895.890411</v>
      </c>
      <c r="I152" s="11" t="n">
        <f aca="true">TABLE($B$150,$B$4,$B152,$B$5,I$150)</f>
        <v>61217895.890411</v>
      </c>
      <c r="J152" s="11" t="n">
        <f aca="true">TABLE($B$150,$B$4,$B152,$B$5,J$150)</f>
        <v>61217895.890411</v>
      </c>
      <c r="K152" s="11" t="n">
        <f aca="true">TABLE($B$150,$B$4,$B152,$B$5,K$150)</f>
        <v>61217895.890411</v>
      </c>
      <c r="L152" s="11" t="n">
        <f aca="true">TABLE($B$150,$B$4,$B152,$B$5,L$150)</f>
        <v>61217895.890411</v>
      </c>
    </row>
    <row r="153" customFormat="false" ht="12.75" hidden="false" customHeight="false" outlineLevel="0" collapsed="false">
      <c r="B153" s="88" t="n">
        <f aca="false">+B152+0.5</f>
        <v>5</v>
      </c>
      <c r="C153" s="11" t="n">
        <f aca="true">TABLE($B$150,$B$4,$B153,$B$5,C$150)</f>
        <v>61217895.890411</v>
      </c>
      <c r="D153" s="11" t="n">
        <f aca="true">TABLE($B$150,$B$4,$B153,$B$5,D$150)</f>
        <v>61217895.890411</v>
      </c>
      <c r="E153" s="11" t="n">
        <f aca="true">TABLE($B$150,$B$4,$B153,$B$5,E$150)</f>
        <v>61217895.890411</v>
      </c>
      <c r="F153" s="11" t="n">
        <f aca="true">TABLE($B$150,$B$4,$B153,$B$5,F$150)</f>
        <v>61217895.890411</v>
      </c>
      <c r="G153" s="11" t="n">
        <f aca="true">TABLE($B$150,$B$4,$B153,$B$5,G$150)</f>
        <v>61217895.890411</v>
      </c>
      <c r="H153" s="11" t="n">
        <f aca="true">TABLE($B$150,$B$4,$B153,$B$5,H$150)</f>
        <v>61217895.890411</v>
      </c>
      <c r="I153" s="11" t="n">
        <f aca="true">TABLE($B$150,$B$4,$B153,$B$5,I$150)</f>
        <v>61217895.890411</v>
      </c>
      <c r="J153" s="11" t="n">
        <f aca="true">TABLE($B$150,$B$4,$B153,$B$5,J$150)</f>
        <v>61217895.890411</v>
      </c>
      <c r="K153" s="11" t="n">
        <f aca="true">TABLE($B$150,$B$4,$B153,$B$5,K$150)</f>
        <v>61217895.890411</v>
      </c>
      <c r="L153" s="11" t="n">
        <f aca="true">TABLE($B$150,$B$4,$B153,$B$5,L$150)</f>
        <v>61217895.890411</v>
      </c>
    </row>
    <row r="154" customFormat="false" ht="12.75" hidden="false" customHeight="false" outlineLevel="0" collapsed="false">
      <c r="B154" s="88" t="n">
        <f aca="false">+B153+0.5</f>
        <v>5.5</v>
      </c>
      <c r="C154" s="11" t="n">
        <f aca="true">TABLE($B$150,$B$4,$B154,$B$5,C$150)</f>
        <v>61217895.890411</v>
      </c>
      <c r="D154" s="11" t="n">
        <f aca="true">TABLE($B$150,$B$4,$B154,$B$5,D$150)</f>
        <v>61217895.890411</v>
      </c>
      <c r="E154" s="11" t="n">
        <f aca="true">TABLE($B$150,$B$4,$B154,$B$5,E$150)</f>
        <v>61217895.890411</v>
      </c>
      <c r="F154" s="11" t="n">
        <f aca="true">TABLE($B$150,$B$4,$B154,$B$5,F$150)</f>
        <v>61217895.890411</v>
      </c>
      <c r="G154" s="11" t="n">
        <f aca="true">TABLE($B$150,$B$4,$B154,$B$5,G$150)</f>
        <v>61217895.890411</v>
      </c>
      <c r="H154" s="11" t="n">
        <f aca="true">TABLE($B$150,$B$4,$B154,$B$5,H$150)</f>
        <v>61217895.890411</v>
      </c>
      <c r="I154" s="11" t="n">
        <f aca="true">TABLE($B$150,$B$4,$B154,$B$5,I$150)</f>
        <v>61217895.890411</v>
      </c>
      <c r="J154" s="11" t="n">
        <f aca="true">TABLE($B$150,$B$4,$B154,$B$5,J$150)</f>
        <v>61217895.890411</v>
      </c>
      <c r="K154" s="11" t="n">
        <f aca="true">TABLE($B$150,$B$4,$B154,$B$5,K$150)</f>
        <v>61217895.890411</v>
      </c>
      <c r="L154" s="11" t="n">
        <f aca="true">TABLE($B$150,$B$4,$B154,$B$5,L$150)</f>
        <v>61217895.890411</v>
      </c>
    </row>
    <row r="155" customFormat="false" ht="12.75" hidden="false" customHeight="false" outlineLevel="0" collapsed="false">
      <c r="B155" s="88" t="n">
        <f aca="false">+B154+0.5</f>
        <v>6</v>
      </c>
      <c r="C155" s="11" t="n">
        <f aca="true">TABLE($B$150,$B$4,$B155,$B$5,C$150)</f>
        <v>61217895.890411</v>
      </c>
      <c r="D155" s="11" t="n">
        <f aca="true">TABLE($B$150,$B$4,$B155,$B$5,D$150)</f>
        <v>61217895.890411</v>
      </c>
      <c r="E155" s="11" t="n">
        <f aca="true">TABLE($B$150,$B$4,$B155,$B$5,E$150)</f>
        <v>61217895.890411</v>
      </c>
      <c r="F155" s="11" t="n">
        <f aca="true">TABLE($B$150,$B$4,$B155,$B$5,F$150)</f>
        <v>61217895.890411</v>
      </c>
      <c r="G155" s="11" t="n">
        <f aca="true">TABLE($B$150,$B$4,$B155,$B$5,G$150)</f>
        <v>61217895.890411</v>
      </c>
      <c r="H155" s="11" t="n">
        <f aca="true">TABLE($B$150,$B$4,$B155,$B$5,H$150)</f>
        <v>61217895.890411</v>
      </c>
      <c r="I155" s="11" t="n">
        <f aca="true">TABLE($B$150,$B$4,$B155,$B$5,I$150)</f>
        <v>61217895.890411</v>
      </c>
      <c r="J155" s="11" t="n">
        <f aca="true">TABLE($B$150,$B$4,$B155,$B$5,J$150)</f>
        <v>61217895.890411</v>
      </c>
      <c r="K155" s="11" t="n">
        <f aca="true">TABLE($B$150,$B$4,$B155,$B$5,K$150)</f>
        <v>61217895.890411</v>
      </c>
      <c r="L155" s="11" t="n">
        <f aca="true">TABLE($B$150,$B$4,$B155,$B$5,L$150)</f>
        <v>61217895.890411</v>
      </c>
    </row>
    <row r="156" customFormat="false" ht="12.75" hidden="false" customHeight="false" outlineLevel="0" collapsed="false">
      <c r="B156" s="88" t="n">
        <f aca="false">+B155+0.5</f>
        <v>6.5</v>
      </c>
      <c r="C156" s="11" t="n">
        <f aca="true">TABLE($B$150,$B$4,$B156,$B$5,C$150)</f>
        <v>61217895.890411</v>
      </c>
      <c r="D156" s="11" t="n">
        <f aca="true">TABLE($B$150,$B$4,$B156,$B$5,D$150)</f>
        <v>61217895.890411</v>
      </c>
      <c r="E156" s="11" t="n">
        <f aca="true">TABLE($B$150,$B$4,$B156,$B$5,E$150)</f>
        <v>61217895.890411</v>
      </c>
      <c r="F156" s="11" t="n">
        <f aca="true">TABLE($B$150,$B$4,$B156,$B$5,F$150)</f>
        <v>61217895.890411</v>
      </c>
      <c r="G156" s="11" t="n">
        <f aca="true">TABLE($B$150,$B$4,$B156,$B$5,G$150)</f>
        <v>61217895.890411</v>
      </c>
      <c r="H156" s="11" t="n">
        <f aca="true">TABLE($B$150,$B$4,$B156,$B$5,H$150)</f>
        <v>61217895.890411</v>
      </c>
      <c r="I156" s="11" t="n">
        <f aca="true">TABLE($B$150,$B$4,$B156,$B$5,I$150)</f>
        <v>61217895.890411</v>
      </c>
      <c r="J156" s="11" t="n">
        <f aca="true">TABLE($B$150,$B$4,$B156,$B$5,J$150)</f>
        <v>61217895.890411</v>
      </c>
      <c r="K156" s="11" t="n">
        <f aca="true">TABLE($B$150,$B$4,$B156,$B$5,K$150)</f>
        <v>61217895.890411</v>
      </c>
      <c r="L156" s="11" t="n">
        <f aca="true">TABLE($B$150,$B$4,$B156,$B$5,L$150)</f>
        <v>61217895.890411</v>
      </c>
    </row>
    <row r="157" customFormat="false" ht="12.75" hidden="false" customHeight="false" outlineLevel="0" collapsed="false">
      <c r="B157" s="88" t="n">
        <f aca="false">+B156+0.5</f>
        <v>7</v>
      </c>
      <c r="C157" s="11" t="n">
        <f aca="true">TABLE($B$150,$B$4,$B157,$B$5,C$150)</f>
        <v>61217895.890411</v>
      </c>
      <c r="D157" s="11" t="n">
        <f aca="true">TABLE($B$150,$B$4,$B157,$B$5,D$150)</f>
        <v>61217895.890411</v>
      </c>
      <c r="E157" s="11" t="n">
        <f aca="true">TABLE($B$150,$B$4,$B157,$B$5,E$150)</f>
        <v>61217895.890411</v>
      </c>
      <c r="F157" s="11" t="n">
        <f aca="true">TABLE($B$150,$B$4,$B157,$B$5,F$150)</f>
        <v>61217895.890411</v>
      </c>
      <c r="G157" s="11" t="n">
        <f aca="true">TABLE($B$150,$B$4,$B157,$B$5,G$150)</f>
        <v>61217895.890411</v>
      </c>
      <c r="H157" s="11" t="n">
        <f aca="true">TABLE($B$150,$B$4,$B157,$B$5,H$150)</f>
        <v>61217895.890411</v>
      </c>
      <c r="I157" s="11" t="n">
        <f aca="true">TABLE($B$150,$B$4,$B157,$B$5,I$150)</f>
        <v>61217895.890411</v>
      </c>
      <c r="J157" s="11" t="n">
        <f aca="true">TABLE($B$150,$B$4,$B157,$B$5,J$150)</f>
        <v>61217895.890411</v>
      </c>
      <c r="K157" s="11" t="n">
        <f aca="true">TABLE($B$150,$B$4,$B157,$B$5,K$150)</f>
        <v>61217895.890411</v>
      </c>
      <c r="L157" s="11" t="n">
        <f aca="true">TABLE($B$150,$B$4,$B157,$B$5,L$150)</f>
        <v>61217895.890411</v>
      </c>
    </row>
    <row r="158" customFormat="false" ht="12.75" hidden="false" customHeight="false" outlineLevel="0" collapsed="false">
      <c r="B158" s="88" t="n">
        <f aca="false">+B157+0.5</f>
        <v>7.5</v>
      </c>
      <c r="C158" s="11" t="n">
        <f aca="true">TABLE($B$150,$B$4,$B158,$B$5,C$150)</f>
        <v>61217895.890411</v>
      </c>
      <c r="D158" s="11" t="n">
        <f aca="true">TABLE($B$150,$B$4,$B158,$B$5,D$150)</f>
        <v>61217895.890411</v>
      </c>
      <c r="E158" s="11" t="n">
        <f aca="true">TABLE($B$150,$B$4,$B158,$B$5,E$150)</f>
        <v>61217895.890411</v>
      </c>
      <c r="F158" s="11" t="n">
        <f aca="true">TABLE($B$150,$B$4,$B158,$B$5,F$150)</f>
        <v>61217895.890411</v>
      </c>
      <c r="G158" s="11" t="n">
        <f aca="true">TABLE($B$150,$B$4,$B158,$B$5,G$150)</f>
        <v>61217895.890411</v>
      </c>
      <c r="H158" s="11" t="n">
        <f aca="true">TABLE($B$150,$B$4,$B158,$B$5,H$150)</f>
        <v>61217895.890411</v>
      </c>
      <c r="I158" s="11" t="n">
        <f aca="true">TABLE($B$150,$B$4,$B158,$B$5,I$150)</f>
        <v>61217895.890411</v>
      </c>
      <c r="J158" s="11" t="n">
        <f aca="true">TABLE($B$150,$B$4,$B158,$B$5,J$150)</f>
        <v>61217895.890411</v>
      </c>
      <c r="K158" s="11" t="n">
        <f aca="true">TABLE($B$150,$B$4,$B158,$B$5,K$150)</f>
        <v>61217895.890411</v>
      </c>
      <c r="L158" s="11" t="n">
        <f aca="true">TABLE($B$150,$B$4,$B158,$B$5,L$150)</f>
        <v>61217895.890411</v>
      </c>
    </row>
    <row r="159" customFormat="false" ht="12.75" hidden="false" customHeight="false" outlineLevel="0" collapsed="false">
      <c r="B159" s="88" t="n">
        <f aca="false">+B158+0.5</f>
        <v>8</v>
      </c>
      <c r="C159" s="11" t="n">
        <f aca="true">TABLE($B$150,$B$4,$B159,$B$5,C$150)</f>
        <v>61217895.890411</v>
      </c>
      <c r="D159" s="11" t="n">
        <f aca="true">TABLE($B$150,$B$4,$B159,$B$5,D$150)</f>
        <v>61217895.890411</v>
      </c>
      <c r="E159" s="11" t="n">
        <f aca="true">TABLE($B$150,$B$4,$B159,$B$5,E$150)</f>
        <v>61217895.890411</v>
      </c>
      <c r="F159" s="11" t="n">
        <f aca="true">TABLE($B$150,$B$4,$B159,$B$5,F$150)</f>
        <v>61217895.890411</v>
      </c>
      <c r="G159" s="11" t="n">
        <f aca="true">TABLE($B$150,$B$4,$B159,$B$5,G$150)</f>
        <v>61217895.890411</v>
      </c>
      <c r="H159" s="11" t="n">
        <f aca="true">TABLE($B$150,$B$4,$B159,$B$5,H$150)</f>
        <v>61217895.890411</v>
      </c>
      <c r="I159" s="11" t="n">
        <f aca="true">TABLE($B$150,$B$4,$B159,$B$5,I$150)</f>
        <v>61217895.890411</v>
      </c>
      <c r="J159" s="11" t="n">
        <f aca="true">TABLE($B$150,$B$4,$B159,$B$5,J$150)</f>
        <v>61217895.890411</v>
      </c>
      <c r="K159" s="11" t="n">
        <f aca="true">TABLE($B$150,$B$4,$B159,$B$5,K$150)</f>
        <v>61217895.890411</v>
      </c>
      <c r="L159" s="11" t="n">
        <f aca="true">TABLE($B$150,$B$4,$B159,$B$5,L$150)</f>
        <v>61217895.890411</v>
      </c>
    </row>
    <row r="160" customFormat="false" ht="12.75" hidden="false" customHeight="false" outlineLevel="0" collapsed="false">
      <c r="B160" s="88" t="n">
        <f aca="false">+B159+0.5</f>
        <v>8.5</v>
      </c>
      <c r="C160" s="11" t="n">
        <f aca="true">TABLE($B$150,$B$4,$B160,$B$5,C$150)</f>
        <v>61217895.890411</v>
      </c>
      <c r="D160" s="11" t="n">
        <f aca="true">TABLE($B$150,$B$4,$B160,$B$5,D$150)</f>
        <v>61217895.890411</v>
      </c>
      <c r="E160" s="11" t="n">
        <f aca="true">TABLE($B$150,$B$4,$B160,$B$5,E$150)</f>
        <v>61217895.890411</v>
      </c>
      <c r="F160" s="11" t="n">
        <f aca="true">TABLE($B$150,$B$4,$B160,$B$5,F$150)</f>
        <v>61217895.890411</v>
      </c>
      <c r="G160" s="11" t="n">
        <f aca="true">TABLE($B$150,$B$4,$B160,$B$5,G$150)</f>
        <v>61217895.890411</v>
      </c>
      <c r="H160" s="11" t="n">
        <f aca="true">TABLE($B$150,$B$4,$B160,$B$5,H$150)</f>
        <v>61217895.890411</v>
      </c>
      <c r="I160" s="11" t="n">
        <f aca="true">TABLE($B$150,$B$4,$B160,$B$5,I$150)</f>
        <v>61217895.890411</v>
      </c>
      <c r="J160" s="11" t="n">
        <f aca="true">TABLE($B$150,$B$4,$B160,$B$5,J$150)</f>
        <v>61217895.890411</v>
      </c>
      <c r="K160" s="11" t="n">
        <f aca="true">TABLE($B$150,$B$4,$B160,$B$5,K$150)</f>
        <v>61217895.890411</v>
      </c>
      <c r="L160" s="11" t="n">
        <f aca="true">TABLE($B$150,$B$4,$B160,$B$5,L$150)</f>
        <v>61217895.890411</v>
      </c>
    </row>
    <row r="161" customFormat="false" ht="12.75" hidden="false" customHeight="false" outlineLevel="0" collapsed="false">
      <c r="B161" s="88" t="n">
        <f aca="false">+B160+0.5</f>
        <v>9</v>
      </c>
      <c r="C161" s="11" t="n">
        <f aca="true">TABLE($B$150,$B$4,$B161,$B$5,C$150)</f>
        <v>61217895.890411</v>
      </c>
      <c r="D161" s="11" t="n">
        <f aca="true">TABLE($B$150,$B$4,$B161,$B$5,D$150)</f>
        <v>61217895.890411</v>
      </c>
      <c r="E161" s="11" t="n">
        <f aca="true">TABLE($B$150,$B$4,$B161,$B$5,E$150)</f>
        <v>61217895.890411</v>
      </c>
      <c r="F161" s="11" t="n">
        <f aca="true">TABLE($B$150,$B$4,$B161,$B$5,F$150)</f>
        <v>61217895.890411</v>
      </c>
      <c r="G161" s="11" t="n">
        <f aca="true">TABLE($B$150,$B$4,$B161,$B$5,G$150)</f>
        <v>61217895.890411</v>
      </c>
      <c r="H161" s="11" t="n">
        <f aca="true">TABLE($B$150,$B$4,$B161,$B$5,H$150)</f>
        <v>61217895.890411</v>
      </c>
      <c r="I161" s="11" t="n">
        <f aca="true">TABLE($B$150,$B$4,$B161,$B$5,I$150)</f>
        <v>61217895.890411</v>
      </c>
      <c r="J161" s="11" t="n">
        <f aca="true">TABLE($B$150,$B$4,$B161,$B$5,J$150)</f>
        <v>61217895.890411</v>
      </c>
      <c r="K161" s="11" t="n">
        <f aca="true">TABLE($B$150,$B$4,$B161,$B$5,K$150)</f>
        <v>61217895.890411</v>
      </c>
      <c r="L161" s="11" t="n">
        <f aca="true">TABLE($B$150,$B$4,$B161,$B$5,L$150)</f>
        <v>61217895.890411</v>
      </c>
    </row>
    <row r="163" customFormat="false" ht="12.75" hidden="false" customHeight="false" outlineLevel="0" collapsed="false">
      <c r="B163" s="81" t="n">
        <f aca="false">+$B$8</f>
        <v>61217895.890411</v>
      </c>
      <c r="C163" s="92" t="n">
        <f aca="false">+L150+1</f>
        <v>140</v>
      </c>
      <c r="D163" s="38" t="n">
        <f aca="false">+C163+1</f>
        <v>141</v>
      </c>
      <c r="E163" s="38" t="n">
        <f aca="false">+D163+1</f>
        <v>142</v>
      </c>
      <c r="F163" s="38" t="n">
        <f aca="false">+E163+1</f>
        <v>143</v>
      </c>
      <c r="G163" s="38" t="n">
        <f aca="false">+F163+1</f>
        <v>144</v>
      </c>
      <c r="H163" s="38" t="n">
        <f aca="false">+G163+1</f>
        <v>145</v>
      </c>
      <c r="I163" s="38" t="n">
        <f aca="false">+H163+1</f>
        <v>146</v>
      </c>
      <c r="J163" s="38" t="n">
        <f aca="false">+I163+1</f>
        <v>147</v>
      </c>
      <c r="K163" s="38" t="n">
        <f aca="false">+J163+1</f>
        <v>148</v>
      </c>
      <c r="L163" s="38" t="n">
        <f aca="false">+K163+1</f>
        <v>149</v>
      </c>
    </row>
    <row r="164" customFormat="false" ht="12.75" hidden="false" customHeight="false" outlineLevel="0" collapsed="false">
      <c r="B164" s="93" t="n">
        <f aca="false">+B151</f>
        <v>4</v>
      </c>
      <c r="C164" s="11" t="n">
        <f aca="true">TABLE($B$163,$B$4,$B164,$B$5,C$163)</f>
        <v>61217895.890411</v>
      </c>
      <c r="D164" s="11" t="n">
        <f aca="true">TABLE($B$163,$B$4,$B164,$B$5,D$163)</f>
        <v>61217895.890411</v>
      </c>
      <c r="E164" s="11" t="n">
        <f aca="true">TABLE($B$163,$B$4,$B164,$B$5,E$163)</f>
        <v>61217895.890411</v>
      </c>
      <c r="F164" s="11" t="n">
        <f aca="true">TABLE($B$163,$B$4,$B164,$B$5,F$163)</f>
        <v>61217895.890411</v>
      </c>
      <c r="G164" s="11" t="n">
        <f aca="true">TABLE($B$163,$B$4,$B164,$B$5,G$163)</f>
        <v>61217895.890411</v>
      </c>
      <c r="H164" s="11" t="n">
        <f aca="true">TABLE($B$163,$B$4,$B164,$B$5,H$163)</f>
        <v>61217895.890411</v>
      </c>
      <c r="I164" s="11" t="n">
        <f aca="true">TABLE($B$163,$B$4,$B164,$B$5,I$163)</f>
        <v>61217895.890411</v>
      </c>
      <c r="J164" s="11" t="n">
        <f aca="true">TABLE($B$163,$B$4,$B164,$B$5,J$163)</f>
        <v>61217895.890411</v>
      </c>
      <c r="K164" s="11" t="n">
        <f aca="true">TABLE($B$163,$B$4,$B164,$B$5,K$163)</f>
        <v>61217895.890411</v>
      </c>
      <c r="L164" s="11" t="n">
        <f aca="true">TABLE($B$163,$B$4,$B164,$B$5,L$163)</f>
        <v>62711721.770411</v>
      </c>
    </row>
    <row r="165" customFormat="false" ht="12.75" hidden="false" customHeight="false" outlineLevel="0" collapsed="false">
      <c r="B165" s="88" t="n">
        <f aca="false">+B164+0.5</f>
        <v>4.5</v>
      </c>
      <c r="C165" s="11" t="n">
        <f aca="true">TABLE($B$163,$B$4,$B165,$B$5,C$163)</f>
        <v>61217895.890411</v>
      </c>
      <c r="D165" s="11" t="n">
        <f aca="true">TABLE($B$163,$B$4,$B165,$B$5,D$163)</f>
        <v>61217895.890411</v>
      </c>
      <c r="E165" s="11" t="n">
        <f aca="true">TABLE($B$163,$B$4,$B165,$B$5,E$163)</f>
        <v>61217895.890411</v>
      </c>
      <c r="F165" s="11" t="n">
        <f aca="true">TABLE($B$163,$B$4,$B165,$B$5,F$163)</f>
        <v>61217895.890411</v>
      </c>
      <c r="G165" s="11" t="n">
        <f aca="true">TABLE($B$163,$B$4,$B165,$B$5,G$163)</f>
        <v>61217895.890411</v>
      </c>
      <c r="H165" s="11" t="n">
        <f aca="true">TABLE($B$163,$B$4,$B165,$B$5,H$163)</f>
        <v>61217895.890411</v>
      </c>
      <c r="I165" s="11" t="n">
        <f aca="true">TABLE($B$163,$B$4,$B165,$B$5,I$163)</f>
        <v>61217895.890411</v>
      </c>
      <c r="J165" s="11" t="n">
        <f aca="true">TABLE($B$163,$B$4,$B165,$B$5,J$163)</f>
        <v>61217895.890411</v>
      </c>
      <c r="K165" s="11" t="n">
        <f aca="true">TABLE($B$163,$B$4,$B165,$B$5,K$163)</f>
        <v>61217895.890411</v>
      </c>
      <c r="L165" s="11" t="n">
        <f aca="true">TABLE($B$163,$B$4,$B165,$B$5,L$163)</f>
        <v>62711721.770411</v>
      </c>
    </row>
    <row r="166" customFormat="false" ht="12.75" hidden="false" customHeight="false" outlineLevel="0" collapsed="false">
      <c r="B166" s="88" t="n">
        <f aca="false">+B165+0.5</f>
        <v>5</v>
      </c>
      <c r="C166" s="11" t="n">
        <f aca="true">TABLE($B$163,$B$4,$B166,$B$5,C$163)</f>
        <v>61217895.890411</v>
      </c>
      <c r="D166" s="11" t="n">
        <f aca="true">TABLE($B$163,$B$4,$B166,$B$5,D$163)</f>
        <v>61217895.890411</v>
      </c>
      <c r="E166" s="11" t="n">
        <f aca="true">TABLE($B$163,$B$4,$B166,$B$5,E$163)</f>
        <v>61217895.890411</v>
      </c>
      <c r="F166" s="11" t="n">
        <f aca="true">TABLE($B$163,$B$4,$B166,$B$5,F$163)</f>
        <v>61217895.890411</v>
      </c>
      <c r="G166" s="11" t="n">
        <f aca="true">TABLE($B$163,$B$4,$B166,$B$5,G$163)</f>
        <v>61217895.890411</v>
      </c>
      <c r="H166" s="11" t="n">
        <f aca="true">TABLE($B$163,$B$4,$B166,$B$5,H$163)</f>
        <v>61217895.890411</v>
      </c>
      <c r="I166" s="11" t="n">
        <f aca="true">TABLE($B$163,$B$4,$B166,$B$5,I$163)</f>
        <v>61217895.890411</v>
      </c>
      <c r="J166" s="11" t="n">
        <f aca="true">TABLE($B$163,$B$4,$B166,$B$5,J$163)</f>
        <v>61217895.890411</v>
      </c>
      <c r="K166" s="11" t="n">
        <f aca="true">TABLE($B$163,$B$4,$B166,$B$5,K$163)</f>
        <v>61217895.890411</v>
      </c>
      <c r="L166" s="11" t="n">
        <f aca="true">TABLE($B$163,$B$4,$B166,$B$5,L$163)</f>
        <v>62711721.770411</v>
      </c>
    </row>
    <row r="167" customFormat="false" ht="12.75" hidden="false" customHeight="false" outlineLevel="0" collapsed="false">
      <c r="B167" s="88" t="n">
        <f aca="false">+B166+0.5</f>
        <v>5.5</v>
      </c>
      <c r="C167" s="11" t="n">
        <f aca="true">TABLE($B$163,$B$4,$B167,$B$5,C$163)</f>
        <v>61217895.890411</v>
      </c>
      <c r="D167" s="11" t="n">
        <f aca="true">TABLE($B$163,$B$4,$B167,$B$5,D$163)</f>
        <v>61217895.890411</v>
      </c>
      <c r="E167" s="11" t="n">
        <f aca="true">TABLE($B$163,$B$4,$B167,$B$5,E$163)</f>
        <v>61217895.890411</v>
      </c>
      <c r="F167" s="11" t="n">
        <f aca="true">TABLE($B$163,$B$4,$B167,$B$5,F$163)</f>
        <v>61217895.890411</v>
      </c>
      <c r="G167" s="11" t="n">
        <f aca="true">TABLE($B$163,$B$4,$B167,$B$5,G$163)</f>
        <v>61217895.890411</v>
      </c>
      <c r="H167" s="11" t="n">
        <f aca="true">TABLE($B$163,$B$4,$B167,$B$5,H$163)</f>
        <v>61217895.890411</v>
      </c>
      <c r="I167" s="11" t="n">
        <f aca="true">TABLE($B$163,$B$4,$B167,$B$5,I$163)</f>
        <v>61217895.890411</v>
      </c>
      <c r="J167" s="11" t="n">
        <f aca="true">TABLE($B$163,$B$4,$B167,$B$5,J$163)</f>
        <v>61217895.890411</v>
      </c>
      <c r="K167" s="11" t="n">
        <f aca="true">TABLE($B$163,$B$4,$B167,$B$5,K$163)</f>
        <v>61217895.890411</v>
      </c>
      <c r="L167" s="11" t="n">
        <f aca="true">TABLE($B$163,$B$4,$B167,$B$5,L$163)</f>
        <v>62711721.770411</v>
      </c>
    </row>
    <row r="168" customFormat="false" ht="12.75" hidden="false" customHeight="false" outlineLevel="0" collapsed="false">
      <c r="B168" s="88" t="n">
        <f aca="false">+B167+0.5</f>
        <v>6</v>
      </c>
      <c r="C168" s="11" t="n">
        <f aca="true">TABLE($B$163,$B$4,$B168,$B$5,C$163)</f>
        <v>61217895.890411</v>
      </c>
      <c r="D168" s="11" t="n">
        <f aca="true">TABLE($B$163,$B$4,$B168,$B$5,D$163)</f>
        <v>61217895.890411</v>
      </c>
      <c r="E168" s="11" t="n">
        <f aca="true">TABLE($B$163,$B$4,$B168,$B$5,E$163)</f>
        <v>61217895.890411</v>
      </c>
      <c r="F168" s="11" t="n">
        <f aca="true">TABLE($B$163,$B$4,$B168,$B$5,F$163)</f>
        <v>61217895.890411</v>
      </c>
      <c r="G168" s="11" t="n">
        <f aca="true">TABLE($B$163,$B$4,$B168,$B$5,G$163)</f>
        <v>61217895.890411</v>
      </c>
      <c r="H168" s="11" t="n">
        <f aca="true">TABLE($B$163,$B$4,$B168,$B$5,H$163)</f>
        <v>61217895.890411</v>
      </c>
      <c r="I168" s="11" t="n">
        <f aca="true">TABLE($B$163,$B$4,$B168,$B$5,I$163)</f>
        <v>61217895.890411</v>
      </c>
      <c r="J168" s="11" t="n">
        <f aca="true">TABLE($B$163,$B$4,$B168,$B$5,J$163)</f>
        <v>61217895.890411</v>
      </c>
      <c r="K168" s="11" t="n">
        <f aca="true">TABLE($B$163,$B$4,$B168,$B$5,K$163)</f>
        <v>61217895.890411</v>
      </c>
      <c r="L168" s="11" t="n">
        <f aca="true">TABLE($B$163,$B$4,$B168,$B$5,L$163)</f>
        <v>62711721.770411</v>
      </c>
    </row>
    <row r="169" customFormat="false" ht="12.75" hidden="false" customHeight="false" outlineLevel="0" collapsed="false">
      <c r="B169" s="88" t="n">
        <f aca="false">+B168+0.5</f>
        <v>6.5</v>
      </c>
      <c r="C169" s="11" t="n">
        <f aca="true">TABLE($B$163,$B$4,$B169,$B$5,C$163)</f>
        <v>61217895.890411</v>
      </c>
      <c r="D169" s="11" t="n">
        <f aca="true">TABLE($B$163,$B$4,$B169,$B$5,D$163)</f>
        <v>61217895.890411</v>
      </c>
      <c r="E169" s="11" t="n">
        <f aca="true">TABLE($B$163,$B$4,$B169,$B$5,E$163)</f>
        <v>61217895.890411</v>
      </c>
      <c r="F169" s="11" t="n">
        <f aca="true">TABLE($B$163,$B$4,$B169,$B$5,F$163)</f>
        <v>61217895.890411</v>
      </c>
      <c r="G169" s="11" t="n">
        <f aca="true">TABLE($B$163,$B$4,$B169,$B$5,G$163)</f>
        <v>61217895.890411</v>
      </c>
      <c r="H169" s="11" t="n">
        <f aca="true">TABLE($B$163,$B$4,$B169,$B$5,H$163)</f>
        <v>61217895.890411</v>
      </c>
      <c r="I169" s="11" t="n">
        <f aca="true">TABLE($B$163,$B$4,$B169,$B$5,I$163)</f>
        <v>61217895.890411</v>
      </c>
      <c r="J169" s="11" t="n">
        <f aca="true">TABLE($B$163,$B$4,$B169,$B$5,J$163)</f>
        <v>61217895.890411</v>
      </c>
      <c r="K169" s="11" t="n">
        <f aca="true">TABLE($B$163,$B$4,$B169,$B$5,K$163)</f>
        <v>61217895.890411</v>
      </c>
      <c r="L169" s="11" t="n">
        <f aca="true">TABLE($B$163,$B$4,$B169,$B$5,L$163)</f>
        <v>62711721.770411</v>
      </c>
    </row>
    <row r="170" customFormat="false" ht="12.75" hidden="false" customHeight="false" outlineLevel="0" collapsed="false">
      <c r="B170" s="88" t="n">
        <f aca="false">+B169+0.5</f>
        <v>7</v>
      </c>
      <c r="C170" s="11" t="n">
        <f aca="true">TABLE($B$163,$B$4,$B170,$B$5,C$163)</f>
        <v>61217895.890411</v>
      </c>
      <c r="D170" s="11" t="n">
        <f aca="true">TABLE($B$163,$B$4,$B170,$B$5,D$163)</f>
        <v>61217895.890411</v>
      </c>
      <c r="E170" s="11" t="n">
        <f aca="true">TABLE($B$163,$B$4,$B170,$B$5,E$163)</f>
        <v>61217895.890411</v>
      </c>
      <c r="F170" s="11" t="n">
        <f aca="true">TABLE($B$163,$B$4,$B170,$B$5,F$163)</f>
        <v>61217895.890411</v>
      </c>
      <c r="G170" s="11" t="n">
        <f aca="true">TABLE($B$163,$B$4,$B170,$B$5,G$163)</f>
        <v>61217895.890411</v>
      </c>
      <c r="H170" s="11" t="n">
        <f aca="true">TABLE($B$163,$B$4,$B170,$B$5,H$163)</f>
        <v>61217895.890411</v>
      </c>
      <c r="I170" s="11" t="n">
        <f aca="true">TABLE($B$163,$B$4,$B170,$B$5,I$163)</f>
        <v>61217895.890411</v>
      </c>
      <c r="J170" s="11" t="n">
        <f aca="true">TABLE($B$163,$B$4,$B170,$B$5,J$163)</f>
        <v>61217895.890411</v>
      </c>
      <c r="K170" s="11" t="n">
        <f aca="true">TABLE($B$163,$B$4,$B170,$B$5,K$163)</f>
        <v>61217895.890411</v>
      </c>
      <c r="L170" s="11" t="n">
        <f aca="true">TABLE($B$163,$B$4,$B170,$B$5,L$163)</f>
        <v>62711721.770411</v>
      </c>
    </row>
    <row r="171" customFormat="false" ht="12.75" hidden="false" customHeight="false" outlineLevel="0" collapsed="false">
      <c r="B171" s="88" t="n">
        <f aca="false">+B170+0.5</f>
        <v>7.5</v>
      </c>
      <c r="C171" s="11" t="n">
        <f aca="true">TABLE($B$163,$B$4,$B171,$B$5,C$163)</f>
        <v>61217895.890411</v>
      </c>
      <c r="D171" s="11" t="n">
        <f aca="true">TABLE($B$163,$B$4,$B171,$B$5,D$163)</f>
        <v>61217895.890411</v>
      </c>
      <c r="E171" s="11" t="n">
        <f aca="true">TABLE($B$163,$B$4,$B171,$B$5,E$163)</f>
        <v>61217895.890411</v>
      </c>
      <c r="F171" s="11" t="n">
        <f aca="true">TABLE($B$163,$B$4,$B171,$B$5,F$163)</f>
        <v>61217895.890411</v>
      </c>
      <c r="G171" s="11" t="n">
        <f aca="true">TABLE($B$163,$B$4,$B171,$B$5,G$163)</f>
        <v>61217895.890411</v>
      </c>
      <c r="H171" s="11" t="n">
        <f aca="true">TABLE($B$163,$B$4,$B171,$B$5,H$163)</f>
        <v>61217895.890411</v>
      </c>
      <c r="I171" s="11" t="n">
        <f aca="true">TABLE($B$163,$B$4,$B171,$B$5,I$163)</f>
        <v>61217895.890411</v>
      </c>
      <c r="J171" s="11" t="n">
        <f aca="true">TABLE($B$163,$B$4,$B171,$B$5,J$163)</f>
        <v>61217895.890411</v>
      </c>
      <c r="K171" s="11" t="n">
        <f aca="true">TABLE($B$163,$B$4,$B171,$B$5,K$163)</f>
        <v>61217895.890411</v>
      </c>
      <c r="L171" s="11" t="n">
        <f aca="true">TABLE($B$163,$B$4,$B171,$B$5,L$163)</f>
        <v>62711721.770411</v>
      </c>
    </row>
    <row r="172" customFormat="false" ht="12.75" hidden="false" customHeight="false" outlineLevel="0" collapsed="false">
      <c r="B172" s="88" t="n">
        <f aca="false">+B171+0.5</f>
        <v>8</v>
      </c>
      <c r="C172" s="11" t="n">
        <f aca="true">TABLE($B$163,$B$4,$B172,$B$5,C$163)</f>
        <v>61217895.890411</v>
      </c>
      <c r="D172" s="11" t="n">
        <f aca="true">TABLE($B$163,$B$4,$B172,$B$5,D$163)</f>
        <v>61217895.890411</v>
      </c>
      <c r="E172" s="11" t="n">
        <f aca="true">TABLE($B$163,$B$4,$B172,$B$5,E$163)</f>
        <v>61217895.890411</v>
      </c>
      <c r="F172" s="11" t="n">
        <f aca="true">TABLE($B$163,$B$4,$B172,$B$5,F$163)</f>
        <v>61217895.890411</v>
      </c>
      <c r="G172" s="11" t="n">
        <f aca="true">TABLE($B$163,$B$4,$B172,$B$5,G$163)</f>
        <v>61217895.890411</v>
      </c>
      <c r="H172" s="11" t="n">
        <f aca="true">TABLE($B$163,$B$4,$B172,$B$5,H$163)</f>
        <v>61217895.890411</v>
      </c>
      <c r="I172" s="11" t="n">
        <f aca="true">TABLE($B$163,$B$4,$B172,$B$5,I$163)</f>
        <v>61217895.890411</v>
      </c>
      <c r="J172" s="11" t="n">
        <f aca="true">TABLE($B$163,$B$4,$B172,$B$5,J$163)</f>
        <v>61217895.890411</v>
      </c>
      <c r="K172" s="11" t="n">
        <f aca="true">TABLE($B$163,$B$4,$B172,$B$5,K$163)</f>
        <v>61217895.890411</v>
      </c>
      <c r="L172" s="11" t="n">
        <f aca="true">TABLE($B$163,$B$4,$B172,$B$5,L$163)</f>
        <v>62711721.770411</v>
      </c>
    </row>
    <row r="173" customFormat="false" ht="12.75" hidden="false" customHeight="false" outlineLevel="0" collapsed="false">
      <c r="B173" s="88" t="n">
        <f aca="false">+B172+0.5</f>
        <v>8.5</v>
      </c>
      <c r="C173" s="11" t="n">
        <f aca="true">TABLE($B$163,$B$4,$B173,$B$5,C$163)</f>
        <v>61217895.890411</v>
      </c>
      <c r="D173" s="11" t="n">
        <f aca="true">TABLE($B$163,$B$4,$B173,$B$5,D$163)</f>
        <v>61217895.890411</v>
      </c>
      <c r="E173" s="11" t="n">
        <f aca="true">TABLE($B$163,$B$4,$B173,$B$5,E$163)</f>
        <v>61217895.890411</v>
      </c>
      <c r="F173" s="11" t="n">
        <f aca="true">TABLE($B$163,$B$4,$B173,$B$5,F$163)</f>
        <v>61217895.890411</v>
      </c>
      <c r="G173" s="11" t="n">
        <f aca="true">TABLE($B$163,$B$4,$B173,$B$5,G$163)</f>
        <v>61217895.890411</v>
      </c>
      <c r="H173" s="11" t="n">
        <f aca="true">TABLE($B$163,$B$4,$B173,$B$5,H$163)</f>
        <v>61217895.890411</v>
      </c>
      <c r="I173" s="11" t="n">
        <f aca="true">TABLE($B$163,$B$4,$B173,$B$5,I$163)</f>
        <v>61217895.890411</v>
      </c>
      <c r="J173" s="11" t="n">
        <f aca="true">TABLE($B$163,$B$4,$B173,$B$5,J$163)</f>
        <v>61217895.890411</v>
      </c>
      <c r="K173" s="11" t="n">
        <f aca="true">TABLE($B$163,$B$4,$B173,$B$5,K$163)</f>
        <v>61217895.890411</v>
      </c>
      <c r="L173" s="11" t="n">
        <f aca="true">TABLE($B$163,$B$4,$B173,$B$5,L$163)</f>
        <v>62711721.770411</v>
      </c>
    </row>
    <row r="174" customFormat="false" ht="12.75" hidden="false" customHeight="false" outlineLevel="0" collapsed="false">
      <c r="B174" s="88" t="n">
        <f aca="false">+B173+0.5</f>
        <v>9</v>
      </c>
      <c r="C174" s="11" t="n">
        <f aca="true">TABLE($B$163,$B$4,$B174,$B$5,C$163)</f>
        <v>61217895.890411</v>
      </c>
      <c r="D174" s="11" t="n">
        <f aca="true">TABLE($B$163,$B$4,$B174,$B$5,D$163)</f>
        <v>61217895.890411</v>
      </c>
      <c r="E174" s="11" t="n">
        <f aca="true">TABLE($B$163,$B$4,$B174,$B$5,E$163)</f>
        <v>61217895.890411</v>
      </c>
      <c r="F174" s="11" t="n">
        <f aca="true">TABLE($B$163,$B$4,$B174,$B$5,F$163)</f>
        <v>61217895.890411</v>
      </c>
      <c r="G174" s="11" t="n">
        <f aca="true">TABLE($B$163,$B$4,$B174,$B$5,G$163)</f>
        <v>61217895.890411</v>
      </c>
      <c r="H174" s="11" t="n">
        <f aca="true">TABLE($B$163,$B$4,$B174,$B$5,H$163)</f>
        <v>61217895.890411</v>
      </c>
      <c r="I174" s="11" t="n">
        <f aca="true">TABLE($B$163,$B$4,$B174,$B$5,I$163)</f>
        <v>61217895.890411</v>
      </c>
      <c r="J174" s="11" t="n">
        <f aca="true">TABLE($B$163,$B$4,$B174,$B$5,J$163)</f>
        <v>61217895.890411</v>
      </c>
      <c r="K174" s="11" t="n">
        <f aca="true">TABLE($B$163,$B$4,$B174,$B$5,K$163)</f>
        <v>61217895.890411</v>
      </c>
      <c r="L174" s="11" t="n">
        <f aca="true">TABLE($B$163,$B$4,$B174,$B$5,L$163)</f>
        <v>62711721.770411</v>
      </c>
    </row>
    <row r="176" customFormat="false" ht="12.75" hidden="false" customHeight="false" outlineLevel="0" collapsed="false">
      <c r="B176" s="2" t="s">
        <v>95</v>
      </c>
      <c r="C176" s="6" t="str">
        <f aca="false">+B1</f>
        <v>Final</v>
      </c>
      <c r="E176" s="6" t="s">
        <v>126</v>
      </c>
      <c r="F176" s="6" t="str">
        <f aca="false">+B1</f>
        <v>Final</v>
      </c>
    </row>
    <row r="177" customFormat="false" ht="12.75" hidden="false" customHeight="false" outlineLevel="0" collapsed="false">
      <c r="B177" s="64" t="n">
        <f aca="false">+B7</f>
        <v>-229969345.507467</v>
      </c>
      <c r="C177" s="96" t="n">
        <v>6</v>
      </c>
      <c r="E177" s="64" t="n">
        <f aca="false">+B8</f>
        <v>61217895.890411</v>
      </c>
      <c r="F177" s="96" t="n">
        <v>6</v>
      </c>
    </row>
    <row r="178" customFormat="false" ht="12.75" hidden="false" customHeight="false" outlineLevel="0" collapsed="false">
      <c r="B178" s="97" t="n">
        <v>1</v>
      </c>
      <c r="C178" s="11" t="n">
        <f aca="true">TABLE($B$177,$B$5,$B178,$B$4,C$177)</f>
        <v>-1565151072.06706</v>
      </c>
      <c r="E178" s="97" t="n">
        <v>1</v>
      </c>
      <c r="F178" s="11" t="n">
        <f aca="true">TABLE($E$177,$B$5,$E178,$B$4,F$177)</f>
        <v>0</v>
      </c>
    </row>
    <row r="179" customFormat="false" ht="12.75" hidden="false" customHeight="false" outlineLevel="0" collapsed="false">
      <c r="B179" s="97" t="n">
        <f aca="false">+B178+1</f>
        <v>2</v>
      </c>
      <c r="C179" s="11" t="n">
        <f aca="true">TABLE($B$177,$B$5,$B179,$B$4,C$177)</f>
        <v>-1531399307.06706</v>
      </c>
      <c r="E179" s="97" t="n">
        <f aca="false">+E178+1</f>
        <v>2</v>
      </c>
      <c r="F179" s="11" t="n">
        <f aca="true">TABLE($E$177,$B$5,$E179,$B$4,F$177)</f>
        <v>0</v>
      </c>
    </row>
    <row r="180" customFormat="false" ht="12.75" hidden="false" customHeight="false" outlineLevel="0" collapsed="false">
      <c r="B180" s="97" t="n">
        <f aca="false">+B179+1</f>
        <v>3</v>
      </c>
      <c r="C180" s="11" t="n">
        <f aca="true">TABLE($B$177,$B$5,$B180,$B$4,C$177)</f>
        <v>-1497647542.06706</v>
      </c>
      <c r="E180" s="97" t="n">
        <f aca="false">+E179+1</f>
        <v>3</v>
      </c>
      <c r="F180" s="11" t="n">
        <f aca="true">TABLE($E$177,$B$5,$E180,$B$4,F$177)</f>
        <v>0</v>
      </c>
    </row>
    <row r="181" customFormat="false" ht="12.75" hidden="false" customHeight="false" outlineLevel="0" collapsed="false">
      <c r="B181" s="97" t="n">
        <f aca="false">+B180+1</f>
        <v>4</v>
      </c>
      <c r="C181" s="11" t="n">
        <f aca="true">TABLE($B$177,$B$5,$B181,$B$4,C$177)</f>
        <v>-1463895777.06706</v>
      </c>
      <c r="E181" s="97" t="n">
        <f aca="false">+E180+1</f>
        <v>4</v>
      </c>
      <c r="F181" s="11" t="n">
        <f aca="true">TABLE($E$177,$B$5,$E181,$B$4,F$177)</f>
        <v>0</v>
      </c>
    </row>
    <row r="182" customFormat="false" ht="12.75" hidden="false" customHeight="false" outlineLevel="0" collapsed="false">
      <c r="B182" s="97" t="n">
        <f aca="false">+B181+1</f>
        <v>5</v>
      </c>
      <c r="C182" s="11" t="n">
        <f aca="true">TABLE($B$177,$B$5,$B182,$B$4,C$177)</f>
        <v>-1430144012.06706</v>
      </c>
      <c r="E182" s="97" t="n">
        <f aca="false">+E181+1</f>
        <v>5</v>
      </c>
      <c r="F182" s="11" t="n">
        <f aca="true">TABLE($E$177,$B$5,$E182,$B$4,F$177)</f>
        <v>0</v>
      </c>
    </row>
    <row r="183" customFormat="false" ht="12.75" hidden="false" customHeight="false" outlineLevel="0" collapsed="false">
      <c r="B183" s="97" t="n">
        <f aca="false">+B182+1</f>
        <v>6</v>
      </c>
      <c r="C183" s="11" t="n">
        <f aca="true">TABLE($B$177,$B$5,$B183,$B$4,C$177)</f>
        <v>-1396392247.06706</v>
      </c>
      <c r="E183" s="97" t="n">
        <f aca="false">+E182+1</f>
        <v>6</v>
      </c>
      <c r="F183" s="11" t="n">
        <f aca="true">TABLE($E$177,$B$5,$E183,$B$4,F$177)</f>
        <v>0</v>
      </c>
    </row>
    <row r="184" customFormat="false" ht="12.75" hidden="false" customHeight="false" outlineLevel="0" collapsed="false">
      <c r="B184" s="97" t="n">
        <f aca="false">+B183+1</f>
        <v>7</v>
      </c>
      <c r="C184" s="11" t="n">
        <f aca="true">TABLE($B$177,$B$5,$B184,$B$4,C$177)</f>
        <v>-1362640482.06706</v>
      </c>
      <c r="E184" s="97" t="n">
        <f aca="false">+E183+1</f>
        <v>7</v>
      </c>
      <c r="F184" s="11" t="n">
        <f aca="true">TABLE($E$177,$B$5,$E184,$B$4,F$177)</f>
        <v>0</v>
      </c>
    </row>
    <row r="185" customFormat="false" ht="12.75" hidden="false" customHeight="false" outlineLevel="0" collapsed="false">
      <c r="B185" s="97" t="n">
        <f aca="false">+B184+1</f>
        <v>8</v>
      </c>
      <c r="C185" s="11" t="n">
        <f aca="true">TABLE($B$177,$B$5,$B185,$B$4,C$177)</f>
        <v>-1328888717.06706</v>
      </c>
      <c r="E185" s="97" t="n">
        <f aca="false">+E184+1</f>
        <v>8</v>
      </c>
      <c r="F185" s="11" t="n">
        <f aca="true">TABLE($E$177,$B$5,$E185,$B$4,F$177)</f>
        <v>0</v>
      </c>
    </row>
    <row r="186" customFormat="false" ht="12.75" hidden="false" customHeight="false" outlineLevel="0" collapsed="false">
      <c r="B186" s="97" t="n">
        <f aca="false">+B185+1</f>
        <v>9</v>
      </c>
      <c r="C186" s="11" t="n">
        <f aca="true">TABLE($B$177,$B$5,$B186,$B$4,C$177)</f>
        <v>-1295136952.06706</v>
      </c>
      <c r="E186" s="97" t="n">
        <f aca="false">+E185+1</f>
        <v>9</v>
      </c>
      <c r="F186" s="11" t="n">
        <f aca="true">TABLE($E$177,$B$5,$E186,$B$4,F$177)</f>
        <v>0</v>
      </c>
    </row>
    <row r="187" customFormat="false" ht="12.75" hidden="false" customHeight="false" outlineLevel="0" collapsed="false">
      <c r="B187" s="97" t="n">
        <f aca="false">+B186+1</f>
        <v>10</v>
      </c>
      <c r="C187" s="11" t="n">
        <f aca="true">TABLE($B$177,$B$5,$B187,$B$4,C$177)</f>
        <v>-1261385187.06706</v>
      </c>
      <c r="E187" s="97" t="n">
        <f aca="false">+E186+1</f>
        <v>10</v>
      </c>
      <c r="F187" s="11" t="n">
        <f aca="true">TABLE($E$177,$B$5,$E187,$B$4,F$177)</f>
        <v>0</v>
      </c>
    </row>
    <row r="188" customFormat="false" ht="12.75" hidden="false" customHeight="false" outlineLevel="0" collapsed="false">
      <c r="B188" s="97" t="n">
        <f aca="false">+B187+1</f>
        <v>11</v>
      </c>
      <c r="C188" s="11" t="n">
        <f aca="true">TABLE($B$177,$B$5,$B188,$B$4,C$177)</f>
        <v>-1227633422.06706</v>
      </c>
      <c r="E188" s="97" t="n">
        <f aca="false">+E187+1</f>
        <v>11</v>
      </c>
      <c r="F188" s="11" t="n">
        <f aca="true">TABLE($E$177,$B$5,$E188,$B$4,F$177)</f>
        <v>0</v>
      </c>
    </row>
    <row r="189" customFormat="false" ht="12.75" hidden="false" customHeight="false" outlineLevel="0" collapsed="false">
      <c r="B189" s="97" t="n">
        <f aca="false">+B188+1</f>
        <v>12</v>
      </c>
      <c r="C189" s="11" t="n">
        <f aca="true">TABLE($B$177,$B$5,$B189,$B$4,C$177)</f>
        <v>-1193881657.06706</v>
      </c>
      <c r="E189" s="97" t="n">
        <f aca="false">+E188+1</f>
        <v>12</v>
      </c>
      <c r="F189" s="11" t="n">
        <f aca="true">TABLE($E$177,$B$5,$E189,$B$4,F$177)</f>
        <v>0</v>
      </c>
    </row>
    <row r="190" customFormat="false" ht="12.75" hidden="false" customHeight="false" outlineLevel="0" collapsed="false">
      <c r="B190" s="97" t="n">
        <f aca="false">+B189+1</f>
        <v>13</v>
      </c>
      <c r="C190" s="11" t="n">
        <f aca="true">TABLE($B$177,$B$5,$B190,$B$4,C$177)</f>
        <v>-1160129892.06706</v>
      </c>
      <c r="E190" s="97" t="n">
        <f aca="false">+E189+1</f>
        <v>13</v>
      </c>
      <c r="F190" s="11" t="n">
        <f aca="true">TABLE($E$177,$B$5,$E190,$B$4,F$177)</f>
        <v>0</v>
      </c>
    </row>
    <row r="191" customFormat="false" ht="12.75" hidden="false" customHeight="false" outlineLevel="0" collapsed="false">
      <c r="B191" s="97" t="n">
        <f aca="false">+B190+1</f>
        <v>14</v>
      </c>
      <c r="C191" s="11" t="n">
        <f aca="true">TABLE($B$177,$B$5,$B191,$B$4,C$177)</f>
        <v>-1126378127.06706</v>
      </c>
      <c r="E191" s="97" t="n">
        <f aca="false">+E190+1</f>
        <v>14</v>
      </c>
      <c r="F191" s="11" t="n">
        <f aca="true">TABLE($E$177,$B$5,$E191,$B$4,F$177)</f>
        <v>0</v>
      </c>
    </row>
    <row r="192" customFormat="false" ht="12.75" hidden="false" customHeight="false" outlineLevel="0" collapsed="false">
      <c r="B192" s="97" t="n">
        <f aca="false">+B191+1</f>
        <v>15</v>
      </c>
      <c r="C192" s="11" t="n">
        <f aca="true">TABLE($B$177,$B$5,$B192,$B$4,C$177)</f>
        <v>-1092626362.06706</v>
      </c>
      <c r="E192" s="97" t="n">
        <f aca="false">+E191+1</f>
        <v>15</v>
      </c>
      <c r="F192" s="11" t="n">
        <f aca="true">TABLE($E$177,$B$5,$E192,$B$4,F$177)</f>
        <v>0</v>
      </c>
    </row>
    <row r="193" customFormat="false" ht="12.75" hidden="false" customHeight="false" outlineLevel="0" collapsed="false">
      <c r="B193" s="97" t="n">
        <f aca="false">+B192+1</f>
        <v>16</v>
      </c>
      <c r="C193" s="11" t="n">
        <f aca="true">TABLE($B$177,$B$5,$B193,$B$4,C$177)</f>
        <v>-1058874597.06706</v>
      </c>
      <c r="E193" s="97" t="n">
        <f aca="false">+E192+1</f>
        <v>16</v>
      </c>
      <c r="F193" s="11" t="n">
        <f aca="true">TABLE($E$177,$B$5,$E193,$B$4,F$177)</f>
        <v>0</v>
      </c>
    </row>
    <row r="194" customFormat="false" ht="12.75" hidden="false" customHeight="false" outlineLevel="0" collapsed="false">
      <c r="B194" s="97" t="n">
        <f aca="false">+B193+1</f>
        <v>17</v>
      </c>
      <c r="C194" s="11" t="n">
        <f aca="true">TABLE($B$177,$B$5,$B194,$B$4,C$177)</f>
        <v>-1025122832.06706</v>
      </c>
      <c r="E194" s="97" t="n">
        <f aca="false">+E193+1</f>
        <v>17</v>
      </c>
      <c r="F194" s="11" t="n">
        <f aca="true">TABLE($E$177,$B$5,$E194,$B$4,F$177)</f>
        <v>0</v>
      </c>
    </row>
    <row r="195" customFormat="false" ht="12.75" hidden="false" customHeight="false" outlineLevel="0" collapsed="false">
      <c r="B195" s="97" t="n">
        <f aca="false">+B194+1</f>
        <v>18</v>
      </c>
      <c r="C195" s="11" t="n">
        <f aca="true">TABLE($B$177,$B$5,$B195,$B$4,C$177)</f>
        <v>-991371067.067056</v>
      </c>
      <c r="E195" s="97" t="n">
        <f aca="false">+E194+1</f>
        <v>18</v>
      </c>
      <c r="F195" s="11" t="n">
        <f aca="true">TABLE($E$177,$B$5,$E195,$B$4,F$177)</f>
        <v>0</v>
      </c>
    </row>
    <row r="196" customFormat="false" ht="12.75" hidden="false" customHeight="false" outlineLevel="0" collapsed="false">
      <c r="B196" s="97" t="n">
        <f aca="false">+B195+1</f>
        <v>19</v>
      </c>
      <c r="C196" s="11" t="n">
        <f aca="true">TABLE($B$177,$B$5,$B196,$B$4,C$177)</f>
        <v>-957619302.067056</v>
      </c>
      <c r="E196" s="97" t="n">
        <f aca="false">+E195+1</f>
        <v>19</v>
      </c>
      <c r="F196" s="11" t="n">
        <f aca="true">TABLE($E$177,$B$5,$E196,$B$4,F$177)</f>
        <v>0</v>
      </c>
    </row>
    <row r="197" customFormat="false" ht="12.75" hidden="false" customHeight="false" outlineLevel="0" collapsed="false">
      <c r="B197" s="97" t="n">
        <f aca="false">+B196+1</f>
        <v>20</v>
      </c>
      <c r="C197" s="11" t="n">
        <f aca="true">TABLE($B$177,$B$5,$B197,$B$4,C$177)</f>
        <v>-923867537.067056</v>
      </c>
      <c r="E197" s="97" t="n">
        <f aca="false">+E196+1</f>
        <v>20</v>
      </c>
      <c r="F197" s="11" t="n">
        <f aca="true">TABLE($E$177,$B$5,$E197,$B$4,F$177)</f>
        <v>0</v>
      </c>
    </row>
    <row r="198" customFormat="false" ht="12.75" hidden="false" customHeight="false" outlineLevel="0" collapsed="false">
      <c r="B198" s="97" t="n">
        <f aca="false">+B197+1</f>
        <v>21</v>
      </c>
      <c r="C198" s="11" t="n">
        <f aca="true">TABLE($B$177,$B$5,$B198,$B$4,C$177)</f>
        <v>-890115772.067056</v>
      </c>
      <c r="E198" s="97" t="n">
        <f aca="false">+E197+1</f>
        <v>21</v>
      </c>
      <c r="F198" s="11" t="n">
        <f aca="true">TABLE($E$177,$B$5,$E198,$B$4,F$177)</f>
        <v>0</v>
      </c>
    </row>
    <row r="199" customFormat="false" ht="12.75" hidden="false" customHeight="false" outlineLevel="0" collapsed="false">
      <c r="B199" s="97" t="n">
        <f aca="false">+B198+1</f>
        <v>22</v>
      </c>
      <c r="C199" s="11" t="n">
        <f aca="true">TABLE($B$177,$B$5,$B199,$B$4,C$177)</f>
        <v>-856364007.067056</v>
      </c>
      <c r="E199" s="97" t="n">
        <f aca="false">+E198+1</f>
        <v>22</v>
      </c>
      <c r="F199" s="11" t="n">
        <f aca="true">TABLE($E$177,$B$5,$E199,$B$4,F$177)</f>
        <v>0</v>
      </c>
    </row>
    <row r="200" customFormat="false" ht="12.75" hidden="false" customHeight="false" outlineLevel="0" collapsed="false">
      <c r="B200" s="97" t="n">
        <f aca="false">+B199+1</f>
        <v>23</v>
      </c>
      <c r="C200" s="11" t="n">
        <f aca="true">TABLE($B$177,$B$5,$B200,$B$4,C$177)</f>
        <v>-824375393.930855</v>
      </c>
      <c r="E200" s="97" t="n">
        <f aca="false">+E199+1</f>
        <v>23</v>
      </c>
      <c r="F200" s="11" t="n">
        <f aca="true">TABLE($E$177,$B$5,$E200,$B$4,F$177)</f>
        <v>1763151.86379935</v>
      </c>
    </row>
    <row r="201" customFormat="false" ht="12.75" hidden="false" customHeight="false" outlineLevel="0" collapsed="false">
      <c r="B201" s="97" t="n">
        <f aca="false">+B200+1</f>
        <v>24</v>
      </c>
      <c r="C201" s="11" t="n">
        <f aca="true">TABLE($B$177,$B$5,$B201,$B$4,C$177)</f>
        <v>-806390780.930855</v>
      </c>
      <c r="E201" s="97" t="n">
        <f aca="false">+E200+1</f>
        <v>24</v>
      </c>
      <c r="F201" s="11" t="n">
        <f aca="true">TABLE($E$177,$B$5,$E201,$B$4,F$177)</f>
        <v>17530303.8637994</v>
      </c>
    </row>
    <row r="202" customFormat="false" ht="12.75" hidden="false" customHeight="false" outlineLevel="0" collapsed="false">
      <c r="B202" s="97" t="n">
        <f aca="false">+B201+1</f>
        <v>25</v>
      </c>
      <c r="C202" s="11" t="n">
        <f aca="true">TABLE($B$177,$B$5,$B202,$B$4,C$177)</f>
        <v>-785108712.067056</v>
      </c>
      <c r="E202" s="97" t="n">
        <f aca="false">+E201+1</f>
        <v>25</v>
      </c>
      <c r="F202" s="11" t="n">
        <f aca="true">TABLE($E$177,$B$5,$E202,$B$4,F$177)</f>
        <v>30000000</v>
      </c>
    </row>
    <row r="203" customFormat="false" ht="12.75" hidden="false" customHeight="false" outlineLevel="0" collapsed="false">
      <c r="B203" s="97" t="n">
        <f aca="false">+B202+1</f>
        <v>26</v>
      </c>
      <c r="C203" s="11" t="n">
        <f aca="true">TABLE($B$177,$B$5,$B203,$B$4,C$177)</f>
        <v>-751356947.067056</v>
      </c>
      <c r="E203" s="97" t="n">
        <f aca="false">+E202+1</f>
        <v>26</v>
      </c>
      <c r="F203" s="11" t="n">
        <f aca="true">TABLE($E$177,$B$5,$E203,$B$4,F$177)</f>
        <v>30000000</v>
      </c>
    </row>
    <row r="204" customFormat="false" ht="12.75" hidden="false" customHeight="false" outlineLevel="0" collapsed="false">
      <c r="B204" s="97" t="n">
        <f aca="false">+B203+1</f>
        <v>27</v>
      </c>
      <c r="C204" s="11" t="n">
        <f aca="true">TABLE($B$177,$B$5,$B204,$B$4,C$177)</f>
        <v>-717605182.067056</v>
      </c>
      <c r="E204" s="97" t="n">
        <f aca="false">+E203+1</f>
        <v>27</v>
      </c>
      <c r="F204" s="11" t="n">
        <f aca="true">TABLE($E$177,$B$5,$E204,$B$4,F$177)</f>
        <v>30000000</v>
      </c>
    </row>
    <row r="205" customFormat="false" ht="12.75" hidden="false" customHeight="false" outlineLevel="0" collapsed="false">
      <c r="B205" s="97" t="n">
        <f aca="false">+B204+1</f>
        <v>28</v>
      </c>
      <c r="C205" s="11" t="n">
        <f aca="true">TABLE($B$177,$B$5,$B205,$B$4,C$177)</f>
        <v>-683853417.067056</v>
      </c>
      <c r="E205" s="97" t="n">
        <f aca="false">+E204+1</f>
        <v>28</v>
      </c>
      <c r="F205" s="11" t="n">
        <f aca="true">TABLE($E$177,$B$5,$E205,$B$4,F$177)</f>
        <v>30000000</v>
      </c>
    </row>
    <row r="206" customFormat="false" ht="12.75" hidden="false" customHeight="false" outlineLevel="0" collapsed="false">
      <c r="B206" s="97" t="n">
        <f aca="false">+B205+1</f>
        <v>29</v>
      </c>
      <c r="C206" s="11" t="n">
        <f aca="true">TABLE($B$177,$B$5,$B206,$B$4,C$177)</f>
        <v>-650101652.067056</v>
      </c>
      <c r="E206" s="97" t="n">
        <f aca="false">+E205+1</f>
        <v>29</v>
      </c>
      <c r="F206" s="11" t="n">
        <f aca="true">TABLE($E$177,$B$5,$E206,$B$4,F$177)</f>
        <v>30000000</v>
      </c>
    </row>
    <row r="207" customFormat="false" ht="12.75" hidden="false" customHeight="false" outlineLevel="0" collapsed="false">
      <c r="B207" s="97" t="n">
        <f aca="false">+B206+1</f>
        <v>30</v>
      </c>
      <c r="C207" s="11" t="n">
        <f aca="true">TABLE($B$177,$B$5,$B207,$B$4,C$177)</f>
        <v>-616349887.067056</v>
      </c>
      <c r="E207" s="97" t="n">
        <f aca="false">+E206+1</f>
        <v>30</v>
      </c>
      <c r="F207" s="11" t="n">
        <f aca="true">TABLE($E$177,$B$5,$E207,$B$4,F$177)</f>
        <v>30000000</v>
      </c>
    </row>
    <row r="208" customFormat="false" ht="12.75" hidden="false" customHeight="false" outlineLevel="0" collapsed="false">
      <c r="B208" s="97" t="n">
        <f aca="false">+B207+1</f>
        <v>31</v>
      </c>
      <c r="C208" s="11" t="n">
        <f aca="true">TABLE($B$177,$B$5,$B208,$B$4,C$177)</f>
        <v>-582598122.067056</v>
      </c>
      <c r="E208" s="97" t="n">
        <f aca="false">+E207+1</f>
        <v>31</v>
      </c>
      <c r="F208" s="11" t="n">
        <f aca="true">TABLE($E$177,$B$5,$E208,$B$4,F$177)</f>
        <v>30000000</v>
      </c>
    </row>
    <row r="209" customFormat="false" ht="12.75" hidden="false" customHeight="false" outlineLevel="0" collapsed="false">
      <c r="B209" s="97" t="n">
        <f aca="false">+B208+1</f>
        <v>32</v>
      </c>
      <c r="C209" s="11" t="n">
        <f aca="true">TABLE($B$177,$B$5,$B209,$B$4,C$177)</f>
        <v>-548846357.067056</v>
      </c>
      <c r="E209" s="97" t="n">
        <f aca="false">+E208+1</f>
        <v>32</v>
      </c>
      <c r="F209" s="11" t="n">
        <f aca="true">TABLE($E$177,$B$5,$E209,$B$4,F$177)</f>
        <v>30000000</v>
      </c>
    </row>
    <row r="210" customFormat="false" ht="12.75" hidden="false" customHeight="false" outlineLevel="0" collapsed="false">
      <c r="B210" s="97" t="n">
        <f aca="false">+B209+1</f>
        <v>33</v>
      </c>
      <c r="C210" s="11" t="n">
        <f aca="true">TABLE($B$177,$B$5,$B210,$B$4,C$177)</f>
        <v>-515094592.067056</v>
      </c>
      <c r="E210" s="97" t="n">
        <f aca="false">+E209+1</f>
        <v>33</v>
      </c>
      <c r="F210" s="11" t="n">
        <f aca="true">TABLE($E$177,$B$5,$E210,$B$4,F$177)</f>
        <v>30000000</v>
      </c>
    </row>
    <row r="211" customFormat="false" ht="12.75" hidden="false" customHeight="false" outlineLevel="0" collapsed="false">
      <c r="B211" s="97" t="n">
        <f aca="false">+B210+1</f>
        <v>34</v>
      </c>
      <c r="C211" s="11" t="n">
        <f aca="true">TABLE($B$177,$B$5,$B211,$B$4,C$177)</f>
        <v>-481352146.392576</v>
      </c>
      <c r="E211" s="97" t="n">
        <f aca="false">+E210+1</f>
        <v>34</v>
      </c>
      <c r="F211" s="11" t="n">
        <f aca="true">TABLE($E$177,$B$5,$E211,$B$4,F$177)</f>
        <v>30009319.3255196</v>
      </c>
    </row>
    <row r="212" customFormat="false" ht="12.75" hidden="false" customHeight="false" outlineLevel="0" collapsed="false">
      <c r="B212" s="97" t="n">
        <f aca="false">+B211+1</f>
        <v>35</v>
      </c>
      <c r="C212" s="11" t="n">
        <f aca="true">TABLE($B$177,$B$5,$B212,$B$4,C$177)</f>
        <v>-461845819.392576</v>
      </c>
      <c r="E212" s="97" t="n">
        <f aca="false">+E211+1</f>
        <v>35</v>
      </c>
      <c r="F212" s="11" t="n">
        <f aca="true">TABLE($E$177,$B$5,$E212,$B$4,F$177)</f>
        <v>44254757.3255196</v>
      </c>
    </row>
    <row r="213" customFormat="false" ht="12.75" hidden="false" customHeight="false" outlineLevel="0" collapsed="false">
      <c r="B213" s="97" t="n">
        <f aca="false">+B212+1</f>
        <v>36</v>
      </c>
      <c r="C213" s="11" t="n">
        <f aca="true">TABLE($B$177,$B$5,$B213,$B$4,C$177)</f>
        <v>-442339492.392576</v>
      </c>
      <c r="E213" s="97" t="n">
        <f aca="false">+E212+1</f>
        <v>36</v>
      </c>
      <c r="F213" s="11" t="n">
        <f aca="true">TABLE($E$177,$B$5,$E213,$B$4,F$177)</f>
        <v>58500195.3255196</v>
      </c>
    </row>
    <row r="214" customFormat="false" ht="12.75" hidden="false" customHeight="false" outlineLevel="0" collapsed="false">
      <c r="B214" s="97" t="n">
        <f aca="false">+B213+1</f>
        <v>37</v>
      </c>
      <c r="C214" s="11" t="n">
        <f aca="true">TABLE($B$177,$B$5,$B214,$B$4,C$177)</f>
        <v>-411305427.957467</v>
      </c>
      <c r="E214" s="97" t="n">
        <f aca="false">+E213+1</f>
        <v>37</v>
      </c>
      <c r="F214" s="11" t="n">
        <f aca="true">TABLE($E$177,$B$5,$E214,$B$4,F$177)</f>
        <v>61217895.890411</v>
      </c>
    </row>
    <row r="215" customFormat="false" ht="12.75" hidden="false" customHeight="false" outlineLevel="0" collapsed="false">
      <c r="B215" s="97" t="n">
        <f aca="false">+B214+1</f>
        <v>38</v>
      </c>
      <c r="C215" s="11" t="n">
        <f aca="true">TABLE($B$177,$B$5,$B215,$B$4,C$177)</f>
        <v>-377553662.957467</v>
      </c>
      <c r="E215" s="97" t="n">
        <f aca="false">+E214+1</f>
        <v>38</v>
      </c>
      <c r="F215" s="11" t="n">
        <f aca="true">TABLE($E$177,$B$5,$E215,$B$4,F$177)</f>
        <v>61217895.890411</v>
      </c>
    </row>
    <row r="216" customFormat="false" ht="12.75" hidden="false" customHeight="false" outlineLevel="0" collapsed="false">
      <c r="B216" s="97" t="n">
        <f aca="false">+B215+1</f>
        <v>39</v>
      </c>
      <c r="C216" s="11" t="n">
        <f aca="true">TABLE($B$177,$B$5,$B216,$B$4,C$177)</f>
        <v>-343801897.957467</v>
      </c>
      <c r="E216" s="97" t="n">
        <f aca="false">+E215+1</f>
        <v>39</v>
      </c>
      <c r="F216" s="11" t="n">
        <f aca="true">TABLE($E$177,$B$5,$E216,$B$4,F$177)</f>
        <v>61217895.890411</v>
      </c>
    </row>
    <row r="217" customFormat="false" ht="12.75" hidden="false" customHeight="false" outlineLevel="0" collapsed="false">
      <c r="B217" s="97" t="n">
        <f aca="false">+B216+1</f>
        <v>40</v>
      </c>
      <c r="C217" s="11" t="n">
        <f aca="true">TABLE($B$177,$B$5,$B217,$B$4,C$177)</f>
        <v>-310050132.957467</v>
      </c>
      <c r="E217" s="97" t="n">
        <f aca="false">+E216+1</f>
        <v>40</v>
      </c>
      <c r="F217" s="11" t="n">
        <f aca="true">TABLE($E$177,$B$5,$E217,$B$4,F$177)</f>
        <v>61217895.890411</v>
      </c>
    </row>
    <row r="218" customFormat="false" ht="12.75" hidden="false" customHeight="false" outlineLevel="0" collapsed="false">
      <c r="B218" s="97" t="n">
        <f aca="false">+B217+1</f>
        <v>41</v>
      </c>
      <c r="C218" s="11" t="n">
        <f aca="true">TABLE($B$177,$B$5,$B218,$B$4,C$177)</f>
        <v>-276298367.957467</v>
      </c>
      <c r="E218" s="97" t="n">
        <f aca="false">+E217+1</f>
        <v>41</v>
      </c>
      <c r="F218" s="11" t="n">
        <f aca="true">TABLE($E$177,$B$5,$E218,$B$4,F$177)</f>
        <v>61217895.890411</v>
      </c>
    </row>
    <row r="219" customFormat="false" ht="12.75" hidden="false" customHeight="false" outlineLevel="0" collapsed="false">
      <c r="B219" s="97" t="n">
        <f aca="false">+B218+1</f>
        <v>42</v>
      </c>
      <c r="C219" s="11" t="n">
        <f aca="true">TABLE($B$177,$B$5,$B219,$B$4,C$177)</f>
        <v>-242546602.957467</v>
      </c>
      <c r="E219" s="97" t="n">
        <f aca="false">+E218+1</f>
        <v>42</v>
      </c>
      <c r="F219" s="11" t="n">
        <f aca="true">TABLE($E$177,$B$5,$E219,$B$4,F$177)</f>
        <v>61217895.890411</v>
      </c>
    </row>
    <row r="220" customFormat="false" ht="12.75" hidden="false" customHeight="false" outlineLevel="0" collapsed="false">
      <c r="B220" s="97" t="n">
        <f aca="false">+B219+1</f>
        <v>43</v>
      </c>
      <c r="C220" s="11" t="n">
        <f aca="true">TABLE($B$177,$B$5,$B220,$B$4,C$177)</f>
        <v>-208794837.957467</v>
      </c>
      <c r="E220" s="97" t="n">
        <f aca="false">+E219+1</f>
        <v>43</v>
      </c>
      <c r="F220" s="11" t="n">
        <f aca="true">TABLE($E$177,$B$5,$E220,$B$4,F$177)</f>
        <v>61217895.890411</v>
      </c>
    </row>
    <row r="221" customFormat="false" ht="12.75" hidden="false" customHeight="false" outlineLevel="0" collapsed="false">
      <c r="B221" s="97" t="n">
        <f aca="false">+B220+1</f>
        <v>44</v>
      </c>
      <c r="C221" s="11" t="n">
        <f aca="true">TABLE($B$177,$B$5,$B221,$B$4,C$177)</f>
        <v>-175043072.957467</v>
      </c>
      <c r="E221" s="97" t="n">
        <f aca="false">+E220+1</f>
        <v>44</v>
      </c>
      <c r="F221" s="11" t="n">
        <f aca="true">TABLE($E$177,$B$5,$E221,$B$4,F$177)</f>
        <v>61217895.890411</v>
      </c>
    </row>
    <row r="222" customFormat="false" ht="12.75" hidden="false" customHeight="false" outlineLevel="0" collapsed="false">
      <c r="B222" s="97" t="n">
        <f aca="false">+B221+1</f>
        <v>45</v>
      </c>
      <c r="C222" s="11" t="n">
        <f aca="true">TABLE($B$177,$B$5,$B222,$B$4,C$177)</f>
        <v>-141291307.957467</v>
      </c>
      <c r="E222" s="97" t="n">
        <f aca="false">+E221+1</f>
        <v>45</v>
      </c>
      <c r="F222" s="11" t="n">
        <f aca="true">TABLE($E$177,$B$5,$E222,$B$4,F$177)</f>
        <v>61217895.890411</v>
      </c>
    </row>
    <row r="223" customFormat="false" ht="12.75" hidden="false" customHeight="false" outlineLevel="0" collapsed="false">
      <c r="B223" s="97" t="n">
        <f aca="false">+B222+1</f>
        <v>46</v>
      </c>
      <c r="C223" s="11" t="n">
        <f aca="true">TABLE($B$177,$B$5,$B223,$B$4,C$177)</f>
        <v>-107539542.957467</v>
      </c>
      <c r="E223" s="97" t="n">
        <f aca="false">+E222+1</f>
        <v>46</v>
      </c>
      <c r="F223" s="11" t="n">
        <f aca="true">TABLE($E$177,$B$5,$E223,$B$4,F$177)</f>
        <v>61217895.890411</v>
      </c>
    </row>
    <row r="224" customFormat="false" ht="12.75" hidden="false" customHeight="false" outlineLevel="0" collapsed="false">
      <c r="B224" s="97" t="n">
        <f aca="false">+B223+1</f>
        <v>47</v>
      </c>
      <c r="C224" s="11" t="n">
        <f aca="true">TABLE($B$177,$B$5,$B224,$B$4,C$177)</f>
        <v>-73787777.957467</v>
      </c>
      <c r="E224" s="97" t="n">
        <f aca="false">+E223+1</f>
        <v>47</v>
      </c>
      <c r="F224" s="11" t="n">
        <f aca="true">TABLE($E$177,$B$5,$E224,$B$4,F$177)</f>
        <v>61217895.890411</v>
      </c>
    </row>
    <row r="225" customFormat="false" ht="12.75" hidden="false" customHeight="false" outlineLevel="0" collapsed="false">
      <c r="B225" s="97" t="n">
        <f aca="false">+B224+1</f>
        <v>48</v>
      </c>
      <c r="C225" s="11" t="n">
        <f aca="true">TABLE($B$177,$B$5,$B225,$B$4,C$177)</f>
        <v>-40036012.957467</v>
      </c>
      <c r="E225" s="97" t="n">
        <f aca="false">+E224+1</f>
        <v>48</v>
      </c>
      <c r="F225" s="11" t="n">
        <f aca="true">TABLE($E$177,$B$5,$E225,$B$4,F$177)</f>
        <v>61217895.890411</v>
      </c>
    </row>
    <row r="226" customFormat="false" ht="12.75" hidden="false" customHeight="false" outlineLevel="0" collapsed="false">
      <c r="B226" s="97" t="n">
        <f aca="false">+B225+1</f>
        <v>49</v>
      </c>
      <c r="C226" s="11" t="n">
        <f aca="true">TABLE($B$177,$B$5,$B226,$B$4,C$177)</f>
        <v>-6284247.95746696</v>
      </c>
      <c r="E226" s="97" t="n">
        <f aca="false">+E225+1</f>
        <v>49</v>
      </c>
      <c r="F226" s="11" t="n">
        <f aca="true">TABLE($E$177,$B$5,$E226,$B$4,F$177)</f>
        <v>61217895.890411</v>
      </c>
    </row>
    <row r="227" customFormat="false" ht="12.75" hidden="false" customHeight="false" outlineLevel="0" collapsed="false">
      <c r="B227" s="97" t="n">
        <f aca="false">+B226+1</f>
        <v>50</v>
      </c>
      <c r="C227" s="11" t="n">
        <f aca="true">TABLE($B$177,$B$5,$B227,$B$4,C$177)</f>
        <v>27467517.042533</v>
      </c>
      <c r="E227" s="97" t="n">
        <f aca="false">+E226+1</f>
        <v>50</v>
      </c>
      <c r="F227" s="11" t="n">
        <f aca="true">TABLE($E$177,$B$5,$E227,$B$4,F$177)</f>
        <v>61217895.890411</v>
      </c>
    </row>
    <row r="228" customFormat="false" ht="12.75" hidden="false" customHeight="false" outlineLevel="0" collapsed="false">
      <c r="B228" s="97" t="n">
        <f aca="false">+B227+1</f>
        <v>51</v>
      </c>
      <c r="C228" s="11" t="n">
        <f aca="true">TABLE($B$177,$B$5,$B228,$B$4,C$177)</f>
        <v>61219282.042533</v>
      </c>
      <c r="E228" s="97" t="n">
        <f aca="false">+E227+1</f>
        <v>51</v>
      </c>
      <c r="F228" s="11" t="n">
        <f aca="true">TABLE($E$177,$B$5,$E228,$B$4,F$177)</f>
        <v>61217895.890411</v>
      </c>
    </row>
    <row r="229" customFormat="false" ht="12.75" hidden="false" customHeight="false" outlineLevel="0" collapsed="false">
      <c r="B229" s="97" t="n">
        <f aca="false">+B228+1</f>
        <v>52</v>
      </c>
      <c r="C229" s="11" t="n">
        <f aca="true">TABLE($B$177,$B$5,$B229,$B$4,C$177)</f>
        <v>94971047.042533</v>
      </c>
      <c r="E229" s="97" t="n">
        <f aca="false">+E228+1</f>
        <v>52</v>
      </c>
      <c r="F229" s="11" t="n">
        <f aca="true">TABLE($E$177,$B$5,$E229,$B$4,F$177)</f>
        <v>61217895.890411</v>
      </c>
    </row>
    <row r="230" customFormat="false" ht="12.75" hidden="false" customHeight="false" outlineLevel="0" collapsed="false">
      <c r="B230" s="97" t="n">
        <f aca="false">+B229+1</f>
        <v>53</v>
      </c>
      <c r="C230" s="11" t="n">
        <f aca="true">TABLE($B$177,$B$5,$B230,$B$4,C$177)</f>
        <v>128722812.042533</v>
      </c>
      <c r="E230" s="97" t="n">
        <f aca="false">+E229+1</f>
        <v>53</v>
      </c>
      <c r="F230" s="11" t="n">
        <f aca="true">TABLE($E$177,$B$5,$E230,$B$4,F$177)</f>
        <v>61217895.890411</v>
      </c>
    </row>
    <row r="231" customFormat="false" ht="12.75" hidden="false" customHeight="false" outlineLevel="0" collapsed="false">
      <c r="B231" s="97" t="n">
        <f aca="false">+B230+1</f>
        <v>54</v>
      </c>
      <c r="C231" s="11" t="n">
        <f aca="true">TABLE($B$177,$B$5,$B231,$B$4,C$177)</f>
        <v>162474577.042533</v>
      </c>
      <c r="E231" s="97" t="n">
        <f aca="false">+E230+1</f>
        <v>54</v>
      </c>
      <c r="F231" s="11" t="n">
        <f aca="true">TABLE($E$177,$B$5,$E231,$B$4,F$177)</f>
        <v>61217895.890411</v>
      </c>
    </row>
    <row r="232" customFormat="false" ht="12.75" hidden="false" customHeight="false" outlineLevel="0" collapsed="false">
      <c r="B232" s="97" t="n">
        <f aca="false">+B231+1</f>
        <v>55</v>
      </c>
      <c r="C232" s="11" t="n">
        <f aca="true">TABLE($B$177,$B$5,$B232,$B$4,C$177)</f>
        <v>196226342.042533</v>
      </c>
      <c r="E232" s="97" t="n">
        <f aca="false">+E231+1</f>
        <v>55</v>
      </c>
      <c r="F232" s="11" t="n">
        <f aca="true">TABLE($E$177,$B$5,$E232,$B$4,F$177)</f>
        <v>61217895.890411</v>
      </c>
    </row>
    <row r="233" customFormat="false" ht="12.75" hidden="false" customHeight="false" outlineLevel="0" collapsed="false">
      <c r="B233" s="97" t="n">
        <f aca="false">+B232+1</f>
        <v>56</v>
      </c>
      <c r="C233" s="11" t="n">
        <f aca="true">TABLE($B$177,$B$5,$B233,$B$4,C$177)</f>
        <v>229978107.042533</v>
      </c>
      <c r="E233" s="97" t="n">
        <f aca="false">+E232+1</f>
        <v>56</v>
      </c>
      <c r="F233" s="11" t="n">
        <f aca="true">TABLE($E$177,$B$5,$E233,$B$4,F$177)</f>
        <v>61217895.890411</v>
      </c>
    </row>
    <row r="234" customFormat="false" ht="12.75" hidden="false" customHeight="false" outlineLevel="0" collapsed="false">
      <c r="B234" s="97" t="n">
        <f aca="false">+B233+1</f>
        <v>57</v>
      </c>
      <c r="C234" s="11" t="n">
        <f aca="true">TABLE($B$177,$B$5,$B234,$B$4,C$177)</f>
        <v>263729872.042533</v>
      </c>
      <c r="E234" s="97" t="n">
        <f aca="false">+E233+1</f>
        <v>57</v>
      </c>
      <c r="F234" s="11" t="n">
        <f aca="true">TABLE($E$177,$B$5,$E234,$B$4,F$177)</f>
        <v>61217895.890411</v>
      </c>
    </row>
    <row r="235" customFormat="false" ht="12.75" hidden="false" customHeight="false" outlineLevel="0" collapsed="false">
      <c r="B235" s="97" t="n">
        <f aca="false">+B234+1</f>
        <v>58</v>
      </c>
      <c r="C235" s="11" t="n">
        <f aca="true">TABLE($B$177,$B$5,$B235,$B$4,C$177)</f>
        <v>297481637.042533</v>
      </c>
      <c r="E235" s="97" t="n">
        <f aca="false">+E234+1</f>
        <v>58</v>
      </c>
      <c r="F235" s="11" t="n">
        <f aca="true">TABLE($E$177,$B$5,$E235,$B$4,F$177)</f>
        <v>61217895.890411</v>
      </c>
    </row>
    <row r="236" customFormat="false" ht="12.75" hidden="false" customHeight="false" outlineLevel="0" collapsed="false">
      <c r="B236" s="97" t="n">
        <f aca="false">+B235+1</f>
        <v>59</v>
      </c>
      <c r="C236" s="11" t="n">
        <f aca="true">TABLE($B$177,$B$5,$B236,$B$4,C$177)</f>
        <v>331233402.042533</v>
      </c>
      <c r="E236" s="97" t="n">
        <f aca="false">+E235+1</f>
        <v>59</v>
      </c>
      <c r="F236" s="11" t="n">
        <f aca="true">TABLE($E$177,$B$5,$E236,$B$4,F$177)</f>
        <v>61217895.890411</v>
      </c>
    </row>
    <row r="237" customFormat="false" ht="12.75" hidden="false" customHeight="false" outlineLevel="0" collapsed="false">
      <c r="B237" s="97" t="n">
        <f aca="false">+B236+1</f>
        <v>60</v>
      </c>
      <c r="C237" s="11" t="n">
        <f aca="true">TABLE($B$177,$B$5,$B237,$B$4,C$177)</f>
        <v>364985167.042533</v>
      </c>
      <c r="E237" s="97" t="n">
        <f aca="false">+E236+1</f>
        <v>60</v>
      </c>
      <c r="F237" s="11" t="n">
        <f aca="true">TABLE($E$177,$B$5,$E237,$B$4,F$177)</f>
        <v>61217895.890411</v>
      </c>
    </row>
    <row r="238" customFormat="false" ht="12.75" hidden="false" customHeight="false" outlineLevel="0" collapsed="false">
      <c r="B238" s="97" t="n">
        <f aca="false">+B237+1</f>
        <v>61</v>
      </c>
      <c r="C238" s="11" t="n">
        <f aca="true">TABLE($B$177,$B$5,$B238,$B$4,C$177)</f>
        <v>398736932.042533</v>
      </c>
      <c r="E238" s="97" t="n">
        <f aca="false">+E237+1</f>
        <v>61</v>
      </c>
      <c r="F238" s="11" t="n">
        <f aca="true">TABLE($E$177,$B$5,$E238,$B$4,F$177)</f>
        <v>61217895.890411</v>
      </c>
    </row>
    <row r="239" customFormat="false" ht="12.75" hidden="false" customHeight="false" outlineLevel="0" collapsed="false">
      <c r="B239" s="97" t="n">
        <f aca="false">+B238+1</f>
        <v>62</v>
      </c>
      <c r="C239" s="11" t="n">
        <f aca="true">TABLE($B$177,$B$5,$B239,$B$4,C$177)</f>
        <v>432488697.042533</v>
      </c>
      <c r="E239" s="97" t="n">
        <f aca="false">+E238+1</f>
        <v>62</v>
      </c>
      <c r="F239" s="11" t="n">
        <f aca="true">TABLE($E$177,$B$5,$E239,$B$4,F$177)</f>
        <v>61217895.890411</v>
      </c>
    </row>
    <row r="240" customFormat="false" ht="12.75" hidden="false" customHeight="false" outlineLevel="0" collapsed="false">
      <c r="B240" s="97" t="n">
        <f aca="false">+B239+1</f>
        <v>63</v>
      </c>
      <c r="C240" s="11" t="n">
        <f aca="true">TABLE($B$177,$B$5,$B240,$B$4,C$177)</f>
        <v>466240462.042533</v>
      </c>
      <c r="E240" s="97" t="n">
        <f aca="false">+E239+1</f>
        <v>63</v>
      </c>
      <c r="F240" s="11" t="n">
        <f aca="true">TABLE($E$177,$B$5,$E240,$B$4,F$177)</f>
        <v>61217895.890411</v>
      </c>
    </row>
    <row r="241" customFormat="false" ht="12.75" hidden="false" customHeight="false" outlineLevel="0" collapsed="false">
      <c r="B241" s="97" t="n">
        <f aca="false">+B240+1</f>
        <v>64</v>
      </c>
      <c r="C241" s="11" t="n">
        <f aca="true">TABLE($B$177,$B$5,$B241,$B$4,C$177)</f>
        <v>499992227.042533</v>
      </c>
      <c r="E241" s="97" t="n">
        <f aca="false">+E240+1</f>
        <v>64</v>
      </c>
      <c r="F241" s="11" t="n">
        <f aca="true">TABLE($E$177,$B$5,$E241,$B$4,F$177)</f>
        <v>61217895.890411</v>
      </c>
    </row>
    <row r="242" customFormat="false" ht="12.75" hidden="false" customHeight="false" outlineLevel="0" collapsed="false">
      <c r="B242" s="97" t="n">
        <f aca="false">+B241+1</f>
        <v>65</v>
      </c>
      <c r="C242" s="11" t="n">
        <f aca="true">TABLE($B$177,$B$5,$B242,$B$4,C$177)</f>
        <v>533743992.042533</v>
      </c>
      <c r="E242" s="97" t="n">
        <f aca="false">+E241+1</f>
        <v>65</v>
      </c>
      <c r="F242" s="11" t="n">
        <f aca="true">TABLE($E$177,$B$5,$E242,$B$4,F$177)</f>
        <v>61217895.890411</v>
      </c>
    </row>
    <row r="243" customFormat="false" ht="12.75" hidden="false" customHeight="false" outlineLevel="0" collapsed="false">
      <c r="B243" s="97" t="n">
        <f aca="false">+B242+1</f>
        <v>66</v>
      </c>
      <c r="C243" s="11" t="n">
        <f aca="true">TABLE($B$177,$B$5,$B243,$B$4,C$177)</f>
        <v>567495757.042533</v>
      </c>
      <c r="E243" s="97" t="n">
        <f aca="false">+E242+1</f>
        <v>66</v>
      </c>
      <c r="F243" s="11" t="n">
        <f aca="true">TABLE($E$177,$B$5,$E243,$B$4,F$177)</f>
        <v>61217895.890411</v>
      </c>
    </row>
    <row r="244" customFormat="false" ht="12.75" hidden="false" customHeight="false" outlineLevel="0" collapsed="false">
      <c r="B244" s="97" t="n">
        <f aca="false">+B243+1</f>
        <v>67</v>
      </c>
      <c r="C244" s="11" t="n">
        <f aca="true">TABLE($B$177,$B$5,$B244,$B$4,C$177)</f>
        <v>601247522.042533</v>
      </c>
      <c r="E244" s="97" t="n">
        <f aca="false">+E243+1</f>
        <v>67</v>
      </c>
      <c r="F244" s="11" t="n">
        <f aca="true">TABLE($E$177,$B$5,$E244,$B$4,F$177)</f>
        <v>61217895.890411</v>
      </c>
    </row>
    <row r="245" customFormat="false" ht="12.75" hidden="false" customHeight="false" outlineLevel="0" collapsed="false">
      <c r="B245" s="97" t="n">
        <f aca="false">+B244+1</f>
        <v>68</v>
      </c>
      <c r="C245" s="11" t="n">
        <f aca="true">TABLE($B$177,$B$5,$B245,$B$4,C$177)</f>
        <v>634999287.042533</v>
      </c>
      <c r="E245" s="97" t="n">
        <f aca="false">+E244+1</f>
        <v>68</v>
      </c>
      <c r="F245" s="11" t="n">
        <f aca="true">TABLE($E$177,$B$5,$E245,$B$4,F$177)</f>
        <v>61217895.890411</v>
      </c>
    </row>
    <row r="246" customFormat="false" ht="12.75" hidden="false" customHeight="false" outlineLevel="0" collapsed="false">
      <c r="B246" s="97" t="n">
        <f aca="false">+B245+1</f>
        <v>69</v>
      </c>
      <c r="C246" s="11" t="n">
        <f aca="true">TABLE($B$177,$B$5,$B246,$B$4,C$177)</f>
        <v>668751052.042533</v>
      </c>
      <c r="E246" s="97" t="n">
        <f aca="false">+E245+1</f>
        <v>69</v>
      </c>
      <c r="F246" s="11" t="n">
        <f aca="true">TABLE($E$177,$B$5,$E246,$B$4,F$177)</f>
        <v>61217895.890411</v>
      </c>
    </row>
    <row r="247" customFormat="false" ht="12.75" hidden="false" customHeight="false" outlineLevel="0" collapsed="false">
      <c r="B247" s="97" t="n">
        <f aca="false">+B246+1</f>
        <v>70</v>
      </c>
      <c r="C247" s="11" t="n">
        <f aca="true">TABLE($B$177,$B$5,$B247,$B$4,C$177)</f>
        <v>702502817.042533</v>
      </c>
      <c r="E247" s="97" t="n">
        <f aca="false">+E246+1</f>
        <v>70</v>
      </c>
      <c r="F247" s="11" t="n">
        <f aca="true">TABLE($E$177,$B$5,$E247,$B$4,F$177)</f>
        <v>61217895.890411</v>
      </c>
    </row>
    <row r="248" customFormat="false" ht="12.75" hidden="false" customHeight="false" outlineLevel="0" collapsed="false">
      <c r="B248" s="97" t="n">
        <f aca="false">+B247+1</f>
        <v>71</v>
      </c>
      <c r="C248" s="11" t="n">
        <f aca="true">TABLE($B$177,$B$5,$B248,$B$4,C$177)</f>
        <v>736254582.042533</v>
      </c>
      <c r="E248" s="97" t="n">
        <f aca="false">+E247+1</f>
        <v>71</v>
      </c>
      <c r="F248" s="11" t="n">
        <f aca="true">TABLE($E$177,$B$5,$E248,$B$4,F$177)</f>
        <v>61217895.890411</v>
      </c>
    </row>
    <row r="249" customFormat="false" ht="12.75" hidden="false" customHeight="false" outlineLevel="0" collapsed="false">
      <c r="B249" s="97" t="n">
        <f aca="false">+B248+1</f>
        <v>72</v>
      </c>
      <c r="C249" s="11" t="n">
        <f aca="true">TABLE($B$177,$B$5,$B249,$B$4,C$177)</f>
        <v>770006347.042533</v>
      </c>
      <c r="E249" s="97" t="n">
        <f aca="false">+E248+1</f>
        <v>72</v>
      </c>
      <c r="F249" s="11" t="n">
        <f aca="true">TABLE($E$177,$B$5,$E249,$B$4,F$177)</f>
        <v>61217895.890411</v>
      </c>
    </row>
    <row r="250" customFormat="false" ht="12.75" hidden="false" customHeight="false" outlineLevel="0" collapsed="false">
      <c r="B250" s="97" t="n">
        <f aca="false">+B249+1</f>
        <v>73</v>
      </c>
      <c r="C250" s="11" t="n">
        <f aca="true">TABLE($B$177,$B$5,$B250,$B$4,C$177)</f>
        <v>803758112.042533</v>
      </c>
      <c r="E250" s="97" t="n">
        <f aca="false">+E249+1</f>
        <v>73</v>
      </c>
      <c r="F250" s="11" t="n">
        <f aca="true">TABLE($E$177,$B$5,$E250,$B$4,F$177)</f>
        <v>61217895.890411</v>
      </c>
    </row>
    <row r="251" customFormat="false" ht="12.75" hidden="false" customHeight="false" outlineLevel="0" collapsed="false">
      <c r="B251" s="97" t="n">
        <f aca="false">+B250+1</f>
        <v>74</v>
      </c>
      <c r="C251" s="11" t="n">
        <f aca="true">TABLE($B$177,$B$5,$B251,$B$4,C$177)</f>
        <v>837509877.042533</v>
      </c>
      <c r="E251" s="97" t="n">
        <f aca="false">+E250+1</f>
        <v>74</v>
      </c>
      <c r="F251" s="11" t="n">
        <f aca="true">TABLE($E$177,$B$5,$E251,$B$4,F$177)</f>
        <v>61217895.890411</v>
      </c>
    </row>
    <row r="252" customFormat="false" ht="12.75" hidden="false" customHeight="false" outlineLevel="0" collapsed="false">
      <c r="B252" s="97" t="n">
        <f aca="false">+B251+1</f>
        <v>75</v>
      </c>
      <c r="C252" s="11" t="n">
        <f aca="true">TABLE($B$177,$B$5,$B252,$B$4,C$177)</f>
        <v>871261642.042533</v>
      </c>
      <c r="E252" s="97" t="n">
        <f aca="false">+E251+1</f>
        <v>75</v>
      </c>
      <c r="F252" s="11" t="n">
        <f aca="true">TABLE($E$177,$B$5,$E252,$B$4,F$177)</f>
        <v>61217895.890411</v>
      </c>
    </row>
    <row r="253" customFormat="false" ht="12.75" hidden="false" customHeight="false" outlineLevel="0" collapsed="false">
      <c r="B253" s="97" t="n">
        <f aca="false">+B252+1</f>
        <v>76</v>
      </c>
      <c r="C253" s="11" t="n">
        <f aca="true">TABLE($B$177,$B$5,$B253,$B$4,C$177)</f>
        <v>905013407.042533</v>
      </c>
      <c r="E253" s="97" t="n">
        <f aca="false">+E252+1</f>
        <v>76</v>
      </c>
      <c r="F253" s="11" t="n">
        <f aca="true">TABLE($E$177,$B$5,$E253,$B$4,F$177)</f>
        <v>61217895.890411</v>
      </c>
    </row>
    <row r="254" customFormat="false" ht="12.75" hidden="false" customHeight="false" outlineLevel="0" collapsed="false">
      <c r="B254" s="97" t="n">
        <f aca="false">+B253+1</f>
        <v>77</v>
      </c>
      <c r="C254" s="11" t="n">
        <f aca="true">TABLE($B$177,$B$5,$B254,$B$4,C$177)</f>
        <v>938765172.042533</v>
      </c>
      <c r="E254" s="97" t="n">
        <f aca="false">+E253+1</f>
        <v>77</v>
      </c>
      <c r="F254" s="11" t="n">
        <f aca="true">TABLE($E$177,$B$5,$E254,$B$4,F$177)</f>
        <v>61217895.890411</v>
      </c>
    </row>
    <row r="255" customFormat="false" ht="12.75" hidden="false" customHeight="false" outlineLevel="0" collapsed="false">
      <c r="B255" s="97" t="n">
        <f aca="false">+B254+1</f>
        <v>78</v>
      </c>
      <c r="C255" s="11" t="n">
        <f aca="true">TABLE($B$177,$B$5,$B255,$B$4,C$177)</f>
        <v>972516937.042533</v>
      </c>
      <c r="E255" s="97" t="n">
        <f aca="false">+E254+1</f>
        <v>78</v>
      </c>
      <c r="F255" s="11" t="n">
        <f aca="true">TABLE($E$177,$B$5,$E255,$B$4,F$177)</f>
        <v>61217895.890411</v>
      </c>
    </row>
    <row r="256" customFormat="false" ht="12.75" hidden="false" customHeight="false" outlineLevel="0" collapsed="false">
      <c r="B256" s="97" t="n">
        <f aca="false">+B255+1</f>
        <v>79</v>
      </c>
      <c r="C256" s="11" t="n">
        <f aca="true">TABLE($B$177,$B$5,$B256,$B$4,C$177)</f>
        <v>1006268702.04253</v>
      </c>
      <c r="E256" s="97" t="n">
        <f aca="false">+E255+1</f>
        <v>79</v>
      </c>
      <c r="F256" s="11" t="n">
        <f aca="true">TABLE($E$177,$B$5,$E256,$B$4,F$177)</f>
        <v>61217895.890411</v>
      </c>
    </row>
    <row r="257" customFormat="false" ht="12.75" hidden="false" customHeight="false" outlineLevel="0" collapsed="false">
      <c r="B257" s="97" t="n">
        <f aca="false">+B256+1</f>
        <v>80</v>
      </c>
      <c r="C257" s="11" t="n">
        <f aca="true">TABLE($B$177,$B$5,$B257,$B$4,C$177)</f>
        <v>1040020467.04253</v>
      </c>
      <c r="E257" s="97" t="n">
        <f aca="false">+E256+1</f>
        <v>80</v>
      </c>
      <c r="F257" s="11" t="n">
        <f aca="true">TABLE($E$177,$B$5,$E257,$B$4,F$177)</f>
        <v>61217895.890411</v>
      </c>
    </row>
    <row r="258" customFormat="false" ht="12.75" hidden="false" customHeight="false" outlineLevel="0" collapsed="false">
      <c r="B258" s="97" t="n">
        <f aca="false">+B257+1</f>
        <v>81</v>
      </c>
      <c r="C258" s="11" t="n">
        <f aca="true">TABLE($B$177,$B$5,$B258,$B$4,C$177)</f>
        <v>1073772232.04253</v>
      </c>
      <c r="E258" s="97" t="n">
        <f aca="false">+E257+1</f>
        <v>81</v>
      </c>
      <c r="F258" s="11" t="n">
        <f aca="true">TABLE($E$177,$B$5,$E258,$B$4,F$177)</f>
        <v>61217895.890411</v>
      </c>
    </row>
    <row r="259" customFormat="false" ht="12.75" hidden="false" customHeight="false" outlineLevel="0" collapsed="false">
      <c r="B259" s="97" t="n">
        <f aca="false">+B258+1</f>
        <v>82</v>
      </c>
      <c r="C259" s="11" t="n">
        <f aca="true">TABLE($B$177,$B$5,$B259,$B$4,C$177)</f>
        <v>1107523997.04253</v>
      </c>
      <c r="E259" s="97" t="n">
        <f aca="false">+E258+1</f>
        <v>82</v>
      </c>
      <c r="F259" s="11" t="n">
        <f aca="true">TABLE($E$177,$B$5,$E259,$B$4,F$177)</f>
        <v>61217895.890411</v>
      </c>
    </row>
    <row r="260" customFormat="false" ht="12.75" hidden="false" customHeight="false" outlineLevel="0" collapsed="false">
      <c r="B260" s="97" t="n">
        <f aca="false">+B259+1</f>
        <v>83</v>
      </c>
      <c r="C260" s="11" t="n">
        <f aca="true">TABLE($B$177,$B$5,$B260,$B$4,C$177)</f>
        <v>1141275762.04253</v>
      </c>
      <c r="E260" s="97" t="n">
        <f aca="false">+E259+1</f>
        <v>83</v>
      </c>
      <c r="F260" s="11" t="n">
        <f aca="true">TABLE($E$177,$B$5,$E260,$B$4,F$177)</f>
        <v>61217895.890411</v>
      </c>
    </row>
    <row r="261" customFormat="false" ht="12.75" hidden="false" customHeight="false" outlineLevel="0" collapsed="false">
      <c r="B261" s="97" t="n">
        <f aca="false">+B260+1</f>
        <v>84</v>
      </c>
      <c r="C261" s="11" t="n">
        <f aca="true">TABLE($B$177,$B$5,$B261,$B$4,C$177)</f>
        <v>1175027527.04253</v>
      </c>
      <c r="E261" s="97" t="n">
        <f aca="false">+E260+1</f>
        <v>84</v>
      </c>
      <c r="F261" s="11" t="n">
        <f aca="true">TABLE($E$177,$B$5,$E261,$B$4,F$177)</f>
        <v>61217895.890411</v>
      </c>
    </row>
    <row r="262" customFormat="false" ht="12.75" hidden="false" customHeight="false" outlineLevel="0" collapsed="false">
      <c r="B262" s="97" t="n">
        <f aca="false">+B261+1</f>
        <v>85</v>
      </c>
      <c r="C262" s="11" t="n">
        <f aca="true">TABLE($B$177,$B$5,$B262,$B$4,C$177)</f>
        <v>1208779292.04253</v>
      </c>
      <c r="E262" s="97" t="n">
        <f aca="false">+E261+1</f>
        <v>85</v>
      </c>
      <c r="F262" s="11" t="n">
        <f aca="true">TABLE($E$177,$B$5,$E262,$B$4,F$177)</f>
        <v>61217895.890411</v>
      </c>
    </row>
    <row r="263" customFormat="false" ht="12.75" hidden="false" customHeight="false" outlineLevel="0" collapsed="false">
      <c r="B263" s="97" t="n">
        <f aca="false">+B262+1</f>
        <v>86</v>
      </c>
      <c r="C263" s="11" t="n">
        <f aca="true">TABLE($B$177,$B$5,$B263,$B$4,C$177)</f>
        <v>1242531057.04253</v>
      </c>
      <c r="E263" s="97" t="n">
        <f aca="false">+E262+1</f>
        <v>86</v>
      </c>
      <c r="F263" s="11" t="n">
        <f aca="true">TABLE($E$177,$B$5,$E263,$B$4,F$177)</f>
        <v>61217895.890411</v>
      </c>
    </row>
    <row r="264" customFormat="false" ht="12.75" hidden="false" customHeight="false" outlineLevel="0" collapsed="false">
      <c r="B264" s="97" t="n">
        <f aca="false">+B263+1</f>
        <v>87</v>
      </c>
      <c r="C264" s="11" t="n">
        <f aca="true">TABLE($B$177,$B$5,$B264,$B$4,C$177)</f>
        <v>1276282822.04253</v>
      </c>
      <c r="E264" s="97" t="n">
        <f aca="false">+E263+1</f>
        <v>87</v>
      </c>
      <c r="F264" s="11" t="n">
        <f aca="true">TABLE($E$177,$B$5,$E264,$B$4,F$177)</f>
        <v>61217895.890411</v>
      </c>
    </row>
    <row r="265" customFormat="false" ht="12.75" hidden="false" customHeight="false" outlineLevel="0" collapsed="false">
      <c r="B265" s="97" t="n">
        <f aca="false">+B264+1</f>
        <v>88</v>
      </c>
      <c r="C265" s="11" t="n">
        <f aca="true">TABLE($B$177,$B$5,$B265,$B$4,C$177)</f>
        <v>1310034587.04253</v>
      </c>
      <c r="E265" s="97" t="n">
        <f aca="false">+E264+1</f>
        <v>88</v>
      </c>
      <c r="F265" s="11" t="n">
        <f aca="true">TABLE($E$177,$B$5,$E265,$B$4,F$177)</f>
        <v>61217895.890411</v>
      </c>
    </row>
    <row r="266" customFormat="false" ht="12.75" hidden="false" customHeight="false" outlineLevel="0" collapsed="false">
      <c r="B266" s="97" t="n">
        <f aca="false">+B265+1</f>
        <v>89</v>
      </c>
      <c r="C266" s="11" t="n">
        <f aca="true">TABLE($B$177,$B$5,$B266,$B$4,C$177)</f>
        <v>1343786352.04253</v>
      </c>
      <c r="E266" s="97" t="n">
        <f aca="false">+E265+1</f>
        <v>89</v>
      </c>
      <c r="F266" s="11" t="n">
        <f aca="true">TABLE($E$177,$B$5,$E266,$B$4,F$177)</f>
        <v>61217895.890411</v>
      </c>
    </row>
    <row r="267" customFormat="false" ht="12.75" hidden="false" customHeight="false" outlineLevel="0" collapsed="false">
      <c r="B267" s="97" t="n">
        <f aca="false">+B266+1</f>
        <v>90</v>
      </c>
      <c r="C267" s="11" t="n">
        <f aca="true">TABLE($B$177,$B$5,$B267,$B$4,C$177)</f>
        <v>1377538117.04253</v>
      </c>
      <c r="E267" s="97" t="n">
        <f aca="false">+E266+1</f>
        <v>90</v>
      </c>
      <c r="F267" s="11" t="n">
        <f aca="true">TABLE($E$177,$B$5,$E267,$B$4,F$177)</f>
        <v>61217895.890411</v>
      </c>
    </row>
    <row r="268" customFormat="false" ht="12.75" hidden="false" customHeight="false" outlineLevel="0" collapsed="false">
      <c r="B268" s="97" t="n">
        <f aca="false">+B267+1</f>
        <v>91</v>
      </c>
      <c r="C268" s="11" t="n">
        <f aca="true">TABLE($B$177,$B$5,$B268,$B$4,C$177)</f>
        <v>1411289882.04253</v>
      </c>
      <c r="E268" s="97" t="n">
        <f aca="false">+E267+1</f>
        <v>91</v>
      </c>
      <c r="F268" s="11" t="n">
        <f aca="true">TABLE($E$177,$B$5,$E268,$B$4,F$177)</f>
        <v>61217895.890411</v>
      </c>
    </row>
    <row r="269" customFormat="false" ht="12.75" hidden="false" customHeight="false" outlineLevel="0" collapsed="false">
      <c r="B269" s="97" t="n">
        <f aca="false">+B268+1</f>
        <v>92</v>
      </c>
      <c r="C269" s="11" t="n">
        <f aca="true">TABLE($B$177,$B$5,$B269,$B$4,C$177)</f>
        <v>1445041647.04253</v>
      </c>
      <c r="E269" s="97" t="n">
        <f aca="false">+E268+1</f>
        <v>92</v>
      </c>
      <c r="F269" s="11" t="n">
        <f aca="true">TABLE($E$177,$B$5,$E269,$B$4,F$177)</f>
        <v>61217895.890411</v>
      </c>
    </row>
    <row r="270" customFormat="false" ht="12.75" hidden="false" customHeight="false" outlineLevel="0" collapsed="false">
      <c r="B270" s="97" t="n">
        <f aca="false">+B269+1</f>
        <v>93</v>
      </c>
      <c r="C270" s="11" t="n">
        <f aca="true">TABLE($B$177,$B$5,$B270,$B$4,C$177)</f>
        <v>1478793412.04253</v>
      </c>
      <c r="E270" s="97" t="n">
        <f aca="false">+E269+1</f>
        <v>93</v>
      </c>
      <c r="F270" s="11" t="n">
        <f aca="true">TABLE($E$177,$B$5,$E270,$B$4,F$177)</f>
        <v>61217895.890411</v>
      </c>
    </row>
    <row r="271" customFormat="false" ht="12.75" hidden="false" customHeight="false" outlineLevel="0" collapsed="false">
      <c r="B271" s="97" t="n">
        <f aca="false">+B270+1</f>
        <v>94</v>
      </c>
      <c r="C271" s="11" t="n">
        <f aca="true">TABLE($B$177,$B$5,$B271,$B$4,C$177)</f>
        <v>1512545177.04253</v>
      </c>
      <c r="E271" s="97" t="n">
        <f aca="false">+E270+1</f>
        <v>94</v>
      </c>
      <c r="F271" s="11" t="n">
        <f aca="true">TABLE($E$177,$B$5,$E271,$B$4,F$177)</f>
        <v>61217895.890411</v>
      </c>
    </row>
    <row r="272" customFormat="false" ht="12.75" hidden="false" customHeight="false" outlineLevel="0" collapsed="false">
      <c r="B272" s="97" t="n">
        <f aca="false">+B271+1</f>
        <v>95</v>
      </c>
      <c r="C272" s="11" t="n">
        <f aca="true">TABLE($B$177,$B$5,$B272,$B$4,C$177)</f>
        <v>1546296942.04253</v>
      </c>
      <c r="E272" s="97" t="n">
        <f aca="false">+E271+1</f>
        <v>95</v>
      </c>
      <c r="F272" s="11" t="n">
        <f aca="true">TABLE($E$177,$B$5,$E272,$B$4,F$177)</f>
        <v>61217895.890411</v>
      </c>
    </row>
    <row r="273" customFormat="false" ht="12.75" hidden="false" customHeight="false" outlineLevel="0" collapsed="false">
      <c r="B273" s="97" t="n">
        <f aca="false">+B272+1</f>
        <v>96</v>
      </c>
      <c r="C273" s="11" t="n">
        <f aca="true">TABLE($B$177,$B$5,$B273,$B$4,C$177)</f>
        <v>1580048707.04253</v>
      </c>
      <c r="E273" s="97" t="n">
        <f aca="false">+E272+1</f>
        <v>96</v>
      </c>
      <c r="F273" s="11" t="n">
        <f aca="true">TABLE($E$177,$B$5,$E273,$B$4,F$177)</f>
        <v>61217895.890411</v>
      </c>
    </row>
    <row r="274" customFormat="false" ht="12.75" hidden="false" customHeight="false" outlineLevel="0" collapsed="false">
      <c r="B274" s="97" t="n">
        <f aca="false">+B273+1</f>
        <v>97</v>
      </c>
      <c r="C274" s="11" t="n">
        <f aca="true">TABLE($B$177,$B$5,$B274,$B$4,C$177)</f>
        <v>1613800472.04253</v>
      </c>
      <c r="E274" s="97" t="n">
        <f aca="false">+E273+1</f>
        <v>97</v>
      </c>
      <c r="F274" s="11" t="n">
        <f aca="true">TABLE($E$177,$B$5,$E274,$B$4,F$177)</f>
        <v>61217895.890411</v>
      </c>
    </row>
    <row r="275" customFormat="false" ht="12.75" hidden="false" customHeight="false" outlineLevel="0" collapsed="false">
      <c r="B275" s="97" t="n">
        <f aca="false">+B274+1</f>
        <v>98</v>
      </c>
      <c r="C275" s="11" t="n">
        <f aca="true">TABLE($B$177,$B$5,$B275,$B$4,C$177)</f>
        <v>1647552237.04253</v>
      </c>
      <c r="E275" s="97" t="n">
        <f aca="false">+E274+1</f>
        <v>98</v>
      </c>
      <c r="F275" s="11" t="n">
        <f aca="true">TABLE($E$177,$B$5,$E275,$B$4,F$177)</f>
        <v>61217895.890411</v>
      </c>
    </row>
    <row r="276" customFormat="false" ht="12.75" hidden="false" customHeight="false" outlineLevel="0" collapsed="false">
      <c r="B276" s="97" t="n">
        <f aca="false">+B275+1</f>
        <v>99</v>
      </c>
      <c r="C276" s="11" t="n">
        <f aca="true">TABLE($B$177,$B$5,$B276,$B$4,C$177)</f>
        <v>1681304002.04253</v>
      </c>
      <c r="E276" s="97" t="n">
        <f aca="false">+E275+1</f>
        <v>99</v>
      </c>
      <c r="F276" s="11" t="n">
        <f aca="true">TABLE($E$177,$B$5,$E276,$B$4,F$177)</f>
        <v>61217895.890411</v>
      </c>
    </row>
    <row r="277" customFormat="false" ht="12.75" hidden="false" customHeight="false" outlineLevel="0" collapsed="false">
      <c r="B277" s="97" t="n">
        <f aca="false">+B276+1</f>
        <v>100</v>
      </c>
      <c r="C277" s="11" t="n">
        <f aca="true">TABLE($B$177,$B$5,$B277,$B$4,C$177)</f>
        <v>1715055767.04253</v>
      </c>
      <c r="E277" s="97" t="n">
        <f aca="false">+E276+1</f>
        <v>100</v>
      </c>
      <c r="F277" s="11" t="n">
        <f aca="true">TABLE($E$177,$B$5,$E277,$B$4,F$177)</f>
        <v>61217895.890411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2" manualBreakCount="2">
    <brk id="90" man="true" max="16383" min="0"/>
    <brk id="174" man="true" max="16383" min="0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6.42"/>
    <col collapsed="false" customWidth="true" hidden="false" outlineLevel="0" max="2" min="2" style="98" width="8.99"/>
    <col collapsed="false" customWidth="true" hidden="false" outlineLevel="0" max="3" min="3" style="98" width="12.42"/>
    <col collapsed="false" customWidth="true" hidden="false" outlineLevel="0" max="4" min="4" style="26" width="7.42"/>
    <col collapsed="false" customWidth="true" hidden="false" outlineLevel="0" max="5" min="5" style="16" width="13.85"/>
    <col collapsed="false" customWidth="true" hidden="false" outlineLevel="0" max="6" min="6" style="26" width="6.7"/>
    <col collapsed="false" customWidth="true" hidden="false" outlineLevel="0" max="7" min="7" style="1" width="12.7"/>
    <col collapsed="false" customWidth="true" hidden="false" outlineLevel="0" max="8" min="8" style="11" width="17.14"/>
    <col collapsed="false" customWidth="true" hidden="false" outlineLevel="0" max="9" min="9" style="16" width="17.85"/>
    <col collapsed="false" customWidth="true" hidden="false" outlineLevel="0" max="10" min="10" style="0" width="14.99"/>
    <col collapsed="false" customWidth="true" hidden="false" outlineLevel="0" max="11" min="11" style="99" width="8.99"/>
    <col collapsed="false" customWidth="true" hidden="false" outlineLevel="0" max="12" min="12" style="0" width="16.13"/>
    <col collapsed="false" customWidth="true" hidden="false" outlineLevel="0" max="13" min="13" style="0" width="14.41"/>
    <col collapsed="false" customWidth="true" hidden="false" outlineLevel="0" max="14" min="14" style="0" width="16.56"/>
    <col collapsed="false" customWidth="true" hidden="false" outlineLevel="0" max="15" min="15" style="16" width="14.41"/>
    <col collapsed="false" customWidth="true" hidden="false" outlineLevel="0" max="16" min="16" style="0" width="15.41"/>
    <col collapsed="false" customWidth="true" hidden="false" outlineLevel="0" max="17" min="17" style="0" width="15.28"/>
  </cols>
  <sheetData>
    <row r="1" customFormat="false" ht="15.75" hidden="false" customHeight="true" outlineLevel="0" collapsed="false">
      <c r="A1" s="100" t="s">
        <v>127</v>
      </c>
      <c r="B1" s="101" t="s">
        <v>128</v>
      </c>
      <c r="C1" s="101" t="s">
        <v>129</v>
      </c>
      <c r="D1" s="100" t="s">
        <v>130</v>
      </c>
      <c r="E1" s="102"/>
      <c r="F1" s="100" t="s">
        <v>131</v>
      </c>
      <c r="G1" s="103" t="s">
        <v>132</v>
      </c>
      <c r="H1" s="104" t="s">
        <v>133</v>
      </c>
      <c r="I1" s="104"/>
      <c r="J1" s="100" t="s">
        <v>134</v>
      </c>
      <c r="K1" s="101"/>
      <c r="L1" s="105" t="s">
        <v>135</v>
      </c>
      <c r="M1" s="106" t="s">
        <v>136</v>
      </c>
      <c r="N1" s="107" t="s">
        <v>137</v>
      </c>
      <c r="O1" s="108" t="s">
        <v>138</v>
      </c>
      <c r="P1" s="108"/>
      <c r="Q1" s="105" t="s">
        <v>138</v>
      </c>
    </row>
    <row r="2" customFormat="false" ht="15" hidden="false" customHeight="true" outlineLevel="0" collapsed="false">
      <c r="A2" s="109" t="s">
        <v>139</v>
      </c>
      <c r="B2" s="110" t="s">
        <v>85</v>
      </c>
      <c r="C2" s="110" t="s">
        <v>85</v>
      </c>
      <c r="D2" s="109" t="s">
        <v>140</v>
      </c>
      <c r="E2" s="111" t="s">
        <v>93</v>
      </c>
      <c r="F2" s="109" t="s">
        <v>141</v>
      </c>
      <c r="G2" s="112" t="s">
        <v>106</v>
      </c>
      <c r="H2" s="113" t="s">
        <v>142</v>
      </c>
      <c r="I2" s="114" t="s">
        <v>121</v>
      </c>
      <c r="J2" s="109" t="s">
        <v>143</v>
      </c>
      <c r="K2" s="110" t="s">
        <v>144</v>
      </c>
      <c r="L2" s="115" t="s">
        <v>145</v>
      </c>
      <c r="M2" s="109" t="s">
        <v>145</v>
      </c>
      <c r="N2" s="116" t="s">
        <v>145</v>
      </c>
      <c r="O2" s="117" t="s">
        <v>146</v>
      </c>
      <c r="P2" s="116" t="s">
        <v>33</v>
      </c>
      <c r="Q2" s="109" t="s">
        <v>143</v>
      </c>
    </row>
    <row r="3" customFormat="false" ht="15" hidden="false" customHeight="true" outlineLevel="0" collapsed="false">
      <c r="A3" s="118" t="str">
        <f aca="false">+Summary!A3</f>
        <v>As of 8/14/01</v>
      </c>
      <c r="B3" s="119"/>
      <c r="C3" s="119"/>
      <c r="D3" s="118"/>
      <c r="E3" s="120"/>
      <c r="F3" s="118"/>
      <c r="G3" s="121"/>
      <c r="H3" s="122"/>
      <c r="I3" s="120"/>
      <c r="J3" s="118"/>
      <c r="K3" s="119"/>
      <c r="L3" s="118"/>
      <c r="M3" s="118"/>
      <c r="N3" s="118"/>
      <c r="O3" s="120"/>
      <c r="P3" s="118"/>
      <c r="Q3" s="118"/>
    </row>
    <row r="4" customFormat="false" ht="15" hidden="false" customHeight="true" outlineLevel="0" collapsed="false">
      <c r="A4" s="123" t="s">
        <v>147</v>
      </c>
      <c r="B4" s="119"/>
      <c r="C4" s="119"/>
      <c r="D4" s="118"/>
      <c r="E4" s="120"/>
      <c r="F4" s="118"/>
      <c r="G4" s="121"/>
      <c r="H4" s="122"/>
      <c r="I4" s="120"/>
      <c r="J4" s="118"/>
      <c r="K4" s="119"/>
      <c r="L4" s="118"/>
      <c r="M4" s="118"/>
      <c r="N4" s="118"/>
      <c r="O4" s="120"/>
      <c r="P4" s="118"/>
      <c r="Q4" s="118"/>
    </row>
    <row r="5" customFormat="false" ht="12.75" hidden="false" customHeight="false" outlineLevel="0" collapsed="false">
      <c r="A5" s="0" t="str">
        <f aca="false">+'[1]Daily Position'!A4</f>
        <v>3TEC Warrants</v>
      </c>
      <c r="B5" s="98" t="n">
        <v>36741</v>
      </c>
      <c r="C5" s="98" t="n">
        <v>37836</v>
      </c>
      <c r="D5" s="26" t="s">
        <v>148</v>
      </c>
      <c r="E5" s="16" t="n">
        <v>0</v>
      </c>
      <c r="F5" s="26" t="s">
        <v>149</v>
      </c>
      <c r="G5" s="1" t="n">
        <f aca="false">+'[1]Daily Position'!G4</f>
        <v>1.17868389193476</v>
      </c>
      <c r="H5" s="11" t="n">
        <f aca="false">+'[1]Daily Position'!H4</f>
        <v>78000</v>
      </c>
      <c r="I5" s="16" t="n">
        <f aca="false">+'[1]Daily Position'!I4</f>
        <v>91937.34</v>
      </c>
      <c r="J5" s="1" t="n">
        <f aca="false">+'[1]Daily Position'!N4</f>
        <v>1.48110546323538</v>
      </c>
      <c r="K5" s="99" t="n">
        <f aca="false">+'[1]Daily Position'!O4</f>
        <v>37117</v>
      </c>
      <c r="L5" s="16" t="n">
        <f aca="false">+'[1]Daily Position'!P4</f>
        <v>0</v>
      </c>
      <c r="M5" s="16" t="n">
        <f aca="false">+'[1]Daily Position'!Q4</f>
        <v>-29537.34</v>
      </c>
      <c r="N5" s="12" t="n">
        <f aca="false">+L5+M5</f>
        <v>-29537.34</v>
      </c>
      <c r="O5" s="16" t="n">
        <f aca="false">+'[1]Daily Position'!S4</f>
        <v>-29537.34</v>
      </c>
      <c r="P5" s="16" t="n">
        <f aca="false">+'[1]Daily Position'!T4</f>
        <v>-29537.34</v>
      </c>
      <c r="Q5" s="1" t="n">
        <f aca="false">+'[1]Daily Position'!U4</f>
        <v>1.47718523395298</v>
      </c>
    </row>
    <row r="6" customFormat="false" ht="12.75" hidden="false" customHeight="false" outlineLevel="0" collapsed="false">
      <c r="A6" s="124" t="str">
        <f aca="false">+'[1]Daily Position'!A5</f>
        <v>Active Power</v>
      </c>
      <c r="B6" s="125" t="n">
        <v>36741</v>
      </c>
      <c r="C6" s="125" t="n">
        <v>37836</v>
      </c>
      <c r="D6" s="126" t="s">
        <v>148</v>
      </c>
      <c r="E6" s="16" t="n">
        <v>0</v>
      </c>
      <c r="F6" s="126" t="s">
        <v>149</v>
      </c>
      <c r="G6" s="1" t="n">
        <f aca="false">+'[1]Daily Position'!G5</f>
        <v>53.000000195866</v>
      </c>
      <c r="H6" s="11" t="n">
        <f aca="false">SUM('[1]Daily Position'!$H$5:$H$12)</f>
        <v>1276382</v>
      </c>
      <c r="I6" s="16" t="n">
        <f aca="false">SUM('[1]Daily Position'!$I$5:$I$12)</f>
        <v>67648246.25</v>
      </c>
      <c r="J6" s="1" t="n">
        <f aca="false">+'[1]Daily Position'!N5</f>
        <v>5.63</v>
      </c>
      <c r="K6" s="127" t="n">
        <f aca="false">+'[1]Daily Position'!O5</f>
        <v>37117</v>
      </c>
      <c r="L6" s="16" t="n">
        <f aca="false">SUM('[1]Daily Position'!$P$5:$P$12)</f>
        <v>-15347880.06</v>
      </c>
      <c r="M6" s="16" t="n">
        <f aca="false">SUM('[1]Daily Position'!$Q$5:$Q$12)</f>
        <v>-27908157.12</v>
      </c>
      <c r="N6" s="128" t="n">
        <f aca="false">+L6+M6</f>
        <v>-43256037.18</v>
      </c>
      <c r="O6" s="16" t="n">
        <f aca="false">SUM('[1]Daily Position'!$S$5:$S$12)</f>
        <v>-27908157.12</v>
      </c>
      <c r="P6" s="16" t="n">
        <f aca="false">SUM('[1]Daily Position'!$T$5:$T$12)</f>
        <v>-43022757.1824</v>
      </c>
      <c r="Q6" s="1" t="n">
        <f aca="false">+'[1]Daily Position'!U5</f>
        <v>6.35</v>
      </c>
    </row>
    <row r="7" customFormat="false" ht="12.75" hidden="false" customHeight="false" outlineLevel="0" collapsed="false">
      <c r="A7" s="0" t="str">
        <f aca="false">+'[1]Daily Position'!A13</f>
        <v>Avici Systems</v>
      </c>
      <c r="B7" s="98" t="n">
        <v>36741</v>
      </c>
      <c r="C7" s="98" t="n">
        <v>37836</v>
      </c>
      <c r="D7" s="26" t="s">
        <v>148</v>
      </c>
      <c r="E7" s="16" t="n">
        <v>0</v>
      </c>
      <c r="F7" s="26" t="s">
        <v>149</v>
      </c>
      <c r="G7" s="1" t="n">
        <f aca="false">+'[1]Daily Position'!G13</f>
        <v>162.5</v>
      </c>
      <c r="H7" s="11" t="n">
        <f aca="false">+'[1]Daily Position'!H13</f>
        <v>1093426</v>
      </c>
      <c r="I7" s="16" t="n">
        <f aca="false">+'[1]Daily Position'!I13</f>
        <v>177681725</v>
      </c>
      <c r="J7" s="1" t="n">
        <f aca="false">+'[1]Daily Position'!N13</f>
        <v>4.2</v>
      </c>
      <c r="K7" s="99" t="n">
        <f aca="false">+'[1]Daily Position'!O13</f>
        <v>37117</v>
      </c>
      <c r="L7" s="16" t="n">
        <f aca="false">+'[1]Daily Position'!P13</f>
        <v>-172931035.8</v>
      </c>
      <c r="M7" s="16" t="n">
        <f aca="false">+'[1]Daily Position'!Q13</f>
        <v>-132061.02</v>
      </c>
      <c r="N7" s="12" t="n">
        <f aca="false">+L7+M7</f>
        <v>-173063096.82</v>
      </c>
      <c r="O7" s="16" t="n">
        <f aca="false">+'[1]Daily Position'!S13</f>
        <v>-132061.02</v>
      </c>
      <c r="P7" s="16" t="n">
        <f aca="false">+'[1]Daily Position'!T13</f>
        <v>-172932005.7</v>
      </c>
      <c r="Q7" s="1" t="n">
        <f aca="false">+'[1]Daily Position'!U13</f>
        <v>4.32</v>
      </c>
    </row>
    <row r="8" customFormat="false" ht="12.75" hidden="false" customHeight="false" outlineLevel="0" collapsed="false">
      <c r="A8" s="0" t="str">
        <f aca="false">+'[1]Daily Position'!A14</f>
        <v>Carrizo Warrants</v>
      </c>
      <c r="B8" s="98" t="n">
        <v>36741</v>
      </c>
      <c r="C8" s="98" t="n">
        <v>37836</v>
      </c>
      <c r="D8" s="26" t="s">
        <v>148</v>
      </c>
      <c r="E8" s="16" t="n">
        <v>0</v>
      </c>
      <c r="F8" s="26" t="s">
        <v>149</v>
      </c>
      <c r="G8" s="1" t="n">
        <f aca="false">+'[1]Daily Position'!G14</f>
        <v>4.19540251455472</v>
      </c>
      <c r="H8" s="11" t="n">
        <f aca="false">+'[1]Daily Position'!H14</f>
        <v>156250</v>
      </c>
      <c r="I8" s="16" t="n">
        <f aca="false">+'[1]Daily Position'!I14</f>
        <v>655531.64</v>
      </c>
      <c r="J8" s="1" t="n">
        <f aca="false">+'[1]Daily Position'!N14</f>
        <v>3.04067838295877</v>
      </c>
      <c r="K8" s="99" t="n">
        <f aca="false">+'[1]Daily Position'!O14</f>
        <v>37117</v>
      </c>
      <c r="L8" s="16" t="n">
        <f aca="false">+'[1]Daily Position'!P14</f>
        <v>0</v>
      </c>
      <c r="M8" s="16" t="n">
        <f aca="false">+'[1]Daily Position'!Q14</f>
        <v>-116000.39</v>
      </c>
      <c r="N8" s="12" t="n">
        <f aca="false">+L8+M8</f>
        <v>-116000.39</v>
      </c>
      <c r="O8" s="16" t="n">
        <f aca="false">+'[1]Daily Position'!S14</f>
        <v>-116000.39</v>
      </c>
      <c r="P8" s="16" t="n">
        <f aca="false">+'[1]Daily Position'!T14</f>
        <v>-116000.39</v>
      </c>
      <c r="Q8" s="1" t="n">
        <f aca="false">+'[1]Daily Position'!U14</f>
        <v>3.03786068545337</v>
      </c>
    </row>
    <row r="9" customFormat="false" ht="12.75" hidden="false" customHeight="false" outlineLevel="0" collapsed="false">
      <c r="A9" s="0" t="str">
        <f aca="false">+'[1]Daily Position'!A15</f>
        <v>Catalytica After 12/14</v>
      </c>
      <c r="H9" s="11" t="n">
        <f aca="false">+'[1]Daily Position'!H15</f>
        <v>1342889</v>
      </c>
      <c r="I9" s="16" t="n">
        <f aca="false">+'[1]Daily Position'!I15</f>
        <v>116115000</v>
      </c>
      <c r="J9" s="1" t="n">
        <f aca="false">+'[1]Daily Position'!N15</f>
        <v>10.451</v>
      </c>
      <c r="K9" s="99" t="n">
        <f aca="false">+'[1]Daily Position'!O15</f>
        <v>37117</v>
      </c>
      <c r="L9" s="16" t="n">
        <f aca="false">+'[1]Daily Position'!P15</f>
        <v>-102080467.06</v>
      </c>
      <c r="M9" s="16" t="n">
        <f aca="false">+'[1]Daily Position'!Q15</f>
        <v>0</v>
      </c>
      <c r="N9" s="12" t="n">
        <f aca="false">+L9+M9</f>
        <v>-102080467.06</v>
      </c>
      <c r="O9" s="16" t="n">
        <f aca="false">+'[1]Daily Position'!S15</f>
        <v>0</v>
      </c>
      <c r="P9" s="16" t="n">
        <f aca="false">+'[1]Daily Position'!T15</f>
        <v>-101799803.26</v>
      </c>
      <c r="Q9" s="1" t="n">
        <f aca="false">+'[1]Daily Position'!U15</f>
        <v>10.66</v>
      </c>
    </row>
    <row r="10" customFormat="false" ht="12.75" hidden="false" customHeight="false" outlineLevel="0" collapsed="false">
      <c r="A10" s="0" t="str">
        <f aca="false">+'[1]Daily Position'!A16</f>
        <v>Paradigm</v>
      </c>
      <c r="B10" s="98" t="n">
        <v>36741</v>
      </c>
      <c r="C10" s="98" t="n">
        <v>37836</v>
      </c>
      <c r="D10" s="26" t="s">
        <v>148</v>
      </c>
      <c r="E10" s="16" t="n">
        <v>0</v>
      </c>
      <c r="F10" s="26" t="s">
        <v>149</v>
      </c>
      <c r="G10" s="1" t="n">
        <f aca="false">+'[1]Daily Position'!G16</f>
        <v>5.875</v>
      </c>
      <c r="H10" s="11" t="n">
        <f aca="false">SUM('[1]Daily Position'!$H$16:$H$27)</f>
        <v>59891</v>
      </c>
      <c r="I10" s="16" t="n">
        <f aca="false">SUM('[1]Daily Position'!$I$16:$I$27)</f>
        <v>351859.63</v>
      </c>
      <c r="J10" s="1" t="n">
        <f aca="false">+'[1]Daily Position'!N16</f>
        <v>5.96</v>
      </c>
      <c r="K10" s="99" t="n">
        <f aca="false">+'[1]Daily Position'!O16</f>
        <v>37117</v>
      </c>
      <c r="L10" s="16" t="n">
        <f aca="false">SUM('[1]Daily Position'!$P$16:$P$27)</f>
        <v>0</v>
      </c>
      <c r="M10" s="16" t="n">
        <f aca="false">SUM('[1]Daily Position'!$Q$16:$Q$27)</f>
        <v>-17315.02</v>
      </c>
      <c r="N10" s="12" t="n">
        <f aca="false">+L10+M10</f>
        <v>-17315.02</v>
      </c>
      <c r="O10" s="16" t="n">
        <f aca="false">SUM('[1]Daily Position'!$S$16:$S$27)</f>
        <v>-17315.02</v>
      </c>
      <c r="P10" s="16" t="n">
        <f aca="false">SUM('[1]Daily Position'!$T$16:$T$27)</f>
        <v>-17315.0169</v>
      </c>
      <c r="Q10" s="1" t="n">
        <f aca="false">+'[1]Daily Position'!U16</f>
        <v>6.05</v>
      </c>
    </row>
    <row r="11" customFormat="false" ht="12.75" hidden="false" customHeight="false" outlineLevel="0" collapsed="false">
      <c r="A11" s="0" t="str">
        <f aca="false">+'[1]Daily Position'!A28</f>
        <v>Place Resources</v>
      </c>
      <c r="B11" s="98" t="n">
        <v>36741</v>
      </c>
      <c r="C11" s="98" t="n">
        <v>37836</v>
      </c>
      <c r="D11" s="26" t="s">
        <v>148</v>
      </c>
      <c r="E11" s="16" t="n">
        <v>0</v>
      </c>
      <c r="F11" s="26" t="s">
        <v>149</v>
      </c>
      <c r="G11" s="1" t="n">
        <f aca="false">+'[1]Daily Position'!G28</f>
        <v>1.68395</v>
      </c>
      <c r="H11" s="11" t="n">
        <f aca="false">+'[1]Daily Position'!H28</f>
        <v>735000</v>
      </c>
      <c r="I11" s="16" t="n">
        <f aca="false">+'[1]Daily Position'!I28</f>
        <v>1237703.25</v>
      </c>
      <c r="J11" s="1" t="n">
        <f aca="false">+'[1]Daily Position'!N28</f>
        <v>0</v>
      </c>
      <c r="K11" s="99" t="n">
        <f aca="false">+'[1]Daily Position'!O28</f>
        <v>37117</v>
      </c>
      <c r="L11" s="16" t="n">
        <f aca="false">+'[1]Daily Position'!P28</f>
        <v>0</v>
      </c>
      <c r="M11" s="16" t="n">
        <f aca="false">+'[1]Daily Position'!Q28</f>
        <v>186715.35</v>
      </c>
      <c r="N11" s="12" t="n">
        <f aca="false">+L11+M11</f>
        <v>186715.35</v>
      </c>
      <c r="O11" s="16" t="n">
        <f aca="false">+'[1]Daily Position'!S28</f>
        <v>186715.35</v>
      </c>
      <c r="P11" s="16" t="n">
        <f aca="false">+'[1]Daily Position'!T28</f>
        <v>186715.354651162</v>
      </c>
      <c r="Q11" s="1" t="n">
        <f aca="false">+'[1]Daily Position'!U28</f>
        <v>1.93798449612403</v>
      </c>
    </row>
    <row r="12" customFormat="false" ht="12.75" hidden="false" customHeight="false" outlineLevel="0" collapsed="false">
      <c r="A12" s="0" t="str">
        <f aca="false">+'[1]Daily Position'!A29</f>
        <v>DevX Energy Common</v>
      </c>
      <c r="B12" s="98" t="n">
        <v>36741</v>
      </c>
      <c r="C12" s="98" t="n">
        <v>37836</v>
      </c>
      <c r="D12" s="26" t="s">
        <v>148</v>
      </c>
      <c r="E12" s="16" t="n">
        <v>0</v>
      </c>
      <c r="F12" s="26" t="s">
        <v>149</v>
      </c>
      <c r="G12" s="1" t="n">
        <f aca="false">+'[1]Daily Position'!G29</f>
        <v>14.0397655556213</v>
      </c>
      <c r="H12" s="11" t="n">
        <f aca="false">+'[1]Daily Position'!H29</f>
        <v>10134.6</v>
      </c>
      <c r="I12" s="16" t="n">
        <f aca="false">+'[1]Daily Position'!I29</f>
        <v>142287.41</v>
      </c>
      <c r="J12" s="1" t="n">
        <f aca="false">+'[1]Daily Position'!N29</f>
        <v>6</v>
      </c>
      <c r="K12" s="99" t="n">
        <f aca="false">+'[1]Daily Position'!O29</f>
        <v>37117</v>
      </c>
      <c r="L12" s="16" t="n">
        <f aca="false">+'[1]Daily Position'!P29</f>
        <v>0</v>
      </c>
      <c r="M12" s="16" t="n">
        <f aca="false">+'[1]Daily Position'!Q29</f>
        <v>-61218.11</v>
      </c>
      <c r="N12" s="12" t="n">
        <f aca="false">+L12+M12</f>
        <v>-61218.11</v>
      </c>
      <c r="O12" s="16" t="n">
        <f aca="false">+'[1]Daily Position'!S29</f>
        <v>-61218.11</v>
      </c>
      <c r="P12" s="16" t="n">
        <f aca="false">+'[1]Daily Position'!T29</f>
        <v>-61218.11</v>
      </c>
      <c r="Q12" s="1" t="n">
        <f aca="false">+'[1]Daily Position'!U29</f>
        <v>6.11</v>
      </c>
    </row>
    <row r="13" customFormat="false" ht="12.75" hidden="false" customHeight="false" outlineLevel="0" collapsed="false">
      <c r="A13" s="0" t="str">
        <f aca="false">+'[1]Daily Position'!A30</f>
        <v>DevX Energy Pref</v>
      </c>
      <c r="B13" s="98" t="n">
        <v>36741</v>
      </c>
      <c r="C13" s="98" t="n">
        <v>37836</v>
      </c>
      <c r="D13" s="26" t="s">
        <v>148</v>
      </c>
      <c r="E13" s="16" t="n">
        <v>0</v>
      </c>
      <c r="F13" s="26" t="s">
        <v>149</v>
      </c>
      <c r="G13" s="1" t="n">
        <f aca="false">+'[1]Daily Position'!G30</f>
        <v>4.06588235294118</v>
      </c>
      <c r="H13" s="11" t="n">
        <f aca="false">+'[1]Daily Position'!H30</f>
        <v>127500</v>
      </c>
      <c r="I13" s="16" t="n">
        <f aca="false">+'[1]Daily Position'!I30</f>
        <v>518400</v>
      </c>
      <c r="J13" s="1" t="n">
        <f aca="false">+'[1]Daily Position'!N30</f>
        <v>6</v>
      </c>
      <c r="K13" s="99" t="n">
        <f aca="false">+'[1]Daily Position'!O30</f>
        <v>37117</v>
      </c>
      <c r="L13" s="16" t="n">
        <f aca="false">+'[1]Daily Position'!P30</f>
        <v>0</v>
      </c>
      <c r="M13" s="16" t="n">
        <f aca="false">+'[1]Daily Position'!Q30</f>
        <v>374070</v>
      </c>
      <c r="N13" s="12" t="n">
        <f aca="false">+L13+M13</f>
        <v>374070</v>
      </c>
      <c r="O13" s="16" t="n">
        <f aca="false">+'[1]Daily Position'!S30</f>
        <v>374070</v>
      </c>
      <c r="P13" s="16" t="n">
        <f aca="false">+'[1]Daily Position'!T30</f>
        <v>374070</v>
      </c>
      <c r="Q13" s="1" t="n">
        <f aca="false">+'[1]Daily Position'!U30</f>
        <v>6.11</v>
      </c>
    </row>
    <row r="14" customFormat="false" ht="12.75" hidden="false" customHeight="false" outlineLevel="0" collapsed="false">
      <c r="A14" s="0" t="str">
        <f aca="false">+'[1]Daily Position'!A31</f>
        <v>Quicksilver</v>
      </c>
      <c r="B14" s="98" t="n">
        <v>36741</v>
      </c>
      <c r="C14" s="98" t="n">
        <v>37836</v>
      </c>
      <c r="D14" s="26" t="s">
        <v>148</v>
      </c>
      <c r="E14" s="16" t="n">
        <v>0</v>
      </c>
      <c r="F14" s="26" t="s">
        <v>149</v>
      </c>
      <c r="G14" s="1" t="n">
        <f aca="false">+'[1]Daily Position'!G31</f>
        <v>7.625</v>
      </c>
      <c r="H14" s="11" t="n">
        <f aca="false">+'[1]Daily Position'!H31</f>
        <v>804243</v>
      </c>
      <c r="I14" s="16" t="n">
        <f aca="false">+'[1]Daily Position'!I31</f>
        <v>6132352.88</v>
      </c>
      <c r="J14" s="1" t="n">
        <f aca="false">+'[1]Daily Position'!N31</f>
        <v>0</v>
      </c>
      <c r="K14" s="99" t="n">
        <f aca="false">+'[1]Daily Position'!O31</f>
        <v>37117</v>
      </c>
      <c r="L14" s="16" t="n">
        <f aca="false">+'[1]Daily Position'!P31</f>
        <v>0</v>
      </c>
      <c r="M14" s="16" t="n">
        <f aca="false">+'[1]Daily Position'!Q31</f>
        <v>-727840.28</v>
      </c>
      <c r="N14" s="12" t="n">
        <f aca="false">+L14+M14</f>
        <v>-727840.28</v>
      </c>
      <c r="O14" s="16" t="n">
        <f aca="false">+'[1]Daily Position'!S31</f>
        <v>-727840.28</v>
      </c>
      <c r="P14" s="16" t="n">
        <f aca="false">+'[1]Daily Position'!T31</f>
        <v>-727840.28</v>
      </c>
      <c r="Q14" s="1" t="n">
        <f aca="false">+'[1]Daily Position'!U31</f>
        <v>0</v>
      </c>
    </row>
    <row r="15" customFormat="false" ht="12.75" hidden="false" customHeight="false" outlineLevel="0" collapsed="false">
      <c r="J15" s="1"/>
      <c r="L15" s="16"/>
      <c r="M15" s="16"/>
      <c r="N15" s="12"/>
      <c r="P15" s="16"/>
      <c r="Q15" s="1"/>
    </row>
    <row r="16" customFormat="false" ht="15.75" hidden="false" customHeight="false" outlineLevel="0" collapsed="false">
      <c r="A16" s="123" t="s">
        <v>150</v>
      </c>
      <c r="J16" s="1"/>
      <c r="L16" s="16"/>
      <c r="M16" s="16"/>
      <c r="N16" s="12"/>
      <c r="P16" s="16"/>
      <c r="Q16" s="1"/>
    </row>
    <row r="17" customFormat="false" ht="12.75" hidden="false" customHeight="false" outlineLevel="0" collapsed="false">
      <c r="A17" s="60" t="str">
        <f aca="false">+'[1]Daily Position'!A34</f>
        <v>Amerada Hess Exposure</v>
      </c>
      <c r="B17" s="98" t="n">
        <v>36741</v>
      </c>
      <c r="C17" s="98" t="n">
        <v>37836</v>
      </c>
      <c r="D17" s="26" t="s">
        <v>148</v>
      </c>
      <c r="E17" s="16" t="n">
        <v>0</v>
      </c>
      <c r="F17" s="26" t="s">
        <v>149</v>
      </c>
      <c r="I17" s="16" t="n">
        <f aca="false">+'[1]Daily Position'!I34</f>
        <v>1250000</v>
      </c>
      <c r="J17" s="1" t="n">
        <f aca="false">+'[1]Daily Position'!N34</f>
        <v>1250000</v>
      </c>
      <c r="K17" s="99" t="n">
        <f aca="false">+'[1]Daily Position'!O34</f>
        <v>37117</v>
      </c>
      <c r="L17" s="16" t="n">
        <f aca="false">+'[1]Daily Position'!P34</f>
        <v>0</v>
      </c>
      <c r="M17" s="16" t="n">
        <f aca="false">+'[1]Daily Position'!Q34</f>
        <v>0</v>
      </c>
      <c r="N17" s="12" t="n">
        <f aca="false">+L17+M17</f>
        <v>0</v>
      </c>
      <c r="O17" s="16" t="n">
        <f aca="false">+'[1]Daily Position'!S34</f>
        <v>0</v>
      </c>
      <c r="P17" s="16" t="n">
        <f aca="false">+'[1]Daily Position'!T34</f>
        <v>0</v>
      </c>
      <c r="Q17" s="1" t="n">
        <f aca="false">+'[1]Daily Position'!U34</f>
        <v>1250000</v>
      </c>
    </row>
    <row r="18" customFormat="false" ht="12.75" hidden="false" customHeight="false" outlineLevel="0" collapsed="false">
      <c r="A18" s="0" t="str">
        <f aca="false">+'[1]Daily Position'!A35</f>
        <v>Ameritex</v>
      </c>
      <c r="B18" s="98" t="n">
        <v>36741</v>
      </c>
      <c r="C18" s="98" t="n">
        <v>37836</v>
      </c>
      <c r="D18" s="26" t="s">
        <v>148</v>
      </c>
      <c r="E18" s="16" t="n">
        <v>0</v>
      </c>
      <c r="F18" s="26" t="s">
        <v>149</v>
      </c>
      <c r="I18" s="16" t="n">
        <f aca="false">+'[1]Daily Position'!I35</f>
        <v>4563600</v>
      </c>
      <c r="J18" s="1" t="n">
        <f aca="false">+'[1]Daily Position'!N35</f>
        <v>1209030.26</v>
      </c>
      <c r="K18" s="99" t="n">
        <f aca="false">+'[1]Daily Position'!O35</f>
        <v>37117</v>
      </c>
      <c r="L18" s="16" t="n">
        <f aca="false">+'[1]Daily Position'!P35</f>
        <v>-3354569.74</v>
      </c>
      <c r="M18" s="16" t="n">
        <f aca="false">+'[1]Daily Position'!Q35</f>
        <v>0</v>
      </c>
      <c r="N18" s="12" t="n">
        <f aca="false">+L18+M18</f>
        <v>-3354569.74</v>
      </c>
      <c r="O18" s="16" t="n">
        <f aca="false">+'[1]Daily Position'!S35</f>
        <v>0</v>
      </c>
      <c r="P18" s="16" t="n">
        <f aca="false">+'[1]Daily Position'!T35</f>
        <v>-3354569.74</v>
      </c>
      <c r="Q18" s="1" t="n">
        <f aca="false">+'[1]Daily Position'!U35</f>
        <v>1209030.26</v>
      </c>
    </row>
    <row r="19" customFormat="false" ht="12.75" hidden="false" customHeight="false" outlineLevel="0" collapsed="false">
      <c r="A19" s="0" t="str">
        <f aca="false">+'[1]Daily Position'!A36</f>
        <v>Basic Energy Preferred</v>
      </c>
      <c r="B19" s="98" t="n">
        <v>36741</v>
      </c>
      <c r="C19" s="98" t="n">
        <v>37836</v>
      </c>
      <c r="D19" s="26" t="s">
        <v>148</v>
      </c>
      <c r="E19" s="16" t="n">
        <v>0</v>
      </c>
      <c r="F19" s="26" t="s">
        <v>149</v>
      </c>
      <c r="I19" s="16" t="n">
        <f aca="false">+'[1]Daily Position'!I36</f>
        <v>2136334</v>
      </c>
      <c r="J19" s="1" t="n">
        <f aca="false">+'[1]Daily Position'!N36</f>
        <v>770244.5</v>
      </c>
      <c r="K19" s="99" t="n">
        <f aca="false">+'[1]Daily Position'!O36</f>
        <v>37117</v>
      </c>
      <c r="L19" s="16" t="n">
        <f aca="false">+'[1]Daily Position'!P36</f>
        <v>-1366089.5</v>
      </c>
      <c r="M19" s="16" t="n">
        <f aca="false">+'[1]Daily Position'!Q36</f>
        <v>0</v>
      </c>
      <c r="N19" s="12" t="n">
        <f aca="false">+L19+M19</f>
        <v>-1366089.5</v>
      </c>
      <c r="O19" s="16" t="n">
        <f aca="false">+'[1]Daily Position'!S36</f>
        <v>0</v>
      </c>
      <c r="P19" s="16" t="n">
        <f aca="false">+'[1]Daily Position'!T36</f>
        <v>-1366089.5</v>
      </c>
      <c r="Q19" s="1" t="n">
        <f aca="false">+'[1]Daily Position'!U36</f>
        <v>770244.5</v>
      </c>
    </row>
    <row r="20" customFormat="false" ht="12.75" hidden="false" customHeight="false" outlineLevel="0" collapsed="false">
      <c r="A20" s="0" t="str">
        <f aca="false">+'[1]Daily Position'!A37</f>
        <v>Black Bay</v>
      </c>
      <c r="B20" s="98" t="n">
        <v>36741</v>
      </c>
      <c r="C20" s="98" t="n">
        <v>37836</v>
      </c>
      <c r="D20" s="26" t="s">
        <v>148</v>
      </c>
      <c r="E20" s="16" t="n">
        <v>0</v>
      </c>
      <c r="F20" s="26" t="s">
        <v>149</v>
      </c>
      <c r="I20" s="16" t="n">
        <f aca="false">+'[1]Daily Position'!I37</f>
        <v>429975</v>
      </c>
      <c r="J20" s="1" t="n">
        <f aca="false">+'[1]Daily Position'!N37</f>
        <v>0</v>
      </c>
      <c r="K20" s="99" t="n">
        <f aca="false">+'[1]Daily Position'!O37</f>
        <v>37117</v>
      </c>
      <c r="L20" s="16" t="n">
        <f aca="false">+'[1]Daily Position'!P37</f>
        <v>0</v>
      </c>
      <c r="M20" s="16" t="n">
        <f aca="false">+'[1]Daily Position'!Q37</f>
        <v>-57827.87</v>
      </c>
      <c r="N20" s="12" t="n">
        <f aca="false">+L20+M20</f>
        <v>-57827.87</v>
      </c>
      <c r="O20" s="16" t="n">
        <f aca="false">+'[1]Daily Position'!S37</f>
        <v>-57827.87</v>
      </c>
      <c r="P20" s="16" t="n">
        <f aca="false">+'[1]Daily Position'!T37</f>
        <v>-57827.87</v>
      </c>
      <c r="Q20" s="1" t="n">
        <f aca="false">+'[1]Daily Position'!U37</f>
        <v>372147.13</v>
      </c>
    </row>
    <row r="21" customFormat="false" ht="12.75" hidden="false" customHeight="false" outlineLevel="0" collapsed="false">
      <c r="A21" s="0" t="str">
        <f aca="false">+'[1]Daily Position'!A38</f>
        <v>Brigham Secured SubDebt</v>
      </c>
      <c r="B21" s="98" t="n">
        <v>36741</v>
      </c>
      <c r="C21" s="98" t="n">
        <v>37836</v>
      </c>
      <c r="D21" s="26" t="s">
        <v>148</v>
      </c>
      <c r="E21" s="16" t="n">
        <v>0</v>
      </c>
      <c r="F21" s="26" t="s">
        <v>149</v>
      </c>
      <c r="I21" s="16" t="n">
        <f aca="false">+'[1]Daily Position'!I38</f>
        <v>12500000</v>
      </c>
      <c r="J21" s="1" t="n">
        <f aca="false">+'[1]Daily Position'!N38</f>
        <v>0</v>
      </c>
      <c r="K21" s="99" t="n">
        <f aca="false">+'[1]Daily Position'!O38</f>
        <v>37117</v>
      </c>
      <c r="L21" s="16" t="n">
        <f aca="false">+'[1]Daily Position'!P38</f>
        <v>0</v>
      </c>
      <c r="M21" s="16" t="n">
        <f aca="false">+'[1]Daily Position'!Q38</f>
        <v>65511</v>
      </c>
      <c r="N21" s="12" t="n">
        <f aca="false">+L21+M21</f>
        <v>65511</v>
      </c>
      <c r="O21" s="16" t="n">
        <f aca="false">+'[1]Daily Position'!S38</f>
        <v>65511</v>
      </c>
      <c r="P21" s="16" t="n">
        <f aca="false">+'[1]Daily Position'!T38</f>
        <v>65511</v>
      </c>
      <c r="Q21" s="1" t="n">
        <f aca="false">+'[1]Daily Position'!U38</f>
        <v>12565511</v>
      </c>
    </row>
    <row r="22" customFormat="false" ht="12.75" hidden="false" customHeight="false" outlineLevel="0" collapsed="false">
      <c r="A22" s="0" t="str">
        <f aca="false">+'[1]Daily Position'!A39</f>
        <v>Catalytica Before 12/14</v>
      </c>
      <c r="B22" s="98" t="n">
        <v>36741</v>
      </c>
      <c r="C22" s="98" t="n">
        <v>37836</v>
      </c>
      <c r="D22" s="26" t="s">
        <v>148</v>
      </c>
      <c r="E22" s="16" t="n">
        <v>0</v>
      </c>
      <c r="F22" s="26" t="s">
        <v>149</v>
      </c>
      <c r="I22" s="16" t="n">
        <f aca="false">+'[1]Daily Position'!I39</f>
        <v>0</v>
      </c>
      <c r="J22" s="1" t="n">
        <f aca="false">+'[1]Daily Position'!N39</f>
        <v>0</v>
      </c>
      <c r="K22" s="99" t="n">
        <f aca="false">+'[1]Daily Position'!O39</f>
        <v>37117</v>
      </c>
      <c r="L22" s="16" t="n">
        <f aca="false">+'[1]Daily Position'!P39</f>
        <v>0</v>
      </c>
      <c r="M22" s="16" t="n">
        <f aca="false">+'[1]Daily Position'!Q39</f>
        <v>0</v>
      </c>
      <c r="N22" s="12" t="n">
        <f aca="false">+L22+M22</f>
        <v>0</v>
      </c>
      <c r="O22" s="16" t="n">
        <f aca="false">+'[1]Daily Position'!S39</f>
        <v>0</v>
      </c>
      <c r="P22" s="16" t="n">
        <f aca="false">+'[1]Daily Position'!T39</f>
        <v>0</v>
      </c>
      <c r="Q22" s="1" t="n">
        <f aca="false">+'[1]Daily Position'!U39</f>
        <v>0</v>
      </c>
    </row>
    <row r="23" customFormat="false" ht="12.75" hidden="false" customHeight="false" outlineLevel="0" collapsed="false">
      <c r="A23" s="0" t="str">
        <f aca="false">+'[1]Daily Position'!A40</f>
        <v>City Forest IPC</v>
      </c>
      <c r="B23" s="98" t="n">
        <v>36741</v>
      </c>
      <c r="C23" s="98" t="n">
        <v>37836</v>
      </c>
      <c r="D23" s="26" t="s">
        <v>148</v>
      </c>
      <c r="E23" s="16" t="n">
        <v>0</v>
      </c>
      <c r="F23" s="26" t="s">
        <v>149</v>
      </c>
      <c r="I23" s="16" t="n">
        <f aca="false">+'[1]Daily Position'!I40</f>
        <v>1663000</v>
      </c>
      <c r="J23" s="1" t="n">
        <f aca="false">+'[1]Daily Position'!N40</f>
        <v>0</v>
      </c>
      <c r="K23" s="99" t="n">
        <f aca="false">+'[1]Daily Position'!O40</f>
        <v>37117</v>
      </c>
      <c r="L23" s="16" t="n">
        <f aca="false">+'[1]Daily Position'!P40</f>
        <v>-1663000</v>
      </c>
      <c r="M23" s="16" t="n">
        <f aca="false">+'[1]Daily Position'!Q40</f>
        <v>0</v>
      </c>
      <c r="N23" s="12" t="n">
        <f aca="false">+L23+M23</f>
        <v>-1663000</v>
      </c>
      <c r="O23" s="16" t="n">
        <f aca="false">+'[1]Daily Position'!S40</f>
        <v>0</v>
      </c>
      <c r="P23" s="16" t="n">
        <f aca="false">+'[1]Daily Position'!T40</f>
        <v>-1663000</v>
      </c>
      <c r="Q23" s="1" t="n">
        <f aca="false">+'[1]Daily Position'!U40</f>
        <v>0</v>
      </c>
    </row>
    <row r="24" customFormat="false" ht="12.75" hidden="false" customHeight="false" outlineLevel="0" collapsed="false">
      <c r="A24" s="0" t="str">
        <f aca="false">+'[1]Daily Position'!A41</f>
        <v>Ecogas Loan &amp; Equity</v>
      </c>
      <c r="B24" s="98" t="n">
        <v>36741</v>
      </c>
      <c r="C24" s="98" t="n">
        <v>37836</v>
      </c>
      <c r="D24" s="26" t="s">
        <v>148</v>
      </c>
      <c r="E24" s="16" t="n">
        <v>0</v>
      </c>
      <c r="F24" s="26" t="s">
        <v>149</v>
      </c>
      <c r="I24" s="16" t="n">
        <f aca="false">+'[1]Daily Position'!I41</f>
        <v>12878050</v>
      </c>
      <c r="J24" s="1" t="n">
        <f aca="false">+'[1]Daily Position'!N41</f>
        <v>0</v>
      </c>
      <c r="K24" s="99" t="n">
        <f aca="false">+'[1]Daily Position'!O41</f>
        <v>37117</v>
      </c>
      <c r="L24" s="16" t="n">
        <f aca="false">+'[1]Daily Position'!P41</f>
        <v>-12878050</v>
      </c>
      <c r="M24" s="16" t="n">
        <f aca="false">+'[1]Daily Position'!Q41</f>
        <v>0</v>
      </c>
      <c r="N24" s="12" t="n">
        <f aca="false">+L24+M24</f>
        <v>-12878050</v>
      </c>
      <c r="O24" s="16" t="n">
        <f aca="false">+'[1]Daily Position'!S41</f>
        <v>0</v>
      </c>
      <c r="P24" s="16" t="n">
        <f aca="false">+'[1]Daily Position'!T41</f>
        <v>-12878050</v>
      </c>
      <c r="Q24" s="1" t="n">
        <f aca="false">+'[1]Daily Position'!U41</f>
        <v>0</v>
      </c>
    </row>
    <row r="25" customFormat="false" ht="12.75" hidden="false" customHeight="false" outlineLevel="0" collapsed="false">
      <c r="A25" s="0" t="str">
        <f aca="false">+'[1]Daily Position'!A42</f>
        <v>Geo. Pursuit (EBGB)</v>
      </c>
      <c r="B25" s="98" t="n">
        <v>36741</v>
      </c>
      <c r="C25" s="98" t="n">
        <v>37836</v>
      </c>
      <c r="D25" s="26" t="s">
        <v>148</v>
      </c>
      <c r="E25" s="16" t="n">
        <v>0</v>
      </c>
      <c r="F25" s="26" t="s">
        <v>149</v>
      </c>
      <c r="I25" s="16" t="n">
        <f aca="false">+'[1]Daily Position'!I42</f>
        <v>1012500</v>
      </c>
      <c r="J25" s="1" t="n">
        <f aca="false">+'[1]Daily Position'!N42</f>
        <v>0</v>
      </c>
      <c r="K25" s="99" t="n">
        <f aca="false">+'[1]Daily Position'!O42</f>
        <v>37117</v>
      </c>
      <c r="L25" s="16" t="n">
        <f aca="false">+'[1]Daily Position'!P42</f>
        <v>0</v>
      </c>
      <c r="M25" s="16" t="n">
        <f aca="false">+'[1]Daily Position'!Q42</f>
        <v>-887500</v>
      </c>
      <c r="N25" s="12" t="n">
        <f aca="false">+L25+M25</f>
        <v>-887500</v>
      </c>
      <c r="O25" s="16" t="n">
        <f aca="false">+'[1]Daily Position'!S42</f>
        <v>-887500</v>
      </c>
      <c r="P25" s="16" t="n">
        <f aca="false">+'[1]Daily Position'!T42</f>
        <v>-887500</v>
      </c>
      <c r="Q25" s="1" t="n">
        <f aca="false">+'[1]Daily Position'!U42</f>
        <v>125000</v>
      </c>
    </row>
    <row r="26" customFormat="false" ht="12.75" hidden="false" customHeight="false" outlineLevel="0" collapsed="false">
      <c r="A26" s="0" t="str">
        <f aca="false">+'[1]Daily Position'!A43</f>
        <v>Heartland Common</v>
      </c>
      <c r="B26" s="98" t="n">
        <v>36741</v>
      </c>
      <c r="C26" s="98" t="n">
        <v>37836</v>
      </c>
      <c r="D26" s="26" t="s">
        <v>148</v>
      </c>
      <c r="E26" s="16" t="n">
        <v>0</v>
      </c>
      <c r="F26" s="26" t="s">
        <v>149</v>
      </c>
      <c r="G26" s="1" t="n">
        <f aca="false">+'[1]Daily Position'!G43</f>
        <v>136.649295766461</v>
      </c>
      <c r="H26" s="11" t="n">
        <f aca="false">+'[1]Daily Position'!H43</f>
        <v>172031</v>
      </c>
      <c r="I26" s="16" t="n">
        <f aca="false">+'[1]Daily Position'!I43</f>
        <v>23507915</v>
      </c>
      <c r="J26" s="1" t="n">
        <f aca="false">+'[1]Daily Position'!N43</f>
        <v>2.83122062683105E-007</v>
      </c>
      <c r="K26" s="99" t="n">
        <f aca="false">+'[1]Daily Position'!O43</f>
        <v>37117</v>
      </c>
      <c r="L26" s="16" t="n">
        <f aca="false">+'[1]Daily Position'!P43</f>
        <v>-23507914.9999997</v>
      </c>
      <c r="M26" s="16" t="n">
        <f aca="false">+'[1]Daily Position'!Q43</f>
        <v>0</v>
      </c>
      <c r="N26" s="12" t="n">
        <f aca="false">+L26+M26</f>
        <v>-23507914.9999997</v>
      </c>
      <c r="O26" s="16" t="n">
        <f aca="false">+'[1]Daily Position'!S43</f>
        <v>0</v>
      </c>
      <c r="P26" s="16" t="n">
        <f aca="false">+'[1]Daily Position'!T43</f>
        <v>-23507914.9999997</v>
      </c>
      <c r="Q26" s="1" t="n">
        <f aca="false">+'[1]Daily Position'!U43</f>
        <v>2.83122062683105E-007</v>
      </c>
    </row>
    <row r="27" customFormat="false" ht="12.75" hidden="false" customHeight="false" outlineLevel="0" collapsed="false">
      <c r="A27" s="0" t="str">
        <f aca="false">+'[1]Daily Position'!A44</f>
        <v>Heartland Common (Condor)</v>
      </c>
      <c r="B27" s="98" t="n">
        <v>36741</v>
      </c>
      <c r="C27" s="98" t="n">
        <v>37836</v>
      </c>
      <c r="D27" s="26" t="s">
        <v>148</v>
      </c>
      <c r="E27" s="16" t="n">
        <v>0</v>
      </c>
      <c r="F27" s="26" t="s">
        <v>149</v>
      </c>
      <c r="I27" s="16" t="n">
        <f aca="false">+'[1]Daily Position'!I44</f>
        <v>10372212</v>
      </c>
      <c r="J27" s="1" t="n">
        <f aca="false">+'[1]Daily Position'!N44</f>
        <v>0</v>
      </c>
      <c r="K27" s="99" t="n">
        <f aca="false">+'[1]Daily Position'!O44</f>
        <v>37117</v>
      </c>
      <c r="L27" s="16" t="n">
        <f aca="false">+'[1]Daily Position'!P44</f>
        <v>-10372212</v>
      </c>
      <c r="M27" s="16" t="n">
        <f aca="false">+'[1]Daily Position'!Q44</f>
        <v>0</v>
      </c>
      <c r="N27" s="12" t="n">
        <f aca="false">+L27+M27</f>
        <v>-10372212</v>
      </c>
      <c r="O27" s="16" t="n">
        <f aca="false">+'[1]Daily Position'!S44</f>
        <v>0</v>
      </c>
      <c r="P27" s="16" t="n">
        <f aca="false">+'[1]Daily Position'!T44</f>
        <v>-10372212</v>
      </c>
      <c r="Q27" s="1" t="n">
        <f aca="false">+'[1]Daily Position'!U44</f>
        <v>0</v>
      </c>
    </row>
    <row r="28" customFormat="false" ht="12.75" hidden="false" customHeight="false" outlineLevel="0" collapsed="false">
      <c r="A28" s="0" t="str">
        <f aca="false">+'[1]Daily Position'!A45</f>
        <v>Heartland Loan</v>
      </c>
      <c r="B28" s="98" t="n">
        <v>36741</v>
      </c>
      <c r="C28" s="98" t="n">
        <v>37836</v>
      </c>
      <c r="D28" s="26" t="s">
        <v>148</v>
      </c>
      <c r="E28" s="16" t="n">
        <v>0</v>
      </c>
      <c r="F28" s="26" t="s">
        <v>149</v>
      </c>
      <c r="I28" s="16" t="n">
        <f aca="false">+'[1]Daily Position'!I45</f>
        <v>1302980</v>
      </c>
      <c r="J28" s="1" t="n">
        <f aca="false">+'[1]Daily Position'!N45</f>
        <v>137317.57</v>
      </c>
      <c r="K28" s="99" t="n">
        <f aca="false">+'[1]Daily Position'!O45</f>
        <v>37117</v>
      </c>
      <c r="L28" s="16" t="n">
        <f aca="false">+'[1]Daily Position'!P45</f>
        <v>-1165662.43</v>
      </c>
      <c r="M28" s="16" t="n">
        <f aca="false">+'[1]Daily Position'!Q45</f>
        <v>0</v>
      </c>
      <c r="N28" s="12" t="n">
        <f aca="false">+L28+M28</f>
        <v>-1165662.43</v>
      </c>
      <c r="O28" s="16" t="n">
        <f aca="false">+'[1]Daily Position'!S45</f>
        <v>0</v>
      </c>
      <c r="P28" s="16" t="n">
        <f aca="false">+'[1]Daily Position'!T45</f>
        <v>-1165662.43</v>
      </c>
      <c r="Q28" s="1" t="n">
        <f aca="false">+'[1]Daily Position'!U45</f>
        <v>137317.57</v>
      </c>
    </row>
    <row r="29" customFormat="false" ht="12.75" hidden="false" customHeight="false" outlineLevel="0" collapsed="false">
      <c r="A29" s="0" t="str">
        <f aca="false">+'[1]Daily Position'!A46</f>
        <v>Heartland Warrants</v>
      </c>
      <c r="B29" s="98" t="n">
        <v>36741</v>
      </c>
      <c r="C29" s="98" t="n">
        <v>37836</v>
      </c>
      <c r="D29" s="26" t="s">
        <v>148</v>
      </c>
      <c r="E29" s="16" t="n">
        <v>0</v>
      </c>
      <c r="F29" s="26" t="s">
        <v>149</v>
      </c>
      <c r="I29" s="16" t="n">
        <f aca="false">+'[1]Daily Position'!I46</f>
        <v>3486752</v>
      </c>
      <c r="J29" s="1" t="n">
        <f aca="false">+'[1]Daily Position'!N46</f>
        <v>0</v>
      </c>
      <c r="K29" s="99" t="n">
        <f aca="false">+'[1]Daily Position'!O46</f>
        <v>37117</v>
      </c>
      <c r="L29" s="16" t="n">
        <f aca="false">+'[1]Daily Position'!P46</f>
        <v>-3486752</v>
      </c>
      <c r="M29" s="16" t="n">
        <f aca="false">+'[1]Daily Position'!Q46</f>
        <v>0</v>
      </c>
      <c r="N29" s="12" t="n">
        <f aca="false">+L29+M29</f>
        <v>-3486752</v>
      </c>
      <c r="O29" s="16" t="n">
        <f aca="false">+'[1]Daily Position'!S46</f>
        <v>0</v>
      </c>
      <c r="P29" s="16" t="n">
        <f aca="false">+'[1]Daily Position'!T46</f>
        <v>-3486752</v>
      </c>
      <c r="Q29" s="1" t="n">
        <f aca="false">+'[1]Daily Position'!U46</f>
        <v>0</v>
      </c>
    </row>
    <row r="30" customFormat="false" ht="12.75" hidden="false" customHeight="false" outlineLevel="0" collapsed="false">
      <c r="A30" s="0" t="str">
        <f aca="false">+'[1]Daily Position'!A47</f>
        <v>Hughes Rawls Loan</v>
      </c>
      <c r="B30" s="98" t="n">
        <v>36741</v>
      </c>
      <c r="C30" s="98" t="n">
        <v>37836</v>
      </c>
      <c r="D30" s="26" t="s">
        <v>148</v>
      </c>
      <c r="E30" s="16" t="n">
        <v>0</v>
      </c>
      <c r="F30" s="26" t="s">
        <v>149</v>
      </c>
      <c r="I30" s="16" t="n">
        <f aca="false">+'[1]Daily Position'!I47</f>
        <v>429210</v>
      </c>
      <c r="J30" s="1" t="n">
        <f aca="false">+'[1]Daily Position'!N47</f>
        <v>1100000</v>
      </c>
      <c r="K30" s="99" t="n">
        <f aca="false">+'[1]Daily Position'!O47</f>
        <v>37117</v>
      </c>
      <c r="L30" s="16" t="n">
        <f aca="false">+'[1]Daily Position'!P47</f>
        <v>670790</v>
      </c>
      <c r="M30" s="16" t="n">
        <f aca="false">+'[1]Daily Position'!Q47</f>
        <v>0</v>
      </c>
      <c r="N30" s="12" t="n">
        <f aca="false">+L30+M30</f>
        <v>670790</v>
      </c>
      <c r="O30" s="16" t="n">
        <f aca="false">+'[1]Daily Position'!S47</f>
        <v>0</v>
      </c>
      <c r="P30" s="16" t="n">
        <f aca="false">+'[1]Daily Position'!T47</f>
        <v>670790</v>
      </c>
      <c r="Q30" s="1" t="n">
        <f aca="false">+'[1]Daily Position'!U47</f>
        <v>1100000</v>
      </c>
    </row>
    <row r="31" customFormat="false" ht="12.75" hidden="false" customHeight="false" outlineLevel="0" collapsed="false">
      <c r="A31" s="0" t="str">
        <f aca="false">+'[1]Daily Position'!A48</f>
        <v>Hughes Rawls Note</v>
      </c>
      <c r="B31" s="98" t="n">
        <v>36741</v>
      </c>
      <c r="C31" s="98" t="n">
        <v>37836</v>
      </c>
      <c r="D31" s="26" t="s">
        <v>148</v>
      </c>
      <c r="E31" s="16" t="n">
        <v>0</v>
      </c>
      <c r="F31" s="26" t="s">
        <v>149</v>
      </c>
      <c r="I31" s="16" t="n">
        <f aca="false">+'[1]Daily Position'!I48</f>
        <v>470790</v>
      </c>
      <c r="J31" s="1" t="n">
        <f aca="false">+'[1]Daily Position'!N48</f>
        <v>0</v>
      </c>
      <c r="K31" s="99" t="n">
        <f aca="false">+'[1]Daily Position'!O48</f>
        <v>37117</v>
      </c>
      <c r="L31" s="16" t="n">
        <f aca="false">+'[1]Daily Position'!P48</f>
        <v>-470790</v>
      </c>
      <c r="M31" s="16" t="n">
        <f aca="false">+'[1]Daily Position'!Q48</f>
        <v>0</v>
      </c>
      <c r="N31" s="12" t="n">
        <f aca="false">+L31+M31</f>
        <v>-470790</v>
      </c>
      <c r="O31" s="16" t="n">
        <f aca="false">+'[1]Daily Position'!S48</f>
        <v>0</v>
      </c>
      <c r="P31" s="16" t="n">
        <f aca="false">+'[1]Daily Position'!T48</f>
        <v>-470790</v>
      </c>
      <c r="Q31" s="1" t="n">
        <f aca="false">+'[1]Daily Position'!U48</f>
        <v>0</v>
      </c>
    </row>
    <row r="32" customFormat="false" ht="12.75" hidden="false" customHeight="false" outlineLevel="0" collapsed="false">
      <c r="A32" s="0" t="str">
        <f aca="false">+'[1]Daily Position'!A49</f>
        <v>HV Marine Warrants</v>
      </c>
      <c r="B32" s="98" t="n">
        <v>36741</v>
      </c>
      <c r="C32" s="98" t="n">
        <v>37836</v>
      </c>
      <c r="D32" s="26" t="s">
        <v>148</v>
      </c>
      <c r="E32" s="16" t="n">
        <v>0</v>
      </c>
      <c r="F32" s="26" t="s">
        <v>149</v>
      </c>
      <c r="I32" s="16" t="n">
        <f aca="false">+'[1]Daily Position'!I49</f>
        <v>27082500</v>
      </c>
      <c r="J32" s="1" t="n">
        <f aca="false">+'[1]Daily Position'!N49</f>
        <v>10125000</v>
      </c>
      <c r="K32" s="99" t="n">
        <f aca="false">+'[1]Daily Position'!O49</f>
        <v>37117</v>
      </c>
      <c r="L32" s="16" t="n">
        <f aca="false">+'[1]Daily Position'!P49</f>
        <v>-16957500</v>
      </c>
      <c r="M32" s="16" t="n">
        <f aca="false">+'[1]Daily Position'!Q49</f>
        <v>0</v>
      </c>
      <c r="N32" s="12" t="n">
        <f aca="false">+L32+M32</f>
        <v>-16957500</v>
      </c>
      <c r="O32" s="16" t="n">
        <f aca="false">+'[1]Daily Position'!S49</f>
        <v>0</v>
      </c>
      <c r="P32" s="16" t="n">
        <f aca="false">+'[1]Daily Position'!T49</f>
        <v>-16957500</v>
      </c>
      <c r="Q32" s="1" t="n">
        <f aca="false">+'[1]Daily Position'!U49</f>
        <v>10125000</v>
      </c>
    </row>
    <row r="33" customFormat="false" ht="12.75" hidden="false" customHeight="false" outlineLevel="0" collapsed="false">
      <c r="A33" s="0" t="str">
        <f aca="false">+'[1]Daily Position'!A50</f>
        <v>Industrial Holdings</v>
      </c>
      <c r="B33" s="98" t="n">
        <v>36741</v>
      </c>
      <c r="C33" s="98" t="n">
        <v>37836</v>
      </c>
      <c r="D33" s="26" t="s">
        <v>148</v>
      </c>
      <c r="E33" s="16" t="n">
        <v>0</v>
      </c>
      <c r="F33" s="26" t="s">
        <v>149</v>
      </c>
      <c r="I33" s="16" t="n">
        <f aca="false">+'[1]Daily Position'!I50</f>
        <v>7121810</v>
      </c>
      <c r="J33" s="1" t="n">
        <f aca="false">+'[1]Daily Position'!N50</f>
        <v>7121810</v>
      </c>
      <c r="K33" s="99" t="n">
        <f aca="false">+'[1]Daily Position'!O50</f>
        <v>37117</v>
      </c>
      <c r="L33" s="16" t="n">
        <f aca="false">+'[1]Daily Position'!P50</f>
        <v>0</v>
      </c>
      <c r="M33" s="16" t="n">
        <f aca="false">+'[1]Daily Position'!Q50</f>
        <v>0</v>
      </c>
      <c r="N33" s="12" t="n">
        <f aca="false">+L33+M33</f>
        <v>0</v>
      </c>
      <c r="O33" s="16" t="n">
        <f aca="false">+'[1]Daily Position'!S50</f>
        <v>0</v>
      </c>
      <c r="P33" s="16" t="n">
        <f aca="false">+'[1]Daily Position'!T50</f>
        <v>0</v>
      </c>
      <c r="Q33" s="1" t="n">
        <f aca="false">+'[1]Daily Position'!U50</f>
        <v>7121810</v>
      </c>
    </row>
    <row r="34" customFormat="false" ht="12.75" hidden="false" customHeight="false" outlineLevel="0" collapsed="false">
      <c r="A34" s="0" t="str">
        <f aca="false">+'[1]Daily Position'!A51</f>
        <v>Invasion Energy</v>
      </c>
      <c r="B34" s="98" t="n">
        <v>36741</v>
      </c>
      <c r="C34" s="98" t="n">
        <v>37836</v>
      </c>
      <c r="D34" s="26" t="s">
        <v>148</v>
      </c>
      <c r="E34" s="16" t="n">
        <v>0</v>
      </c>
      <c r="F34" s="26" t="s">
        <v>149</v>
      </c>
      <c r="I34" s="16" t="n">
        <f aca="false">+'[1]Daily Position'!I51</f>
        <v>5644007</v>
      </c>
      <c r="J34" s="1" t="n">
        <f aca="false">+'[1]Daily Position'!N51</f>
        <v>5644007</v>
      </c>
      <c r="K34" s="99" t="n">
        <f aca="false">+'[1]Daily Position'!O51</f>
        <v>37117</v>
      </c>
      <c r="L34" s="16" t="n">
        <f aca="false">+'[1]Daily Position'!P51</f>
        <v>0</v>
      </c>
      <c r="M34" s="16" t="n">
        <f aca="false">+'[1]Daily Position'!Q51</f>
        <v>0</v>
      </c>
      <c r="N34" s="12" t="n">
        <f aca="false">+L34+M34</f>
        <v>0</v>
      </c>
      <c r="O34" s="16" t="n">
        <f aca="false">+'[1]Daily Position'!S51</f>
        <v>0</v>
      </c>
      <c r="P34" s="16" t="n">
        <f aca="false">+'[1]Daily Position'!T51</f>
        <v>0</v>
      </c>
      <c r="Q34" s="1" t="n">
        <f aca="false">+'[1]Daily Position'!U51</f>
        <v>5644007</v>
      </c>
    </row>
    <row r="35" customFormat="false" ht="12.75" hidden="false" customHeight="false" outlineLevel="0" collapsed="false">
      <c r="A35" s="0" t="str">
        <f aca="false">+'[1]Daily Position'!A52</f>
        <v>Juniper</v>
      </c>
      <c r="B35" s="98" t="n">
        <v>36741</v>
      </c>
      <c r="C35" s="98" t="n">
        <v>37836</v>
      </c>
      <c r="D35" s="26" t="s">
        <v>148</v>
      </c>
      <c r="E35" s="16" t="n">
        <v>0</v>
      </c>
      <c r="F35" s="26" t="s">
        <v>149</v>
      </c>
      <c r="I35" s="16" t="n">
        <f aca="false">+'[1]Daily Position'!I52</f>
        <v>20916875</v>
      </c>
      <c r="J35" s="1" t="n">
        <f aca="false">+'[1]Daily Position'!N52</f>
        <v>20887594.86</v>
      </c>
      <c r="K35" s="99" t="n">
        <f aca="false">+'[1]Daily Position'!O52</f>
        <v>37117</v>
      </c>
      <c r="L35" s="16" t="n">
        <f aca="false">+'[1]Daily Position'!P52</f>
        <v>-29280.1400000006</v>
      </c>
      <c r="M35" s="16" t="n">
        <f aca="false">+'[1]Daily Position'!Q52</f>
        <v>0</v>
      </c>
      <c r="N35" s="12" t="n">
        <f aca="false">+L35+M35</f>
        <v>-29280.1400000006</v>
      </c>
      <c r="O35" s="16" t="n">
        <f aca="false">+'[1]Daily Position'!S52</f>
        <v>0</v>
      </c>
      <c r="P35" s="16" t="n">
        <f aca="false">+'[1]Daily Position'!T52</f>
        <v>-29280.1400000006</v>
      </c>
      <c r="Q35" s="1" t="n">
        <f aca="false">+'[1]Daily Position'!U52</f>
        <v>20887594.86</v>
      </c>
    </row>
    <row r="36" customFormat="false" ht="12.75" hidden="false" customHeight="false" outlineLevel="0" collapsed="false">
      <c r="A36" s="0" t="str">
        <f aca="false">+'[1]Daily Position'!A53</f>
        <v>Juniper Committed Exposurer</v>
      </c>
      <c r="B36" s="98" t="n">
        <v>36741</v>
      </c>
      <c r="C36" s="98" t="n">
        <v>37836</v>
      </c>
      <c r="D36" s="26" t="s">
        <v>148</v>
      </c>
      <c r="E36" s="16" t="n">
        <v>0</v>
      </c>
      <c r="F36" s="26" t="s">
        <v>149</v>
      </c>
      <c r="I36" s="16" t="n">
        <f aca="false">+'[1]Daily Position'!I53</f>
        <v>2560525</v>
      </c>
      <c r="J36" s="1" t="n">
        <f aca="false">+'[1]Daily Position'!N53</f>
        <v>2560525</v>
      </c>
      <c r="K36" s="99" t="n">
        <f aca="false">+'[1]Daily Position'!O53</f>
        <v>37117</v>
      </c>
      <c r="L36" s="16" t="n">
        <f aca="false">+'[1]Daily Position'!P53</f>
        <v>0</v>
      </c>
      <c r="M36" s="16" t="n">
        <f aca="false">+'[1]Daily Position'!Q53</f>
        <v>0</v>
      </c>
      <c r="N36" s="12" t="n">
        <f aca="false">+L36+M36</f>
        <v>0</v>
      </c>
      <c r="O36" s="16" t="n">
        <f aca="false">+'[1]Daily Position'!S53</f>
        <v>0</v>
      </c>
      <c r="P36" s="16" t="n">
        <f aca="false">+'[1]Daily Position'!T53</f>
        <v>0</v>
      </c>
      <c r="Q36" s="1" t="n">
        <f aca="false">+'[1]Daily Position'!U53</f>
        <v>2560525</v>
      </c>
    </row>
    <row r="37" customFormat="false" ht="12.75" hidden="false" customHeight="false" outlineLevel="0" collapsed="false">
      <c r="A37" s="0" t="str">
        <f aca="false">+'[1]Daily Position'!A54</f>
        <v>Keathley Canyon</v>
      </c>
      <c r="B37" s="98" t="n">
        <v>36741</v>
      </c>
      <c r="C37" s="98" t="n">
        <v>37836</v>
      </c>
      <c r="D37" s="26" t="s">
        <v>148</v>
      </c>
      <c r="E37" s="16" t="n">
        <v>0</v>
      </c>
      <c r="F37" s="26" t="s">
        <v>149</v>
      </c>
      <c r="I37" s="16" t="n">
        <f aca="false">+'[1]Daily Position'!I54</f>
        <v>4774950</v>
      </c>
      <c r="J37" s="1" t="n">
        <f aca="false">+'[1]Daily Position'!N54</f>
        <v>0</v>
      </c>
      <c r="K37" s="99" t="n">
        <f aca="false">+'[1]Daily Position'!O54</f>
        <v>37117</v>
      </c>
      <c r="L37" s="16" t="n">
        <f aca="false">+'[1]Daily Position'!P54</f>
        <v>0</v>
      </c>
      <c r="M37" s="16" t="n">
        <f aca="false">+'[1]Daily Position'!Q54</f>
        <v>-2359351.12</v>
      </c>
      <c r="N37" s="12" t="n">
        <f aca="false">+L37+M37</f>
        <v>-2359351.12</v>
      </c>
      <c r="O37" s="16" t="n">
        <f aca="false">+'[1]Daily Position'!S54</f>
        <v>-2359351.12</v>
      </c>
      <c r="P37" s="16" t="n">
        <f aca="false">+'[1]Daily Position'!T54</f>
        <v>-2359351.12</v>
      </c>
      <c r="Q37" s="1" t="n">
        <f aca="false">+'[1]Daily Position'!U54</f>
        <v>2415598.88</v>
      </c>
    </row>
    <row r="38" customFormat="false" ht="12.75" hidden="false" customHeight="false" outlineLevel="0" collapsed="false">
      <c r="A38" s="0" t="str">
        <f aca="false">+'[1]Daily Position'!A55</f>
        <v>LSI Preferred</v>
      </c>
      <c r="B38" s="98" t="n">
        <v>36741</v>
      </c>
      <c r="C38" s="98" t="n">
        <v>37836</v>
      </c>
      <c r="D38" s="26" t="s">
        <v>148</v>
      </c>
      <c r="E38" s="16" t="n">
        <v>0</v>
      </c>
      <c r="F38" s="26" t="s">
        <v>149</v>
      </c>
      <c r="I38" s="16" t="n">
        <f aca="false">+'[1]Daily Position'!I55</f>
        <v>1822363</v>
      </c>
      <c r="J38" s="1" t="n">
        <f aca="false">+'[1]Daily Position'!N55</f>
        <v>0</v>
      </c>
      <c r="K38" s="99" t="n">
        <f aca="false">+'[1]Daily Position'!O55</f>
        <v>37117</v>
      </c>
      <c r="L38" s="16" t="n">
        <f aca="false">+'[1]Daily Position'!P55</f>
        <v>-1822363</v>
      </c>
      <c r="M38" s="16" t="n">
        <f aca="false">+'[1]Daily Position'!Q55</f>
        <v>0</v>
      </c>
      <c r="N38" s="12" t="n">
        <f aca="false">+L38+M38</f>
        <v>-1822363</v>
      </c>
      <c r="O38" s="16" t="n">
        <f aca="false">+'[1]Daily Position'!S55</f>
        <v>0</v>
      </c>
      <c r="P38" s="16" t="n">
        <f aca="false">+'[1]Daily Position'!T55</f>
        <v>-1822363</v>
      </c>
      <c r="Q38" s="1" t="n">
        <f aca="false">+'[1]Daily Position'!U55</f>
        <v>0</v>
      </c>
    </row>
    <row r="39" customFormat="false" ht="12.75" hidden="false" customHeight="false" outlineLevel="0" collapsed="false">
      <c r="A39" s="0" t="str">
        <f aca="false">+'[1]Daily Position'!A56</f>
        <v>LSI Warrants</v>
      </c>
      <c r="B39" s="98" t="n">
        <v>36741</v>
      </c>
      <c r="C39" s="98" t="n">
        <v>37836</v>
      </c>
      <c r="D39" s="26" t="s">
        <v>148</v>
      </c>
      <c r="E39" s="16" t="n">
        <v>0</v>
      </c>
      <c r="F39" s="26" t="s">
        <v>149</v>
      </c>
      <c r="I39" s="16" t="n">
        <f aca="false">+'[1]Daily Position'!I56</f>
        <v>1374750</v>
      </c>
      <c r="J39" s="1" t="n">
        <f aca="false">+'[1]Daily Position'!N56</f>
        <v>0</v>
      </c>
      <c r="K39" s="99" t="n">
        <f aca="false">+'[1]Daily Position'!O56</f>
        <v>37117</v>
      </c>
      <c r="L39" s="16" t="n">
        <f aca="false">+'[1]Daily Position'!P56</f>
        <v>-1374750</v>
      </c>
      <c r="M39" s="16" t="n">
        <f aca="false">+'[1]Daily Position'!Q56</f>
        <v>0</v>
      </c>
      <c r="N39" s="12" t="n">
        <f aca="false">+L39+M39</f>
        <v>-1374750</v>
      </c>
      <c r="O39" s="16" t="n">
        <f aca="false">+'[1]Daily Position'!S56</f>
        <v>0</v>
      </c>
      <c r="P39" s="16" t="n">
        <f aca="false">+'[1]Daily Position'!T56</f>
        <v>-1374750</v>
      </c>
      <c r="Q39" s="1" t="n">
        <f aca="false">+'[1]Daily Position'!U56</f>
        <v>0</v>
      </c>
    </row>
    <row r="40" customFormat="false" ht="12.75" hidden="false" customHeight="false" outlineLevel="0" collapsed="false">
      <c r="A40" s="0" t="str">
        <f aca="false">+'[1]Daily Position'!A57</f>
        <v>Oconto Falls Common</v>
      </c>
      <c r="B40" s="98" t="n">
        <v>36741</v>
      </c>
      <c r="C40" s="98" t="n">
        <v>37836</v>
      </c>
      <c r="D40" s="26" t="s">
        <v>148</v>
      </c>
      <c r="E40" s="16" t="n">
        <v>0</v>
      </c>
      <c r="F40" s="26" t="s">
        <v>149</v>
      </c>
      <c r="I40" s="16" t="n">
        <f aca="false">+'[1]Daily Position'!I57</f>
        <v>1803840</v>
      </c>
      <c r="J40" s="1" t="n">
        <f aca="false">+'[1]Daily Position'!N57</f>
        <v>1803840</v>
      </c>
      <c r="K40" s="99" t="n">
        <f aca="false">+'[1]Daily Position'!O57</f>
        <v>37117</v>
      </c>
      <c r="L40" s="16" t="n">
        <f aca="false">+'[1]Daily Position'!P57</f>
        <v>0</v>
      </c>
      <c r="M40" s="16" t="n">
        <f aca="false">+'[1]Daily Position'!Q57</f>
        <v>0</v>
      </c>
      <c r="N40" s="12" t="n">
        <f aca="false">+L40+M40</f>
        <v>0</v>
      </c>
      <c r="O40" s="16" t="n">
        <f aca="false">+'[1]Daily Position'!S57</f>
        <v>0</v>
      </c>
      <c r="P40" s="16" t="n">
        <f aca="false">+'[1]Daily Position'!T57</f>
        <v>0</v>
      </c>
      <c r="Q40" s="1" t="n">
        <f aca="false">+'[1]Daily Position'!U57</f>
        <v>1803840</v>
      </c>
    </row>
    <row r="41" customFormat="false" ht="12.75" hidden="false" customHeight="false" outlineLevel="0" collapsed="false">
      <c r="A41" s="0" t="str">
        <f aca="false">+'[1]Daily Position'!A58</f>
        <v>Oconto Falls IPC</v>
      </c>
      <c r="B41" s="98" t="n">
        <v>36741</v>
      </c>
      <c r="C41" s="98" t="n">
        <v>37836</v>
      </c>
      <c r="D41" s="26" t="s">
        <v>148</v>
      </c>
      <c r="E41" s="16" t="n">
        <v>0</v>
      </c>
      <c r="F41" s="26" t="s">
        <v>149</v>
      </c>
      <c r="I41" s="16" t="n">
        <f aca="false">+'[1]Daily Position'!I58</f>
        <v>2300803</v>
      </c>
      <c r="J41" s="1" t="n">
        <f aca="false">+'[1]Daily Position'!N58</f>
        <v>2300803</v>
      </c>
      <c r="K41" s="99" t="n">
        <f aca="false">+'[1]Daily Position'!O58</f>
        <v>37117</v>
      </c>
      <c r="L41" s="16" t="n">
        <f aca="false">+'[1]Daily Position'!P58</f>
        <v>0</v>
      </c>
      <c r="M41" s="16" t="n">
        <f aca="false">+'[1]Daily Position'!Q58</f>
        <v>0</v>
      </c>
      <c r="N41" s="12" t="n">
        <f aca="false">+L41+M41</f>
        <v>0</v>
      </c>
      <c r="O41" s="16" t="n">
        <f aca="false">+'[1]Daily Position'!S58</f>
        <v>0</v>
      </c>
      <c r="P41" s="16" t="n">
        <f aca="false">+'[1]Daily Position'!T58</f>
        <v>0</v>
      </c>
      <c r="Q41" s="1" t="n">
        <f aca="false">+'[1]Daily Position'!U58</f>
        <v>2300803</v>
      </c>
    </row>
    <row r="42" customFormat="false" ht="12.75" hidden="false" customHeight="false" outlineLevel="0" collapsed="false">
      <c r="A42" s="0" t="str">
        <f aca="false">+'[1]Daily Position'!A59</f>
        <v>Texland</v>
      </c>
      <c r="B42" s="98" t="n">
        <v>36741</v>
      </c>
      <c r="C42" s="98" t="n">
        <v>37836</v>
      </c>
      <c r="D42" s="26" t="s">
        <v>148</v>
      </c>
      <c r="E42" s="16" t="n">
        <v>0</v>
      </c>
      <c r="F42" s="26" t="s">
        <v>149</v>
      </c>
      <c r="I42" s="16" t="n">
        <f aca="false">+'[1]Daily Position'!I59</f>
        <v>7483750</v>
      </c>
      <c r="J42" s="1" t="n">
        <f aca="false">+'[1]Daily Position'!N59</f>
        <v>8971988.34</v>
      </c>
      <c r="K42" s="99" t="n">
        <f aca="false">+'[1]Daily Position'!O59</f>
        <v>37117</v>
      </c>
      <c r="L42" s="16" t="n">
        <f aca="false">+'[1]Daily Position'!P59</f>
        <v>1488238.34</v>
      </c>
      <c r="M42" s="16" t="n">
        <f aca="false">+'[1]Daily Position'!Q59</f>
        <v>0</v>
      </c>
      <c r="N42" s="12" t="n">
        <f aca="false">+L42+M42</f>
        <v>1488238.34</v>
      </c>
      <c r="O42" s="16" t="n">
        <f aca="false">+'[1]Daily Position'!S59</f>
        <v>0</v>
      </c>
      <c r="P42" s="16" t="n">
        <f aca="false">+'[1]Daily Position'!T59</f>
        <v>1488238.34</v>
      </c>
      <c r="Q42" s="1" t="n">
        <f aca="false">+'[1]Daily Position'!U59</f>
        <v>8971988.34</v>
      </c>
    </row>
    <row r="43" customFormat="false" ht="12.75" hidden="false" customHeight="false" outlineLevel="0" collapsed="false">
      <c r="A43" s="0" t="str">
        <f aca="false">+'[1]Daily Position'!A60</f>
        <v>Texland Committed Exposurer</v>
      </c>
      <c r="B43" s="98" t="n">
        <v>36741</v>
      </c>
      <c r="C43" s="98" t="n">
        <v>37836</v>
      </c>
      <c r="D43" s="26" t="s">
        <v>148</v>
      </c>
      <c r="E43" s="16" t="n">
        <v>0</v>
      </c>
      <c r="F43" s="26" t="s">
        <v>149</v>
      </c>
      <c r="I43" s="16" t="n">
        <f aca="false">+'[1]Daily Position'!I60</f>
        <v>2343750</v>
      </c>
      <c r="J43" s="1" t="n">
        <f aca="false">+'[1]Daily Position'!N60</f>
        <v>2343750</v>
      </c>
      <c r="K43" s="99" t="n">
        <f aca="false">+'[1]Daily Position'!O60</f>
        <v>37117</v>
      </c>
      <c r="L43" s="16" t="n">
        <f aca="false">+'[1]Daily Position'!P60</f>
        <v>0</v>
      </c>
      <c r="M43" s="16" t="n">
        <f aca="false">+'[1]Daily Position'!Q60</f>
        <v>0</v>
      </c>
      <c r="N43" s="12" t="n">
        <f aca="false">+L43+M43</f>
        <v>0</v>
      </c>
      <c r="O43" s="16" t="n">
        <f aca="false">+'[1]Daily Position'!S60</f>
        <v>0</v>
      </c>
      <c r="P43" s="16" t="n">
        <f aca="false">+'[1]Daily Position'!T60</f>
        <v>0</v>
      </c>
      <c r="Q43" s="1" t="n">
        <f aca="false">+'[1]Daily Position'!U60</f>
        <v>2343750</v>
      </c>
    </row>
    <row r="44" customFormat="false" ht="12.75" hidden="false" customHeight="false" outlineLevel="0" collapsed="false">
      <c r="A44" s="0" t="str">
        <f aca="false">+'[1]Daily Position'!A61</f>
        <v>Vastar</v>
      </c>
      <c r="B44" s="98" t="n">
        <v>36741</v>
      </c>
      <c r="C44" s="98" t="n">
        <v>37836</v>
      </c>
      <c r="D44" s="26" t="s">
        <v>148</v>
      </c>
      <c r="E44" s="16" t="n">
        <v>0</v>
      </c>
      <c r="F44" s="26" t="s">
        <v>149</v>
      </c>
      <c r="I44" s="16" t="n">
        <f aca="false">+'[1]Daily Position'!I61</f>
        <v>16316247</v>
      </c>
      <c r="J44" s="1" t="n">
        <f aca="false">+'[1]Daily Position'!N61</f>
        <v>16316247</v>
      </c>
      <c r="K44" s="99" t="n">
        <f aca="false">+'[1]Daily Position'!O61</f>
        <v>37117</v>
      </c>
      <c r="L44" s="16" t="n">
        <f aca="false">+'[1]Daily Position'!P61</f>
        <v>0</v>
      </c>
      <c r="M44" s="16" t="n">
        <f aca="false">+'[1]Daily Position'!Q61</f>
        <v>0</v>
      </c>
      <c r="N44" s="12" t="n">
        <f aca="false">+L44+M44</f>
        <v>0</v>
      </c>
      <c r="O44" s="16" t="n">
        <f aca="false">+'[1]Daily Position'!S61</f>
        <v>0</v>
      </c>
      <c r="P44" s="16" t="n">
        <f aca="false">+'[1]Daily Position'!T61</f>
        <v>0</v>
      </c>
      <c r="Q44" s="1" t="n">
        <f aca="false">+'[1]Daily Position'!U61</f>
        <v>16316247</v>
      </c>
    </row>
    <row r="45" customFormat="false" ht="12.75" hidden="false" customHeight="false" outlineLevel="0" collapsed="false">
      <c r="A45" s="0" t="str">
        <f aca="false">+'[1]Daily Position'!A62</f>
        <v>Vastar Exposure</v>
      </c>
      <c r="B45" s="98" t="n">
        <v>36741</v>
      </c>
      <c r="C45" s="98" t="n">
        <v>37836</v>
      </c>
      <c r="D45" s="26" t="s">
        <v>148</v>
      </c>
      <c r="E45" s="16" t="n">
        <v>0</v>
      </c>
      <c r="F45" s="26" t="s">
        <v>149</v>
      </c>
      <c r="I45" s="16" t="n">
        <f aca="false">+'[1]Daily Position'!I62</f>
        <v>1050000</v>
      </c>
      <c r="J45" s="1" t="n">
        <f aca="false">+'[1]Daily Position'!N62</f>
        <v>1050000</v>
      </c>
      <c r="K45" s="99" t="n">
        <f aca="false">+'[1]Daily Position'!O62</f>
        <v>37117</v>
      </c>
      <c r="L45" s="16" t="n">
        <f aca="false">+'[1]Daily Position'!P62</f>
        <v>0</v>
      </c>
      <c r="M45" s="16" t="n">
        <f aca="false">+'[1]Daily Position'!Q62</f>
        <v>0</v>
      </c>
      <c r="N45" s="12" t="n">
        <f aca="false">+L45+M45</f>
        <v>0</v>
      </c>
      <c r="O45" s="16" t="n">
        <f aca="false">+'[1]Daily Position'!S62</f>
        <v>0</v>
      </c>
      <c r="P45" s="16" t="n">
        <f aca="false">+'[1]Daily Position'!T62</f>
        <v>0</v>
      </c>
      <c r="Q45" s="1" t="n">
        <f aca="false">+'[1]Daily Position'!U62</f>
        <v>1050000</v>
      </c>
    </row>
    <row r="46" customFormat="false" ht="12.75" hidden="false" customHeight="false" outlineLevel="0" collapsed="false">
      <c r="A46" s="0" t="str">
        <f aca="false">+'[1]Daily Position'!A63</f>
        <v>Venoco Convertible</v>
      </c>
      <c r="B46" s="98" t="n">
        <v>36741</v>
      </c>
      <c r="C46" s="98" t="n">
        <v>37836</v>
      </c>
      <c r="D46" s="26" t="s">
        <v>148</v>
      </c>
      <c r="E46" s="16" t="n">
        <v>0</v>
      </c>
      <c r="F46" s="26" t="s">
        <v>149</v>
      </c>
      <c r="G46" s="1" t="n">
        <f aca="false">+'[1]Daily Position'!G63</f>
        <v>217.28</v>
      </c>
      <c r="H46" s="11" t="n">
        <f aca="false">+'[1]Daily Position'!H63</f>
        <v>375000</v>
      </c>
      <c r="I46" s="16" t="n">
        <f aca="false">+'[1]Daily Position'!I63</f>
        <v>81480000</v>
      </c>
      <c r="J46" s="1" t="n">
        <f aca="false">+'[1]Daily Position'!N63</f>
        <v>44836040.1</v>
      </c>
      <c r="K46" s="99" t="n">
        <f aca="false">+'[1]Daily Position'!O63</f>
        <v>37117</v>
      </c>
      <c r="L46" s="16" t="n">
        <f aca="false">+'[1]Daily Position'!P63</f>
        <v>-36643959.9</v>
      </c>
      <c r="M46" s="16" t="n">
        <f aca="false">+'[1]Daily Position'!Q63</f>
        <v>0</v>
      </c>
      <c r="N46" s="12" t="n">
        <f aca="false">+L46+M46</f>
        <v>-36643959.9</v>
      </c>
      <c r="O46" s="16" t="n">
        <f aca="false">+'[1]Daily Position'!S63</f>
        <v>0</v>
      </c>
      <c r="P46" s="16" t="n">
        <f aca="false">+'[1]Daily Position'!T63</f>
        <v>-36643959.9</v>
      </c>
      <c r="Q46" s="1" t="n">
        <f aca="false">+'[1]Daily Position'!U63</f>
        <v>44836040.1</v>
      </c>
    </row>
    <row r="47" customFormat="false" ht="12.75" hidden="false" customHeight="false" outlineLevel="0" collapsed="false">
      <c r="A47" s="0" t="str">
        <f aca="false">+'[1]Daily Position'!A64</f>
        <v>WB Oil &amp; Gas</v>
      </c>
      <c r="B47" s="98" t="n">
        <v>36741</v>
      </c>
      <c r="C47" s="98" t="n">
        <v>37836</v>
      </c>
      <c r="D47" s="26" t="s">
        <v>148</v>
      </c>
      <c r="E47" s="16" t="n">
        <v>0</v>
      </c>
      <c r="F47" s="26" t="s">
        <v>149</v>
      </c>
      <c r="G47" s="1" t="n">
        <f aca="false">+'[1]Daily Position'!G64</f>
        <v>1360</v>
      </c>
      <c r="H47" s="11" t="n">
        <f aca="false">+'[1]Daily Position'!H64</f>
        <v>1000</v>
      </c>
      <c r="I47" s="16" t="n">
        <f aca="false">+'[1]Daily Position'!I64</f>
        <v>1360000</v>
      </c>
      <c r="J47" s="1" t="n">
        <f aca="false">+'[1]Daily Position'!N64</f>
        <v>0</v>
      </c>
      <c r="K47" s="99" t="n">
        <f aca="false">+'[1]Daily Position'!O64</f>
        <v>37117</v>
      </c>
      <c r="L47" s="16" t="n">
        <f aca="false">+'[1]Daily Position'!P64</f>
        <v>0</v>
      </c>
      <c r="M47" s="16" t="n">
        <f aca="false">+'[1]Daily Position'!Q64</f>
        <v>-1360000</v>
      </c>
      <c r="N47" s="12" t="n">
        <f aca="false">+L47+M47</f>
        <v>-1360000</v>
      </c>
      <c r="O47" s="16" t="n">
        <f aca="false">+'[1]Daily Position'!S64</f>
        <v>-1360000</v>
      </c>
      <c r="P47" s="16" t="n">
        <f aca="false">+'[1]Daily Position'!T64</f>
        <v>-1360000</v>
      </c>
      <c r="Q47" s="1" t="n">
        <f aca="false">+'[1]Daily Position'!U64</f>
        <v>0</v>
      </c>
    </row>
    <row r="48" customFormat="false" ht="12.75" hidden="false" customHeight="false" outlineLevel="0" collapsed="false">
      <c r="A48" s="0" t="str">
        <f aca="false">+'[1]Daily Position'!A65</f>
        <v>Merlin Credit Derivative</v>
      </c>
      <c r="B48" s="98" t="n">
        <v>36741</v>
      </c>
      <c r="C48" s="98" t="n">
        <v>37836</v>
      </c>
      <c r="D48" s="26" t="s">
        <v>151</v>
      </c>
      <c r="E48" s="16" t="n">
        <f aca="false">+'[1]Daily Position'!E65+'[1]Daily Position'!E66</f>
        <v>36066314</v>
      </c>
      <c r="F48" s="26" t="s">
        <v>149</v>
      </c>
      <c r="I48" s="16" t="n">
        <f aca="false">+'[1]Daily Position'!I65+'[1]Daily Position'!I66</f>
        <v>93746590</v>
      </c>
      <c r="J48" s="1" t="n">
        <f aca="false">+'[1]Daily Position'!N65+'[1]Daily Position'!N66</f>
        <v>0</v>
      </c>
      <c r="K48" s="99" t="n">
        <f aca="false">+'[1]Daily Position'!O65</f>
        <v>37117</v>
      </c>
      <c r="L48" s="16" t="n">
        <f aca="false">+'[1]Daily Position'!P65+'[1]Daily Position'!P66</f>
        <v>0</v>
      </c>
      <c r="M48" s="16" t="n">
        <f aca="false">+'[1]Daily Position'!Q65+'[1]Daily Position'!Q66</f>
        <v>-93746590</v>
      </c>
      <c r="N48" s="12" t="n">
        <f aca="false">+L48+M48</f>
        <v>-93746590</v>
      </c>
      <c r="O48" s="16" t="n">
        <f aca="false">+'[1]Daily Position'!S65+'[1]Daily Position'!S66</f>
        <v>-93746590</v>
      </c>
      <c r="P48" s="16" t="n">
        <f aca="false">+'[1]Daily Position'!T65+'[1]Daily Position'!T66</f>
        <v>-93746590</v>
      </c>
      <c r="Q48" s="16" t="n">
        <f aca="false">+'[1]Daily Position'!U65+'[1]Daily Position'!U66</f>
        <v>0</v>
      </c>
    </row>
    <row r="49" customFormat="false" ht="12.75" hidden="false" customHeight="false" outlineLevel="0" collapsed="false">
      <c r="A49" s="129"/>
      <c r="J49" s="1"/>
      <c r="L49" s="16"/>
      <c r="M49" s="16"/>
      <c r="N49" s="12"/>
      <c r="P49" s="16"/>
      <c r="Q49" s="1"/>
    </row>
    <row r="50" customFormat="false" ht="12.75" hidden="false" customHeight="false" outlineLevel="0" collapsed="false">
      <c r="A50" s="129" t="s">
        <v>152</v>
      </c>
      <c r="J50" s="1"/>
      <c r="L50" s="16"/>
      <c r="M50" s="16"/>
      <c r="N50" s="12"/>
      <c r="P50" s="16"/>
      <c r="Q50" s="1"/>
    </row>
    <row r="51" customFormat="false" ht="12.75" hidden="false" customHeight="false" outlineLevel="0" collapsed="false">
      <c r="A51" s="0" t="str">
        <f aca="false">+'[1]Daily Position'!A69</f>
        <v>3TEC Warrants</v>
      </c>
      <c r="B51" s="98" t="n">
        <v>36741</v>
      </c>
      <c r="C51" s="98" t="n">
        <v>37836</v>
      </c>
      <c r="D51" s="26" t="s">
        <v>148</v>
      </c>
      <c r="E51" s="16" t="n">
        <v>0</v>
      </c>
      <c r="F51" s="26" t="s">
        <v>149</v>
      </c>
      <c r="G51" s="1" t="n">
        <f aca="false">+'[1]Daily Position'!G69</f>
        <v>1.17868389193476</v>
      </c>
      <c r="H51" s="11" t="n">
        <f aca="false">+'[1]Daily Position'!H69</f>
        <v>46956</v>
      </c>
      <c r="I51" s="16" t="n">
        <f aca="false">+'[1]Daily Position'!I69</f>
        <v>55346.28</v>
      </c>
      <c r="J51" s="1" t="n">
        <f aca="false">+'[1]Daily Position'!N69</f>
        <v>1.48110546323538</v>
      </c>
      <c r="K51" s="99" t="n">
        <f aca="false">+'[1]Daily Position'!O69</f>
        <v>37117</v>
      </c>
      <c r="L51" s="16" t="n">
        <f aca="false">+'[1]Daily Position'!P69</f>
        <v>0</v>
      </c>
      <c r="M51" s="16" t="n">
        <f aca="false">+'[1]Daily Position'!Q69</f>
        <v>-17781.48</v>
      </c>
      <c r="N51" s="12" t="n">
        <f aca="false">+L51+M51</f>
        <v>-17781.48</v>
      </c>
      <c r="O51" s="16" t="n">
        <f aca="false">+'[1]Daily Position'!S69</f>
        <v>-17781.48</v>
      </c>
      <c r="P51" s="16" t="n">
        <f aca="false">+'[1]Daily Position'!T69</f>
        <v>-17781.48</v>
      </c>
      <c r="Q51" s="1" t="n">
        <f aca="false">+'[1]Daily Position'!U69</f>
        <v>1.47718523395298</v>
      </c>
    </row>
    <row r="52" customFormat="false" ht="12.75" hidden="false" customHeight="false" outlineLevel="0" collapsed="false">
      <c r="A52" s="0" t="str">
        <f aca="false">+'[1]Daily Position'!A70</f>
        <v>Place Resources</v>
      </c>
      <c r="B52" s="98" t="n">
        <v>36741</v>
      </c>
      <c r="C52" s="98" t="n">
        <v>37836</v>
      </c>
      <c r="D52" s="26" t="s">
        <v>148</v>
      </c>
      <c r="E52" s="16" t="n">
        <v>0</v>
      </c>
      <c r="F52" s="26" t="s">
        <v>149</v>
      </c>
      <c r="G52" s="1" t="n">
        <f aca="false">+'[1]Daily Position'!G70</f>
        <v>1.68395</v>
      </c>
      <c r="H52" s="11" t="n">
        <f aca="false">+'[1]Daily Position'!H70</f>
        <v>442470</v>
      </c>
      <c r="I52" s="16" t="n">
        <f aca="false">+'[1]Daily Position'!I70</f>
        <v>745095.36</v>
      </c>
      <c r="J52" s="1" t="n">
        <f aca="false">+'[1]Daily Position'!N70</f>
        <v>0</v>
      </c>
      <c r="K52" s="99" t="n">
        <f aca="false">+'[1]Daily Position'!O70</f>
        <v>37117</v>
      </c>
      <c r="L52" s="16" t="n">
        <f aca="false">+'[1]Daily Position'!P70</f>
        <v>0</v>
      </c>
      <c r="M52" s="16" t="n">
        <f aca="false">+'[1]Daily Position'!Q70</f>
        <v>112402.6435</v>
      </c>
      <c r="N52" s="12" t="n">
        <f aca="false">+L52+M52</f>
        <v>112402.6435</v>
      </c>
      <c r="O52" s="16" t="n">
        <f aca="false">+'[1]Daily Position'!S70</f>
        <v>112402.6435</v>
      </c>
      <c r="P52" s="16" t="n">
        <f aca="false">+'[1]Daily Position'!T70</f>
        <v>112402.64</v>
      </c>
      <c r="Q52" s="1" t="n">
        <f aca="false">+'[1]Daily Position'!U70</f>
        <v>1.93798449612403</v>
      </c>
    </row>
    <row r="53" customFormat="false" ht="12.75" hidden="false" customHeight="false" outlineLevel="0" collapsed="false">
      <c r="A53" s="0" t="str">
        <f aca="false">+'[1]Daily Position'!A71</f>
        <v>DevX Energy Common</v>
      </c>
      <c r="B53" s="98" t="n">
        <v>36741</v>
      </c>
      <c r="C53" s="98" t="n">
        <v>37836</v>
      </c>
      <c r="D53" s="26" t="s">
        <v>148</v>
      </c>
      <c r="E53" s="16" t="n">
        <v>0</v>
      </c>
      <c r="F53" s="26" t="s">
        <v>149</v>
      </c>
      <c r="G53" s="1" t="n">
        <f aca="false">+'[1]Daily Position'!G71</f>
        <v>14.0397655556213</v>
      </c>
      <c r="H53" s="11" t="n">
        <f aca="false">+'[1]Daily Position'!H71</f>
        <v>6101.0292</v>
      </c>
      <c r="I53" s="16" t="n">
        <f aca="false">+'[1]Daily Position'!I71</f>
        <v>85657.02</v>
      </c>
      <c r="J53" s="1" t="n">
        <f aca="false">+'[1]Daily Position'!N71</f>
        <v>6</v>
      </c>
      <c r="K53" s="99" t="n">
        <f aca="false">+'[1]Daily Position'!O71</f>
        <v>37117</v>
      </c>
      <c r="L53" s="16" t="n">
        <f aca="false">+'[1]Daily Position'!P71</f>
        <v>0</v>
      </c>
      <c r="M53" s="16" t="n">
        <f aca="false">+'[1]Daily Position'!Q71</f>
        <v>-36853.301016</v>
      </c>
      <c r="N53" s="12" t="n">
        <f aca="false">+L53+M53</f>
        <v>-36853.301016</v>
      </c>
      <c r="O53" s="16" t="n">
        <f aca="false">+'[1]Daily Position'!S71</f>
        <v>-36853.301016</v>
      </c>
      <c r="P53" s="16" t="n">
        <f aca="false">+'[1]Daily Position'!T71</f>
        <v>-36853.3</v>
      </c>
      <c r="Q53" s="1" t="n">
        <f aca="false">+'[1]Daily Position'!U71</f>
        <v>6.11</v>
      </c>
    </row>
    <row r="54" customFormat="false" ht="12.75" hidden="false" customHeight="false" outlineLevel="0" collapsed="false">
      <c r="A54" s="0" t="str">
        <f aca="false">+'[1]Daily Position'!A72</f>
        <v>DevX Energy Pref</v>
      </c>
      <c r="B54" s="98" t="n">
        <v>36741</v>
      </c>
      <c r="C54" s="98" t="n">
        <v>37836</v>
      </c>
      <c r="D54" s="26" t="s">
        <v>148</v>
      </c>
      <c r="E54" s="16" t="n">
        <v>0</v>
      </c>
      <c r="F54" s="26" t="s">
        <v>149</v>
      </c>
      <c r="G54" s="1" t="n">
        <f aca="false">+'[1]Daily Position'!G72</f>
        <v>4.06588235294118</v>
      </c>
      <c r="H54" s="11" t="n">
        <f aca="false">+'[1]Daily Position'!H72</f>
        <v>76755</v>
      </c>
      <c r="I54" s="16" t="n">
        <f aca="false">+'[1]Daily Position'!I72</f>
        <v>312076.8</v>
      </c>
      <c r="J54" s="1" t="n">
        <f aca="false">+'[1]Daily Position'!N72</f>
        <v>6</v>
      </c>
      <c r="K54" s="99" t="n">
        <f aca="false">+'[1]Daily Position'!O72</f>
        <v>37117</v>
      </c>
      <c r="L54" s="16" t="n">
        <f aca="false">+'[1]Daily Position'!P72</f>
        <v>0</v>
      </c>
      <c r="M54" s="16" t="n">
        <f aca="false">+'[1]Daily Position'!Q72</f>
        <v>225190.14</v>
      </c>
      <c r="N54" s="12" t="n">
        <f aca="false">+L54+M54</f>
        <v>225190.14</v>
      </c>
      <c r="O54" s="16" t="n">
        <f aca="false">+'[1]Daily Position'!S72</f>
        <v>225190.14</v>
      </c>
      <c r="P54" s="16" t="n">
        <f aca="false">+'[1]Daily Position'!T72</f>
        <v>225190.14</v>
      </c>
      <c r="Q54" s="1" t="n">
        <f aca="false">+'[1]Daily Position'!U72</f>
        <v>6.11</v>
      </c>
    </row>
    <row r="55" customFormat="false" ht="12.75" hidden="false" customHeight="false" outlineLevel="0" collapsed="false">
      <c r="A55" s="0" t="str">
        <f aca="false">+'[1]Daily Position'!A73</f>
        <v>Quicksilver</v>
      </c>
      <c r="B55" s="98" t="n">
        <v>36741</v>
      </c>
      <c r="C55" s="98" t="n">
        <v>37836</v>
      </c>
      <c r="D55" s="26" t="s">
        <v>148</v>
      </c>
      <c r="E55" s="16" t="n">
        <v>0</v>
      </c>
      <c r="F55" s="26" t="s">
        <v>149</v>
      </c>
      <c r="G55" s="1" t="n">
        <f aca="false">+'[1]Daily Position'!G73</f>
        <v>7.625</v>
      </c>
      <c r="H55" s="11" t="n">
        <f aca="false">+'[1]Daily Position'!H73</f>
        <v>484154.286</v>
      </c>
      <c r="I55" s="16" t="n">
        <f aca="false">+'[1]Daily Position'!I73</f>
        <v>3691676.43</v>
      </c>
      <c r="J55" s="1" t="n">
        <f aca="false">+'[1]Daily Position'!N73</f>
        <v>0</v>
      </c>
      <c r="K55" s="99" t="n">
        <f aca="false">+'[1]Daily Position'!O73</f>
        <v>37117</v>
      </c>
      <c r="L55" s="16" t="n">
        <f aca="false">+'[1]Daily Position'!P73</f>
        <v>0</v>
      </c>
      <c r="M55" s="16" t="n">
        <f aca="false">+'[1]Daily Position'!Q73</f>
        <v>-438159.84555</v>
      </c>
      <c r="N55" s="12" t="n">
        <f aca="false">+L55+M55</f>
        <v>-438159.84555</v>
      </c>
      <c r="O55" s="16" t="n">
        <f aca="false">+'[1]Daily Position'!S73</f>
        <v>-438159.84555</v>
      </c>
      <c r="P55" s="16" t="n">
        <f aca="false">+'[1]Daily Position'!T73</f>
        <v>-438159.84</v>
      </c>
      <c r="Q55" s="1" t="n">
        <f aca="false">+'[1]Daily Position'!U73</f>
        <v>0</v>
      </c>
    </row>
    <row r="56" customFormat="false" ht="12.75" hidden="false" customHeight="false" outlineLevel="0" collapsed="false">
      <c r="A56" s="0" t="str">
        <f aca="false">+'[1]Daily Position'!A74</f>
        <v>Ameritex</v>
      </c>
      <c r="B56" s="98" t="n">
        <v>36741</v>
      </c>
      <c r="C56" s="98" t="n">
        <v>37836</v>
      </c>
      <c r="D56" s="26" t="s">
        <v>148</v>
      </c>
      <c r="E56" s="16" t="n">
        <v>0</v>
      </c>
      <c r="F56" s="26" t="s">
        <v>149</v>
      </c>
      <c r="I56" s="16" t="n">
        <f aca="false">+'[1]Daily Position'!I74</f>
        <v>2747287.2</v>
      </c>
      <c r="J56" s="1" t="n">
        <f aca="false">+'[1]Daily Position'!N74</f>
        <v>727836.22</v>
      </c>
      <c r="K56" s="99" t="n">
        <f aca="false">+'[1]Daily Position'!O74</f>
        <v>37117</v>
      </c>
      <c r="L56" s="16" t="n">
        <f aca="false">+'[1]Daily Position'!P74</f>
        <v>-2019450.98</v>
      </c>
      <c r="M56" s="16" t="n">
        <f aca="false">+'[1]Daily Position'!Q74</f>
        <v>0</v>
      </c>
      <c r="N56" s="12" t="n">
        <f aca="false">+L56+M56</f>
        <v>-2019450.98</v>
      </c>
      <c r="O56" s="16" t="n">
        <f aca="false">+'[1]Daily Position'!S74</f>
        <v>0</v>
      </c>
      <c r="P56" s="16" t="n">
        <f aca="false">+'[1]Daily Position'!T74</f>
        <v>-2019450.98</v>
      </c>
      <c r="Q56" s="1" t="n">
        <f aca="false">+'[1]Daily Position'!U74</f>
        <v>727836.22</v>
      </c>
    </row>
    <row r="57" customFormat="false" ht="12.75" hidden="false" customHeight="false" outlineLevel="0" collapsed="false">
      <c r="A57" s="0" t="str">
        <f aca="false">+'[1]Daily Position'!A75</f>
        <v>Hughes Rawls Note</v>
      </c>
      <c r="B57" s="98" t="n">
        <v>36741</v>
      </c>
      <c r="C57" s="98" t="n">
        <v>37836</v>
      </c>
      <c r="D57" s="26" t="s">
        <v>148</v>
      </c>
      <c r="E57" s="16" t="n">
        <v>0</v>
      </c>
      <c r="F57" s="26" t="s">
        <v>149</v>
      </c>
      <c r="I57" s="16" t="n">
        <f aca="false">+'[1]Daily Position'!I75</f>
        <v>283415.58</v>
      </c>
      <c r="J57" s="1" t="n">
        <f aca="false">+'[1]Daily Position'!N75</f>
        <v>0</v>
      </c>
      <c r="K57" s="99" t="n">
        <f aca="false">+'[1]Daily Position'!O75</f>
        <v>37117</v>
      </c>
      <c r="L57" s="16" t="n">
        <f aca="false">+'[1]Daily Position'!P75</f>
        <v>-283415.58</v>
      </c>
      <c r="M57" s="16" t="n">
        <f aca="false">+'[1]Daily Position'!Q75</f>
        <v>0</v>
      </c>
      <c r="N57" s="12" t="n">
        <f aca="false">+L57+M57</f>
        <v>-283415.58</v>
      </c>
      <c r="O57" s="16" t="n">
        <f aca="false">+'[1]Daily Position'!S75</f>
        <v>0</v>
      </c>
      <c r="P57" s="16" t="n">
        <f aca="false">+'[1]Daily Position'!T75</f>
        <v>-283415.58</v>
      </c>
      <c r="Q57" s="1" t="n">
        <f aca="false">+'[1]Daily Position'!U75</f>
        <v>0</v>
      </c>
    </row>
    <row r="59" customFormat="false" ht="16.5" hidden="false" customHeight="false" outlineLevel="0" collapsed="false">
      <c r="B59" s="130" t="s">
        <v>153</v>
      </c>
      <c r="E59" s="89" t="n">
        <f aca="false">SUM(E5:E58)</f>
        <v>36066314</v>
      </c>
      <c r="I59" s="131" t="n">
        <f aca="false">SUM(I4:I58)</f>
        <v>733681676.07</v>
      </c>
      <c r="L59" s="89" t="n">
        <f aca="false">SUM(L4:L58)</f>
        <v>-405596114.85</v>
      </c>
      <c r="M59" s="89" t="n">
        <f aca="false">SUM(M4:M58)</f>
        <v>-126932303.763066</v>
      </c>
      <c r="N59" s="89" t="n">
        <f aca="false">SUM(N4:N58)</f>
        <v>-532528418.613066</v>
      </c>
      <c r="O59" s="131" t="n">
        <f aca="false">SUM(O4:O58)</f>
        <v>-126932303.763066</v>
      </c>
      <c r="P59" s="89" t="n">
        <f aca="false">SUM(P4:P58)</f>
        <v>-531883383.684649</v>
      </c>
      <c r="Q59" s="14"/>
    </row>
    <row r="60" customFormat="false" ht="13.5" hidden="false" customHeight="false" outlineLevel="0" collapsed="false">
      <c r="H60" s="11" t="s">
        <v>154</v>
      </c>
    </row>
    <row r="61" customFormat="false" ht="12.75" hidden="false" customHeight="false" outlineLevel="0" collapsed="false">
      <c r="H61" s="11" t="s">
        <v>155</v>
      </c>
      <c r="I61" s="16" t="n">
        <f aca="false">-'[1]Daily Position'!I81</f>
        <v>-64658670.2271658</v>
      </c>
    </row>
    <row r="62" customFormat="false" ht="12.75" hidden="false" customHeight="false" outlineLevel="0" collapsed="false">
      <c r="H62" s="11" t="s">
        <v>156</v>
      </c>
      <c r="I62" s="22" t="n">
        <f aca="false">-'[1]Daily Position'!I82</f>
        <v>-119468022</v>
      </c>
    </row>
    <row r="63" customFormat="false" ht="12.75" hidden="false" customHeight="false" outlineLevel="0" collapsed="false">
      <c r="H63" s="11" t="s">
        <v>157</v>
      </c>
      <c r="I63" s="16" t="n">
        <f aca="false">+I59+I61+I62</f>
        <v>549554983.842834</v>
      </c>
    </row>
    <row r="64" customFormat="false" ht="15.75" hidden="false" customHeight="false" outlineLevel="0" collapsed="false">
      <c r="A64" s="123" t="s">
        <v>158</v>
      </c>
      <c r="J64" s="1"/>
      <c r="L64" s="16"/>
      <c r="M64" s="16"/>
      <c r="N64" s="12"/>
      <c r="O64" s="0"/>
      <c r="P64" s="16"/>
      <c r="Q64" s="16"/>
      <c r="R64" s="16"/>
    </row>
    <row r="65" customFormat="false" ht="12.75" hidden="false" customHeight="false" outlineLevel="0" collapsed="false">
      <c r="A65" s="129" t="s">
        <v>159</v>
      </c>
      <c r="J65" s="16"/>
      <c r="L65" s="16"/>
      <c r="M65" s="16"/>
      <c r="N65" s="12"/>
      <c r="O65" s="0"/>
      <c r="P65" s="16"/>
      <c r="Q65" s="16"/>
      <c r="R65" s="132"/>
      <c r="S65" s="18"/>
    </row>
    <row r="66" customFormat="false" ht="12.75" hidden="false" customHeight="false" outlineLevel="0" collapsed="false">
      <c r="A66" s="129" t="s">
        <v>160</v>
      </c>
      <c r="J66" s="16"/>
      <c r="L66" s="16"/>
      <c r="M66" s="16"/>
      <c r="N66" s="12"/>
      <c r="O66" s="0"/>
      <c r="P66" s="16"/>
      <c r="Q66" s="16"/>
      <c r="R66" s="132"/>
      <c r="S66" s="18"/>
    </row>
    <row r="67" customFormat="false" ht="12.75" hidden="false" customHeight="false" outlineLevel="0" collapsed="false">
      <c r="A67" s="129" t="s">
        <v>161</v>
      </c>
      <c r="B67" s="98" t="n">
        <v>36791</v>
      </c>
      <c r="C67" s="98" t="n">
        <v>37801</v>
      </c>
      <c r="D67" s="26" t="s">
        <v>148</v>
      </c>
      <c r="E67" s="16" t="n">
        <v>0</v>
      </c>
      <c r="F67" s="26" t="s">
        <v>149</v>
      </c>
      <c r="I67" s="16" t="n">
        <f aca="false">+'[2]Daily Position'!I6</f>
        <v>460000000</v>
      </c>
      <c r="J67" s="16" t="n">
        <f aca="false">+'[2]Daily Position'!N6</f>
        <v>0</v>
      </c>
      <c r="K67" s="99" t="n">
        <f aca="false">+'[2]Daily Position'!$O$6</f>
        <v>37117</v>
      </c>
      <c r="L67" s="16" t="n">
        <f aca="false">+'[2]Daily Position'!P6</f>
        <v>0</v>
      </c>
      <c r="M67" s="16" t="n">
        <f aca="false">+'[2]Daily Position'!Q6</f>
        <v>0</v>
      </c>
      <c r="N67" s="16" t="n">
        <f aca="false">+'[2]Daily Position'!R6</f>
        <v>0</v>
      </c>
      <c r="O67" s="16" t="n">
        <f aca="false">+'[2]Daily Position'!S6</f>
        <v>0</v>
      </c>
      <c r="P67" s="16" t="n">
        <f aca="false">+'[2]Daily Position'!T6</f>
        <v>0</v>
      </c>
      <c r="Q67" s="16" t="n">
        <f aca="false">+'[2]Daily Position'!U6</f>
        <v>0</v>
      </c>
      <c r="R67" s="132"/>
      <c r="S67" s="18"/>
    </row>
    <row r="68" customFormat="false" ht="12.75" hidden="false" customHeight="false" outlineLevel="0" collapsed="false">
      <c r="A68" s="129" t="s">
        <v>41</v>
      </c>
      <c r="B68" s="98" t="n">
        <v>36888</v>
      </c>
      <c r="C68" s="98" t="n">
        <v>37801</v>
      </c>
      <c r="D68" s="26" t="s">
        <v>162</v>
      </c>
      <c r="E68" s="16" t="n">
        <v>0</v>
      </c>
      <c r="F68" s="26" t="s">
        <v>163</v>
      </c>
      <c r="G68" s="1" t="n">
        <v>92.678</v>
      </c>
      <c r="H68" s="11" t="n">
        <f aca="false">+'[2]Daily Position'!H10</f>
        <v>3314340</v>
      </c>
      <c r="I68" s="16" t="n">
        <f aca="false">+'[2]Daily Position'!I10</f>
        <v>33143400</v>
      </c>
      <c r="J68" s="133" t="n">
        <f aca="false">+'[2]Daily Position'!$N$10</f>
        <v>31.1</v>
      </c>
      <c r="K68" s="99" t="n">
        <f aca="false">+'[2]Daily Position'!$O$6</f>
        <v>37117</v>
      </c>
      <c r="L68" s="16" t="n">
        <f aca="false">+'[2]Daily Position'!P10</f>
        <v>-26103336</v>
      </c>
      <c r="M68" s="16" t="n">
        <f aca="false">+'[2]Daily Position'!Q10</f>
        <v>-7040064</v>
      </c>
      <c r="N68" s="16" t="n">
        <f aca="false">+'[2]Daily Position'!R10</f>
        <v>-33143400</v>
      </c>
      <c r="O68" s="16" t="n">
        <f aca="false">+'[2]Daily Position'!S10</f>
        <v>-7040064</v>
      </c>
      <c r="P68" s="16" t="n">
        <f aca="false">+'[2]Daily Position'!T10</f>
        <v>-33143400</v>
      </c>
      <c r="Q68" s="1" t="n">
        <f aca="false">+'[2]Daily Position'!$U$10</f>
        <v>30.95</v>
      </c>
      <c r="R68" s="132"/>
      <c r="S68" s="18"/>
    </row>
    <row r="69" customFormat="false" ht="12.75" hidden="false" customHeight="false" outlineLevel="0" collapsed="false">
      <c r="A69" s="129"/>
      <c r="F69" s="26" t="s">
        <v>164</v>
      </c>
      <c r="G69" s="1" t="n">
        <v>34.875</v>
      </c>
      <c r="H69" s="11" t="n">
        <f aca="false">+'[2]Daily Position'!H11</f>
        <v>1995232</v>
      </c>
      <c r="I69" s="16" t="n">
        <f aca="false">+'[2]Daily Position'!I11</f>
        <v>19952320</v>
      </c>
      <c r="J69" s="133" t="n">
        <f aca="false">+'[2]Daily Position'!$N$10</f>
        <v>31.1</v>
      </c>
      <c r="K69" s="99" t="n">
        <f aca="false">+'[2]Daily Position'!$O$6</f>
        <v>37117</v>
      </c>
      <c r="L69" s="16" t="n">
        <f aca="false">+'[2]Daily Position'!P11</f>
        <v>-15714201.472</v>
      </c>
      <c r="M69" s="16" t="n">
        <f aca="false">+'[2]Daily Position'!Q11</f>
        <v>-4238118.528</v>
      </c>
      <c r="N69" s="16" t="n">
        <f aca="false">+'[2]Daily Position'!R11</f>
        <v>-19952320</v>
      </c>
      <c r="O69" s="16" t="n">
        <f aca="false">+'[2]Daily Position'!S11</f>
        <v>-4238118.528</v>
      </c>
      <c r="P69" s="16" t="n">
        <f aca="false">+'[2]Daily Position'!T11</f>
        <v>-19952320</v>
      </c>
      <c r="Q69" s="1" t="n">
        <f aca="false">+'[2]Daily Position'!$U$10</f>
        <v>30.95</v>
      </c>
      <c r="R69" s="132"/>
      <c r="S69" s="18"/>
    </row>
    <row r="70" customFormat="false" ht="12.75" hidden="false" customHeight="false" outlineLevel="0" collapsed="false">
      <c r="A70" s="129"/>
      <c r="D70" s="26" t="s">
        <v>148</v>
      </c>
      <c r="F70" s="26" t="s">
        <v>148</v>
      </c>
      <c r="G70" s="1" t="n">
        <v>44.875</v>
      </c>
      <c r="J70" s="16"/>
      <c r="L70" s="16"/>
      <c r="M70" s="16"/>
      <c r="N70" s="12"/>
      <c r="O70" s="0"/>
      <c r="P70" s="16"/>
      <c r="Q70" s="16"/>
      <c r="R70" s="132"/>
      <c r="S70" s="18"/>
    </row>
    <row r="71" customFormat="false" ht="12.75" hidden="false" customHeight="false" outlineLevel="0" collapsed="false">
      <c r="O71" s="0"/>
    </row>
    <row r="72" customFormat="false" ht="16.5" hidden="false" customHeight="false" outlineLevel="0" collapsed="false">
      <c r="B72" s="130" t="s">
        <v>165</v>
      </c>
      <c r="E72" s="89" t="n">
        <f aca="false">SUM(E64:E71)</f>
        <v>0</v>
      </c>
      <c r="I72" s="131" t="n">
        <f aca="false">SUM(I64:I71)</f>
        <v>513095720</v>
      </c>
      <c r="L72" s="89" t="n">
        <f aca="false">SUM(L64:L71)</f>
        <v>-41817537.472</v>
      </c>
      <c r="M72" s="89" t="n">
        <f aca="false">SUM(M64:M71)</f>
        <v>-11278182.528</v>
      </c>
      <c r="N72" s="89" t="n">
        <f aca="false">SUM(N64:N71)</f>
        <v>-53095720</v>
      </c>
      <c r="O72" s="89" t="n">
        <f aca="false">SUM(O64:O71)</f>
        <v>-11278182.528</v>
      </c>
      <c r="P72" s="89" t="n">
        <f aca="false">SUM(P64:P71)</f>
        <v>-53095720</v>
      </c>
      <c r="Q72" s="14"/>
      <c r="R72" s="14"/>
    </row>
    <row r="73" customFormat="false" ht="13.5" hidden="false" customHeight="false" outlineLevel="0" collapsed="false"/>
    <row r="74" customFormat="false" ht="12.75" hidden="false" customHeight="false" outlineLevel="0" collapsed="false">
      <c r="H74" s="11" t="s">
        <v>154</v>
      </c>
    </row>
    <row r="75" customFormat="false" ht="12.75" hidden="false" customHeight="false" outlineLevel="0" collapsed="false">
      <c r="H75" s="11" t="s">
        <v>155</v>
      </c>
      <c r="I75" s="16" t="n">
        <f aca="false">+'[2]Daily Position'!$Q$15</f>
        <v>-11278182.528</v>
      </c>
    </row>
    <row r="76" customFormat="false" ht="12.75" hidden="false" customHeight="false" outlineLevel="0" collapsed="false">
      <c r="H76" s="11" t="s">
        <v>156</v>
      </c>
      <c r="I76" s="22" t="n">
        <f aca="false">-I67</f>
        <v>-460000000</v>
      </c>
    </row>
    <row r="77" customFormat="false" ht="12.75" hidden="false" customHeight="false" outlineLevel="0" collapsed="false">
      <c r="H77" s="11" t="s">
        <v>157</v>
      </c>
      <c r="I77" s="16" t="n">
        <f aca="false">+I72+I75+I76</f>
        <v>41817537.472</v>
      </c>
    </row>
  </sheetData>
  <mergeCells count="2">
    <mergeCell ref="H1:I1"/>
    <mergeCell ref="O1:P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2000-10-17T20:02:14Z</dcterms:created>
  <dc:creator>Kjordan2</dc:creator>
  <dc:description/>
  <dc:language>en-US</dc:language>
  <cp:lastModifiedBy>gmckillo</cp:lastModifiedBy>
  <cp:lastPrinted>2001-07-09T12:01:17Z</cp:lastPrinted>
  <dcterms:modified xsi:type="dcterms:W3CDTF">2001-08-16T11:54:07Z</dcterms:modified>
  <cp:revision>0</cp:revision>
  <dc:subject/>
  <dc:title/>
</cp:coreProperties>
</file>