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er ONLY" sheetId="1" state="visible" r:id="rId3"/>
    <sheet name="Deal Volumes" sheetId="2" state="visible" r:id="rId4"/>
    <sheet name="GD Options" sheetId="3" state="visible" r:id="rId5"/>
    <sheet name="Curves" sheetId="4" state="visible" r:id="rId6"/>
    <sheet name="Locations" sheetId="5" state="visible" r:id="rId7"/>
    <sheet name="Model - Summer" sheetId="6" state="visible" r:id="rId8"/>
    <sheet name="Model - Term" sheetId="7" state="visible" r:id="rId9"/>
    <sheet name="Historical Flow" sheetId="8" state="visible" r:id="rId10"/>
  </sheets>
  <externalReferences>
    <externalReference r:id="rId11"/>
  </externalReferences>
  <definedNames>
    <definedName function="false" hidden="false" name="EffDt" vbProcedure="false">[1]Curves!$B$5</definedName>
    <definedName function="true" hidden="false" name="OSTRIP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<sst xmlns="http://schemas.openxmlformats.org/spreadsheetml/2006/main" count="250" uniqueCount="118">
  <si>
    <t xml:space="preserve">Date</t>
  </si>
  <si>
    <t xml:space="preserve">Index Offer</t>
  </si>
  <si>
    <t xml:space="preserve">Index Adder</t>
  </si>
  <si>
    <t xml:space="preserve">Month</t>
  </si>
  <si>
    <t xml:space="preserve">Days</t>
  </si>
  <si>
    <t xml:space="preserve">Interest Rate</t>
  </si>
  <si>
    <t xml:space="preserve">Discount Factor</t>
  </si>
  <si>
    <t xml:space="preserve">Min/d</t>
  </si>
  <si>
    <t xml:space="preserve">Min/mo</t>
  </si>
  <si>
    <t xml:space="preserve">Max/d</t>
  </si>
  <si>
    <t xml:space="preserve">Max/mo</t>
  </si>
  <si>
    <t xml:space="preserve">Avg/d</t>
  </si>
  <si>
    <t xml:space="preserve">Avg/mo</t>
  </si>
  <si>
    <t xml:space="preserve">PV Notional</t>
  </si>
  <si>
    <t xml:space="preserve">Index Mid</t>
  </si>
  <si>
    <t xml:space="preserve">Mid - Offer</t>
  </si>
  <si>
    <t xml:space="preserve">Origination</t>
  </si>
  <si>
    <t xml:space="preserve">TOTALS</t>
  </si>
  <si>
    <t xml:space="preserve">AGGREGATE VOLUMES</t>
  </si>
  <si>
    <t xml:space="preserve">Option Vol</t>
  </si>
  <si>
    <t xml:space="preserve">PROSPECTIVE BOOKINGS (BASED ON HISTORICAL FLOW)</t>
  </si>
  <si>
    <t xml:space="preserve">FLOW BY CURVE</t>
  </si>
  <si>
    <t xml:space="preserve">P.H. Robinson -  #1412</t>
  </si>
  <si>
    <t xml:space="preserve">T.H. Wharton - #1480</t>
  </si>
  <si>
    <t xml:space="preserve">Cedar Bayou - #1401</t>
  </si>
  <si>
    <t xml:space="preserve">Greens Bayou - #1393</t>
  </si>
  <si>
    <t xml:space="preserve">Sam Berton -#1396</t>
  </si>
  <si>
    <t xml:space="preserve">Total</t>
  </si>
  <si>
    <t xml:space="preserve">IF-A/S EAST OFF</t>
  </si>
  <si>
    <t xml:space="preserve">IF-HPL/SHPCHAN</t>
  </si>
  <si>
    <t xml:space="preserve">Today's Date:</t>
  </si>
  <si>
    <t xml:space="preserve">Deal Nos: N97148.1, N97148.2</t>
  </si>
  <si>
    <t xml:space="preserve">GD Minibook</t>
  </si>
  <si>
    <t xml:space="preserve">Delivery Month</t>
  </si>
  <si>
    <t xml:space="preserve">Volume</t>
  </si>
  <si>
    <t xml:space="preserve">Start Date</t>
  </si>
  <si>
    <t xml:space="preserve">Stop Date</t>
  </si>
  <si>
    <t xml:space="preserve">Delivery Point</t>
  </si>
  <si>
    <t xml:space="preserve">Put/Call</t>
  </si>
  <si>
    <t xml:space="preserve">Price</t>
  </si>
  <si>
    <t xml:space="preserve">Strike</t>
  </si>
  <si>
    <t xml:space="preserve">Now to Set</t>
  </si>
  <si>
    <t xml:space="preserve">Beg Days</t>
  </si>
  <si>
    <t xml:space="preserve">End Days</t>
  </si>
  <si>
    <t xml:space="preserve">Fwd Start Flag</t>
  </si>
  <si>
    <t xml:space="preserve">Int Rt</t>
  </si>
  <si>
    <t xml:space="preserve">Vol_prior</t>
  </si>
  <si>
    <t xml:space="preserve">Vol_after</t>
  </si>
  <si>
    <t xml:space="preserve">Pct of Index</t>
  </si>
  <si>
    <t xml:space="preserve">Basis Offset</t>
  </si>
  <si>
    <t xml:space="preserve">Opt Type</t>
  </si>
  <si>
    <t xml:space="preserve">Ret Type</t>
  </si>
  <si>
    <t xml:space="preserve">Mid Premium</t>
  </si>
  <si>
    <t xml:space="preserve">Mid Option Value</t>
  </si>
  <si>
    <t xml:space="preserve">CALL</t>
  </si>
  <si>
    <t xml:space="preserve">PUT</t>
  </si>
  <si>
    <t xml:space="preserve">Total GD Option Value</t>
  </si>
  <si>
    <t xml:space="preserve">Ret Type:</t>
  </si>
  <si>
    <t xml:space="preserve">= strip premium</t>
  </si>
  <si>
    <t xml:space="preserve">= delta</t>
  </si>
  <si>
    <t xml:space="preserve">= gamma</t>
  </si>
  <si>
    <t xml:space="preserve">= vega</t>
  </si>
  <si>
    <t xml:space="preserve">= rho</t>
  </si>
  <si>
    <t xml:space="preserve">= theta</t>
  </si>
  <si>
    <t xml:space="preserve">= delta on forward start date</t>
  </si>
  <si>
    <t xml:space="preserve">IF-TX CITY LOOP</t>
  </si>
  <si>
    <t xml:space="preserve">IF-KATY/TAIL</t>
  </si>
  <si>
    <t xml:space="preserve">HSC</t>
  </si>
  <si>
    <t xml:space="preserve">INTEREST RATE</t>
  </si>
  <si>
    <t xml:space="preserve">Location</t>
  </si>
  <si>
    <t xml:space="preserve">Meter #</t>
  </si>
  <si>
    <t xml:space="preserve">Zone #</t>
  </si>
  <si>
    <t xml:space="preserve">Zone Name</t>
  </si>
  <si>
    <t xml:space="preserve">MTM Curve</t>
  </si>
  <si>
    <t xml:space="preserve">P.H. Robinson</t>
  </si>
  <si>
    <t xml:space="preserve">Texas City</t>
  </si>
  <si>
    <t xml:space="preserve">A/S East Beaumont Offer</t>
  </si>
  <si>
    <t xml:space="preserve">Cedar Bayou</t>
  </si>
  <si>
    <t xml:space="preserve">A/S Central</t>
  </si>
  <si>
    <t xml:space="preserve">T.H. Wharton</t>
  </si>
  <si>
    <t xml:space="preserve">West Loop</t>
  </si>
  <si>
    <t xml:space="preserve">Greens Bayou</t>
  </si>
  <si>
    <t xml:space="preserve">East Loop</t>
  </si>
  <si>
    <t xml:space="preserve">Sam Berton</t>
  </si>
  <si>
    <t xml:space="preserve">Ship Channel</t>
  </si>
  <si>
    <t xml:space="preserve">Today</t>
  </si>
  <si>
    <t xml:space="preserve">A/S Index Offer</t>
  </si>
  <si>
    <t xml:space="preserve">Unit Cost</t>
  </si>
  <si>
    <t xml:space="preserve">HSC Index Offer</t>
  </si>
  <si>
    <t xml:space="preserve">NOTIONAL VOLUMES</t>
  </si>
  <si>
    <t xml:space="preserve">PV VOLUMES</t>
  </si>
  <si>
    <t xml:space="preserve">MID CURVES</t>
  </si>
  <si>
    <t xml:space="preserve">Mid - Offer Cost</t>
  </si>
  <si>
    <t xml:space="preserve">Transport Premium</t>
  </si>
  <si>
    <t xml:space="preserve">Storage Cost</t>
  </si>
  <si>
    <t xml:space="preserve">GD Option Cost</t>
  </si>
  <si>
    <t xml:space="preserve">UNIT COST</t>
  </si>
  <si>
    <t xml:space="preserve">IF-A/S EAST OFFER</t>
  </si>
  <si>
    <t xml:space="preserve">TOTAL</t>
  </si>
  <si>
    <t xml:space="preserve">DEAL VALUE</t>
  </si>
  <si>
    <t xml:space="preserve">PH Robinson Volumes</t>
  </si>
  <si>
    <t xml:space="preserve">Cost</t>
  </si>
  <si>
    <t xml:space="preserve">Put Volume</t>
  </si>
  <si>
    <t xml:space="preserve">Call Volume</t>
  </si>
  <si>
    <t xml:space="preserve">Imputed Premium</t>
  </si>
  <si>
    <t xml:space="preserve">TOTAL COSTS</t>
  </si>
  <si>
    <t xml:space="preserve">NET ORIG VALUE</t>
  </si>
  <si>
    <t xml:space="preserve">Phys Prem</t>
  </si>
  <si>
    <t xml:space="preserve">GD Option Unit Cost</t>
  </si>
  <si>
    <t xml:space="preserve">Customer Price</t>
  </si>
  <si>
    <t xml:space="preserve">UNIT COSTS</t>
  </si>
  <si>
    <t xml:space="preserve">Minibook</t>
  </si>
  <si>
    <t xml:space="preserve">% of Flow</t>
  </si>
  <si>
    <t xml:space="preserve">Total Flow</t>
  </si>
  <si>
    <t xml:space="preserve">Totals</t>
  </si>
  <si>
    <t xml:space="preserve">Maximum</t>
  </si>
  <si>
    <t xml:space="preserve">Minimum</t>
  </si>
  <si>
    <t xml:space="preserve">Summer</t>
  </si>
</sst>
</file>

<file path=xl/styles.xml><?xml version="1.0" encoding="utf-8"?>
<styleSheet xmlns="http://schemas.openxmlformats.org/spreadsheetml/2006/main">
  <numFmts count="37">
    <numFmt numFmtId="164" formatCode="General"/>
    <numFmt numFmtId="165" formatCode="[$-409]m/d/yyyy"/>
    <numFmt numFmtId="166" formatCode="\$#,##0.000"/>
    <numFmt numFmtId="167" formatCode="0.00000"/>
    <numFmt numFmtId="168" formatCode="[$-409]mmm\-yy"/>
    <numFmt numFmtId="169" formatCode="0%"/>
    <numFmt numFmtId="170" formatCode="0.000%"/>
    <numFmt numFmtId="171" formatCode="#,##0"/>
    <numFmt numFmtId="172" formatCode="\$#,##0.0000_);&quot;($&quot;#,##0.0000\)"/>
    <numFmt numFmtId="173" formatCode="\$#,##0_);[RED]&quot;($&quot;#,##0\)"/>
    <numFmt numFmtId="174" formatCode="0_);\(0\)"/>
    <numFmt numFmtId="175" formatCode="[$-409]#,##0_);\(#,##0\)"/>
    <numFmt numFmtId="176" formatCode="0.00%"/>
    <numFmt numFmtId="177" formatCode="[$-409]m/d/yyyy\ h:mm"/>
    <numFmt numFmtId="178" formatCode="@"/>
    <numFmt numFmtId="179" formatCode="_(* #,##0.00_);_(* \(#,##0.00\);_(* \-??_);_(@_)"/>
    <numFmt numFmtId="180" formatCode="[$-409]#,##0_);[RED]\(#,##0\)"/>
    <numFmt numFmtId="181" formatCode="0"/>
    <numFmt numFmtId="182" formatCode="0.000000%"/>
    <numFmt numFmtId="183" formatCode="#,##0.000_);[RED]\(#,##0.000\)"/>
    <numFmt numFmtId="184" formatCode="\$#,##0.00000000"/>
    <numFmt numFmtId="185" formatCode="\$#,##0_);&quot;($&quot;#,##0\)"/>
    <numFmt numFmtId="186" formatCode="#,##0.000000_);[RED]\(#,##0.000000\)"/>
    <numFmt numFmtId="187" formatCode="m/d/yy"/>
    <numFmt numFmtId="188" formatCode="[$-409]#,##0.00_);[RED]\(#,##0.00\)"/>
    <numFmt numFmtId="189" formatCode="0.0000"/>
    <numFmt numFmtId="190" formatCode="[$-409]d\-mmm\-yy"/>
    <numFmt numFmtId="191" formatCode="#,##0.00000_);\(#,##0.00000\)"/>
    <numFmt numFmtId="192" formatCode="_(\$* #,##0.00_);_(\$* \(#,##0.00\);_(\$* \-??_);_(@_)"/>
    <numFmt numFmtId="193" formatCode="0.0000_);\(0.0000\)"/>
    <numFmt numFmtId="194" formatCode="0.0000000000"/>
    <numFmt numFmtId="195" formatCode="\$#,##0.000_);&quot;($&quot;#,##0.000\)"/>
    <numFmt numFmtId="196" formatCode="\$#,##0.00000"/>
    <numFmt numFmtId="197" formatCode="0.0000000"/>
    <numFmt numFmtId="198" formatCode="\$#,##0.0000_);[RED]&quot;($&quot;#,##0.0000\)"/>
    <numFmt numFmtId="199" formatCode="\$#,##0.00000_);[RED]&quot;($&quot;#,##0.00000\)"/>
    <numFmt numFmtId="200" formatCode="\$#,##0.00000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sz val="10"/>
      <color rgb="FF0000FF"/>
      <name val="Arial Narrow"/>
      <family val="2"/>
    </font>
    <font>
      <b val="true"/>
      <sz val="12"/>
      <name val="Arial Narrow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 Narrow"/>
      <family val="2"/>
    </font>
    <font>
      <b val="true"/>
      <sz val="10"/>
      <color rgb="FF008000"/>
      <name val="Arial Narrow"/>
      <family val="2"/>
    </font>
    <font>
      <sz val="10"/>
      <color rgb="FFFF0000"/>
      <name val="Arial Narrow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33CCCC"/>
        <bgColor rgb="FF00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5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7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7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7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5" fillId="8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5" fillId="8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5" fillId="8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9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1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1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1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9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0" fillId="1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9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0" fillId="1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9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0" fillId="1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L&amp;P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Regions/NymexDly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Pages"/>
      <sheetName val="Roll-1"/>
      <sheetName val="Roll-2"/>
      <sheetName val="Roll-3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Peoples Unwind"/>
      <sheetName val="Orig Sched"/>
      <sheetName val="Roll-4"/>
      <sheetName val="Exotics"/>
      <sheetName val="Curves"/>
      <sheetName val="Daily Macro"/>
      <sheetName val="Monthly Macro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8.56"/>
    <col collapsed="false" customWidth="true" hidden="false" outlineLevel="0" max="3" min="3" style="2" width="9.99"/>
    <col collapsed="false" customWidth="true" hidden="false" outlineLevel="0" max="4" min="4" style="2" width="10.85"/>
    <col collapsed="false" customWidth="false" hidden="false" outlineLevel="0" max="7" min="5" style="2" width="9.14"/>
    <col collapsed="false" customWidth="true" hidden="false" outlineLevel="0" max="8" min="8" style="2" width="9.99"/>
    <col collapsed="false" customWidth="false" hidden="false" outlineLevel="0" max="9" min="9" style="2" width="9.14"/>
    <col collapsed="false" customWidth="true" hidden="false" outlineLevel="0" max="10" min="10" style="2" width="10.13"/>
    <col collapsed="false" customWidth="true" hidden="false" outlineLevel="0" max="11" min="11" style="2" width="9.85"/>
    <col collapsed="false" customWidth="false" hidden="false" outlineLevel="0" max="257" min="12" style="2" width="9.14"/>
  </cols>
  <sheetData>
    <row r="1" customFormat="false" ht="12.75" hidden="false" customHeight="false" outlineLevel="0" collapsed="false">
      <c r="A1" s="3" t="s">
        <v>0</v>
      </c>
      <c r="B1" s="4" t="n">
        <f aca="true">+TODAY()</f>
        <v>45926</v>
      </c>
      <c r="C1" s="3" t="s">
        <v>1</v>
      </c>
      <c r="D1" s="5" t="n">
        <v>0.03</v>
      </c>
    </row>
    <row r="2" customFormat="false" ht="12.75" hidden="false" customHeight="false" outlineLevel="0" collapsed="false">
      <c r="B2" s="6"/>
      <c r="C2" s="7" t="s">
        <v>2</v>
      </c>
      <c r="D2" s="8" t="n">
        <v>0.05</v>
      </c>
    </row>
    <row r="3" customFormat="false" ht="12.75" hidden="false" customHeight="false" outlineLevel="0" collapsed="false">
      <c r="B3" s="6"/>
      <c r="C3" s="9"/>
      <c r="D3" s="10"/>
    </row>
    <row r="4" customFormat="false" ht="25.5" hidden="false" customHeight="false" outlineLevel="0" collapsed="false">
      <c r="A4" s="11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2.75" hidden="false" customHeight="false" outlineLevel="0" collapsed="false">
      <c r="A5" s="15"/>
      <c r="B5" s="15"/>
      <c r="C5" s="16"/>
      <c r="D5" s="17"/>
    </row>
    <row r="6" customFormat="false" ht="12.75" hidden="false" customHeight="false" outlineLevel="0" collapsed="false">
      <c r="A6" s="18" t="n">
        <v>36647</v>
      </c>
      <c r="B6" s="19" t="n">
        <v>31</v>
      </c>
      <c r="C6" s="20" t="n">
        <v>0.061911722728867</v>
      </c>
      <c r="D6" s="21" t="n">
        <f aca="false">1/((1+C6/2)^(2*(A6-$B$1)/365.25))</f>
        <v>4.70668664363283</v>
      </c>
      <c r="E6" s="22" t="n">
        <v>37500</v>
      </c>
      <c r="F6" s="23" t="n">
        <f aca="false">+E6*$B6</f>
        <v>1162500</v>
      </c>
      <c r="G6" s="22" t="n">
        <v>112500</v>
      </c>
      <c r="H6" s="23" t="n">
        <f aca="false">+G6*$B6</f>
        <v>3487500</v>
      </c>
      <c r="I6" s="22" t="n">
        <v>75000</v>
      </c>
      <c r="J6" s="23" t="n">
        <f aca="false">+I6*$B6</f>
        <v>2325000</v>
      </c>
      <c r="K6" s="24" t="n">
        <f aca="false">+J6*D6</f>
        <v>10943046.4464463</v>
      </c>
      <c r="L6" s="25" t="n">
        <v>-0.005</v>
      </c>
      <c r="M6" s="26" t="n">
        <f aca="false">+($D$1-L6)*K6</f>
        <v>383006.625625622</v>
      </c>
      <c r="N6" s="26" t="n">
        <f aca="false">+($D$2-$D$1)*K6</f>
        <v>218860.928928927</v>
      </c>
    </row>
    <row r="7" customFormat="false" ht="12.75" hidden="false" customHeight="false" outlineLevel="0" collapsed="false">
      <c r="A7" s="18" t="n">
        <v>36678</v>
      </c>
      <c r="B7" s="19" t="n">
        <v>30</v>
      </c>
      <c r="C7" s="20" t="n">
        <v>0.062730365471494</v>
      </c>
      <c r="D7" s="21" t="n">
        <f aca="false">1/((1+C7/2)^(2*(A7-$B$1)/365.25))</f>
        <v>4.7774675057596</v>
      </c>
      <c r="E7" s="23" t="n">
        <f aca="false">+E$6</f>
        <v>37500</v>
      </c>
      <c r="F7" s="23" t="n">
        <f aca="false">+E7*$B7</f>
        <v>1125000</v>
      </c>
      <c r="G7" s="23" t="n">
        <f aca="false">+G$6</f>
        <v>112500</v>
      </c>
      <c r="H7" s="23" t="n">
        <f aca="false">+G7*$B7</f>
        <v>3375000</v>
      </c>
      <c r="I7" s="23" t="n">
        <f aca="false">+I$6</f>
        <v>75000</v>
      </c>
      <c r="J7" s="23" t="n">
        <f aca="false">+I7*$B7</f>
        <v>2250000</v>
      </c>
      <c r="K7" s="24" t="n">
        <f aca="false">+J7*D7</f>
        <v>10749301.8879591</v>
      </c>
      <c r="L7" s="25" t="n">
        <v>-0.005</v>
      </c>
      <c r="M7" s="26" t="n">
        <f aca="false">+($D$1-L7)*K7</f>
        <v>376225.566078568</v>
      </c>
      <c r="N7" s="26" t="n">
        <f aca="false">+($D$2-$D$1)*K7</f>
        <v>214986.037759182</v>
      </c>
    </row>
    <row r="8" customFormat="false" ht="12.75" hidden="false" customHeight="false" outlineLevel="0" collapsed="false">
      <c r="A8" s="18" t="n">
        <v>36708</v>
      </c>
      <c r="B8" s="19" t="n">
        <v>31</v>
      </c>
      <c r="C8" s="20" t="n">
        <v>0.063565520369294</v>
      </c>
      <c r="D8" s="21" t="n">
        <f aca="false">1/((1+C8/2)^(2*(A8-$B$1)/365.25))</f>
        <v>4.85141037976213</v>
      </c>
      <c r="E8" s="22" t="n">
        <v>50000</v>
      </c>
      <c r="F8" s="23" t="n">
        <f aca="false">+E8*$B8</f>
        <v>1550000</v>
      </c>
      <c r="G8" s="22" t="n">
        <v>150000</v>
      </c>
      <c r="H8" s="23" t="n">
        <f aca="false">+G8*$B8</f>
        <v>4650000</v>
      </c>
      <c r="I8" s="22" t="n">
        <v>100000</v>
      </c>
      <c r="J8" s="23" t="n">
        <f aca="false">+I8*$B8</f>
        <v>3100000</v>
      </c>
      <c r="K8" s="24" t="n">
        <f aca="false">+J8*D8</f>
        <v>15039372.1772626</v>
      </c>
      <c r="L8" s="25" t="n">
        <v>-0.005</v>
      </c>
      <c r="M8" s="26" t="n">
        <f aca="false">+($D$1-L8)*K8</f>
        <v>526378.026204191</v>
      </c>
      <c r="N8" s="26" t="n">
        <f aca="false">+($D$2-$D$1)*K8</f>
        <v>300787.443545252</v>
      </c>
    </row>
    <row r="9" customFormat="false" ht="12.75" hidden="false" customHeight="false" outlineLevel="0" collapsed="false">
      <c r="A9" s="18" t="n">
        <v>36739</v>
      </c>
      <c r="B9" s="19" t="n">
        <v>31</v>
      </c>
      <c r="C9" s="20" t="n">
        <v>0.064257576439071</v>
      </c>
      <c r="D9" s="21" t="n">
        <f aca="false">1/((1+C9/2)^(2*(A9-$B$1)/365.25))</f>
        <v>4.90780309214356</v>
      </c>
      <c r="E9" s="24" t="n">
        <f aca="false">+E$8</f>
        <v>50000</v>
      </c>
      <c r="F9" s="23" t="n">
        <f aca="false">+E9*$B9</f>
        <v>1550000</v>
      </c>
      <c r="G9" s="24" t="n">
        <f aca="false">+G$8</f>
        <v>150000</v>
      </c>
      <c r="H9" s="23" t="n">
        <f aca="false">+G9*$B9</f>
        <v>4650000</v>
      </c>
      <c r="I9" s="24" t="n">
        <f aca="false">+I$8</f>
        <v>100000</v>
      </c>
      <c r="J9" s="23" t="n">
        <f aca="false">+I9*$B9</f>
        <v>3100000</v>
      </c>
      <c r="K9" s="24" t="n">
        <f aca="false">+J9*D9</f>
        <v>15214189.585645</v>
      </c>
      <c r="L9" s="25" t="n">
        <v>-0.005</v>
      </c>
      <c r="M9" s="26" t="n">
        <f aca="false">+($D$1-L9)*K9</f>
        <v>532496.635497576</v>
      </c>
      <c r="N9" s="26" t="n">
        <f aca="false">+($D$2-$D$1)*K9</f>
        <v>304283.791712901</v>
      </c>
    </row>
    <row r="10" customFormat="false" ht="12.75" hidden="false" customHeight="false" outlineLevel="0" collapsed="false">
      <c r="A10" s="18" t="n">
        <v>36770</v>
      </c>
      <c r="B10" s="19" t="n">
        <v>30</v>
      </c>
      <c r="C10" s="20" t="n">
        <v>0.064949632667654</v>
      </c>
      <c r="D10" s="21" t="n">
        <f aca="false">1/((1+C10/2)^(2*(A10-$B$1)/365.25))</f>
        <v>4.96425820821458</v>
      </c>
      <c r="E10" s="27" t="n">
        <f aca="false">+E$8</f>
        <v>50000</v>
      </c>
      <c r="F10" s="28" t="n">
        <f aca="false">+E10*$B10</f>
        <v>1500000</v>
      </c>
      <c r="G10" s="27" t="n">
        <f aca="false">+G$8</f>
        <v>150000</v>
      </c>
      <c r="H10" s="28" t="n">
        <f aca="false">+G10*$B10</f>
        <v>4500000</v>
      </c>
      <c r="I10" s="27" t="n">
        <f aca="false">+I$8</f>
        <v>100000</v>
      </c>
      <c r="J10" s="28" t="n">
        <f aca="false">+I10*$B10</f>
        <v>3000000</v>
      </c>
      <c r="K10" s="27" t="n">
        <f aca="false">+J10*D10</f>
        <v>14892774.6246437</v>
      </c>
      <c r="L10" s="25" t="n">
        <v>-0.005</v>
      </c>
      <c r="M10" s="29" t="n">
        <f aca="false">+($D$1-L10)*K10</f>
        <v>521247.111862531</v>
      </c>
      <c r="N10" s="29" t="n">
        <f aca="false">+($D$2-$D$1)*K10</f>
        <v>297855.492492875</v>
      </c>
    </row>
    <row r="11" customFormat="false" ht="12.75" hidden="false" customHeight="false" outlineLevel="0" collapsed="false">
      <c r="A11" s="18"/>
      <c r="B11" s="19"/>
      <c r="C11" s="20"/>
      <c r="D11" s="21"/>
      <c r="E11" s="30"/>
      <c r="F11" s="31"/>
      <c r="G11" s="30"/>
      <c r="H11" s="31"/>
      <c r="I11" s="30"/>
      <c r="J11" s="31"/>
      <c r="K11" s="30"/>
      <c r="L11" s="25"/>
      <c r="M11" s="32"/>
      <c r="N11" s="32"/>
    </row>
    <row r="12" customFormat="false" ht="15.75" hidden="false" customHeight="false" outlineLevel="0" collapsed="false">
      <c r="A12" s="33" t="s">
        <v>17</v>
      </c>
      <c r="E12" s="34" t="n">
        <f aca="false">SUM(E6:E10)</f>
        <v>225000</v>
      </c>
      <c r="F12" s="34" t="n">
        <f aca="false">SUM(F6:F10)</f>
        <v>6887500</v>
      </c>
      <c r="G12" s="34" t="n">
        <f aca="false">SUM(G6:G10)</f>
        <v>675000</v>
      </c>
      <c r="H12" s="34" t="n">
        <f aca="false">SUM(H6:H10)</f>
        <v>20662500</v>
      </c>
      <c r="I12" s="34" t="n">
        <f aca="false">SUM(I6:I10)</f>
        <v>450000</v>
      </c>
      <c r="J12" s="34" t="n">
        <f aca="false">SUM(J6:J10)</f>
        <v>13775000</v>
      </c>
      <c r="K12" s="34" t="n">
        <f aca="false">SUM(K6:K10)</f>
        <v>66838684.7219568</v>
      </c>
      <c r="M12" s="35" t="n">
        <f aca="false">SUM(M6:M10)</f>
        <v>2339353.96526849</v>
      </c>
      <c r="N12" s="35" t="n">
        <f aca="false">SUM(N6:N10)</f>
        <v>1336773.69443914</v>
      </c>
    </row>
    <row r="17" customFormat="false" ht="12.75" hidden="false" customHeight="false" outlineLevel="0" collapsed="false">
      <c r="C17" s="1"/>
    </row>
    <row r="18" customFormat="false" ht="12.75" hidden="false" customHeight="false" outlineLevel="0" collapsed="false">
      <c r="C18" s="1"/>
    </row>
    <row r="19" customFormat="false" ht="12.75" hidden="false" customHeight="false" outlineLevel="0" collapsed="false">
      <c r="C19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D42" activeCellId="0" sqref="D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6" width="9.14"/>
    <col collapsed="false" customWidth="true" hidden="false" outlineLevel="0" max="3" min="3" style="0" width="12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7" min="6" style="0" width="9.7"/>
    <col collapsed="false" customWidth="true" hidden="false" outlineLevel="0" max="8" min="8" style="0" width="10.71"/>
    <col collapsed="false" customWidth="true" hidden="false" outlineLevel="0" max="10" min="10" style="0" width="10.85"/>
    <col collapsed="false" customWidth="true" hidden="false" outlineLevel="0" max="11" min="11" style="0" width="10.28"/>
    <col collapsed="false" customWidth="true" hidden="false" outlineLevel="0" max="12" min="12" style="0" width="10.13"/>
  </cols>
  <sheetData>
    <row r="1" customFormat="false" ht="15.75" hidden="false" customHeight="false" outlineLevel="0" collapsed="false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38"/>
    </row>
    <row r="2" customFormat="false" ht="13.5" hidden="false" customHeight="false" outlineLevel="0" collapsed="false">
      <c r="A2" s="39" t="s">
        <v>3</v>
      </c>
      <c r="B2" s="40" t="s">
        <v>4</v>
      </c>
      <c r="C2" s="39" t="s">
        <v>7</v>
      </c>
      <c r="D2" s="39" t="s">
        <v>9</v>
      </c>
      <c r="E2" s="41" t="s">
        <v>11</v>
      </c>
      <c r="F2" s="39" t="s">
        <v>8</v>
      </c>
      <c r="G2" s="39" t="s">
        <v>10</v>
      </c>
      <c r="H2" s="41" t="s">
        <v>12</v>
      </c>
      <c r="I2" s="38"/>
      <c r="J2" s="41" t="s">
        <v>19</v>
      </c>
      <c r="K2" s="38"/>
      <c r="L2" s="38"/>
    </row>
    <row r="3" customFormat="false" ht="12.75" hidden="false" customHeight="false" outlineLevel="0" collapsed="false">
      <c r="A3" s="42" t="n">
        <v>36647</v>
      </c>
      <c r="B3" s="36" t="n">
        <v>31</v>
      </c>
      <c r="C3" s="43" t="n">
        <v>37500</v>
      </c>
      <c r="D3" s="43" t="n">
        <v>112500</v>
      </c>
      <c r="E3" s="44" t="n">
        <v>75000</v>
      </c>
      <c r="F3" s="43" t="n">
        <f aca="false">+C3*$B3</f>
        <v>1162500</v>
      </c>
      <c r="G3" s="43" t="n">
        <f aca="false">+D3*$B3</f>
        <v>3487500</v>
      </c>
      <c r="H3" s="44" t="n">
        <f aca="false">+E3*$B3</f>
        <v>2325000</v>
      </c>
      <c r="I3" s="38"/>
      <c r="J3" s="44" t="n">
        <f aca="false">0.05*H3</f>
        <v>116250</v>
      </c>
      <c r="K3" s="38"/>
      <c r="L3" s="38"/>
    </row>
    <row r="4" customFormat="false" ht="12.75" hidden="false" customHeight="false" outlineLevel="0" collapsed="false">
      <c r="A4" s="42" t="n">
        <v>36678</v>
      </c>
      <c r="B4" s="36" t="n">
        <v>30</v>
      </c>
      <c r="C4" s="43" t="n">
        <v>37500</v>
      </c>
      <c r="D4" s="43" t="n">
        <v>112500</v>
      </c>
      <c r="E4" s="44" t="n">
        <v>75000</v>
      </c>
      <c r="F4" s="43" t="n">
        <f aca="false">+C4*$B4</f>
        <v>1125000</v>
      </c>
      <c r="G4" s="43" t="n">
        <f aca="false">+D4*$B4</f>
        <v>3375000</v>
      </c>
      <c r="H4" s="44" t="n">
        <f aca="false">+E4*$B4</f>
        <v>2250000</v>
      </c>
      <c r="I4" s="38"/>
      <c r="J4" s="44" t="n">
        <f aca="false">0.05*H4</f>
        <v>112500</v>
      </c>
      <c r="K4" s="38"/>
      <c r="L4" s="38"/>
    </row>
    <row r="5" customFormat="false" ht="12.75" hidden="false" customHeight="false" outlineLevel="0" collapsed="false">
      <c r="A5" s="42" t="n">
        <v>36708</v>
      </c>
      <c r="B5" s="36" t="n">
        <v>31</v>
      </c>
      <c r="C5" s="43" t="n">
        <v>50000</v>
      </c>
      <c r="D5" s="43" t="n">
        <v>150000</v>
      </c>
      <c r="E5" s="44" t="n">
        <v>100000</v>
      </c>
      <c r="F5" s="43" t="n">
        <f aca="false">+C5*$B5</f>
        <v>1550000</v>
      </c>
      <c r="G5" s="43" t="n">
        <f aca="false">+D5*$B5</f>
        <v>4650000</v>
      </c>
      <c r="H5" s="44" t="n">
        <f aca="false">+E5*$B5</f>
        <v>3100000</v>
      </c>
      <c r="I5" s="38"/>
      <c r="J5" s="44" t="n">
        <f aca="false">0.05*H5</f>
        <v>155000</v>
      </c>
      <c r="K5" s="38"/>
      <c r="L5" s="38"/>
    </row>
    <row r="6" customFormat="false" ht="12.75" hidden="false" customHeight="false" outlineLevel="0" collapsed="false">
      <c r="A6" s="42" t="n">
        <v>36739</v>
      </c>
      <c r="B6" s="36" t="n">
        <v>31</v>
      </c>
      <c r="C6" s="43" t="n">
        <v>50000</v>
      </c>
      <c r="D6" s="43" t="n">
        <v>150000</v>
      </c>
      <c r="E6" s="44" t="n">
        <v>100000</v>
      </c>
      <c r="F6" s="43" t="n">
        <f aca="false">+C6*$B6</f>
        <v>1550000</v>
      </c>
      <c r="G6" s="43" t="n">
        <f aca="false">+D6*$B6</f>
        <v>4650000</v>
      </c>
      <c r="H6" s="44" t="n">
        <f aca="false">+E6*$B6</f>
        <v>3100000</v>
      </c>
      <c r="I6" s="38"/>
      <c r="J6" s="44" t="n">
        <f aca="false">0.05*H6</f>
        <v>155000</v>
      </c>
      <c r="K6" s="38"/>
      <c r="L6" s="38"/>
    </row>
    <row r="7" customFormat="false" ht="12.75" hidden="false" customHeight="false" outlineLevel="0" collapsed="false">
      <c r="A7" s="42" t="n">
        <v>36770</v>
      </c>
      <c r="B7" s="36" t="n">
        <v>30</v>
      </c>
      <c r="C7" s="43" t="n">
        <v>50000</v>
      </c>
      <c r="D7" s="43" t="n">
        <v>150000</v>
      </c>
      <c r="E7" s="44" t="n">
        <v>100000</v>
      </c>
      <c r="F7" s="43" t="n">
        <f aca="false">+C7*$B7</f>
        <v>1500000</v>
      </c>
      <c r="G7" s="43" t="n">
        <f aca="false">+D7*$B7</f>
        <v>4500000</v>
      </c>
      <c r="H7" s="44" t="n">
        <f aca="false">+E7*$B7</f>
        <v>3000000</v>
      </c>
      <c r="I7" s="38"/>
      <c r="J7" s="44" t="n">
        <f aca="false">0.05*H7</f>
        <v>150000</v>
      </c>
      <c r="K7" s="38"/>
      <c r="L7" s="38"/>
    </row>
    <row r="8" customFormat="false" ht="12.75" hidden="false" customHeight="false" outlineLevel="0" collapsed="false">
      <c r="A8" s="42" t="n">
        <v>36800</v>
      </c>
      <c r="B8" s="36" t="n">
        <v>31</v>
      </c>
      <c r="C8" s="43" t="n">
        <v>0</v>
      </c>
      <c r="D8" s="43" t="n">
        <v>67500</v>
      </c>
      <c r="E8" s="44" t="n">
        <v>45000</v>
      </c>
      <c r="F8" s="43" t="n">
        <f aca="false">+C8*$B8</f>
        <v>0</v>
      </c>
      <c r="G8" s="43" t="n">
        <f aca="false">+D8*$B8</f>
        <v>2092500</v>
      </c>
      <c r="H8" s="44" t="n">
        <f aca="false">+E8*$B8</f>
        <v>1395000</v>
      </c>
      <c r="I8" s="38"/>
      <c r="J8" s="44" t="n">
        <f aca="false">0.05*H8</f>
        <v>69750</v>
      </c>
      <c r="K8" s="38"/>
      <c r="L8" s="38"/>
    </row>
    <row r="9" customFormat="false" ht="12.75" hidden="false" customHeight="false" outlineLevel="0" collapsed="false">
      <c r="A9" s="42" t="n">
        <v>36831</v>
      </c>
      <c r="B9" s="36" t="n">
        <v>30</v>
      </c>
      <c r="C9" s="43" t="n">
        <v>0</v>
      </c>
      <c r="D9" s="43" t="n">
        <v>67500</v>
      </c>
      <c r="E9" s="44" t="n">
        <v>45000</v>
      </c>
      <c r="F9" s="43" t="n">
        <f aca="false">+C9*$B9</f>
        <v>0</v>
      </c>
      <c r="G9" s="43" t="n">
        <f aca="false">+D9*$B9</f>
        <v>2025000</v>
      </c>
      <c r="H9" s="44" t="n">
        <f aca="false">+E9*$B9</f>
        <v>1350000</v>
      </c>
      <c r="I9" s="38"/>
      <c r="J9" s="44" t="n">
        <f aca="false">0.05*H9</f>
        <v>67500</v>
      </c>
      <c r="K9" s="38"/>
      <c r="L9" s="38"/>
    </row>
    <row r="10" customFormat="false" ht="12.75" hidden="false" customHeight="false" outlineLevel="0" collapsed="false">
      <c r="A10" s="42" t="n">
        <v>36861</v>
      </c>
      <c r="B10" s="36" t="n">
        <v>31</v>
      </c>
      <c r="C10" s="43" t="n">
        <v>0</v>
      </c>
      <c r="D10" s="43" t="n">
        <v>67500</v>
      </c>
      <c r="E10" s="44" t="n">
        <v>45000</v>
      </c>
      <c r="F10" s="43" t="n">
        <f aca="false">+C10*$B10</f>
        <v>0</v>
      </c>
      <c r="G10" s="43" t="n">
        <f aca="false">+D10*$B10</f>
        <v>2092500</v>
      </c>
      <c r="H10" s="44" t="n">
        <f aca="false">+E10*$B10</f>
        <v>1395000</v>
      </c>
      <c r="I10" s="38"/>
      <c r="J10" s="44" t="n">
        <f aca="false">0.05*H10</f>
        <v>69750</v>
      </c>
      <c r="K10" s="38"/>
      <c r="L10" s="38"/>
    </row>
    <row r="11" customFormat="false" ht="12.75" hidden="false" customHeight="false" outlineLevel="0" collapsed="false">
      <c r="A11" s="42" t="n">
        <v>36892</v>
      </c>
      <c r="B11" s="36" t="n">
        <v>31</v>
      </c>
      <c r="C11" s="43" t="n">
        <v>0</v>
      </c>
      <c r="D11" s="43" t="n">
        <v>67500</v>
      </c>
      <c r="E11" s="44" t="n">
        <v>45000</v>
      </c>
      <c r="F11" s="43" t="n">
        <f aca="false">+C11*$B11</f>
        <v>0</v>
      </c>
      <c r="G11" s="43" t="n">
        <f aca="false">+D11*$B11</f>
        <v>2092500</v>
      </c>
      <c r="H11" s="44" t="n">
        <f aca="false">+E11*$B11</f>
        <v>1395000</v>
      </c>
      <c r="I11" s="38"/>
      <c r="J11" s="44" t="n">
        <f aca="false">0.05*H11</f>
        <v>69750</v>
      </c>
      <c r="K11" s="38"/>
      <c r="L11" s="38"/>
    </row>
    <row r="12" customFormat="false" ht="12.75" hidden="false" customHeight="false" outlineLevel="0" collapsed="false">
      <c r="A12" s="42" t="n">
        <v>36923</v>
      </c>
      <c r="B12" s="36" t="n">
        <v>28</v>
      </c>
      <c r="C12" s="43" t="n">
        <v>0</v>
      </c>
      <c r="D12" s="43" t="n">
        <v>67500</v>
      </c>
      <c r="E12" s="44" t="n">
        <v>45000</v>
      </c>
      <c r="F12" s="43" t="n">
        <f aca="false">+C12*$B12</f>
        <v>0</v>
      </c>
      <c r="G12" s="43" t="n">
        <f aca="false">+D12*$B12</f>
        <v>1890000</v>
      </c>
      <c r="H12" s="44" t="n">
        <f aca="false">+E12*$B12</f>
        <v>1260000</v>
      </c>
      <c r="I12" s="38"/>
      <c r="J12" s="44" t="n">
        <f aca="false">0.05*H12</f>
        <v>63000</v>
      </c>
      <c r="K12" s="38"/>
      <c r="L12" s="38"/>
    </row>
    <row r="13" customFormat="false" ht="12.75" hidden="false" customHeight="false" outlineLevel="0" collapsed="false">
      <c r="A13" s="42" t="n">
        <v>36951</v>
      </c>
      <c r="B13" s="36" t="n">
        <v>31</v>
      </c>
      <c r="C13" s="43" t="n">
        <v>0</v>
      </c>
      <c r="D13" s="43" t="n">
        <v>67500</v>
      </c>
      <c r="E13" s="44" t="n">
        <v>45000</v>
      </c>
      <c r="F13" s="43" t="n">
        <f aca="false">+C13*$B13</f>
        <v>0</v>
      </c>
      <c r="G13" s="43" t="n">
        <f aca="false">+D13*$B13</f>
        <v>2092500</v>
      </c>
      <c r="H13" s="44" t="n">
        <f aca="false">+E13*$B13</f>
        <v>1395000</v>
      </c>
      <c r="I13" s="38"/>
      <c r="J13" s="44" t="n">
        <f aca="false">0.05*H13</f>
        <v>69750</v>
      </c>
      <c r="K13" s="38"/>
      <c r="L13" s="38"/>
    </row>
    <row r="14" customFormat="false" ht="12.75" hidden="false" customHeight="false" outlineLevel="0" collapsed="false">
      <c r="A14" s="42" t="n">
        <v>36982</v>
      </c>
      <c r="B14" s="36" t="n">
        <v>30</v>
      </c>
      <c r="C14" s="43" t="n">
        <v>0</v>
      </c>
      <c r="D14" s="43" t="n">
        <v>67500</v>
      </c>
      <c r="E14" s="44" t="n">
        <v>45000</v>
      </c>
      <c r="F14" s="43" t="n">
        <f aca="false">+C14*$B14</f>
        <v>0</v>
      </c>
      <c r="G14" s="43" t="n">
        <f aca="false">+D14*$B14</f>
        <v>2025000</v>
      </c>
      <c r="H14" s="44" t="n">
        <f aca="false">+E14*$B14</f>
        <v>1350000</v>
      </c>
      <c r="I14" s="38"/>
      <c r="J14" s="44" t="n">
        <f aca="false">0.05*H14</f>
        <v>67500</v>
      </c>
      <c r="K14" s="38"/>
      <c r="L14" s="38"/>
    </row>
    <row r="15" customFormat="false" ht="12.75" hidden="false" customHeight="false" outlineLevel="0" collapsed="false">
      <c r="A15" s="42" t="n">
        <v>37012</v>
      </c>
      <c r="B15" s="36" t="n">
        <v>31</v>
      </c>
      <c r="C15" s="43" t="n">
        <f aca="false">+C3</f>
        <v>37500</v>
      </c>
      <c r="D15" s="43" t="n">
        <f aca="false">+D3</f>
        <v>112500</v>
      </c>
      <c r="E15" s="44" t="n">
        <f aca="false">+E3</f>
        <v>75000</v>
      </c>
      <c r="F15" s="43" t="n">
        <f aca="false">+C15*$B15</f>
        <v>1162500</v>
      </c>
      <c r="G15" s="43" t="n">
        <f aca="false">+D15*$B15</f>
        <v>3487500</v>
      </c>
      <c r="H15" s="44" t="n">
        <f aca="false">+E15*$B15</f>
        <v>2325000</v>
      </c>
      <c r="I15" s="38"/>
      <c r="J15" s="44" t="n">
        <f aca="false">0.05*H15</f>
        <v>116250</v>
      </c>
      <c r="K15" s="38"/>
      <c r="L15" s="38"/>
    </row>
    <row r="16" customFormat="false" ht="12.75" hidden="false" customHeight="false" outlineLevel="0" collapsed="false">
      <c r="A16" s="42" t="n">
        <v>37043</v>
      </c>
      <c r="B16" s="36" t="n">
        <v>30</v>
      </c>
      <c r="C16" s="43" t="n">
        <f aca="false">+C3</f>
        <v>37500</v>
      </c>
      <c r="D16" s="43" t="n">
        <f aca="false">+D3</f>
        <v>112500</v>
      </c>
      <c r="E16" s="44" t="n">
        <f aca="false">+E3</f>
        <v>75000</v>
      </c>
      <c r="F16" s="43" t="n">
        <f aca="false">+C16*$B16</f>
        <v>1125000</v>
      </c>
      <c r="G16" s="43" t="n">
        <f aca="false">+D16*$B16</f>
        <v>3375000</v>
      </c>
      <c r="H16" s="44" t="n">
        <f aca="false">+E16*$B16</f>
        <v>2250000</v>
      </c>
      <c r="I16" s="38"/>
      <c r="J16" s="44" t="n">
        <f aca="false">0.05*H16</f>
        <v>112500</v>
      </c>
    </row>
    <row r="17" customFormat="false" ht="12.75" hidden="false" customHeight="false" outlineLevel="0" collapsed="false">
      <c r="H17" s="45" t="n">
        <f aca="false">SUM(H3:H16)</f>
        <v>27890000</v>
      </c>
    </row>
    <row r="20" customFormat="false" ht="15.75" hidden="false" customHeight="false" outlineLevel="0" collapsed="false">
      <c r="A20" s="37" t="s">
        <v>20</v>
      </c>
      <c r="B20" s="37"/>
      <c r="C20" s="37"/>
      <c r="D20" s="37"/>
      <c r="E20" s="37"/>
      <c r="F20" s="37"/>
      <c r="G20" s="37"/>
      <c r="H20" s="37"/>
      <c r="J20" s="46" t="s">
        <v>21</v>
      </c>
      <c r="K20" s="46"/>
      <c r="L20" s="46"/>
    </row>
    <row r="21" customFormat="false" ht="39" hidden="false" customHeight="false" outlineLevel="0" collapsed="false">
      <c r="A21" s="39" t="s">
        <v>3</v>
      </c>
      <c r="B21" s="40" t="s">
        <v>4</v>
      </c>
      <c r="C21" s="47" t="s">
        <v>22</v>
      </c>
      <c r="D21" s="47" t="s">
        <v>23</v>
      </c>
      <c r="E21" s="47" t="s">
        <v>24</v>
      </c>
      <c r="F21" s="47" t="s">
        <v>25</v>
      </c>
      <c r="G21" s="47" t="s">
        <v>26</v>
      </c>
      <c r="H21" s="48" t="s">
        <v>27</v>
      </c>
      <c r="J21" s="47" t="s">
        <v>28</v>
      </c>
      <c r="K21" s="47" t="s">
        <v>29</v>
      </c>
      <c r="L21" s="48" t="s">
        <v>27</v>
      </c>
    </row>
    <row r="22" customFormat="false" ht="12.75" hidden="false" customHeight="false" outlineLevel="0" collapsed="false">
      <c r="A22" s="42" t="n">
        <v>36647</v>
      </c>
      <c r="B22" s="36" t="n">
        <v>31</v>
      </c>
      <c r="C22" s="49" t="n">
        <f aca="false">+$E3*$B22*'Historical Flow'!$D$19</f>
        <v>745720.615002561</v>
      </c>
      <c r="D22" s="49" t="n">
        <f aca="false">+$E3*$B22*'Historical Flow'!$F$19</f>
        <v>156623.669839687</v>
      </c>
      <c r="E22" s="49" t="n">
        <f aca="false">+$E3*$B22*'Historical Flow'!$H$19</f>
        <v>1297616.02073203</v>
      </c>
      <c r="F22" s="49" t="n">
        <f aca="false">+$E3*$B22*'Historical Flow'!$J$19</f>
        <v>72883.3955813412</v>
      </c>
      <c r="G22" s="49" t="n">
        <f aca="false">+$E3*$B22*'Historical Flow'!$L$19</f>
        <v>52156.2988443805</v>
      </c>
      <c r="H22" s="50" t="n">
        <f aca="false">SUM(C22:G22)</f>
        <v>2325000</v>
      </c>
      <c r="J22" s="49" t="n">
        <f aca="false">+C22+E22</f>
        <v>2043336.63573459</v>
      </c>
      <c r="K22" s="49" t="n">
        <f aca="false">+H22-J22</f>
        <v>281663.364265408</v>
      </c>
      <c r="L22" s="50" t="n">
        <f aca="false">SUM(J22:K22)</f>
        <v>2325000</v>
      </c>
    </row>
    <row r="23" customFormat="false" ht="12.75" hidden="false" customHeight="false" outlineLevel="0" collapsed="false">
      <c r="A23" s="42" t="n">
        <v>36678</v>
      </c>
      <c r="B23" s="36" t="n">
        <v>30</v>
      </c>
      <c r="C23" s="49" t="n">
        <f aca="false">+$E4*$B23*'Historical Flow'!$D$19</f>
        <v>721665.111292801</v>
      </c>
      <c r="D23" s="49" t="n">
        <f aca="false">+$E4*$B23*'Historical Flow'!$F$19</f>
        <v>151571.293393245</v>
      </c>
      <c r="E23" s="49" t="n">
        <f aca="false">+$E4*$B23*'Historical Flow'!$H$19</f>
        <v>1255757.43941809</v>
      </c>
      <c r="F23" s="49" t="n">
        <f aca="false">+$E4*$B23*'Historical Flow'!$J$19</f>
        <v>70532.3183045237</v>
      </c>
      <c r="G23" s="49" t="n">
        <f aca="false">+$E4*$B23*'Historical Flow'!$L$19</f>
        <v>50473.8375913359</v>
      </c>
      <c r="H23" s="51" t="n">
        <f aca="false">SUM(C23:G23)</f>
        <v>2250000</v>
      </c>
      <c r="J23" s="49" t="n">
        <f aca="false">+C23+E23</f>
        <v>1977422.5507109</v>
      </c>
      <c r="K23" s="49" t="n">
        <f aca="false">+H23-J23</f>
        <v>272577.449289105</v>
      </c>
      <c r="L23" s="51" t="n">
        <f aca="false">SUM(J23:K23)</f>
        <v>2250000</v>
      </c>
    </row>
    <row r="24" customFormat="false" ht="12.75" hidden="false" customHeight="false" outlineLevel="0" collapsed="false">
      <c r="A24" s="42" t="n">
        <v>36708</v>
      </c>
      <c r="B24" s="36" t="n">
        <v>31</v>
      </c>
      <c r="C24" s="49" t="n">
        <f aca="false">+$E5*$B24*'Historical Flow'!$D$19</f>
        <v>994294.153336748</v>
      </c>
      <c r="D24" s="49" t="n">
        <f aca="false">+$E5*$B24*'Historical Flow'!$F$19</f>
        <v>208831.559786249</v>
      </c>
      <c r="E24" s="49" t="n">
        <f aca="false">+$E5*$B24*'Historical Flow'!$H$19</f>
        <v>1730154.69430937</v>
      </c>
      <c r="F24" s="49" t="n">
        <f aca="false">+$E5*$B24*'Historical Flow'!$J$19</f>
        <v>97177.8607751216</v>
      </c>
      <c r="G24" s="49" t="n">
        <f aca="false">+$E5*$B24*'Historical Flow'!$L$19</f>
        <v>69541.7317925073</v>
      </c>
      <c r="H24" s="51" t="n">
        <f aca="false">SUM(C24:G24)</f>
        <v>3100000</v>
      </c>
      <c r="J24" s="49" t="n">
        <f aca="false">+C24+E24</f>
        <v>2724448.84764612</v>
      </c>
      <c r="K24" s="49" t="n">
        <f aca="false">+H24-J24</f>
        <v>375551.152353878</v>
      </c>
      <c r="L24" s="51" t="n">
        <f aca="false">SUM(J24:K24)</f>
        <v>3100000</v>
      </c>
    </row>
    <row r="25" customFormat="false" ht="12.75" hidden="false" customHeight="false" outlineLevel="0" collapsed="false">
      <c r="A25" s="42" t="n">
        <v>36739</v>
      </c>
      <c r="B25" s="36" t="n">
        <v>31</v>
      </c>
      <c r="C25" s="49" t="n">
        <f aca="false">+$E6*$B25*'Historical Flow'!$D$19</f>
        <v>994294.153336748</v>
      </c>
      <c r="D25" s="49" t="n">
        <f aca="false">+$E6*$B25*'Historical Flow'!$F$19</f>
        <v>208831.559786249</v>
      </c>
      <c r="E25" s="49" t="n">
        <f aca="false">+$E6*$B25*'Historical Flow'!$H$19</f>
        <v>1730154.69430937</v>
      </c>
      <c r="F25" s="49" t="n">
        <f aca="false">+$E6*$B25*'Historical Flow'!$J$19</f>
        <v>97177.8607751216</v>
      </c>
      <c r="G25" s="49" t="n">
        <f aca="false">+$E6*$B25*'Historical Flow'!$L$19</f>
        <v>69541.7317925073</v>
      </c>
      <c r="H25" s="51" t="n">
        <f aca="false">SUM(C25:G25)</f>
        <v>3100000</v>
      </c>
      <c r="J25" s="49" t="n">
        <f aca="false">+C25+E25</f>
        <v>2724448.84764612</v>
      </c>
      <c r="K25" s="49" t="n">
        <f aca="false">+H25-J25</f>
        <v>375551.152353878</v>
      </c>
      <c r="L25" s="51" t="n">
        <f aca="false">SUM(J25:K25)</f>
        <v>3100000</v>
      </c>
    </row>
    <row r="26" customFormat="false" ht="12.75" hidden="false" customHeight="false" outlineLevel="0" collapsed="false">
      <c r="A26" s="42" t="n">
        <v>36770</v>
      </c>
      <c r="B26" s="36" t="n">
        <v>30</v>
      </c>
      <c r="C26" s="49" t="n">
        <f aca="false">+$E7*$B26*'Historical Flow'!$D$19</f>
        <v>962220.148390401</v>
      </c>
      <c r="D26" s="49" t="n">
        <f aca="false">+$E7*$B26*'Historical Flow'!$F$19</f>
        <v>202095.05785766</v>
      </c>
      <c r="E26" s="49" t="n">
        <f aca="false">+$E7*$B26*'Historical Flow'!$H$19</f>
        <v>1674343.25255746</v>
      </c>
      <c r="F26" s="49" t="n">
        <f aca="false">+$E7*$B26*'Historical Flow'!$J$19</f>
        <v>94043.0910726983</v>
      </c>
      <c r="G26" s="49" t="n">
        <f aca="false">+$E7*$B26*'Historical Flow'!$L$19</f>
        <v>67298.4501217813</v>
      </c>
      <c r="H26" s="51" t="n">
        <f aca="false">SUM(C26:G26)</f>
        <v>3000000</v>
      </c>
      <c r="J26" s="49" t="n">
        <f aca="false">+C26+E26</f>
        <v>2636563.40094786</v>
      </c>
      <c r="K26" s="49" t="n">
        <f aca="false">+H26-J26</f>
        <v>363436.59905214</v>
      </c>
      <c r="L26" s="51" t="n">
        <f aca="false">SUM(J26:K26)</f>
        <v>3000000</v>
      </c>
    </row>
    <row r="27" customFormat="false" ht="12.75" hidden="false" customHeight="false" outlineLevel="0" collapsed="false">
      <c r="A27" s="42" t="n">
        <v>36800</v>
      </c>
      <c r="B27" s="36" t="n">
        <v>31</v>
      </c>
      <c r="C27" s="49" t="n">
        <f aca="false">+$E8*$B27*'Historical Flow'!$D$19</f>
        <v>447432.369001537</v>
      </c>
      <c r="D27" s="49" t="n">
        <f aca="false">+$E8*$B27*'Historical Flow'!$F$19</f>
        <v>93974.201903812</v>
      </c>
      <c r="E27" s="49" t="n">
        <f aca="false">+$E8*$B27*'Historical Flow'!$H$19</f>
        <v>778569.612439218</v>
      </c>
      <c r="F27" s="49" t="n">
        <f aca="false">+$E8*$B27*'Historical Flow'!$J$19</f>
        <v>43730.0373488047</v>
      </c>
      <c r="G27" s="49" t="n">
        <f aca="false">+$E8*$B27*'Historical Flow'!$L$19</f>
        <v>31293.7793066283</v>
      </c>
      <c r="H27" s="51" t="n">
        <f aca="false">SUM(C27:G27)</f>
        <v>1395000</v>
      </c>
      <c r="J27" s="49" t="n">
        <f aca="false">+C27+E27</f>
        <v>1226001.98144076</v>
      </c>
      <c r="K27" s="49" t="n">
        <f aca="false">+H27-J27</f>
        <v>168998.018559245</v>
      </c>
      <c r="L27" s="51" t="n">
        <f aca="false">SUM(J27:K27)</f>
        <v>1395000</v>
      </c>
    </row>
    <row r="28" customFormat="false" ht="12.75" hidden="false" customHeight="false" outlineLevel="0" collapsed="false">
      <c r="A28" s="42" t="n">
        <v>36831</v>
      </c>
      <c r="B28" s="36" t="n">
        <v>30</v>
      </c>
      <c r="C28" s="49" t="n">
        <f aca="false">+$E9*$B28*'Historical Flow'!$D$19</f>
        <v>432999.066775681</v>
      </c>
      <c r="D28" s="49" t="n">
        <f aca="false">+$E9*$B28*'Historical Flow'!$F$19</f>
        <v>90942.7760359471</v>
      </c>
      <c r="E28" s="49" t="n">
        <f aca="false">+$E9*$B28*'Historical Flow'!$H$19</f>
        <v>753454.463650857</v>
      </c>
      <c r="F28" s="49" t="n">
        <f aca="false">+$E9*$B28*'Historical Flow'!$J$19</f>
        <v>42319.3909827142</v>
      </c>
      <c r="G28" s="49" t="n">
        <f aca="false">+$E9*$B28*'Historical Flow'!$L$19</f>
        <v>30284.3025548016</v>
      </c>
      <c r="H28" s="51" t="n">
        <f aca="false">SUM(C28:G28)</f>
        <v>1350000</v>
      </c>
      <c r="J28" s="49" t="n">
        <f aca="false">+C28+E28</f>
        <v>1186453.53042654</v>
      </c>
      <c r="K28" s="49" t="n">
        <f aca="false">+H28-J28</f>
        <v>163546.469573463</v>
      </c>
      <c r="L28" s="51" t="n">
        <f aca="false">SUM(J28:K28)</f>
        <v>1350000</v>
      </c>
    </row>
    <row r="29" customFormat="false" ht="12.75" hidden="false" customHeight="false" outlineLevel="0" collapsed="false">
      <c r="A29" s="42" t="n">
        <v>36861</v>
      </c>
      <c r="B29" s="36" t="n">
        <v>31</v>
      </c>
      <c r="C29" s="49" t="n">
        <f aca="false">+$E10*$B29*'Historical Flow'!$D$19</f>
        <v>447432.369001537</v>
      </c>
      <c r="D29" s="49" t="n">
        <f aca="false">+$E10*$B29*'Historical Flow'!$F$19</f>
        <v>93974.201903812</v>
      </c>
      <c r="E29" s="49" t="n">
        <f aca="false">+$E10*$B29*'Historical Flow'!$H$19</f>
        <v>778569.612439218</v>
      </c>
      <c r="F29" s="49" t="n">
        <f aca="false">+$E10*$B29*'Historical Flow'!$J$19</f>
        <v>43730.0373488047</v>
      </c>
      <c r="G29" s="49" t="n">
        <f aca="false">+$E10*$B29*'Historical Flow'!$L$19</f>
        <v>31293.7793066283</v>
      </c>
      <c r="H29" s="51" t="n">
        <f aca="false">SUM(C29:G29)</f>
        <v>1395000</v>
      </c>
      <c r="J29" s="49" t="n">
        <f aca="false">+C29+E29</f>
        <v>1226001.98144076</v>
      </c>
      <c r="K29" s="49" t="n">
        <f aca="false">+H29-J29</f>
        <v>168998.018559245</v>
      </c>
      <c r="L29" s="51" t="n">
        <f aca="false">SUM(J29:K29)</f>
        <v>1395000</v>
      </c>
    </row>
    <row r="30" customFormat="false" ht="12.75" hidden="false" customHeight="false" outlineLevel="0" collapsed="false">
      <c r="A30" s="42" t="n">
        <v>36892</v>
      </c>
      <c r="B30" s="36" t="n">
        <v>31</v>
      </c>
      <c r="C30" s="49" t="n">
        <f aca="false">+$E11*$B30*'Historical Flow'!$D$19</f>
        <v>447432.369001537</v>
      </c>
      <c r="D30" s="49" t="n">
        <f aca="false">+$E11*$B30*'Historical Flow'!$F$19</f>
        <v>93974.201903812</v>
      </c>
      <c r="E30" s="49" t="n">
        <f aca="false">+$E11*$B30*'Historical Flow'!$H$19</f>
        <v>778569.612439218</v>
      </c>
      <c r="F30" s="49" t="n">
        <f aca="false">+$E11*$B30*'Historical Flow'!$J$19</f>
        <v>43730.0373488047</v>
      </c>
      <c r="G30" s="49" t="n">
        <f aca="false">+$E11*$B30*'Historical Flow'!$L$19</f>
        <v>31293.7793066283</v>
      </c>
      <c r="H30" s="51" t="n">
        <f aca="false">SUM(C30:G30)</f>
        <v>1395000</v>
      </c>
      <c r="J30" s="49" t="n">
        <f aca="false">+C30+E30</f>
        <v>1226001.98144076</v>
      </c>
      <c r="K30" s="49" t="n">
        <f aca="false">+H30-J30</f>
        <v>168998.018559245</v>
      </c>
      <c r="L30" s="51" t="n">
        <f aca="false">SUM(J30:K30)</f>
        <v>1395000</v>
      </c>
    </row>
    <row r="31" customFormat="false" ht="12.75" hidden="false" customHeight="false" outlineLevel="0" collapsed="false">
      <c r="A31" s="42" t="n">
        <v>36923</v>
      </c>
      <c r="B31" s="36" t="n">
        <v>28</v>
      </c>
      <c r="C31" s="49" t="n">
        <f aca="false">+$E12*$B31*'Historical Flow'!$D$19</f>
        <v>404132.462323969</v>
      </c>
      <c r="D31" s="49" t="n">
        <f aca="false">+$E12*$B31*'Historical Flow'!$F$19</f>
        <v>84879.9243002173</v>
      </c>
      <c r="E31" s="49" t="n">
        <f aca="false">+$E12*$B31*'Historical Flow'!$H$19</f>
        <v>703224.166074133</v>
      </c>
      <c r="F31" s="49" t="n">
        <f aca="false">+$E12*$B31*'Historical Flow'!$J$19</f>
        <v>39498.0982505333</v>
      </c>
      <c r="G31" s="49" t="n">
        <f aca="false">+$E12*$B31*'Historical Flow'!$L$19</f>
        <v>28265.3490511481</v>
      </c>
      <c r="H31" s="51" t="n">
        <f aca="false">SUM(C31:G31)</f>
        <v>1260000</v>
      </c>
      <c r="J31" s="49" t="n">
        <f aca="false">+C31+E31</f>
        <v>1107356.6283981</v>
      </c>
      <c r="K31" s="49" t="n">
        <f aca="false">+H31-J31</f>
        <v>152643.371601899</v>
      </c>
      <c r="L31" s="51" t="n">
        <f aca="false">SUM(J31:K31)</f>
        <v>1260000</v>
      </c>
    </row>
    <row r="32" customFormat="false" ht="12.75" hidden="false" customHeight="false" outlineLevel="0" collapsed="false">
      <c r="A32" s="42" t="n">
        <v>36951</v>
      </c>
      <c r="B32" s="36" t="n">
        <v>31</v>
      </c>
      <c r="C32" s="49" t="n">
        <f aca="false">+$E13*$B32*'Historical Flow'!$D$19</f>
        <v>447432.369001537</v>
      </c>
      <c r="D32" s="49" t="n">
        <f aca="false">+$E13*$B32*'Historical Flow'!$F$19</f>
        <v>93974.201903812</v>
      </c>
      <c r="E32" s="49" t="n">
        <f aca="false">+$E13*$B32*'Historical Flow'!$H$19</f>
        <v>778569.612439218</v>
      </c>
      <c r="F32" s="49" t="n">
        <f aca="false">+$E13*$B32*'Historical Flow'!$J$19</f>
        <v>43730.0373488047</v>
      </c>
      <c r="G32" s="49" t="n">
        <f aca="false">+$E13*$B32*'Historical Flow'!$L$19</f>
        <v>31293.7793066283</v>
      </c>
      <c r="H32" s="51" t="n">
        <f aca="false">SUM(C32:G32)</f>
        <v>1395000</v>
      </c>
      <c r="J32" s="49" t="n">
        <f aca="false">+C32+E32</f>
        <v>1226001.98144076</v>
      </c>
      <c r="K32" s="49" t="n">
        <f aca="false">+H32-J32</f>
        <v>168998.018559245</v>
      </c>
      <c r="L32" s="51" t="n">
        <f aca="false">SUM(J32:K32)</f>
        <v>1395000</v>
      </c>
    </row>
    <row r="33" customFormat="false" ht="12.75" hidden="false" customHeight="false" outlineLevel="0" collapsed="false">
      <c r="A33" s="42" t="n">
        <v>36982</v>
      </c>
      <c r="B33" s="36" t="n">
        <v>30</v>
      </c>
      <c r="C33" s="49" t="n">
        <f aca="false">+$E14*$B33*'Historical Flow'!$D$19</f>
        <v>432999.066775681</v>
      </c>
      <c r="D33" s="49" t="n">
        <f aca="false">+$E14*$B33*'Historical Flow'!$F$19</f>
        <v>90942.7760359471</v>
      </c>
      <c r="E33" s="49" t="n">
        <f aca="false">+$E14*$B33*'Historical Flow'!$H$19</f>
        <v>753454.463650857</v>
      </c>
      <c r="F33" s="49" t="n">
        <f aca="false">+$E14*$B33*'Historical Flow'!$J$19</f>
        <v>42319.3909827142</v>
      </c>
      <c r="G33" s="49" t="n">
        <f aca="false">+$E14*$B33*'Historical Flow'!$L$19</f>
        <v>30284.3025548016</v>
      </c>
      <c r="H33" s="51" t="n">
        <f aca="false">SUM(C33:G33)</f>
        <v>1350000</v>
      </c>
      <c r="J33" s="49" t="n">
        <f aca="false">+C33+E33</f>
        <v>1186453.53042654</v>
      </c>
      <c r="K33" s="49" t="n">
        <f aca="false">+H33-J33</f>
        <v>163546.469573463</v>
      </c>
      <c r="L33" s="51" t="n">
        <f aca="false">SUM(J33:K33)</f>
        <v>1350000</v>
      </c>
    </row>
    <row r="34" customFormat="false" ht="12.75" hidden="false" customHeight="false" outlineLevel="0" collapsed="false">
      <c r="A34" s="42" t="n">
        <v>37012</v>
      </c>
      <c r="B34" s="36" t="n">
        <v>31</v>
      </c>
      <c r="C34" s="49" t="n">
        <f aca="false">+$E15*$B34*'Historical Flow'!$D$19</f>
        <v>745720.615002561</v>
      </c>
      <c r="D34" s="49" t="n">
        <f aca="false">+$E15*$B34*'Historical Flow'!$F$19</f>
        <v>156623.669839687</v>
      </c>
      <c r="E34" s="49" t="n">
        <f aca="false">+$E15*$B34*'Historical Flow'!$H$19</f>
        <v>1297616.02073203</v>
      </c>
      <c r="F34" s="49" t="n">
        <f aca="false">+$E15*$B34*'Historical Flow'!$J$19</f>
        <v>72883.3955813412</v>
      </c>
      <c r="G34" s="49" t="n">
        <f aca="false">+$E15*$B34*'Historical Flow'!$L$19</f>
        <v>52156.2988443805</v>
      </c>
      <c r="H34" s="51" t="n">
        <f aca="false">SUM(C34:G34)</f>
        <v>2325000</v>
      </c>
      <c r="J34" s="49" t="n">
        <f aca="false">+C34+E34</f>
        <v>2043336.63573459</v>
      </c>
      <c r="K34" s="49" t="n">
        <f aca="false">+H34-J34</f>
        <v>281663.364265408</v>
      </c>
      <c r="L34" s="51" t="n">
        <f aca="false">SUM(J34:K34)</f>
        <v>2325000</v>
      </c>
    </row>
    <row r="35" customFormat="false" ht="12.75" hidden="false" customHeight="false" outlineLevel="0" collapsed="false">
      <c r="A35" s="42" t="n">
        <v>37043</v>
      </c>
      <c r="B35" s="36" t="n">
        <v>30</v>
      </c>
      <c r="C35" s="49" t="n">
        <f aca="false">+$E16*$B35*'Historical Flow'!$D$19</f>
        <v>721665.111292801</v>
      </c>
      <c r="D35" s="49" t="n">
        <f aca="false">+$E16*$B35*'Historical Flow'!$F$19</f>
        <v>151571.293393245</v>
      </c>
      <c r="E35" s="49" t="n">
        <f aca="false">+$E16*$B35*'Historical Flow'!$H$19</f>
        <v>1255757.43941809</v>
      </c>
      <c r="F35" s="49" t="n">
        <f aca="false">+$E16*$B35*'Historical Flow'!$J$19</f>
        <v>70532.3183045237</v>
      </c>
      <c r="G35" s="49" t="n">
        <f aca="false">+$E16*$B35*'Historical Flow'!$L$19</f>
        <v>50473.8375913359</v>
      </c>
      <c r="H35" s="51" t="n">
        <f aca="false">SUM(C35:G35)</f>
        <v>2250000</v>
      </c>
      <c r="J35" s="49" t="n">
        <f aca="false">+C35+E35</f>
        <v>1977422.5507109</v>
      </c>
      <c r="K35" s="49" t="n">
        <f aca="false">+H35-J35</f>
        <v>272577.449289105</v>
      </c>
      <c r="L35" s="51" t="n">
        <f aca="false">SUM(J35:K35)</f>
        <v>2250000</v>
      </c>
    </row>
    <row r="36" customFormat="false" ht="12.75" hidden="false" customHeight="false" outlineLevel="0" collapsed="false">
      <c r="H36" s="52"/>
      <c r="L36" s="52"/>
    </row>
    <row r="37" customFormat="false" ht="12.75" hidden="false" customHeight="false" outlineLevel="0" collapsed="false">
      <c r="A37" s="53" t="s">
        <v>17</v>
      </c>
      <c r="B37" s="54"/>
      <c r="C37" s="55" t="n">
        <f aca="false">SUM(C22:C35)</f>
        <v>8945439.9795361</v>
      </c>
      <c r="D37" s="55" t="n">
        <f aca="false">SUM(D22:D35)</f>
        <v>1878810.38788338</v>
      </c>
      <c r="E37" s="55" t="n">
        <f aca="false">SUM(E22:E35)</f>
        <v>15565811.1046092</v>
      </c>
      <c r="F37" s="55" t="n">
        <f aca="false">SUM(F22:F35)</f>
        <v>874287.270005852</v>
      </c>
      <c r="G37" s="55" t="n">
        <f aca="false">SUM(G22:G35)</f>
        <v>625651.257965493</v>
      </c>
      <c r="H37" s="56" t="n">
        <f aca="false">SUM(C37:G37)</f>
        <v>27890000</v>
      </c>
      <c r="J37" s="57" t="n">
        <f aca="false">SUM(J22:J35)</f>
        <v>24511251.0841453</v>
      </c>
      <c r="K37" s="55" t="n">
        <f aca="false">SUM(K22:K35)</f>
        <v>3378748.91585473</v>
      </c>
      <c r="L37" s="56" t="n">
        <f aca="false">SUM(L22:L35)</f>
        <v>27890000</v>
      </c>
    </row>
    <row r="38" customFormat="false" ht="12.75" hidden="false" customHeight="false" outlineLevel="0" collapsed="false">
      <c r="C38" s="58"/>
      <c r="D38" s="58"/>
      <c r="E38" s="58"/>
      <c r="F38" s="58"/>
      <c r="G38" s="58"/>
    </row>
    <row r="39" customFormat="false" ht="12.75" hidden="false" customHeight="false" outlineLevel="0" collapsed="false">
      <c r="C39" s="58"/>
      <c r="D39" s="58"/>
      <c r="E39" s="58"/>
      <c r="F39" s="58"/>
      <c r="G39" s="58"/>
    </row>
    <row r="40" customFormat="false" ht="12.75" hidden="false" customHeight="false" outlineLevel="0" collapsed="false">
      <c r="C40" s="59"/>
      <c r="D40" s="59"/>
      <c r="E40" s="59"/>
      <c r="F40" s="59"/>
      <c r="G40" s="59"/>
    </row>
  </sheetData>
  <mergeCells count="3">
    <mergeCell ref="A1:J1"/>
    <mergeCell ref="A20:H20"/>
    <mergeCell ref="J20:L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13.14"/>
    <col collapsed="false" customWidth="true" hidden="false" outlineLevel="0" max="2" min="2" style="60" width="9.85"/>
    <col collapsed="false" customWidth="true" hidden="false" outlineLevel="0" max="3" min="3" style="60" width="10.13"/>
    <col collapsed="false" customWidth="true" hidden="false" outlineLevel="0" max="4" min="4" style="60" width="8.56"/>
    <col collapsed="false" customWidth="true" hidden="false" outlineLevel="0" max="5" min="5" style="60" width="13.99"/>
    <col collapsed="false" customWidth="true" hidden="false" outlineLevel="0" max="6" min="6" style="60" width="6.85"/>
    <col collapsed="false" customWidth="true" hidden="false" outlineLevel="0" max="8" min="7" style="60" width="5.71"/>
    <col collapsed="false" customWidth="true" hidden="false" outlineLevel="0" max="9" min="9" style="60" width="7.7"/>
    <col collapsed="false" customWidth="true" hidden="false" outlineLevel="0" max="10" min="10" style="60" width="7.42"/>
    <col collapsed="false" customWidth="true" hidden="false" outlineLevel="0" max="11" min="11" style="60" width="7.7"/>
    <col collapsed="false" customWidth="true" hidden="false" outlineLevel="0" max="12" min="12" style="60" width="10.56"/>
    <col collapsed="false" customWidth="true" hidden="false" outlineLevel="0" max="13" min="13" style="60" width="10.99"/>
    <col collapsed="false" customWidth="true" hidden="false" outlineLevel="0" max="14" min="14" style="60" width="8.56"/>
    <col collapsed="false" customWidth="true" hidden="false" outlineLevel="0" max="15" min="15" style="60" width="7.7"/>
    <col collapsed="false" customWidth="false" hidden="false" outlineLevel="0" max="17" min="16" style="60" width="9.14"/>
    <col collapsed="false" customWidth="true" hidden="false" outlineLevel="0" max="18" min="18" style="60" width="7.14"/>
    <col collapsed="false" customWidth="true" hidden="false" outlineLevel="0" max="19" min="19" style="60" width="4.85"/>
    <col collapsed="false" customWidth="true" hidden="false" outlineLevel="0" max="20" min="20" style="60" width="12.85"/>
    <col collapsed="false" customWidth="true" hidden="false" outlineLevel="0" max="21" min="21" style="60" width="14.41"/>
    <col collapsed="false" customWidth="true" hidden="false" outlineLevel="0" max="22" min="22" style="60" width="10.71"/>
    <col collapsed="false" customWidth="false" hidden="false" outlineLevel="0" max="257" min="23" style="60" width="9.14"/>
  </cols>
  <sheetData>
    <row r="1" customFormat="false" ht="13.5" hidden="false" customHeight="false" outlineLevel="0" collapsed="false"/>
    <row r="2" customFormat="false" ht="20.25" hidden="false" customHeight="true" outlineLevel="0" collapsed="false">
      <c r="A2" s="61" t="s">
        <v>30</v>
      </c>
      <c r="B2" s="62" t="n">
        <f aca="false">+'Summer ONLY'!B1</f>
        <v>45926</v>
      </c>
      <c r="C2" s="63"/>
      <c r="D2" s="63"/>
      <c r="E2" s="64"/>
      <c r="I2" s="65" t="s">
        <v>31</v>
      </c>
      <c r="J2" s="66"/>
      <c r="K2" s="67"/>
      <c r="M2" s="68" t="s">
        <v>32</v>
      </c>
      <c r="N2" s="69" t="n">
        <v>712988</v>
      </c>
    </row>
    <row r="3" customFormat="false" ht="13.5" hidden="false" customHeight="false" outlineLevel="0" collapsed="false">
      <c r="A3" s="70"/>
      <c r="B3" s="71"/>
      <c r="C3" s="71"/>
      <c r="D3" s="71"/>
    </row>
    <row r="4" customFormat="false" ht="26.25" hidden="false" customHeight="false" outlineLevel="0" collapsed="false">
      <c r="A4" s="72" t="s">
        <v>33</v>
      </c>
      <c r="B4" s="73" t="s">
        <v>34</v>
      </c>
      <c r="C4" s="73" t="s">
        <v>35</v>
      </c>
      <c r="D4" s="73" t="s">
        <v>36</v>
      </c>
      <c r="E4" s="73" t="s">
        <v>37</v>
      </c>
      <c r="F4" s="74" t="s">
        <v>38</v>
      </c>
      <c r="G4" s="75" t="s">
        <v>39</v>
      </c>
      <c r="H4" s="75" t="s">
        <v>40</v>
      </c>
      <c r="I4" s="75" t="s">
        <v>41</v>
      </c>
      <c r="J4" s="75" t="s">
        <v>42</v>
      </c>
      <c r="K4" s="75" t="s">
        <v>43</v>
      </c>
      <c r="L4" s="75" t="s">
        <v>44</v>
      </c>
      <c r="M4" s="75" t="s">
        <v>45</v>
      </c>
      <c r="N4" s="75" t="s">
        <v>46</v>
      </c>
      <c r="O4" s="75" t="s">
        <v>47</v>
      </c>
      <c r="P4" s="75" t="s">
        <v>48</v>
      </c>
      <c r="Q4" s="75" t="s">
        <v>49</v>
      </c>
      <c r="R4" s="75" t="s">
        <v>50</v>
      </c>
      <c r="S4" s="75" t="s">
        <v>51</v>
      </c>
      <c r="T4" s="76" t="s">
        <v>52</v>
      </c>
      <c r="U4" s="77" t="s">
        <v>53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customFormat="false" ht="12.75" hidden="false" customHeight="false" outlineLevel="0" collapsed="false">
      <c r="A5" s="79" t="n">
        <v>36647</v>
      </c>
      <c r="B5" s="80" t="n">
        <f aca="false">-VLOOKUP(A5,'Deal Volumes'!$A$3:$J$16,10)</f>
        <v>-116250</v>
      </c>
      <c r="C5" s="79" t="n">
        <f aca="false">+A5</f>
        <v>36647</v>
      </c>
      <c r="D5" s="81" t="n">
        <f aca="false">EOMONTH(C5,0)</f>
        <v>36677</v>
      </c>
      <c r="E5" s="60" t="s">
        <v>29</v>
      </c>
      <c r="F5" s="82" t="s">
        <v>54</v>
      </c>
      <c r="G5" s="83" t="n">
        <v>2.571</v>
      </c>
      <c r="H5" s="84" t="n">
        <f aca="false">G5</f>
        <v>2.571</v>
      </c>
      <c r="I5" s="85" t="n">
        <f aca="false">+A5-$B$2</f>
        <v>-9279</v>
      </c>
      <c r="J5" s="82" t="n">
        <f aca="false">+C5-A5</f>
        <v>0</v>
      </c>
      <c r="K5" s="80" t="n">
        <f aca="false">+D5-C5+1</f>
        <v>31</v>
      </c>
      <c r="L5" s="82" t="n">
        <v>1</v>
      </c>
      <c r="M5" s="86" t="n">
        <v>0.061739896749392</v>
      </c>
      <c r="N5" s="87" t="n">
        <f aca="false">+O5</f>
        <v>0.45</v>
      </c>
      <c r="O5" s="88" t="n">
        <v>0.45</v>
      </c>
      <c r="P5" s="87" t="n">
        <v>1</v>
      </c>
      <c r="Q5" s="89" t="n">
        <v>0</v>
      </c>
      <c r="R5" s="82" t="n">
        <f aca="false">IF(F5="Call",1,0)</f>
        <v>1</v>
      </c>
      <c r="S5" s="78" t="n">
        <v>0</v>
      </c>
      <c r="T5" s="90" t="e">
        <f aca="false">OSTRIP(G5,H5,I5,J5,K5,L5,M5,N5,O5,P5,Q5,R5,S5)</f>
        <v>#NAME?</v>
      </c>
      <c r="U5" s="91" t="e">
        <f aca="false">T5*B5</f>
        <v>#NAME?</v>
      </c>
      <c r="V5" s="92"/>
      <c r="W5" s="93"/>
      <c r="X5" s="82"/>
      <c r="Y5" s="82"/>
      <c r="Z5" s="82"/>
    </row>
    <row r="6" customFormat="false" ht="12.75" hidden="false" customHeight="false" outlineLevel="0" collapsed="false">
      <c r="A6" s="79" t="n">
        <v>36678</v>
      </c>
      <c r="B6" s="80" t="n">
        <f aca="false">-VLOOKUP(A6,'Deal Volumes'!$A$3:$J$16,10)</f>
        <v>-112500</v>
      </c>
      <c r="C6" s="79" t="n">
        <f aca="false">+A6</f>
        <v>36678</v>
      </c>
      <c r="D6" s="81" t="n">
        <f aca="false">EOMONTH(C6,0)</f>
        <v>36707</v>
      </c>
      <c r="E6" s="60" t="s">
        <v>29</v>
      </c>
      <c r="F6" s="82" t="s">
        <v>54</v>
      </c>
      <c r="G6" s="83" t="n">
        <v>2.5905</v>
      </c>
      <c r="H6" s="84" t="n">
        <f aca="false">G6</f>
        <v>2.5905</v>
      </c>
      <c r="I6" s="85" t="n">
        <f aca="false">+A6-$B$2</f>
        <v>-9248</v>
      </c>
      <c r="J6" s="82" t="n">
        <f aca="false">+C6-A6</f>
        <v>0</v>
      </c>
      <c r="K6" s="80" t="n">
        <f aca="false">+D6-C6+1</f>
        <v>30</v>
      </c>
      <c r="L6" s="82" t="n">
        <v>1</v>
      </c>
      <c r="M6" s="86" t="n">
        <v>0.062588347760124</v>
      </c>
      <c r="N6" s="87" t="n">
        <f aca="false">+O6</f>
        <v>0.5</v>
      </c>
      <c r="O6" s="88" t="n">
        <v>0.5</v>
      </c>
      <c r="P6" s="87" t="n">
        <v>1</v>
      </c>
      <c r="Q6" s="89" t="n">
        <v>0</v>
      </c>
      <c r="R6" s="82" t="n">
        <f aca="false">IF(F6="Call",1,0)</f>
        <v>1</v>
      </c>
      <c r="S6" s="78" t="n">
        <v>0</v>
      </c>
      <c r="T6" s="90" t="e">
        <f aca="false">OSTRIP(G6,H6,I6,J6,K6,L6,M6,N6,O6,P6,Q6,R6,S6)</f>
        <v>#NAME?</v>
      </c>
      <c r="U6" s="91" t="e">
        <f aca="false">T6*B6</f>
        <v>#NAME?</v>
      </c>
      <c r="V6" s="92"/>
      <c r="W6" s="93"/>
      <c r="X6" s="82"/>
      <c r="Y6" s="82"/>
      <c r="Z6" s="82"/>
    </row>
    <row r="7" customFormat="false" ht="12.75" hidden="false" customHeight="false" outlineLevel="0" collapsed="false">
      <c r="A7" s="79" t="n">
        <v>36708</v>
      </c>
      <c r="B7" s="80" t="n">
        <f aca="false">-VLOOKUP(A7,'Deal Volumes'!$A$3:$J$16,10)</f>
        <v>-155000</v>
      </c>
      <c r="C7" s="79" t="n">
        <f aca="false">+A7</f>
        <v>36708</v>
      </c>
      <c r="D7" s="81" t="n">
        <f aca="false">EOMONTH(C7,0)</f>
        <v>36738</v>
      </c>
      <c r="E7" s="60" t="s">
        <v>29</v>
      </c>
      <c r="F7" s="82" t="s">
        <v>54</v>
      </c>
      <c r="G7" s="83" t="n">
        <v>2.607</v>
      </c>
      <c r="H7" s="84" t="n">
        <f aca="false">G7</f>
        <v>2.607</v>
      </c>
      <c r="I7" s="85" t="n">
        <f aca="false">+A7-$B$2</f>
        <v>-9218</v>
      </c>
      <c r="J7" s="82" t="n">
        <f aca="false">+C7-A7</f>
        <v>0</v>
      </c>
      <c r="K7" s="80" t="n">
        <f aca="false">+D7-C7+1</f>
        <v>31</v>
      </c>
      <c r="L7" s="82" t="n">
        <v>1</v>
      </c>
      <c r="M7" s="86" t="n">
        <v>0.063435677173907</v>
      </c>
      <c r="N7" s="87" t="n">
        <f aca="false">+O7</f>
        <v>0.5</v>
      </c>
      <c r="O7" s="88" t="n">
        <v>0.5</v>
      </c>
      <c r="P7" s="87" t="n">
        <v>1</v>
      </c>
      <c r="Q7" s="89" t="n">
        <v>0</v>
      </c>
      <c r="R7" s="82" t="n">
        <f aca="false">IF(F7="Call",1,0)</f>
        <v>1</v>
      </c>
      <c r="S7" s="78" t="n">
        <v>0</v>
      </c>
      <c r="T7" s="90" t="e">
        <f aca="false">OSTRIP(G7,H7,I7,J7,K7,L7,M7,N7,O7,P7,Q7,R7,S7)</f>
        <v>#NAME?</v>
      </c>
      <c r="U7" s="91" t="e">
        <f aca="false">T7*B7</f>
        <v>#NAME?</v>
      </c>
      <c r="V7" s="92"/>
      <c r="W7" s="93"/>
      <c r="X7" s="82"/>
      <c r="Y7" s="82"/>
      <c r="Z7" s="82"/>
    </row>
    <row r="8" customFormat="false" ht="12.75" hidden="false" customHeight="false" outlineLevel="0" collapsed="false">
      <c r="A8" s="79" t="n">
        <v>36739</v>
      </c>
      <c r="B8" s="80" t="n">
        <f aca="false">-VLOOKUP(A8,'Deal Volumes'!$A$3:$J$16,10)</f>
        <v>-155000</v>
      </c>
      <c r="C8" s="79" t="n">
        <f aca="false">+A8</f>
        <v>36739</v>
      </c>
      <c r="D8" s="81" t="n">
        <f aca="false">EOMONTH(C8,0)</f>
        <v>36769</v>
      </c>
      <c r="E8" s="60" t="s">
        <v>29</v>
      </c>
      <c r="F8" s="82" t="s">
        <v>54</v>
      </c>
      <c r="G8" s="83" t="n">
        <v>2.6235</v>
      </c>
      <c r="H8" s="84" t="n">
        <f aca="false">G8</f>
        <v>2.6235</v>
      </c>
      <c r="I8" s="85" t="n">
        <f aca="false">+A8-$B$2</f>
        <v>-9187</v>
      </c>
      <c r="J8" s="82" t="n">
        <f aca="false">+C8-A8</f>
        <v>0</v>
      </c>
      <c r="K8" s="80" t="n">
        <f aca="false">+D8-C8+1</f>
        <v>31</v>
      </c>
      <c r="L8" s="82" t="n">
        <v>1</v>
      </c>
      <c r="M8" s="86" t="n">
        <v>0.064112455868493</v>
      </c>
      <c r="N8" s="87" t="n">
        <f aca="false">+O8</f>
        <v>0.55</v>
      </c>
      <c r="O8" s="88" t="n">
        <v>0.55</v>
      </c>
      <c r="P8" s="87" t="n">
        <v>1</v>
      </c>
      <c r="Q8" s="89" t="n">
        <v>0</v>
      </c>
      <c r="R8" s="82" t="n">
        <f aca="false">IF(F8="Call",1,0)</f>
        <v>1</v>
      </c>
      <c r="S8" s="78" t="n">
        <v>0</v>
      </c>
      <c r="T8" s="90" t="e">
        <f aca="false">OSTRIP(G8,H8,I8,J8,K8,L8,M8,N8,O8,P8,Q8,R8,S8)</f>
        <v>#NAME?</v>
      </c>
      <c r="U8" s="91" t="e">
        <f aca="false">T8*B8</f>
        <v>#NAME?</v>
      </c>
      <c r="V8" s="92"/>
      <c r="W8" s="93"/>
      <c r="X8" s="82"/>
      <c r="Y8" s="82"/>
      <c r="Z8" s="82"/>
    </row>
    <row r="9" customFormat="false" ht="12.75" hidden="false" customHeight="false" outlineLevel="0" collapsed="false">
      <c r="A9" s="79" t="n">
        <v>36770</v>
      </c>
      <c r="B9" s="80" t="n">
        <f aca="false">-VLOOKUP(A9,'Deal Volumes'!$A$3:$J$16,10)</f>
        <v>-150000</v>
      </c>
      <c r="C9" s="79" t="n">
        <f aca="false">+A9</f>
        <v>36770</v>
      </c>
      <c r="D9" s="81" t="n">
        <f aca="false">EOMONTH(C9,0)</f>
        <v>36799</v>
      </c>
      <c r="E9" s="60" t="s">
        <v>29</v>
      </c>
      <c r="F9" s="82" t="s">
        <v>54</v>
      </c>
      <c r="G9" s="83" t="n">
        <v>2.623</v>
      </c>
      <c r="H9" s="84" t="n">
        <f aca="false">G9</f>
        <v>2.623</v>
      </c>
      <c r="I9" s="85" t="n">
        <f aca="false">+A9-$B$2</f>
        <v>-9156</v>
      </c>
      <c r="J9" s="82" t="n">
        <f aca="false">+C9-A9</f>
        <v>0</v>
      </c>
      <c r="K9" s="80" t="n">
        <f aca="false">+D9-C9+1</f>
        <v>30</v>
      </c>
      <c r="L9" s="82" t="n">
        <v>1</v>
      </c>
      <c r="M9" s="86" t="n">
        <v>0.064789234714962</v>
      </c>
      <c r="N9" s="87" t="n">
        <f aca="false">+O9</f>
        <v>0.55</v>
      </c>
      <c r="O9" s="88" t="n">
        <v>0.55</v>
      </c>
      <c r="P9" s="87" t="n">
        <v>1</v>
      </c>
      <c r="Q9" s="89" t="n">
        <v>0</v>
      </c>
      <c r="R9" s="82" t="n">
        <f aca="false">IF(F9="Call",1,0)</f>
        <v>1</v>
      </c>
      <c r="S9" s="78" t="n">
        <v>0</v>
      </c>
      <c r="T9" s="90" t="e">
        <f aca="false">OSTRIP(G9,H9,I9,J9,K9,L9,M9,N9,O9,P9,Q9,R9,S9)</f>
        <v>#NAME?</v>
      </c>
      <c r="U9" s="91" t="e">
        <f aca="false">T9*B9</f>
        <v>#NAME?</v>
      </c>
      <c r="V9" s="92"/>
      <c r="W9" s="93"/>
      <c r="X9" s="82"/>
      <c r="Y9" s="82"/>
      <c r="Z9" s="82"/>
    </row>
    <row r="10" customFormat="false" ht="12.75" hidden="false" customHeight="false" outlineLevel="0" collapsed="false">
      <c r="A10" s="79" t="n">
        <v>36800</v>
      </c>
      <c r="B10" s="80" t="n">
        <f aca="false">-VLOOKUP(A10,'Deal Volumes'!$A$3:$J$16,10)</f>
        <v>-69750</v>
      </c>
      <c r="C10" s="79" t="n">
        <f aca="false">+A10</f>
        <v>36800</v>
      </c>
      <c r="D10" s="81" t="n">
        <f aca="false">EOMONTH(C10,0)</f>
        <v>36830</v>
      </c>
      <c r="E10" s="60" t="s">
        <v>29</v>
      </c>
      <c r="F10" s="82" t="s">
        <v>54</v>
      </c>
      <c r="G10" s="83" t="n">
        <v>2.648</v>
      </c>
      <c r="H10" s="84" t="n">
        <f aca="false">G10</f>
        <v>2.648</v>
      </c>
      <c r="I10" s="85" t="n">
        <f aca="false">+A10-$B$2</f>
        <v>-9126</v>
      </c>
      <c r="J10" s="82" t="n">
        <f aca="false">+C10-A10</f>
        <v>0</v>
      </c>
      <c r="K10" s="80" t="n">
        <f aca="false">+D10-C10+1</f>
        <v>31</v>
      </c>
      <c r="L10" s="82" t="n">
        <v>1</v>
      </c>
      <c r="M10" s="86" t="n">
        <v>0.065417688435194</v>
      </c>
      <c r="N10" s="87" t="n">
        <f aca="false">+O10</f>
        <v>0.5</v>
      </c>
      <c r="O10" s="88" t="n">
        <v>0.5</v>
      </c>
      <c r="P10" s="87" t="n">
        <v>1</v>
      </c>
      <c r="Q10" s="89" t="n">
        <v>0</v>
      </c>
      <c r="R10" s="82" t="n">
        <f aca="false">IF(F10="Call",1,0)</f>
        <v>1</v>
      </c>
      <c r="S10" s="78" t="n">
        <v>0</v>
      </c>
      <c r="T10" s="90" t="e">
        <f aca="false">OSTRIP(G10,H10,I10,J10,K10,L10,M10,N10,O10,P10,Q10,R10,S10)</f>
        <v>#NAME?</v>
      </c>
      <c r="U10" s="91" t="e">
        <f aca="false">T10*B10</f>
        <v>#NAME?</v>
      </c>
      <c r="V10" s="92"/>
      <c r="W10" s="93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12.75" hidden="false" customHeight="false" outlineLevel="0" collapsed="false">
      <c r="A11" s="79" t="n">
        <v>36831</v>
      </c>
      <c r="B11" s="80" t="n">
        <f aca="false">-VLOOKUP(A11,'Deal Volumes'!$A$3:$J$16,10)</f>
        <v>-67500</v>
      </c>
      <c r="C11" s="79" t="n">
        <f aca="false">+A11</f>
        <v>36831</v>
      </c>
      <c r="D11" s="81" t="n">
        <f aca="false">EOMONTH(C11,0)</f>
        <v>36860</v>
      </c>
      <c r="E11" s="60" t="s">
        <v>29</v>
      </c>
      <c r="F11" s="82" t="s">
        <v>54</v>
      </c>
      <c r="G11" s="83" t="n">
        <v>2.743</v>
      </c>
      <c r="H11" s="84" t="n">
        <f aca="false">G11</f>
        <v>2.743</v>
      </c>
      <c r="I11" s="85" t="n">
        <f aca="false">+A11-$B$2</f>
        <v>-9095</v>
      </c>
      <c r="J11" s="82" t="n">
        <f aca="false">+C11-A11</f>
        <v>0</v>
      </c>
      <c r="K11" s="80" t="n">
        <f aca="false">+D11-C11+1</f>
        <v>30</v>
      </c>
      <c r="L11" s="82" t="n">
        <v>1</v>
      </c>
      <c r="M11" s="86" t="n">
        <v>0.066017878160483</v>
      </c>
      <c r="N11" s="87" t="n">
        <f aca="false">+O11</f>
        <v>0.85</v>
      </c>
      <c r="O11" s="88" t="n">
        <v>0.85</v>
      </c>
      <c r="P11" s="87" t="n">
        <v>1</v>
      </c>
      <c r="Q11" s="89" t="n">
        <v>0</v>
      </c>
      <c r="R11" s="82" t="n">
        <f aca="false">IF(F11="Call",1,0)</f>
        <v>1</v>
      </c>
      <c r="S11" s="78" t="n">
        <v>0</v>
      </c>
      <c r="T11" s="90" t="e">
        <f aca="false">OSTRIP(G11,H11,I11,J11,K11,L11,M11,N11,O11,P11,Q11,R11,S11)</f>
        <v>#NAME?</v>
      </c>
      <c r="U11" s="91" t="e">
        <f aca="false">T11*B11</f>
        <v>#NAME?</v>
      </c>
      <c r="V11" s="92"/>
      <c r="W11" s="93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2.75" hidden="false" customHeight="false" outlineLevel="0" collapsed="false">
      <c r="A12" s="79" t="n">
        <v>36861</v>
      </c>
      <c r="B12" s="80" t="n">
        <f aca="false">-VLOOKUP(A12,'Deal Volumes'!$A$3:$J$16,10)</f>
        <v>-69750</v>
      </c>
      <c r="C12" s="79" t="n">
        <f aca="false">+A12</f>
        <v>36861</v>
      </c>
      <c r="D12" s="81" t="n">
        <f aca="false">EOMONTH(C12,0)</f>
        <v>36891</v>
      </c>
      <c r="E12" s="60" t="s">
        <v>29</v>
      </c>
      <c r="F12" s="82" t="s">
        <v>54</v>
      </c>
      <c r="G12" s="83" t="n">
        <v>2.8455</v>
      </c>
      <c r="H12" s="84" t="n">
        <f aca="false">G12</f>
        <v>2.8455</v>
      </c>
      <c r="I12" s="85" t="n">
        <f aca="false">+A12-$B$2</f>
        <v>-9065</v>
      </c>
      <c r="J12" s="82" t="n">
        <f aca="false">+C12-A12</f>
        <v>0</v>
      </c>
      <c r="K12" s="80" t="n">
        <f aca="false">+D12-C12+1</f>
        <v>31</v>
      </c>
      <c r="L12" s="82" t="n">
        <v>1</v>
      </c>
      <c r="M12" s="86" t="n">
        <v>0.066598707040522</v>
      </c>
      <c r="N12" s="87" t="n">
        <f aca="false">+O12</f>
        <v>1.05</v>
      </c>
      <c r="O12" s="88" t="n">
        <v>1.05</v>
      </c>
      <c r="P12" s="87" t="n">
        <v>1</v>
      </c>
      <c r="Q12" s="89" t="n">
        <v>0</v>
      </c>
      <c r="R12" s="82" t="n">
        <f aca="false">IF(F12="Call",1,0)</f>
        <v>1</v>
      </c>
      <c r="S12" s="78" t="n">
        <v>0</v>
      </c>
      <c r="T12" s="90" t="e">
        <f aca="false">OSTRIP(G12,H12,I12,J12,K12,L12,M12,N12,O12,P12,Q12,R12,S12)</f>
        <v>#NAME?</v>
      </c>
      <c r="U12" s="91" t="e">
        <f aca="false">T12*B12</f>
        <v>#NAME?</v>
      </c>
      <c r="V12" s="92"/>
      <c r="W12" s="93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2.75" hidden="false" customHeight="false" outlineLevel="0" collapsed="false">
      <c r="A13" s="79" t="n">
        <v>36892</v>
      </c>
      <c r="B13" s="80" t="n">
        <f aca="false">-VLOOKUP(A13,'Deal Volumes'!$A$3:$J$16,10)</f>
        <v>-69750</v>
      </c>
      <c r="C13" s="79" t="n">
        <f aca="false">+A13</f>
        <v>36892</v>
      </c>
      <c r="D13" s="81" t="n">
        <f aca="false">EOMONTH(C13,0)</f>
        <v>36922</v>
      </c>
      <c r="E13" s="60" t="s">
        <v>29</v>
      </c>
      <c r="F13" s="82" t="s">
        <v>54</v>
      </c>
      <c r="G13" s="83" t="n">
        <v>2.868</v>
      </c>
      <c r="H13" s="84" t="n">
        <f aca="false">G13</f>
        <v>2.868</v>
      </c>
      <c r="I13" s="85" t="n">
        <f aca="false">+A13-$B$2</f>
        <v>-9034</v>
      </c>
      <c r="J13" s="82" t="n">
        <f aca="false">+C13-A13</f>
        <v>0</v>
      </c>
      <c r="K13" s="80" t="n">
        <f aca="false">+D13-C13+1</f>
        <v>31</v>
      </c>
      <c r="L13" s="82" t="n">
        <v>1</v>
      </c>
      <c r="M13" s="86" t="n">
        <v>0.06717047581431</v>
      </c>
      <c r="N13" s="87" t="n">
        <f aca="false">+O13</f>
        <v>1.05</v>
      </c>
      <c r="O13" s="88" t="n">
        <v>1.05</v>
      </c>
      <c r="P13" s="87" t="n">
        <v>1</v>
      </c>
      <c r="Q13" s="89" t="n">
        <v>0</v>
      </c>
      <c r="R13" s="82" t="n">
        <f aca="false">IF(F13="Call",1,0)</f>
        <v>1</v>
      </c>
      <c r="S13" s="78" t="n">
        <v>0</v>
      </c>
      <c r="T13" s="90" t="e">
        <f aca="false">OSTRIP(G13,H13,I13,J13,K13,L13,M13,N13,O13,P13,Q13,R13,S13)</f>
        <v>#NAME?</v>
      </c>
      <c r="U13" s="91" t="e">
        <f aca="false">T13*B13</f>
        <v>#NAME?</v>
      </c>
      <c r="V13" s="92"/>
      <c r="W13" s="93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customFormat="false" ht="12.75" hidden="false" customHeight="false" outlineLevel="0" collapsed="false">
      <c r="A14" s="79" t="n">
        <v>36923</v>
      </c>
      <c r="B14" s="80" t="n">
        <f aca="false">-VLOOKUP(A14,'Deal Volumes'!$A$3:$J$16,10)</f>
        <v>-63000</v>
      </c>
      <c r="C14" s="79" t="n">
        <f aca="false">+A14</f>
        <v>36923</v>
      </c>
      <c r="D14" s="81" t="n">
        <f aca="false">EOMONTH(C14,0)</f>
        <v>36950</v>
      </c>
      <c r="E14" s="60" t="s">
        <v>29</v>
      </c>
      <c r="F14" s="82" t="s">
        <v>54</v>
      </c>
      <c r="G14" s="83" t="n">
        <v>2.7335</v>
      </c>
      <c r="H14" s="84" t="n">
        <f aca="false">G14</f>
        <v>2.7335</v>
      </c>
      <c r="I14" s="85" t="n">
        <f aca="false">+A14-$B$2</f>
        <v>-9003</v>
      </c>
      <c r="J14" s="82" t="n">
        <f aca="false">+C14-A14</f>
        <v>0</v>
      </c>
      <c r="K14" s="80" t="n">
        <f aca="false">+D14-C14+1</f>
        <v>28</v>
      </c>
      <c r="L14" s="82" t="n">
        <v>1</v>
      </c>
      <c r="M14" s="86" t="n">
        <v>0.067697244476729</v>
      </c>
      <c r="N14" s="87" t="n">
        <f aca="false">+O14</f>
        <v>1.05</v>
      </c>
      <c r="O14" s="88" t="n">
        <v>1.05</v>
      </c>
      <c r="P14" s="87" t="n">
        <v>1</v>
      </c>
      <c r="Q14" s="89" t="n">
        <v>0</v>
      </c>
      <c r="R14" s="82" t="n">
        <f aca="false">IF(F14="Call",1,0)</f>
        <v>1</v>
      </c>
      <c r="S14" s="78" t="n">
        <v>0</v>
      </c>
      <c r="T14" s="90" t="e">
        <f aca="false">OSTRIP(G14,H14,I14,J14,K14,L14,M14,N14,O14,P14,Q14,R14,S14)</f>
        <v>#NAME?</v>
      </c>
      <c r="U14" s="91" t="e">
        <f aca="false">T14*B14</f>
        <v>#NAME?</v>
      </c>
      <c r="V14" s="92"/>
      <c r="W14" s="93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12.75" hidden="false" customHeight="false" outlineLevel="0" collapsed="false">
      <c r="A15" s="79" t="n">
        <v>36951</v>
      </c>
      <c r="B15" s="80" t="n">
        <f aca="false">-VLOOKUP(A15,'Deal Volumes'!$A$3:$J$16,10)</f>
        <v>-69750</v>
      </c>
      <c r="C15" s="79" t="n">
        <f aca="false">+A15</f>
        <v>36951</v>
      </c>
      <c r="D15" s="81" t="n">
        <f aca="false">EOMONTH(C15,0)</f>
        <v>36981</v>
      </c>
      <c r="E15" s="60" t="s">
        <v>29</v>
      </c>
      <c r="F15" s="82" t="s">
        <v>54</v>
      </c>
      <c r="G15" s="83" t="n">
        <v>2.613</v>
      </c>
      <c r="H15" s="84" t="n">
        <f aca="false">G15</f>
        <v>2.613</v>
      </c>
      <c r="I15" s="85" t="n">
        <f aca="false">+A15-$B$2</f>
        <v>-8975</v>
      </c>
      <c r="J15" s="82" t="n">
        <f aca="false">+C15-A15</f>
        <v>0</v>
      </c>
      <c r="K15" s="80" t="n">
        <f aca="false">+D15-C15+1</f>
        <v>31</v>
      </c>
      <c r="L15" s="82" t="n">
        <v>1</v>
      </c>
      <c r="M15" s="86" t="n">
        <v>0.068173035605607</v>
      </c>
      <c r="N15" s="87" t="n">
        <f aca="false">+O15</f>
        <v>0.8</v>
      </c>
      <c r="O15" s="88" t="n">
        <v>0.8</v>
      </c>
      <c r="P15" s="87" t="n">
        <v>1</v>
      </c>
      <c r="Q15" s="89" t="n">
        <v>0</v>
      </c>
      <c r="R15" s="82" t="n">
        <f aca="false">IF(F15="Call",1,0)</f>
        <v>1</v>
      </c>
      <c r="S15" s="78" t="n">
        <v>0</v>
      </c>
      <c r="T15" s="90" t="e">
        <f aca="false">OSTRIP(G15,H15,I15,J15,K15,L15,M15,N15,O15,P15,Q15,R15,S15)</f>
        <v>#NAME?</v>
      </c>
      <c r="U15" s="91" t="e">
        <f aca="false">T15*B15</f>
        <v>#NAME?</v>
      </c>
      <c r="V15" s="92"/>
      <c r="W15" s="93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2.75" hidden="false" customHeight="false" outlineLevel="0" collapsed="false">
      <c r="A16" s="79" t="n">
        <v>36982</v>
      </c>
      <c r="B16" s="80" t="n">
        <f aca="false">-VLOOKUP(A16,'Deal Volumes'!$A$3:$J$16,10)</f>
        <v>-67500</v>
      </c>
      <c r="C16" s="79" t="n">
        <f aca="false">+A16</f>
        <v>36982</v>
      </c>
      <c r="D16" s="81" t="n">
        <f aca="false">EOMONTH(C16,0)</f>
        <v>37011</v>
      </c>
      <c r="E16" s="60" t="s">
        <v>29</v>
      </c>
      <c r="F16" s="82" t="s">
        <v>54</v>
      </c>
      <c r="G16" s="83" t="n">
        <v>2.523</v>
      </c>
      <c r="H16" s="84" t="n">
        <f aca="false">G16</f>
        <v>2.523</v>
      </c>
      <c r="I16" s="85" t="n">
        <f aca="false">+A16-$B$2</f>
        <v>-8944</v>
      </c>
      <c r="J16" s="82" t="n">
        <f aca="false">+C16-A16</f>
        <v>0</v>
      </c>
      <c r="K16" s="80" t="n">
        <f aca="false">+D16-C16+1</f>
        <v>30</v>
      </c>
      <c r="L16" s="82" t="n">
        <v>1</v>
      </c>
      <c r="M16" s="86" t="n">
        <v>0.068656219094093</v>
      </c>
      <c r="N16" s="87" t="n">
        <f aca="false">+O16</f>
        <v>0.45</v>
      </c>
      <c r="O16" s="88" t="n">
        <v>0.45</v>
      </c>
      <c r="P16" s="87" t="n">
        <v>1</v>
      </c>
      <c r="Q16" s="89" t="n">
        <v>0</v>
      </c>
      <c r="R16" s="82" t="n">
        <f aca="false">IF(F16="Call",1,0)</f>
        <v>1</v>
      </c>
      <c r="S16" s="78" t="n">
        <v>0</v>
      </c>
      <c r="T16" s="90" t="e">
        <f aca="false">OSTRIP(G16,H16,I16,J16,K16,L16,M16,N16,O16,P16,Q16,R16,S16)</f>
        <v>#NAME?</v>
      </c>
      <c r="U16" s="91" t="e">
        <f aca="false">T16*B16</f>
        <v>#NAME?</v>
      </c>
      <c r="V16" s="92"/>
      <c r="W16" s="93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2.75" hidden="false" customHeight="false" outlineLevel="0" collapsed="false">
      <c r="A17" s="79" t="n">
        <v>37012</v>
      </c>
      <c r="B17" s="80" t="n">
        <f aca="false">-VLOOKUP(A17,'Deal Volumes'!$A$3:$J$16,10)</f>
        <v>-116250</v>
      </c>
      <c r="C17" s="79" t="n">
        <f aca="false">+A17</f>
        <v>37012</v>
      </c>
      <c r="D17" s="81" t="n">
        <f aca="false">EOMONTH(C17,0)</f>
        <v>37042</v>
      </c>
      <c r="E17" s="60" t="s">
        <v>29</v>
      </c>
      <c r="F17" s="82" t="s">
        <v>54</v>
      </c>
      <c r="G17" s="83" t="n">
        <v>2.488</v>
      </c>
      <c r="H17" s="84" t="n">
        <f aca="false">G17</f>
        <v>2.488</v>
      </c>
      <c r="I17" s="85" t="n">
        <f aca="false">+A17-$B$2</f>
        <v>-8914</v>
      </c>
      <c r="J17" s="82" t="n">
        <f aca="false">+C17-A17</f>
        <v>0</v>
      </c>
      <c r="K17" s="80" t="n">
        <f aca="false">+D17-C17+1</f>
        <v>31</v>
      </c>
      <c r="L17" s="82" t="n">
        <v>1</v>
      </c>
      <c r="M17" s="86" t="n">
        <v>0.069045363608288</v>
      </c>
      <c r="N17" s="87" t="n">
        <f aca="false">+O17</f>
        <v>0.5</v>
      </c>
      <c r="O17" s="88" t="n">
        <v>0.5</v>
      </c>
      <c r="P17" s="87" t="n">
        <v>1</v>
      </c>
      <c r="Q17" s="89" t="n">
        <v>0</v>
      </c>
      <c r="R17" s="82" t="n">
        <f aca="false">IF(F17="Call",1,0)</f>
        <v>1</v>
      </c>
      <c r="S17" s="78" t="n">
        <v>0</v>
      </c>
      <c r="T17" s="90" t="e">
        <f aca="false">OSTRIP(G17,H17,I17,J17,K17,L17,M17,N17,O17,P17,Q17,R17,S17)</f>
        <v>#NAME?</v>
      </c>
      <c r="U17" s="91" t="e">
        <f aca="false">T17*B17</f>
        <v>#NAME?</v>
      </c>
      <c r="V17" s="92"/>
      <c r="W17" s="93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2.75" hidden="false" customHeight="false" outlineLevel="0" collapsed="false">
      <c r="A18" s="79" t="n">
        <v>37043</v>
      </c>
      <c r="B18" s="80" t="n">
        <f aca="false">-VLOOKUP(A18,'Deal Volumes'!$A$3:$J$16,10)</f>
        <v>-112500</v>
      </c>
      <c r="C18" s="79" t="n">
        <f aca="false">+A18</f>
        <v>37043</v>
      </c>
      <c r="D18" s="81" t="n">
        <f aca="false">EOMONTH(C18,0)</f>
        <v>37072</v>
      </c>
      <c r="E18" s="60" t="s">
        <v>29</v>
      </c>
      <c r="F18" s="82" t="s">
        <v>54</v>
      </c>
      <c r="G18" s="83" t="n">
        <v>2.4955</v>
      </c>
      <c r="H18" s="84" t="n">
        <f aca="false">G18</f>
        <v>2.4955</v>
      </c>
      <c r="I18" s="85" t="n">
        <f aca="false">+A18-$B$2</f>
        <v>-8883</v>
      </c>
      <c r="J18" s="82" t="n">
        <f aca="false">+C18-A18</f>
        <v>0</v>
      </c>
      <c r="K18" s="80" t="n">
        <f aca="false">+D18-C18+1</f>
        <v>30</v>
      </c>
      <c r="L18" s="82" t="n">
        <v>1</v>
      </c>
      <c r="M18" s="86" t="n">
        <v>0.069447479658918</v>
      </c>
      <c r="N18" s="87" t="n">
        <f aca="false">+O18</f>
        <v>0.5</v>
      </c>
      <c r="O18" s="88" t="n">
        <v>0.5</v>
      </c>
      <c r="P18" s="87" t="n">
        <v>1</v>
      </c>
      <c r="Q18" s="89" t="n">
        <v>0</v>
      </c>
      <c r="R18" s="82" t="n">
        <f aca="false">IF(F18="Call",1,0)</f>
        <v>1</v>
      </c>
      <c r="S18" s="78" t="n">
        <v>0</v>
      </c>
      <c r="T18" s="90" t="e">
        <f aca="false">OSTRIP(G18,H18,I18,J18,K18,L18,M18,N18,O18,P18,Q18,R18,S18)</f>
        <v>#NAME?</v>
      </c>
      <c r="U18" s="94" t="e">
        <f aca="false">T18*B18</f>
        <v>#NAME?</v>
      </c>
      <c r="V18" s="92"/>
      <c r="W18" s="93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2.75" hidden="false" customHeight="false" outlineLevel="0" collapsed="false">
      <c r="A19" s="79"/>
      <c r="B19" s="80"/>
      <c r="C19" s="81"/>
      <c r="D19" s="81"/>
      <c r="E19" s="82"/>
      <c r="F19" s="82"/>
      <c r="G19" s="95"/>
      <c r="H19" s="84"/>
      <c r="I19" s="85"/>
      <c r="J19" s="82"/>
      <c r="K19" s="80"/>
      <c r="L19" s="82"/>
      <c r="M19" s="82"/>
      <c r="N19" s="87"/>
      <c r="O19" s="87"/>
      <c r="P19" s="87"/>
      <c r="Q19" s="89"/>
      <c r="R19" s="82"/>
      <c r="S19" s="78"/>
      <c r="T19" s="90"/>
      <c r="U19" s="91" t="e">
        <f aca="false">SUBTOTAL(9,U5:U18)</f>
        <v>#NAME?</v>
      </c>
      <c r="V19" s="91"/>
      <c r="W19" s="91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2.75" hidden="false" customHeight="false" outlineLevel="0" collapsed="false">
      <c r="A20" s="79"/>
      <c r="B20" s="80"/>
      <c r="C20" s="81"/>
      <c r="D20" s="81"/>
      <c r="E20" s="82"/>
      <c r="F20" s="82"/>
      <c r="G20" s="95"/>
      <c r="H20" s="84"/>
      <c r="I20" s="85"/>
      <c r="J20" s="82"/>
      <c r="K20" s="80"/>
      <c r="L20" s="82"/>
      <c r="M20" s="82"/>
      <c r="N20" s="87"/>
      <c r="O20" s="87"/>
      <c r="P20" s="87"/>
      <c r="Q20" s="89"/>
      <c r="R20" s="82"/>
      <c r="S20" s="78"/>
      <c r="T20" s="90"/>
      <c r="U20" s="91"/>
      <c r="V20" s="93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2.75" hidden="false" customHeight="false" outlineLevel="0" collapsed="false">
      <c r="A21" s="79" t="n">
        <f aca="false">+A5</f>
        <v>36647</v>
      </c>
      <c r="B21" s="80" t="n">
        <f aca="false">+B5</f>
        <v>-116250</v>
      </c>
      <c r="C21" s="79" t="n">
        <f aca="false">+C5</f>
        <v>36647</v>
      </c>
      <c r="D21" s="81" t="n">
        <f aca="false">EOMONTH(C21,0)</f>
        <v>36677</v>
      </c>
      <c r="E21" s="60" t="s">
        <v>29</v>
      </c>
      <c r="F21" s="82" t="s">
        <v>55</v>
      </c>
      <c r="G21" s="95" t="n">
        <f aca="false">+G5</f>
        <v>2.571</v>
      </c>
      <c r="H21" s="84" t="n">
        <f aca="false">+H5</f>
        <v>2.571</v>
      </c>
      <c r="I21" s="85" t="n">
        <f aca="false">+A21-$B$2</f>
        <v>-9279</v>
      </c>
      <c r="J21" s="82" t="n">
        <f aca="false">+C21-A21</f>
        <v>0</v>
      </c>
      <c r="K21" s="80" t="n">
        <f aca="false">+D21-C21+1</f>
        <v>31</v>
      </c>
      <c r="L21" s="82" t="n">
        <f aca="false">+L5</f>
        <v>1</v>
      </c>
      <c r="M21" s="96" t="n">
        <f aca="false">+M5</f>
        <v>0.061739896749392</v>
      </c>
      <c r="N21" s="87" t="n">
        <f aca="false">+N5</f>
        <v>0.45</v>
      </c>
      <c r="O21" s="87" t="n">
        <f aca="false">+O5</f>
        <v>0.45</v>
      </c>
      <c r="P21" s="87" t="n">
        <f aca="false">+P5</f>
        <v>1</v>
      </c>
      <c r="Q21" s="89" t="n">
        <f aca="false">+Q5</f>
        <v>0</v>
      </c>
      <c r="R21" s="82" t="n">
        <f aca="false">IF(F21="Call",1,0)</f>
        <v>0</v>
      </c>
      <c r="S21" s="78" t="n">
        <v>0</v>
      </c>
      <c r="T21" s="90" t="e">
        <f aca="false">OSTRIP(G21,H21,I21,J21,K21,L21,M21,N21,O21,P21,Q21,R21,S21)</f>
        <v>#NAME?</v>
      </c>
      <c r="U21" s="91" t="e">
        <f aca="false">T21*B21</f>
        <v>#NAME?</v>
      </c>
      <c r="V21" s="93"/>
      <c r="W21" s="82"/>
      <c r="X21" s="82"/>
      <c r="Y21" s="82"/>
      <c r="Z21" s="82"/>
    </row>
    <row r="22" customFormat="false" ht="12.75" hidden="false" customHeight="false" outlineLevel="0" collapsed="false">
      <c r="A22" s="79" t="n">
        <f aca="false">+A6</f>
        <v>36678</v>
      </c>
      <c r="B22" s="80" t="n">
        <f aca="false">+B6</f>
        <v>-112500</v>
      </c>
      <c r="C22" s="79" t="n">
        <f aca="false">+C6</f>
        <v>36678</v>
      </c>
      <c r="D22" s="81" t="n">
        <f aca="false">EOMONTH(C22,0)</f>
        <v>36707</v>
      </c>
      <c r="E22" s="60" t="s">
        <v>29</v>
      </c>
      <c r="F22" s="82" t="s">
        <v>55</v>
      </c>
      <c r="G22" s="95" t="n">
        <f aca="false">+G6</f>
        <v>2.5905</v>
      </c>
      <c r="H22" s="84" t="n">
        <f aca="false">+H6</f>
        <v>2.5905</v>
      </c>
      <c r="I22" s="85" t="n">
        <f aca="false">+A22-$B$2</f>
        <v>-9248</v>
      </c>
      <c r="J22" s="82" t="n">
        <f aca="false">+C22-A22</f>
        <v>0</v>
      </c>
      <c r="K22" s="80" t="n">
        <f aca="false">+D22-C22+1</f>
        <v>30</v>
      </c>
      <c r="L22" s="82" t="n">
        <f aca="false">+L6</f>
        <v>1</v>
      </c>
      <c r="M22" s="96" t="n">
        <f aca="false">+M6</f>
        <v>0.062588347760124</v>
      </c>
      <c r="N22" s="87" t="n">
        <f aca="false">+N6</f>
        <v>0.5</v>
      </c>
      <c r="O22" s="87" t="n">
        <f aca="false">+O6</f>
        <v>0.5</v>
      </c>
      <c r="P22" s="87" t="n">
        <f aca="false">+P6</f>
        <v>1</v>
      </c>
      <c r="Q22" s="89" t="n">
        <f aca="false">+Q6</f>
        <v>0</v>
      </c>
      <c r="R22" s="82" t="n">
        <f aca="false">IF(F22="Call",1,0)</f>
        <v>0</v>
      </c>
      <c r="S22" s="78" t="n">
        <v>0</v>
      </c>
      <c r="T22" s="90" t="e">
        <f aca="false">OSTRIP(G22,H22,I22,J22,K22,L22,M22,N22,O22,P22,Q22,R22,S22)</f>
        <v>#NAME?</v>
      </c>
      <c r="U22" s="91" t="e">
        <f aca="false">T22*B22</f>
        <v>#NAME?</v>
      </c>
      <c r="V22" s="93"/>
      <c r="W22" s="82"/>
      <c r="X22" s="82"/>
      <c r="Y22" s="82"/>
      <c r="Z22" s="82"/>
    </row>
    <row r="23" customFormat="false" ht="12.75" hidden="false" customHeight="false" outlineLevel="0" collapsed="false">
      <c r="A23" s="79" t="n">
        <f aca="false">+A7</f>
        <v>36708</v>
      </c>
      <c r="B23" s="80" t="n">
        <f aca="false">+B7</f>
        <v>-155000</v>
      </c>
      <c r="C23" s="79" t="n">
        <f aca="false">+C7</f>
        <v>36708</v>
      </c>
      <c r="D23" s="81" t="n">
        <f aca="false">EOMONTH(C23,0)</f>
        <v>36738</v>
      </c>
      <c r="E23" s="60" t="s">
        <v>29</v>
      </c>
      <c r="F23" s="82" t="s">
        <v>55</v>
      </c>
      <c r="G23" s="95" t="n">
        <f aca="false">+G7</f>
        <v>2.607</v>
      </c>
      <c r="H23" s="84" t="n">
        <f aca="false">+H7</f>
        <v>2.607</v>
      </c>
      <c r="I23" s="85" t="n">
        <f aca="false">+A23-$B$2</f>
        <v>-9218</v>
      </c>
      <c r="J23" s="82" t="n">
        <f aca="false">+C23-A23</f>
        <v>0</v>
      </c>
      <c r="K23" s="80" t="n">
        <f aca="false">+D23-C23+1</f>
        <v>31</v>
      </c>
      <c r="L23" s="82" t="n">
        <f aca="false">+L7</f>
        <v>1</v>
      </c>
      <c r="M23" s="96" t="n">
        <f aca="false">+M7</f>
        <v>0.063435677173907</v>
      </c>
      <c r="N23" s="87" t="n">
        <f aca="false">+N7</f>
        <v>0.5</v>
      </c>
      <c r="O23" s="87" t="n">
        <f aca="false">+O7</f>
        <v>0.5</v>
      </c>
      <c r="P23" s="87" t="n">
        <f aca="false">+P7</f>
        <v>1</v>
      </c>
      <c r="Q23" s="89" t="n">
        <f aca="false">+Q7</f>
        <v>0</v>
      </c>
      <c r="R23" s="82" t="n">
        <f aca="false">IF(F23="Call",1,0)</f>
        <v>0</v>
      </c>
      <c r="S23" s="78" t="n">
        <v>0</v>
      </c>
      <c r="T23" s="90" t="e">
        <f aca="false">OSTRIP(G23,H23,I23,J23,K23,L23,M23,N23,O23,P23,Q23,R23,S23)</f>
        <v>#NAME?</v>
      </c>
      <c r="U23" s="91" t="e">
        <f aca="false">T23*B23</f>
        <v>#NAME?</v>
      </c>
      <c r="V23" s="93"/>
      <c r="W23" s="82"/>
      <c r="X23" s="82"/>
      <c r="Y23" s="82"/>
      <c r="Z23" s="82"/>
    </row>
    <row r="24" customFormat="false" ht="12.75" hidden="false" customHeight="false" outlineLevel="0" collapsed="false">
      <c r="A24" s="79" t="n">
        <f aca="false">+A8</f>
        <v>36739</v>
      </c>
      <c r="B24" s="80" t="n">
        <f aca="false">+B8</f>
        <v>-155000</v>
      </c>
      <c r="C24" s="79" t="n">
        <f aca="false">+C8</f>
        <v>36739</v>
      </c>
      <c r="D24" s="81" t="n">
        <f aca="false">EOMONTH(C24,0)</f>
        <v>36769</v>
      </c>
      <c r="E24" s="60" t="s">
        <v>29</v>
      </c>
      <c r="F24" s="82" t="s">
        <v>55</v>
      </c>
      <c r="G24" s="95" t="n">
        <f aca="false">+G8</f>
        <v>2.6235</v>
      </c>
      <c r="H24" s="84" t="n">
        <f aca="false">+H8</f>
        <v>2.6235</v>
      </c>
      <c r="I24" s="85" t="n">
        <f aca="false">+A24-$B$2</f>
        <v>-9187</v>
      </c>
      <c r="J24" s="82" t="n">
        <f aca="false">+C24-A24</f>
        <v>0</v>
      </c>
      <c r="K24" s="80" t="n">
        <f aca="false">+D24-C24+1</f>
        <v>31</v>
      </c>
      <c r="L24" s="82" t="n">
        <f aca="false">+L8</f>
        <v>1</v>
      </c>
      <c r="M24" s="96" t="n">
        <f aca="false">+M8</f>
        <v>0.064112455868493</v>
      </c>
      <c r="N24" s="87" t="n">
        <f aca="false">+N8</f>
        <v>0.55</v>
      </c>
      <c r="O24" s="87" t="n">
        <f aca="false">+O8</f>
        <v>0.55</v>
      </c>
      <c r="P24" s="87" t="n">
        <f aca="false">+P8</f>
        <v>1</v>
      </c>
      <c r="Q24" s="89" t="n">
        <f aca="false">+Q8</f>
        <v>0</v>
      </c>
      <c r="R24" s="82" t="n">
        <f aca="false">IF(F24="Call",1,0)</f>
        <v>0</v>
      </c>
      <c r="S24" s="78" t="n">
        <v>0</v>
      </c>
      <c r="T24" s="90" t="e">
        <f aca="false">OSTRIP(G24,H24,I24,J24,K24,L24,M24,N24,O24,P24,Q24,R24,S24)</f>
        <v>#NAME?</v>
      </c>
      <c r="U24" s="91" t="e">
        <f aca="false">T24*B24</f>
        <v>#NAME?</v>
      </c>
      <c r="V24" s="82"/>
      <c r="W24" s="82"/>
      <c r="X24" s="82"/>
      <c r="Y24" s="82"/>
      <c r="Z24" s="82"/>
    </row>
    <row r="25" customFormat="false" ht="12.75" hidden="false" customHeight="false" outlineLevel="0" collapsed="false">
      <c r="A25" s="79" t="n">
        <f aca="false">+A9</f>
        <v>36770</v>
      </c>
      <c r="B25" s="80" t="n">
        <f aca="false">+B9</f>
        <v>-150000</v>
      </c>
      <c r="C25" s="79" t="n">
        <f aca="false">+C9</f>
        <v>36770</v>
      </c>
      <c r="D25" s="81" t="n">
        <f aca="false">EOMONTH(C25,0)</f>
        <v>36799</v>
      </c>
      <c r="E25" s="60" t="s">
        <v>29</v>
      </c>
      <c r="F25" s="82" t="s">
        <v>55</v>
      </c>
      <c r="G25" s="95" t="n">
        <f aca="false">+G9</f>
        <v>2.623</v>
      </c>
      <c r="H25" s="84" t="n">
        <f aca="false">+H9</f>
        <v>2.623</v>
      </c>
      <c r="I25" s="85" t="n">
        <f aca="false">+A25-$B$2</f>
        <v>-9156</v>
      </c>
      <c r="J25" s="82" t="n">
        <f aca="false">+C25-A25</f>
        <v>0</v>
      </c>
      <c r="K25" s="80" t="n">
        <f aca="false">+D25-C25+1</f>
        <v>30</v>
      </c>
      <c r="L25" s="82" t="n">
        <f aca="false">+L9</f>
        <v>1</v>
      </c>
      <c r="M25" s="96" t="n">
        <f aca="false">+M9</f>
        <v>0.064789234714962</v>
      </c>
      <c r="N25" s="87" t="n">
        <f aca="false">+N9</f>
        <v>0.55</v>
      </c>
      <c r="O25" s="87" t="n">
        <f aca="false">+O9</f>
        <v>0.55</v>
      </c>
      <c r="P25" s="87" t="n">
        <f aca="false">+P9</f>
        <v>1</v>
      </c>
      <c r="Q25" s="89" t="n">
        <f aca="false">+Q9</f>
        <v>0</v>
      </c>
      <c r="R25" s="82" t="n">
        <f aca="false">IF(F25="Call",1,0)</f>
        <v>0</v>
      </c>
      <c r="S25" s="78" t="n">
        <v>0</v>
      </c>
      <c r="T25" s="90" t="e">
        <f aca="false">OSTRIP(G25,H25,I25,J25,K25,L25,M25,N25,O25,P25,Q25,R25,S25)</f>
        <v>#NAME?</v>
      </c>
      <c r="U25" s="91" t="e">
        <f aca="false">T25*B25</f>
        <v>#NAME?</v>
      </c>
      <c r="V25" s="82"/>
      <c r="W25" s="82"/>
      <c r="X25" s="82"/>
      <c r="Y25" s="82"/>
      <c r="Z25" s="82"/>
    </row>
    <row r="26" customFormat="false" ht="12.75" hidden="false" customHeight="false" outlineLevel="0" collapsed="false">
      <c r="A26" s="79" t="n">
        <f aca="false">+A10</f>
        <v>36800</v>
      </c>
      <c r="B26" s="80" t="n">
        <f aca="false">+B10</f>
        <v>-69750</v>
      </c>
      <c r="C26" s="79" t="n">
        <f aca="false">+C10</f>
        <v>36800</v>
      </c>
      <c r="D26" s="81" t="n">
        <f aca="false">EOMONTH(C26,0)</f>
        <v>36830</v>
      </c>
      <c r="E26" s="60" t="s">
        <v>29</v>
      </c>
      <c r="F26" s="82" t="s">
        <v>55</v>
      </c>
      <c r="G26" s="95" t="n">
        <f aca="false">+G10</f>
        <v>2.648</v>
      </c>
      <c r="H26" s="84" t="n">
        <f aca="false">+H10</f>
        <v>2.648</v>
      </c>
      <c r="I26" s="85" t="n">
        <f aca="false">+A26-$B$2</f>
        <v>-9126</v>
      </c>
      <c r="J26" s="82" t="n">
        <f aca="false">+C26-A26</f>
        <v>0</v>
      </c>
      <c r="K26" s="80" t="n">
        <f aca="false">+D26-C26+1</f>
        <v>31</v>
      </c>
      <c r="L26" s="82" t="n">
        <f aca="false">+L10</f>
        <v>1</v>
      </c>
      <c r="M26" s="96" t="n">
        <f aca="false">+M10</f>
        <v>0.065417688435194</v>
      </c>
      <c r="N26" s="87" t="n">
        <f aca="false">+N10</f>
        <v>0.5</v>
      </c>
      <c r="O26" s="87" t="n">
        <f aca="false">+O10</f>
        <v>0.5</v>
      </c>
      <c r="P26" s="87" t="n">
        <f aca="false">+P10</f>
        <v>1</v>
      </c>
      <c r="Q26" s="89" t="n">
        <f aca="false">+Q10</f>
        <v>0</v>
      </c>
      <c r="R26" s="82" t="n">
        <f aca="false">IF(F26="Call",1,0)</f>
        <v>0</v>
      </c>
      <c r="S26" s="78" t="n">
        <v>0</v>
      </c>
      <c r="T26" s="90" t="e">
        <f aca="false">OSTRIP(G26,H26,I26,J26,K26,L26,M26,N26,O26,P26,Q26,R26,S26)</f>
        <v>#NAME?</v>
      </c>
      <c r="U26" s="91" t="e">
        <f aca="false">T26*B26</f>
        <v>#NAME?</v>
      </c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12.75" hidden="false" customHeight="false" outlineLevel="0" collapsed="false">
      <c r="A27" s="79" t="n">
        <f aca="false">+A11</f>
        <v>36831</v>
      </c>
      <c r="B27" s="80" t="n">
        <f aca="false">+B11</f>
        <v>-67500</v>
      </c>
      <c r="C27" s="79" t="n">
        <f aca="false">+C11</f>
        <v>36831</v>
      </c>
      <c r="D27" s="81" t="n">
        <f aca="false">EOMONTH(C27,0)</f>
        <v>36860</v>
      </c>
      <c r="E27" s="60" t="s">
        <v>29</v>
      </c>
      <c r="F27" s="82" t="s">
        <v>55</v>
      </c>
      <c r="G27" s="95" t="n">
        <f aca="false">+G11</f>
        <v>2.743</v>
      </c>
      <c r="H27" s="84" t="n">
        <f aca="false">+H11</f>
        <v>2.743</v>
      </c>
      <c r="I27" s="85" t="n">
        <f aca="false">+A27-$B$2</f>
        <v>-9095</v>
      </c>
      <c r="J27" s="82" t="n">
        <f aca="false">+C27-A27</f>
        <v>0</v>
      </c>
      <c r="K27" s="80" t="n">
        <f aca="false">+D27-C27+1</f>
        <v>30</v>
      </c>
      <c r="L27" s="82" t="n">
        <f aca="false">+L11</f>
        <v>1</v>
      </c>
      <c r="M27" s="96" t="n">
        <f aca="false">+M11</f>
        <v>0.066017878160483</v>
      </c>
      <c r="N27" s="87" t="n">
        <f aca="false">+N11</f>
        <v>0.85</v>
      </c>
      <c r="O27" s="87" t="n">
        <f aca="false">+O11</f>
        <v>0.85</v>
      </c>
      <c r="P27" s="87" t="n">
        <f aca="false">+P11</f>
        <v>1</v>
      </c>
      <c r="Q27" s="89" t="n">
        <f aca="false">+Q11</f>
        <v>0</v>
      </c>
      <c r="R27" s="82" t="n">
        <f aca="false">IF(F27="Call",1,0)</f>
        <v>0</v>
      </c>
      <c r="S27" s="78" t="n">
        <v>0</v>
      </c>
      <c r="T27" s="90" t="e">
        <f aca="false">OSTRIP(G27,H27,I27,J27,K27,L27,M27,N27,O27,P27,Q27,R27,S27)</f>
        <v>#NAME?</v>
      </c>
      <c r="U27" s="91" t="e">
        <f aca="false">T27*B27</f>
        <v>#NAME?</v>
      </c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  <c r="IW27" s="82"/>
    </row>
    <row r="28" customFormat="false" ht="12.75" hidden="false" customHeight="false" outlineLevel="0" collapsed="false">
      <c r="A28" s="79" t="n">
        <f aca="false">+A12</f>
        <v>36861</v>
      </c>
      <c r="B28" s="80" t="n">
        <f aca="false">+B12</f>
        <v>-69750</v>
      </c>
      <c r="C28" s="79" t="n">
        <f aca="false">+C12</f>
        <v>36861</v>
      </c>
      <c r="D28" s="81" t="n">
        <f aca="false">EOMONTH(C28,0)</f>
        <v>36891</v>
      </c>
      <c r="E28" s="60" t="s">
        <v>29</v>
      </c>
      <c r="F28" s="82" t="s">
        <v>55</v>
      </c>
      <c r="G28" s="95" t="n">
        <f aca="false">+G12</f>
        <v>2.8455</v>
      </c>
      <c r="H28" s="84" t="n">
        <f aca="false">+H12</f>
        <v>2.8455</v>
      </c>
      <c r="I28" s="85" t="n">
        <f aca="false">+A28-$B$2</f>
        <v>-9065</v>
      </c>
      <c r="J28" s="82" t="n">
        <f aca="false">+C28-A28</f>
        <v>0</v>
      </c>
      <c r="K28" s="80" t="n">
        <f aca="false">+D28-C28+1</f>
        <v>31</v>
      </c>
      <c r="L28" s="82" t="n">
        <f aca="false">+L12</f>
        <v>1</v>
      </c>
      <c r="M28" s="96" t="n">
        <f aca="false">+M12</f>
        <v>0.066598707040522</v>
      </c>
      <c r="N28" s="87" t="n">
        <f aca="false">+N12</f>
        <v>1.05</v>
      </c>
      <c r="O28" s="87" t="n">
        <f aca="false">+O12</f>
        <v>1.05</v>
      </c>
      <c r="P28" s="87" t="n">
        <f aca="false">+P12</f>
        <v>1</v>
      </c>
      <c r="Q28" s="89" t="n">
        <f aca="false">+Q12</f>
        <v>0</v>
      </c>
      <c r="R28" s="82" t="n">
        <f aca="false">IF(F28="Call",1,0)</f>
        <v>0</v>
      </c>
      <c r="S28" s="78" t="n">
        <v>0</v>
      </c>
      <c r="T28" s="90" t="e">
        <f aca="false">OSTRIP(G28,H28,I28,J28,K28,L28,M28,N28,O28,P28,Q28,R28,S28)</f>
        <v>#NAME?</v>
      </c>
      <c r="U28" s="91" t="e">
        <f aca="false">T28*B28</f>
        <v>#NAME?</v>
      </c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  <c r="IW28" s="82"/>
    </row>
    <row r="29" customFormat="false" ht="12.75" hidden="false" customHeight="false" outlineLevel="0" collapsed="false">
      <c r="A29" s="79" t="n">
        <f aca="false">+A13</f>
        <v>36892</v>
      </c>
      <c r="B29" s="80" t="n">
        <f aca="false">+B13</f>
        <v>-69750</v>
      </c>
      <c r="C29" s="79" t="n">
        <f aca="false">+C13</f>
        <v>36892</v>
      </c>
      <c r="D29" s="81" t="n">
        <f aca="false">EOMONTH(C29,0)</f>
        <v>36922</v>
      </c>
      <c r="E29" s="60" t="s">
        <v>29</v>
      </c>
      <c r="F29" s="82" t="s">
        <v>55</v>
      </c>
      <c r="G29" s="95" t="n">
        <f aca="false">+G13</f>
        <v>2.868</v>
      </c>
      <c r="H29" s="84" t="n">
        <f aca="false">+H13</f>
        <v>2.868</v>
      </c>
      <c r="I29" s="85" t="n">
        <f aca="false">+A29-$B$2</f>
        <v>-9034</v>
      </c>
      <c r="J29" s="82" t="n">
        <f aca="false">+C29-A29</f>
        <v>0</v>
      </c>
      <c r="K29" s="80" t="n">
        <f aca="false">+D29-C29+1</f>
        <v>31</v>
      </c>
      <c r="L29" s="82" t="n">
        <f aca="false">+L13</f>
        <v>1</v>
      </c>
      <c r="M29" s="96" t="n">
        <f aca="false">+M13</f>
        <v>0.06717047581431</v>
      </c>
      <c r="N29" s="87" t="n">
        <f aca="false">+N13</f>
        <v>1.05</v>
      </c>
      <c r="O29" s="87" t="n">
        <f aca="false">+O13</f>
        <v>1.05</v>
      </c>
      <c r="P29" s="87" t="n">
        <f aca="false">+P13</f>
        <v>1</v>
      </c>
      <c r="Q29" s="89" t="n">
        <f aca="false">+Q13</f>
        <v>0</v>
      </c>
      <c r="R29" s="82" t="n">
        <f aca="false">IF(F29="Call",1,0)</f>
        <v>0</v>
      </c>
      <c r="S29" s="78" t="n">
        <v>0</v>
      </c>
      <c r="T29" s="90" t="e">
        <f aca="false">OSTRIP(G29,H29,I29,J29,K29,L29,M29,N29,O29,P29,Q29,R29,S29)</f>
        <v>#NAME?</v>
      </c>
      <c r="U29" s="91" t="e">
        <f aca="false">T29*B29</f>
        <v>#NAME?</v>
      </c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  <c r="IU29" s="82"/>
      <c r="IV29" s="82"/>
      <c r="IW29" s="82"/>
    </row>
    <row r="30" customFormat="false" ht="12.75" hidden="false" customHeight="false" outlineLevel="0" collapsed="false">
      <c r="A30" s="79" t="n">
        <f aca="false">+A14</f>
        <v>36923</v>
      </c>
      <c r="B30" s="80" t="n">
        <f aca="false">+B14</f>
        <v>-63000</v>
      </c>
      <c r="C30" s="79" t="n">
        <f aca="false">+C14</f>
        <v>36923</v>
      </c>
      <c r="D30" s="81" t="n">
        <f aca="false">EOMONTH(C30,0)</f>
        <v>36950</v>
      </c>
      <c r="E30" s="60" t="s">
        <v>29</v>
      </c>
      <c r="F30" s="82" t="s">
        <v>55</v>
      </c>
      <c r="G30" s="95" t="n">
        <f aca="false">+G14</f>
        <v>2.7335</v>
      </c>
      <c r="H30" s="84" t="n">
        <f aca="false">+H14</f>
        <v>2.7335</v>
      </c>
      <c r="I30" s="85" t="n">
        <f aca="false">+A30-$B$2</f>
        <v>-9003</v>
      </c>
      <c r="J30" s="82" t="n">
        <f aca="false">+C30-A30</f>
        <v>0</v>
      </c>
      <c r="K30" s="80" t="n">
        <f aca="false">+D30-C30+1</f>
        <v>28</v>
      </c>
      <c r="L30" s="82" t="n">
        <f aca="false">+L14</f>
        <v>1</v>
      </c>
      <c r="M30" s="96" t="n">
        <f aca="false">+M14</f>
        <v>0.067697244476729</v>
      </c>
      <c r="N30" s="87" t="n">
        <f aca="false">+N14</f>
        <v>1.05</v>
      </c>
      <c r="O30" s="87" t="n">
        <f aca="false">+O14</f>
        <v>1.05</v>
      </c>
      <c r="P30" s="87" t="n">
        <f aca="false">+P14</f>
        <v>1</v>
      </c>
      <c r="Q30" s="89" t="n">
        <f aca="false">+Q14</f>
        <v>0</v>
      </c>
      <c r="R30" s="82" t="n">
        <f aca="false">IF(F30="Call",1,0)</f>
        <v>0</v>
      </c>
      <c r="S30" s="78" t="n">
        <v>0</v>
      </c>
      <c r="T30" s="90" t="e">
        <f aca="false">OSTRIP(G30,H30,I30,J30,K30,L30,M30,N30,O30,P30,Q30,R30,S30)</f>
        <v>#NAME?</v>
      </c>
      <c r="U30" s="91" t="e">
        <f aca="false">T30*B30</f>
        <v>#NAME?</v>
      </c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  <row r="31" customFormat="false" ht="12.75" hidden="false" customHeight="false" outlineLevel="0" collapsed="false">
      <c r="A31" s="79" t="n">
        <f aca="false">+A15</f>
        <v>36951</v>
      </c>
      <c r="B31" s="80" t="n">
        <f aca="false">+B15</f>
        <v>-69750</v>
      </c>
      <c r="C31" s="79" t="n">
        <f aca="false">+C15</f>
        <v>36951</v>
      </c>
      <c r="D31" s="81" t="n">
        <f aca="false">EOMONTH(C31,0)</f>
        <v>36981</v>
      </c>
      <c r="E31" s="60" t="s">
        <v>29</v>
      </c>
      <c r="F31" s="82" t="s">
        <v>55</v>
      </c>
      <c r="G31" s="95" t="n">
        <f aca="false">+G15</f>
        <v>2.613</v>
      </c>
      <c r="H31" s="84" t="n">
        <f aca="false">+H15</f>
        <v>2.613</v>
      </c>
      <c r="I31" s="85" t="n">
        <f aca="false">+A31-$B$2</f>
        <v>-8975</v>
      </c>
      <c r="J31" s="82" t="n">
        <f aca="false">+C31-A31</f>
        <v>0</v>
      </c>
      <c r="K31" s="80" t="n">
        <f aca="false">+D31-C31+1</f>
        <v>31</v>
      </c>
      <c r="L31" s="82" t="n">
        <f aca="false">+L15</f>
        <v>1</v>
      </c>
      <c r="M31" s="96" t="n">
        <f aca="false">+M15</f>
        <v>0.068173035605607</v>
      </c>
      <c r="N31" s="87" t="n">
        <f aca="false">+N15</f>
        <v>0.8</v>
      </c>
      <c r="O31" s="87" t="n">
        <f aca="false">+O15</f>
        <v>0.8</v>
      </c>
      <c r="P31" s="87" t="n">
        <f aca="false">+P15</f>
        <v>1</v>
      </c>
      <c r="Q31" s="89" t="n">
        <f aca="false">+Q15</f>
        <v>0</v>
      </c>
      <c r="R31" s="82" t="n">
        <f aca="false">IF(F31="Call",1,0)</f>
        <v>0</v>
      </c>
      <c r="S31" s="78" t="n">
        <v>0</v>
      </c>
      <c r="T31" s="90" t="e">
        <f aca="false">OSTRIP(G31,H31,I31,J31,K31,L31,M31,N31,O31,P31,Q31,R31,S31)</f>
        <v>#NAME?</v>
      </c>
      <c r="U31" s="91" t="e">
        <f aca="false">T31*B31</f>
        <v>#NAME?</v>
      </c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  <c r="IU31" s="82"/>
      <c r="IV31" s="82"/>
      <c r="IW31" s="82"/>
    </row>
    <row r="32" customFormat="false" ht="12.75" hidden="false" customHeight="false" outlineLevel="0" collapsed="false">
      <c r="A32" s="79" t="n">
        <f aca="false">+A16</f>
        <v>36982</v>
      </c>
      <c r="B32" s="80" t="n">
        <f aca="false">+B16</f>
        <v>-67500</v>
      </c>
      <c r="C32" s="79" t="n">
        <f aca="false">+C16</f>
        <v>36982</v>
      </c>
      <c r="D32" s="81" t="n">
        <f aca="false">EOMONTH(C32,0)</f>
        <v>37011</v>
      </c>
      <c r="E32" s="60" t="s">
        <v>29</v>
      </c>
      <c r="F32" s="82" t="s">
        <v>55</v>
      </c>
      <c r="G32" s="95" t="n">
        <f aca="false">+G16</f>
        <v>2.523</v>
      </c>
      <c r="H32" s="84" t="n">
        <f aca="false">+H16</f>
        <v>2.523</v>
      </c>
      <c r="I32" s="85" t="n">
        <f aca="false">+A32-$B$2</f>
        <v>-8944</v>
      </c>
      <c r="J32" s="82" t="n">
        <f aca="false">+C32-A32</f>
        <v>0</v>
      </c>
      <c r="K32" s="80" t="n">
        <f aca="false">+D32-C32+1</f>
        <v>30</v>
      </c>
      <c r="L32" s="82" t="n">
        <f aca="false">+L16</f>
        <v>1</v>
      </c>
      <c r="M32" s="96" t="n">
        <f aca="false">+M16</f>
        <v>0.068656219094093</v>
      </c>
      <c r="N32" s="87" t="n">
        <f aca="false">+N16</f>
        <v>0.45</v>
      </c>
      <c r="O32" s="87" t="n">
        <f aca="false">+O16</f>
        <v>0.45</v>
      </c>
      <c r="P32" s="87" t="n">
        <f aca="false">+P16</f>
        <v>1</v>
      </c>
      <c r="Q32" s="89" t="n">
        <f aca="false">+Q16</f>
        <v>0</v>
      </c>
      <c r="R32" s="82" t="n">
        <f aca="false">IF(F32="Call",1,0)</f>
        <v>0</v>
      </c>
      <c r="S32" s="78" t="n">
        <v>0</v>
      </c>
      <c r="T32" s="90" t="e">
        <f aca="false">OSTRIP(G32,H32,I32,J32,K32,L32,M32,N32,O32,P32,Q32,R32,S32)</f>
        <v>#NAME?</v>
      </c>
      <c r="U32" s="91" t="e">
        <f aca="false">T32*B32</f>
        <v>#NAME?</v>
      </c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  <c r="IW32" s="82"/>
    </row>
    <row r="33" customFormat="false" ht="12.75" hidden="false" customHeight="false" outlineLevel="0" collapsed="false">
      <c r="A33" s="79" t="n">
        <f aca="false">+A17</f>
        <v>37012</v>
      </c>
      <c r="B33" s="80" t="n">
        <f aca="false">+B17</f>
        <v>-116250</v>
      </c>
      <c r="C33" s="79" t="n">
        <f aca="false">+C17</f>
        <v>37012</v>
      </c>
      <c r="D33" s="81" t="n">
        <f aca="false">EOMONTH(C33,0)</f>
        <v>37042</v>
      </c>
      <c r="E33" s="60" t="s">
        <v>29</v>
      </c>
      <c r="F33" s="82" t="s">
        <v>55</v>
      </c>
      <c r="G33" s="95" t="n">
        <f aca="false">+G17</f>
        <v>2.488</v>
      </c>
      <c r="H33" s="84" t="n">
        <f aca="false">+H17</f>
        <v>2.488</v>
      </c>
      <c r="I33" s="85" t="n">
        <f aca="false">+A33-$B$2</f>
        <v>-8914</v>
      </c>
      <c r="J33" s="82" t="n">
        <f aca="false">+C33-A33</f>
        <v>0</v>
      </c>
      <c r="K33" s="80" t="n">
        <f aca="false">+D33-C33+1</f>
        <v>31</v>
      </c>
      <c r="L33" s="82" t="n">
        <f aca="false">+L17</f>
        <v>1</v>
      </c>
      <c r="M33" s="96" t="n">
        <f aca="false">+M17</f>
        <v>0.069045363608288</v>
      </c>
      <c r="N33" s="87" t="n">
        <f aca="false">+N17</f>
        <v>0.5</v>
      </c>
      <c r="O33" s="87" t="n">
        <f aca="false">+O17</f>
        <v>0.5</v>
      </c>
      <c r="P33" s="87" t="n">
        <f aca="false">+P17</f>
        <v>1</v>
      </c>
      <c r="Q33" s="89" t="n">
        <f aca="false">+Q17</f>
        <v>0</v>
      </c>
      <c r="R33" s="82" t="n">
        <f aca="false">IF(F33="Call",1,0)</f>
        <v>0</v>
      </c>
      <c r="S33" s="78" t="n">
        <v>0</v>
      </c>
      <c r="T33" s="90" t="e">
        <f aca="false">OSTRIP(G33,H33,I33,J33,K33,L33,M33,N33,O33,P33,Q33,R33,S33)</f>
        <v>#NAME?</v>
      </c>
      <c r="U33" s="91" t="e">
        <f aca="false">T33*B33</f>
        <v>#NAME?</v>
      </c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  <c r="IW33" s="82"/>
    </row>
    <row r="34" customFormat="false" ht="12.75" hidden="false" customHeight="false" outlineLevel="0" collapsed="false">
      <c r="A34" s="79" t="n">
        <f aca="false">+A18</f>
        <v>37043</v>
      </c>
      <c r="B34" s="80" t="n">
        <f aca="false">+B18</f>
        <v>-112500</v>
      </c>
      <c r="C34" s="79" t="n">
        <f aca="false">+C18</f>
        <v>37043</v>
      </c>
      <c r="D34" s="81" t="n">
        <f aca="false">EOMONTH(C34,0)</f>
        <v>37072</v>
      </c>
      <c r="E34" s="60" t="s">
        <v>29</v>
      </c>
      <c r="F34" s="82" t="s">
        <v>55</v>
      </c>
      <c r="G34" s="95" t="n">
        <f aca="false">+G18</f>
        <v>2.4955</v>
      </c>
      <c r="H34" s="84" t="n">
        <f aca="false">+H18</f>
        <v>2.4955</v>
      </c>
      <c r="I34" s="85" t="n">
        <f aca="false">+A34-$B$2</f>
        <v>-8883</v>
      </c>
      <c r="J34" s="82" t="n">
        <f aca="false">+C34-A34</f>
        <v>0</v>
      </c>
      <c r="K34" s="80" t="n">
        <f aca="false">+D34-C34+1</f>
        <v>30</v>
      </c>
      <c r="L34" s="82" t="n">
        <f aca="false">+L18</f>
        <v>1</v>
      </c>
      <c r="M34" s="96" t="n">
        <f aca="false">+M18</f>
        <v>0.069447479658918</v>
      </c>
      <c r="N34" s="87" t="n">
        <f aca="false">+N18</f>
        <v>0.5</v>
      </c>
      <c r="O34" s="87" t="n">
        <f aca="false">+O18</f>
        <v>0.5</v>
      </c>
      <c r="P34" s="87" t="n">
        <f aca="false">+P18</f>
        <v>1</v>
      </c>
      <c r="Q34" s="89" t="n">
        <f aca="false">+Q18</f>
        <v>0</v>
      </c>
      <c r="R34" s="82" t="n">
        <f aca="false">IF(F34="Call",1,0)</f>
        <v>0</v>
      </c>
      <c r="S34" s="78" t="n">
        <v>0</v>
      </c>
      <c r="T34" s="90" t="e">
        <f aca="false">OSTRIP(G34,H34,I34,J34,K34,L34,M34,N34,O34,P34,Q34,R34,S34)</f>
        <v>#NAME?</v>
      </c>
      <c r="U34" s="94" t="e">
        <f aca="false">T34*B34</f>
        <v>#NAME?</v>
      </c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</row>
    <row r="35" customFormat="false" ht="12.75" hidden="false" customHeight="false" outlineLevel="0" collapsed="false">
      <c r="A35" s="82"/>
      <c r="B35" s="97"/>
      <c r="C35" s="80"/>
      <c r="D35" s="82"/>
      <c r="E35" s="81"/>
      <c r="F35" s="82"/>
      <c r="G35" s="82"/>
      <c r="H35" s="98"/>
      <c r="I35" s="82"/>
      <c r="J35" s="85"/>
      <c r="K35" s="82"/>
      <c r="L35" s="80"/>
      <c r="M35" s="82"/>
      <c r="N35" s="82"/>
      <c r="O35" s="99"/>
      <c r="P35" s="87"/>
      <c r="Q35" s="87"/>
      <c r="R35" s="89"/>
      <c r="S35" s="82"/>
      <c r="T35" s="82"/>
      <c r="U35" s="91" t="e">
        <f aca="false">SUBTOTAL(9,U21:U34)</f>
        <v>#NAME?</v>
      </c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</row>
    <row r="36" customFormat="false" ht="13.5" hidden="false" customHeight="false" outlineLevel="0" collapsed="false">
      <c r="A36" s="100"/>
      <c r="B36" s="97"/>
      <c r="C36" s="80"/>
      <c r="D36" s="81"/>
      <c r="E36" s="81"/>
      <c r="F36" s="82"/>
      <c r="G36" s="82"/>
      <c r="H36" s="98"/>
      <c r="I36" s="82"/>
      <c r="J36" s="85"/>
      <c r="K36" s="82"/>
      <c r="L36" s="80"/>
      <c r="M36" s="82"/>
      <c r="N36" s="82"/>
      <c r="O36" s="99"/>
      <c r="P36" s="87"/>
      <c r="Q36" s="87"/>
      <c r="R36" s="89"/>
      <c r="S36" s="82"/>
      <c r="T36" s="82"/>
      <c r="U36" s="101"/>
      <c r="V36" s="10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13.5" hidden="false" customHeight="false" outlineLevel="0" collapsed="false">
      <c r="A37" s="82"/>
      <c r="B37" s="97"/>
      <c r="C37" s="80"/>
      <c r="D37" s="82"/>
      <c r="E37" s="81"/>
      <c r="F37" s="82"/>
      <c r="G37" s="82"/>
      <c r="H37" s="98"/>
      <c r="I37" s="82"/>
      <c r="J37" s="82"/>
      <c r="K37" s="82"/>
      <c r="L37" s="80"/>
      <c r="M37" s="82"/>
      <c r="N37" s="82"/>
      <c r="O37" s="99"/>
      <c r="P37" s="82"/>
      <c r="Q37" s="87"/>
      <c r="R37" s="82"/>
      <c r="S37" s="103" t="s">
        <v>56</v>
      </c>
      <c r="T37" s="104"/>
      <c r="U37" s="105" t="e">
        <f aca="false">SUBTOTAL(9,U5:U35)</f>
        <v>#NAME?</v>
      </c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</row>
    <row r="38" customFormat="false" ht="12.75" hidden="false" customHeight="false" outlineLevel="0" collapsed="false">
      <c r="B38" s="106"/>
      <c r="C38" s="107"/>
      <c r="E38" s="108"/>
      <c r="H38" s="109"/>
      <c r="L38" s="110"/>
      <c r="O38" s="111"/>
      <c r="Q38" s="112"/>
      <c r="R38" s="82"/>
      <c r="S38" s="113"/>
      <c r="T38" s="70"/>
      <c r="U38" s="114" t="e">
        <f aca="false">+U37/'Deal Volumes'!H17</f>
        <v>#NAME?</v>
      </c>
      <c r="V38" s="110"/>
    </row>
    <row r="39" customFormat="false" ht="12.75" hidden="false" customHeight="false" outlineLevel="0" collapsed="false">
      <c r="B39" s="106"/>
      <c r="C39" s="107"/>
      <c r="E39" s="108"/>
      <c r="H39" s="109"/>
      <c r="L39" s="110"/>
      <c r="O39" s="111"/>
      <c r="Q39" s="112"/>
      <c r="R39" s="82"/>
      <c r="S39" s="113"/>
      <c r="T39" s="70"/>
      <c r="U39" s="115"/>
      <c r="V39" s="110"/>
    </row>
    <row r="40" customFormat="false" ht="12.75" hidden="false" customHeight="false" outlineLevel="0" collapsed="false">
      <c r="B40" s="106"/>
      <c r="C40" s="107"/>
      <c r="E40" s="108"/>
      <c r="H40" s="109"/>
      <c r="L40" s="110"/>
      <c r="O40" s="111"/>
      <c r="Q40" s="112"/>
      <c r="R40" s="116"/>
      <c r="U40" s="117"/>
      <c r="V40" s="110"/>
    </row>
    <row r="41" customFormat="false" ht="12.75" hidden="false" customHeight="false" outlineLevel="0" collapsed="false">
      <c r="B41" s="106"/>
      <c r="C41" s="107"/>
      <c r="E41" s="108"/>
      <c r="H41" s="109"/>
      <c r="L41" s="110"/>
      <c r="O41" s="111"/>
      <c r="Q41" s="112"/>
      <c r="R41" s="118" t="s">
        <v>57</v>
      </c>
      <c r="S41" s="119" t="n">
        <v>0</v>
      </c>
      <c r="T41" s="119" t="s">
        <v>58</v>
      </c>
      <c r="U41" s="120"/>
      <c r="V41" s="110"/>
    </row>
    <row r="42" customFormat="false" ht="12.75" hidden="false" customHeight="false" outlineLevel="0" collapsed="false">
      <c r="B42" s="106"/>
      <c r="C42" s="107"/>
      <c r="E42" s="108"/>
      <c r="H42" s="109"/>
      <c r="L42" s="110"/>
      <c r="O42" s="111"/>
      <c r="Q42" s="112"/>
      <c r="R42" s="121"/>
      <c r="S42" s="122" t="n">
        <v>1</v>
      </c>
      <c r="T42" s="122" t="s">
        <v>59</v>
      </c>
      <c r="U42" s="123"/>
      <c r="V42" s="110"/>
    </row>
    <row r="43" customFormat="false" ht="12.75" hidden="false" customHeight="false" outlineLevel="0" collapsed="false">
      <c r="B43" s="106"/>
      <c r="C43" s="107"/>
      <c r="E43" s="108"/>
      <c r="H43" s="109"/>
      <c r="L43" s="110"/>
      <c r="O43" s="111"/>
      <c r="Q43" s="112"/>
      <c r="R43" s="121"/>
      <c r="S43" s="122" t="n">
        <v>2</v>
      </c>
      <c r="T43" s="122" t="s">
        <v>60</v>
      </c>
      <c r="U43" s="123"/>
      <c r="V43" s="110"/>
    </row>
    <row r="44" customFormat="false" ht="12.75" hidden="false" customHeight="false" outlineLevel="0" collapsed="false">
      <c r="B44" s="106"/>
      <c r="C44" s="107"/>
      <c r="E44" s="108"/>
      <c r="H44" s="109"/>
      <c r="L44" s="110"/>
      <c r="O44" s="111"/>
      <c r="Q44" s="112"/>
      <c r="R44" s="121"/>
      <c r="S44" s="122" t="n">
        <v>3</v>
      </c>
      <c r="T44" s="122" t="s">
        <v>61</v>
      </c>
      <c r="U44" s="123"/>
      <c r="V44" s="110"/>
    </row>
    <row r="45" customFormat="false" ht="12.75" hidden="false" customHeight="false" outlineLevel="0" collapsed="false">
      <c r="B45" s="106"/>
      <c r="C45" s="107"/>
      <c r="E45" s="108"/>
      <c r="H45" s="109"/>
      <c r="L45" s="110"/>
      <c r="O45" s="111"/>
      <c r="Q45" s="112"/>
      <c r="R45" s="121"/>
      <c r="S45" s="122" t="n">
        <v>4</v>
      </c>
      <c r="T45" s="122" t="s">
        <v>62</v>
      </c>
      <c r="U45" s="123"/>
      <c r="V45" s="110"/>
    </row>
    <row r="46" customFormat="false" ht="12.75" hidden="false" customHeight="false" outlineLevel="0" collapsed="false">
      <c r="B46" s="106"/>
      <c r="C46" s="107"/>
      <c r="E46" s="108"/>
      <c r="H46" s="109"/>
      <c r="L46" s="110"/>
      <c r="O46" s="111"/>
      <c r="Q46" s="112"/>
      <c r="R46" s="121"/>
      <c r="S46" s="122" t="n">
        <v>5</v>
      </c>
      <c r="T46" s="122" t="s">
        <v>63</v>
      </c>
      <c r="U46" s="123"/>
      <c r="V46" s="110"/>
    </row>
    <row r="47" customFormat="false" ht="12.75" hidden="false" customHeight="false" outlineLevel="0" collapsed="false">
      <c r="B47" s="106"/>
      <c r="C47" s="107"/>
      <c r="E47" s="108"/>
      <c r="H47" s="109"/>
      <c r="L47" s="110"/>
      <c r="O47" s="111"/>
      <c r="Q47" s="112"/>
      <c r="R47" s="124"/>
      <c r="S47" s="125" t="n">
        <v>6</v>
      </c>
      <c r="T47" s="125" t="s">
        <v>64</v>
      </c>
      <c r="U47" s="126"/>
      <c r="V47" s="110"/>
    </row>
    <row r="48" customFormat="false" ht="12.75" hidden="false" customHeight="false" outlineLevel="0" collapsed="false">
      <c r="B48" s="106"/>
      <c r="C48" s="107"/>
      <c r="E48" s="108"/>
      <c r="H48" s="109"/>
      <c r="L48" s="110"/>
      <c r="O48" s="111"/>
      <c r="Q48" s="112"/>
      <c r="R48" s="116"/>
      <c r="U48" s="117"/>
      <c r="V48" s="110"/>
    </row>
    <row r="49" customFormat="false" ht="12.75" hidden="false" customHeight="false" outlineLevel="0" collapsed="false">
      <c r="B49" s="106"/>
      <c r="C49" s="107"/>
      <c r="E49" s="108"/>
      <c r="H49" s="109"/>
      <c r="L49" s="110"/>
      <c r="O49" s="111"/>
      <c r="Q49" s="112"/>
      <c r="R49" s="116"/>
      <c r="U49" s="117"/>
      <c r="V49" s="110"/>
    </row>
    <row r="50" customFormat="false" ht="12.75" hidden="false" customHeight="false" outlineLevel="0" collapsed="false">
      <c r="B50" s="106"/>
      <c r="C50" s="107"/>
      <c r="E50" s="108"/>
      <c r="H50" s="109"/>
      <c r="L50" s="110"/>
      <c r="O50" s="111"/>
      <c r="Q50" s="112"/>
      <c r="R50" s="116"/>
      <c r="U50" s="117"/>
      <c r="V50" s="110"/>
    </row>
    <row r="51" customFormat="false" ht="12.75" hidden="false" customHeight="false" outlineLevel="0" collapsed="false">
      <c r="B51" s="106"/>
      <c r="C51" s="107"/>
      <c r="E51" s="108"/>
      <c r="H51" s="109"/>
      <c r="L51" s="110"/>
      <c r="O51" s="111"/>
      <c r="Q51" s="112"/>
      <c r="R51" s="116"/>
      <c r="U51" s="117"/>
      <c r="V51" s="110"/>
    </row>
    <row r="52" customFormat="false" ht="12.75" hidden="false" customHeight="false" outlineLevel="0" collapsed="false">
      <c r="B52" s="106"/>
      <c r="C52" s="107"/>
      <c r="E52" s="108"/>
      <c r="H52" s="109"/>
      <c r="L52" s="110"/>
      <c r="O52" s="111"/>
      <c r="Q52" s="112"/>
      <c r="R52" s="116"/>
      <c r="U52" s="117"/>
      <c r="V52" s="110"/>
    </row>
    <row r="53" customFormat="false" ht="12.75" hidden="false" customHeight="false" outlineLevel="0" collapsed="false">
      <c r="B53" s="106"/>
      <c r="C53" s="107"/>
      <c r="E53" s="108"/>
      <c r="H53" s="109"/>
      <c r="L53" s="110"/>
      <c r="O53" s="111"/>
      <c r="Q53" s="112"/>
      <c r="R53" s="116"/>
      <c r="U53" s="117"/>
      <c r="V53" s="110"/>
    </row>
    <row r="54" customFormat="false" ht="12.75" hidden="false" customHeight="false" outlineLevel="0" collapsed="false">
      <c r="B54" s="106"/>
      <c r="C54" s="107"/>
      <c r="E54" s="108"/>
      <c r="H54" s="109"/>
      <c r="L54" s="110"/>
      <c r="O54" s="111"/>
      <c r="Q54" s="112"/>
      <c r="R54" s="116"/>
      <c r="U54" s="117"/>
      <c r="V54" s="110"/>
    </row>
    <row r="55" customFormat="false" ht="12.75" hidden="false" customHeight="false" outlineLevel="0" collapsed="false">
      <c r="B55" s="106"/>
      <c r="C55" s="107"/>
      <c r="E55" s="108"/>
      <c r="H55" s="109"/>
      <c r="L55" s="110"/>
      <c r="O55" s="111"/>
      <c r="Q55" s="112"/>
      <c r="R55" s="116"/>
      <c r="U55" s="117"/>
      <c r="V55" s="110"/>
    </row>
    <row r="56" customFormat="false" ht="12.75" hidden="false" customHeight="false" outlineLevel="0" collapsed="false">
      <c r="B56" s="106"/>
      <c r="C56" s="107"/>
      <c r="E56" s="108"/>
      <c r="H56" s="109"/>
      <c r="L56" s="110"/>
      <c r="O56" s="111"/>
      <c r="Q56" s="112"/>
      <c r="R56" s="116"/>
      <c r="U56" s="117"/>
      <c r="V56" s="110"/>
    </row>
    <row r="57" customFormat="false" ht="12.75" hidden="false" customHeight="false" outlineLevel="0" collapsed="false">
      <c r="B57" s="106"/>
      <c r="C57" s="107"/>
      <c r="E57" s="108"/>
      <c r="H57" s="109"/>
      <c r="L57" s="110"/>
      <c r="O57" s="111"/>
      <c r="Q57" s="112"/>
      <c r="R57" s="116"/>
      <c r="U57" s="117"/>
      <c r="V57" s="110"/>
    </row>
    <row r="58" customFormat="false" ht="12.75" hidden="false" customHeight="false" outlineLevel="0" collapsed="false">
      <c r="B58" s="106"/>
      <c r="C58" s="107"/>
      <c r="E58" s="108"/>
      <c r="H58" s="109"/>
      <c r="L58" s="110"/>
      <c r="O58" s="111"/>
      <c r="Q58" s="112"/>
      <c r="R58" s="116"/>
      <c r="U58" s="117"/>
      <c r="V58" s="110"/>
    </row>
    <row r="59" customFormat="false" ht="12.75" hidden="false" customHeight="false" outlineLevel="0" collapsed="false">
      <c r="H59" s="109"/>
      <c r="R59" s="116"/>
      <c r="U59" s="117"/>
    </row>
    <row r="60" customFormat="false" ht="12.75" hidden="false" customHeight="false" outlineLevel="0" collapsed="false">
      <c r="H60" s="109"/>
      <c r="R60" s="116"/>
      <c r="U60" s="117"/>
    </row>
    <row r="61" customFormat="false" ht="12.75" hidden="false" customHeight="false" outlineLevel="0" collapsed="false">
      <c r="H61" s="109"/>
    </row>
    <row r="62" customFormat="false" ht="12.75" hidden="false" customHeight="false" outlineLevel="0" collapsed="false">
      <c r="H62" s="109"/>
    </row>
    <row r="63" customFormat="false" ht="12.75" hidden="false" customHeight="false" outlineLevel="0" collapsed="false">
      <c r="H63" s="109"/>
    </row>
    <row r="64" customFormat="false" ht="12.75" hidden="false" customHeight="false" outlineLevel="0" collapsed="false">
      <c r="H64" s="109"/>
    </row>
    <row r="65" customFormat="false" ht="12.75" hidden="false" customHeight="false" outlineLevel="0" collapsed="false">
      <c r="H65" s="109"/>
    </row>
    <row r="66" customFormat="false" ht="12.75" hidden="false" customHeight="false" outlineLevel="0" collapsed="false">
      <c r="H66" s="109"/>
    </row>
    <row r="67" customFormat="false" ht="12.75" hidden="false" customHeight="false" outlineLevel="0" collapsed="false">
      <c r="H67" s="109"/>
    </row>
    <row r="68" customFormat="false" ht="12.75" hidden="false" customHeight="false" outlineLevel="0" collapsed="false">
      <c r="H68" s="109"/>
    </row>
    <row r="69" customFormat="false" ht="12.75" hidden="false" customHeight="false" outlineLevel="0" collapsed="false">
      <c r="H69" s="109"/>
    </row>
    <row r="70" customFormat="false" ht="12.75" hidden="false" customHeight="false" outlineLevel="0" collapsed="false">
      <c r="H70" s="109"/>
    </row>
    <row r="71" customFormat="false" ht="12.75" hidden="false" customHeight="false" outlineLevel="0" collapsed="false">
      <c r="H71" s="109"/>
    </row>
    <row r="72" customFormat="false" ht="12.75" hidden="false" customHeight="false" outlineLevel="0" collapsed="false">
      <c r="H72" s="109"/>
    </row>
    <row r="73" customFormat="false" ht="12.75" hidden="false" customHeight="false" outlineLevel="0" collapsed="false">
      <c r="H73" s="109"/>
    </row>
    <row r="74" customFormat="false" ht="12.75" hidden="false" customHeight="false" outlineLevel="0" collapsed="false">
      <c r="H74" s="109"/>
    </row>
    <row r="75" customFormat="false" ht="12.75" hidden="false" customHeight="false" outlineLevel="0" collapsed="false">
      <c r="H75" s="109"/>
    </row>
    <row r="76" customFormat="false" ht="12.75" hidden="false" customHeight="false" outlineLevel="0" collapsed="false">
      <c r="H76" s="109"/>
    </row>
    <row r="77" customFormat="false" ht="12.75" hidden="false" customHeight="false" outlineLevel="0" collapsed="false">
      <c r="H77" s="109"/>
    </row>
    <row r="78" customFormat="false" ht="12.75" hidden="false" customHeight="false" outlineLevel="0" collapsed="false">
      <c r="H78" s="109"/>
    </row>
    <row r="79" customFormat="false" ht="12.75" hidden="false" customHeight="false" outlineLevel="0" collapsed="false">
      <c r="H79" s="109"/>
    </row>
    <row r="80" customFormat="false" ht="12.75" hidden="false" customHeight="false" outlineLevel="0" collapsed="false">
      <c r="H80" s="109"/>
    </row>
    <row r="81" customFormat="false" ht="12.75" hidden="false" customHeight="false" outlineLevel="0" collapsed="false">
      <c r="H81" s="109"/>
    </row>
    <row r="82" customFormat="false" ht="12.75" hidden="false" customHeight="false" outlineLevel="0" collapsed="false">
      <c r="H82" s="109"/>
    </row>
    <row r="83" customFormat="false" ht="12.75" hidden="false" customHeight="false" outlineLevel="0" collapsed="false">
      <c r="H83" s="109"/>
    </row>
    <row r="84" customFormat="false" ht="12.75" hidden="false" customHeight="false" outlineLevel="0" collapsed="false">
      <c r="H84" s="109"/>
    </row>
    <row r="85" customFormat="false" ht="12.75" hidden="false" customHeight="false" outlineLevel="0" collapsed="false">
      <c r="H85" s="109"/>
    </row>
    <row r="86" customFormat="false" ht="12.75" hidden="false" customHeight="false" outlineLevel="0" collapsed="false">
      <c r="H86" s="109"/>
    </row>
    <row r="87" customFormat="false" ht="12.75" hidden="false" customHeight="false" outlineLevel="0" collapsed="false">
      <c r="H87" s="109"/>
    </row>
    <row r="88" customFormat="false" ht="12.75" hidden="false" customHeight="false" outlineLevel="0" collapsed="false">
      <c r="H88" s="109"/>
    </row>
    <row r="89" customFormat="false" ht="12.75" hidden="false" customHeight="false" outlineLevel="0" collapsed="false">
      <c r="H89" s="109"/>
    </row>
    <row r="90" customFormat="false" ht="12.75" hidden="false" customHeight="false" outlineLevel="0" collapsed="false">
      <c r="H90" s="109"/>
    </row>
    <row r="91" customFormat="false" ht="12.75" hidden="false" customHeight="false" outlineLevel="0" collapsed="false">
      <c r="H91" s="109"/>
    </row>
    <row r="92" customFormat="false" ht="12.75" hidden="false" customHeight="false" outlineLevel="0" collapsed="false">
      <c r="H92" s="109"/>
    </row>
    <row r="93" customFormat="false" ht="12.75" hidden="false" customHeight="false" outlineLevel="0" collapsed="false">
      <c r="H93" s="109"/>
    </row>
    <row r="94" customFormat="false" ht="12.75" hidden="false" customHeight="false" outlineLevel="0" collapsed="false">
      <c r="H94" s="109"/>
    </row>
    <row r="95" customFormat="false" ht="12.75" hidden="false" customHeight="false" outlineLevel="0" collapsed="false">
      <c r="H95" s="109"/>
    </row>
    <row r="96" customFormat="false" ht="12.75" hidden="false" customHeight="false" outlineLevel="0" collapsed="false">
      <c r="H96" s="109"/>
    </row>
    <row r="97" customFormat="false" ht="12.75" hidden="false" customHeight="false" outlineLevel="0" collapsed="false">
      <c r="H97" s="109"/>
    </row>
    <row r="98" customFormat="false" ht="12.75" hidden="false" customHeight="false" outlineLevel="0" collapsed="false">
      <c r="H98" s="109"/>
    </row>
    <row r="99" customFormat="false" ht="12.75" hidden="false" customHeight="false" outlineLevel="0" collapsed="false">
      <c r="H99" s="109"/>
    </row>
    <row r="100" customFormat="false" ht="12.75" hidden="false" customHeight="false" outlineLevel="0" collapsed="false">
      <c r="H100" s="109"/>
    </row>
    <row r="101" customFormat="false" ht="12.75" hidden="false" customHeight="false" outlineLevel="0" collapsed="false">
      <c r="H101" s="109"/>
    </row>
    <row r="102" customFormat="false" ht="12.75" hidden="false" customHeight="false" outlineLevel="0" collapsed="false">
      <c r="H102" s="109"/>
    </row>
    <row r="103" customFormat="false" ht="12.75" hidden="false" customHeight="false" outlineLevel="0" collapsed="false">
      <c r="H103" s="109"/>
    </row>
    <row r="104" customFormat="false" ht="12.75" hidden="false" customHeight="false" outlineLevel="0" collapsed="false">
      <c r="H104" s="109"/>
    </row>
    <row r="105" customFormat="false" ht="12.75" hidden="false" customHeight="false" outlineLevel="0" collapsed="false">
      <c r="H105" s="109"/>
    </row>
    <row r="106" customFormat="false" ht="12.75" hidden="false" customHeight="false" outlineLevel="0" collapsed="false">
      <c r="H106" s="109"/>
    </row>
    <row r="107" customFormat="false" ht="12.75" hidden="false" customHeight="false" outlineLevel="0" collapsed="false">
      <c r="H107" s="109"/>
    </row>
    <row r="108" customFormat="false" ht="12.75" hidden="false" customHeight="false" outlineLevel="0" collapsed="false">
      <c r="H108" s="109"/>
    </row>
    <row r="109" customFormat="false" ht="12.75" hidden="false" customHeight="false" outlineLevel="0" collapsed="false">
      <c r="H109" s="109"/>
    </row>
    <row r="110" customFormat="false" ht="12.75" hidden="false" customHeight="false" outlineLevel="0" collapsed="false">
      <c r="H110" s="109"/>
    </row>
    <row r="111" customFormat="false" ht="12.75" hidden="false" customHeight="false" outlineLevel="0" collapsed="false">
      <c r="H111" s="109"/>
    </row>
    <row r="112" customFormat="false" ht="12.75" hidden="false" customHeight="false" outlineLevel="0" collapsed="false">
      <c r="H112" s="109"/>
    </row>
    <row r="113" customFormat="false" ht="12.75" hidden="false" customHeight="false" outlineLevel="0" collapsed="false">
      <c r="H113" s="109"/>
    </row>
    <row r="114" customFormat="false" ht="12.75" hidden="false" customHeight="false" outlineLevel="0" collapsed="false">
      <c r="H114" s="109"/>
    </row>
    <row r="115" customFormat="false" ht="12.75" hidden="false" customHeight="false" outlineLevel="0" collapsed="false">
      <c r="H115" s="109"/>
    </row>
    <row r="116" customFormat="false" ht="12.75" hidden="false" customHeight="false" outlineLevel="0" collapsed="false">
      <c r="H116" s="109"/>
    </row>
    <row r="117" customFormat="false" ht="12.75" hidden="false" customHeight="false" outlineLevel="0" collapsed="false">
      <c r="H117" s="109"/>
    </row>
    <row r="118" customFormat="false" ht="12.75" hidden="false" customHeight="false" outlineLevel="0" collapsed="false">
      <c r="H118" s="109"/>
    </row>
    <row r="119" customFormat="false" ht="12.75" hidden="false" customHeight="false" outlineLevel="0" collapsed="false">
      <c r="H119" s="109"/>
    </row>
    <row r="120" customFormat="false" ht="12.75" hidden="false" customHeight="false" outlineLevel="0" collapsed="false">
      <c r="H120" s="109"/>
    </row>
    <row r="121" customFormat="false" ht="12.75" hidden="false" customHeight="false" outlineLevel="0" collapsed="false">
      <c r="H121" s="109"/>
    </row>
    <row r="122" customFormat="false" ht="12.75" hidden="false" customHeight="false" outlineLevel="0" collapsed="false">
      <c r="H122" s="109"/>
    </row>
    <row r="123" customFormat="false" ht="12.75" hidden="false" customHeight="false" outlineLevel="0" collapsed="false">
      <c r="H123" s="109"/>
    </row>
    <row r="124" customFormat="false" ht="12.75" hidden="false" customHeight="false" outlineLevel="0" collapsed="false">
      <c r="H124" s="109"/>
    </row>
    <row r="125" customFormat="false" ht="12.75" hidden="false" customHeight="false" outlineLevel="0" collapsed="false">
      <c r="H125" s="109"/>
    </row>
    <row r="126" customFormat="false" ht="12.75" hidden="false" customHeight="false" outlineLevel="0" collapsed="false">
      <c r="H126" s="109"/>
    </row>
    <row r="127" customFormat="false" ht="12.75" hidden="false" customHeight="false" outlineLevel="0" collapsed="false">
      <c r="H127" s="109"/>
    </row>
    <row r="128" customFormat="false" ht="12.75" hidden="false" customHeight="false" outlineLevel="0" collapsed="false">
      <c r="H128" s="109"/>
    </row>
    <row r="129" customFormat="false" ht="12.75" hidden="false" customHeight="false" outlineLevel="0" collapsed="false">
      <c r="H129" s="109"/>
    </row>
    <row r="130" customFormat="false" ht="12.75" hidden="false" customHeight="false" outlineLevel="0" collapsed="false">
      <c r="H130" s="109"/>
    </row>
    <row r="131" customFormat="false" ht="12.75" hidden="false" customHeight="false" outlineLevel="0" collapsed="false">
      <c r="H131" s="109"/>
    </row>
    <row r="132" customFormat="false" ht="12.75" hidden="false" customHeight="false" outlineLevel="0" collapsed="false">
      <c r="H132" s="109"/>
    </row>
    <row r="133" customFormat="false" ht="12.75" hidden="false" customHeight="false" outlineLevel="0" collapsed="false">
      <c r="H133" s="109"/>
    </row>
    <row r="134" customFormat="false" ht="12.75" hidden="false" customHeight="false" outlineLevel="0" collapsed="false">
      <c r="H134" s="109"/>
    </row>
    <row r="135" customFormat="false" ht="12.75" hidden="false" customHeight="false" outlineLevel="0" collapsed="false">
      <c r="H135" s="109"/>
    </row>
    <row r="136" customFormat="false" ht="12.75" hidden="false" customHeight="false" outlineLevel="0" collapsed="false">
      <c r="H136" s="109"/>
    </row>
    <row r="137" customFormat="false" ht="12.75" hidden="false" customHeight="false" outlineLevel="0" collapsed="false">
      <c r="H137" s="109"/>
    </row>
    <row r="138" customFormat="false" ht="12.75" hidden="false" customHeight="false" outlineLevel="0" collapsed="false">
      <c r="H138" s="109"/>
    </row>
    <row r="139" customFormat="false" ht="12.75" hidden="false" customHeight="false" outlineLevel="0" collapsed="false">
      <c r="H139" s="109"/>
    </row>
    <row r="140" customFormat="false" ht="12.75" hidden="false" customHeight="false" outlineLevel="0" collapsed="false">
      <c r="H140" s="109"/>
    </row>
    <row r="141" customFormat="false" ht="12.75" hidden="false" customHeight="false" outlineLevel="0" collapsed="false">
      <c r="H141" s="109"/>
    </row>
    <row r="142" customFormat="false" ht="12.75" hidden="false" customHeight="false" outlineLevel="0" collapsed="false">
      <c r="H142" s="109"/>
    </row>
    <row r="143" customFormat="false" ht="12.75" hidden="false" customHeight="false" outlineLevel="0" collapsed="false">
      <c r="H143" s="109"/>
    </row>
    <row r="144" customFormat="false" ht="12.75" hidden="false" customHeight="false" outlineLevel="0" collapsed="false">
      <c r="H144" s="109"/>
    </row>
    <row r="145" customFormat="false" ht="12.75" hidden="false" customHeight="false" outlineLevel="0" collapsed="false">
      <c r="H145" s="109"/>
    </row>
    <row r="146" customFormat="false" ht="12.75" hidden="false" customHeight="false" outlineLevel="0" collapsed="false">
      <c r="H146" s="109"/>
    </row>
    <row r="147" customFormat="false" ht="12.75" hidden="false" customHeight="false" outlineLevel="0" collapsed="false">
      <c r="H147" s="109"/>
    </row>
    <row r="148" customFormat="false" ht="12.75" hidden="false" customHeight="false" outlineLevel="0" collapsed="false">
      <c r="H148" s="109"/>
    </row>
    <row r="149" customFormat="false" ht="12.75" hidden="false" customHeight="false" outlineLevel="0" collapsed="false">
      <c r="H149" s="109"/>
    </row>
    <row r="150" customFormat="false" ht="12.75" hidden="false" customHeight="false" outlineLevel="0" collapsed="false">
      <c r="H150" s="109"/>
    </row>
    <row r="151" customFormat="false" ht="12.75" hidden="false" customHeight="false" outlineLevel="0" collapsed="false">
      <c r="H151" s="109"/>
    </row>
    <row r="152" customFormat="false" ht="12.75" hidden="false" customHeight="false" outlineLevel="0" collapsed="false">
      <c r="H152" s="109"/>
    </row>
    <row r="153" customFormat="false" ht="12.75" hidden="false" customHeight="false" outlineLevel="0" collapsed="false">
      <c r="H153" s="109"/>
    </row>
    <row r="154" customFormat="false" ht="12.75" hidden="false" customHeight="false" outlineLevel="0" collapsed="false">
      <c r="H154" s="109"/>
    </row>
    <row r="155" customFormat="false" ht="12.75" hidden="false" customHeight="false" outlineLevel="0" collapsed="false">
      <c r="H155" s="109"/>
    </row>
    <row r="156" customFormat="false" ht="12.75" hidden="false" customHeight="false" outlineLevel="0" collapsed="false">
      <c r="H156" s="109"/>
    </row>
    <row r="157" customFormat="false" ht="12.75" hidden="false" customHeight="false" outlineLevel="0" collapsed="false">
      <c r="H157" s="109"/>
    </row>
    <row r="158" customFormat="false" ht="12.75" hidden="false" customHeight="false" outlineLevel="0" collapsed="false">
      <c r="H158" s="109"/>
    </row>
    <row r="159" customFormat="false" ht="12.75" hidden="false" customHeight="false" outlineLevel="0" collapsed="false">
      <c r="H159" s="109"/>
    </row>
    <row r="160" customFormat="false" ht="12.75" hidden="false" customHeight="false" outlineLevel="0" collapsed="false">
      <c r="H160" s="109"/>
    </row>
    <row r="161" customFormat="false" ht="12.75" hidden="false" customHeight="false" outlineLevel="0" collapsed="false">
      <c r="H161" s="109"/>
    </row>
    <row r="162" customFormat="false" ht="12.75" hidden="false" customHeight="false" outlineLevel="0" collapsed="false">
      <c r="H162" s="109"/>
    </row>
    <row r="163" customFormat="false" ht="12.75" hidden="false" customHeight="false" outlineLevel="0" collapsed="false">
      <c r="H163" s="109"/>
    </row>
    <row r="164" customFormat="false" ht="12.75" hidden="false" customHeight="false" outlineLevel="0" collapsed="false">
      <c r="H164" s="109"/>
    </row>
    <row r="165" customFormat="false" ht="12.75" hidden="false" customHeight="false" outlineLevel="0" collapsed="false">
      <c r="H165" s="109"/>
    </row>
    <row r="166" customFormat="false" ht="12.75" hidden="false" customHeight="false" outlineLevel="0" collapsed="false">
      <c r="H166" s="109"/>
    </row>
    <row r="167" customFormat="false" ht="12.75" hidden="false" customHeight="false" outlineLevel="0" collapsed="false">
      <c r="H167" s="109"/>
    </row>
    <row r="168" customFormat="false" ht="12.75" hidden="false" customHeight="false" outlineLevel="0" collapsed="false">
      <c r="H168" s="109"/>
    </row>
    <row r="169" customFormat="false" ht="12.75" hidden="false" customHeight="false" outlineLevel="0" collapsed="false">
      <c r="H169" s="109"/>
    </row>
    <row r="170" customFormat="false" ht="12.75" hidden="false" customHeight="false" outlineLevel="0" collapsed="false">
      <c r="H170" s="109"/>
    </row>
    <row r="171" customFormat="false" ht="12.75" hidden="false" customHeight="false" outlineLevel="0" collapsed="false">
      <c r="H171" s="109"/>
    </row>
    <row r="172" customFormat="false" ht="12.75" hidden="false" customHeight="false" outlineLevel="0" collapsed="false">
      <c r="H172" s="109"/>
    </row>
    <row r="173" customFormat="false" ht="12.75" hidden="false" customHeight="false" outlineLevel="0" collapsed="false">
      <c r="H173" s="109"/>
    </row>
    <row r="174" customFormat="false" ht="12.75" hidden="false" customHeight="false" outlineLevel="0" collapsed="false">
      <c r="H174" s="109"/>
    </row>
    <row r="175" customFormat="false" ht="12.75" hidden="false" customHeight="false" outlineLevel="0" collapsed="false">
      <c r="H175" s="109"/>
    </row>
    <row r="176" customFormat="false" ht="12.75" hidden="false" customHeight="false" outlineLevel="0" collapsed="false">
      <c r="H176" s="109"/>
    </row>
    <row r="177" customFormat="false" ht="12.75" hidden="false" customHeight="false" outlineLevel="0" collapsed="false">
      <c r="H177" s="109"/>
    </row>
    <row r="178" customFormat="false" ht="12.75" hidden="false" customHeight="false" outlineLevel="0" collapsed="false">
      <c r="H178" s="109"/>
    </row>
    <row r="179" customFormat="false" ht="12.75" hidden="false" customHeight="false" outlineLevel="0" collapsed="false">
      <c r="H179" s="109"/>
    </row>
    <row r="180" customFormat="false" ht="12.75" hidden="false" customHeight="false" outlineLevel="0" collapsed="false">
      <c r="H180" s="109"/>
    </row>
    <row r="181" customFormat="false" ht="12.75" hidden="false" customHeight="false" outlineLevel="0" collapsed="false">
      <c r="H181" s="109"/>
    </row>
    <row r="182" customFormat="false" ht="12.75" hidden="false" customHeight="false" outlineLevel="0" collapsed="false">
      <c r="H182" s="109"/>
    </row>
    <row r="183" customFormat="false" ht="12.75" hidden="false" customHeight="false" outlineLevel="0" collapsed="false">
      <c r="H183" s="109"/>
    </row>
    <row r="184" customFormat="false" ht="12.75" hidden="false" customHeight="false" outlineLevel="0" collapsed="false">
      <c r="H184" s="109"/>
    </row>
    <row r="185" customFormat="false" ht="12.75" hidden="false" customHeight="false" outlineLevel="0" collapsed="false">
      <c r="H185" s="109"/>
    </row>
    <row r="186" customFormat="false" ht="12.75" hidden="false" customHeight="false" outlineLevel="0" collapsed="false">
      <c r="H186" s="109"/>
    </row>
    <row r="187" customFormat="false" ht="12.75" hidden="false" customHeight="false" outlineLevel="0" collapsed="false">
      <c r="H187" s="109"/>
    </row>
    <row r="188" customFormat="false" ht="12.75" hidden="false" customHeight="false" outlineLevel="0" collapsed="false">
      <c r="H188" s="109"/>
    </row>
    <row r="189" customFormat="false" ht="12.75" hidden="false" customHeight="false" outlineLevel="0" collapsed="false">
      <c r="H189" s="109"/>
    </row>
    <row r="190" customFormat="false" ht="12.75" hidden="false" customHeight="false" outlineLevel="0" collapsed="false">
      <c r="H190" s="109"/>
    </row>
    <row r="191" customFormat="false" ht="12.75" hidden="false" customHeight="false" outlineLevel="0" collapsed="false">
      <c r="H191" s="109"/>
    </row>
    <row r="192" customFormat="false" ht="12.75" hidden="false" customHeight="false" outlineLevel="0" collapsed="false">
      <c r="H192" s="109"/>
    </row>
    <row r="193" customFormat="false" ht="12.75" hidden="false" customHeight="false" outlineLevel="0" collapsed="false">
      <c r="H193" s="109"/>
    </row>
    <row r="194" customFormat="false" ht="12.75" hidden="false" customHeight="false" outlineLevel="0" collapsed="false">
      <c r="H194" s="109"/>
    </row>
    <row r="195" customFormat="false" ht="12.75" hidden="false" customHeight="false" outlineLevel="0" collapsed="false">
      <c r="H195" s="109"/>
    </row>
    <row r="196" customFormat="false" ht="12.75" hidden="false" customHeight="false" outlineLevel="0" collapsed="false">
      <c r="H196" s="109"/>
    </row>
    <row r="197" customFormat="false" ht="12.75" hidden="false" customHeight="false" outlineLevel="0" collapsed="false">
      <c r="H197" s="109"/>
    </row>
    <row r="198" customFormat="false" ht="12.75" hidden="false" customHeight="false" outlineLevel="0" collapsed="false">
      <c r="H198" s="109"/>
    </row>
    <row r="199" customFormat="false" ht="12.75" hidden="false" customHeight="false" outlineLevel="0" collapsed="false">
      <c r="H199" s="109"/>
    </row>
    <row r="200" customFormat="false" ht="12.75" hidden="false" customHeight="false" outlineLevel="0" collapsed="false">
      <c r="H200" s="109"/>
    </row>
    <row r="201" customFormat="false" ht="12.75" hidden="false" customHeight="false" outlineLevel="0" collapsed="false">
      <c r="H201" s="109"/>
    </row>
    <row r="202" customFormat="false" ht="12.75" hidden="false" customHeight="false" outlineLevel="0" collapsed="false">
      <c r="H202" s="109"/>
    </row>
    <row r="203" customFormat="false" ht="12.75" hidden="false" customHeight="false" outlineLevel="0" collapsed="false">
      <c r="H203" s="109"/>
    </row>
    <row r="204" customFormat="false" ht="12.75" hidden="false" customHeight="false" outlineLevel="0" collapsed="false">
      <c r="H204" s="109"/>
    </row>
    <row r="205" customFormat="false" ht="12.75" hidden="false" customHeight="false" outlineLevel="0" collapsed="false">
      <c r="H205" s="109"/>
    </row>
    <row r="206" customFormat="false" ht="12.75" hidden="false" customHeight="false" outlineLevel="0" collapsed="false">
      <c r="H206" s="109"/>
    </row>
    <row r="207" customFormat="false" ht="12.75" hidden="false" customHeight="false" outlineLevel="0" collapsed="false">
      <c r="H207" s="109"/>
    </row>
    <row r="208" customFormat="false" ht="12.75" hidden="false" customHeight="false" outlineLevel="0" collapsed="false">
      <c r="H208" s="109"/>
    </row>
    <row r="209" customFormat="false" ht="12.75" hidden="false" customHeight="false" outlineLevel="0" collapsed="false">
      <c r="H209" s="109"/>
    </row>
    <row r="210" customFormat="false" ht="12.75" hidden="false" customHeight="false" outlineLevel="0" collapsed="false">
      <c r="H210" s="109"/>
    </row>
    <row r="211" customFormat="false" ht="12.75" hidden="false" customHeight="false" outlineLevel="0" collapsed="false">
      <c r="H211" s="109"/>
    </row>
    <row r="212" customFormat="false" ht="12.75" hidden="false" customHeight="false" outlineLevel="0" collapsed="false">
      <c r="H212" s="109"/>
    </row>
    <row r="213" customFormat="false" ht="12.75" hidden="false" customHeight="false" outlineLevel="0" collapsed="false">
      <c r="H213" s="109"/>
    </row>
    <row r="214" customFormat="false" ht="12.75" hidden="false" customHeight="false" outlineLevel="0" collapsed="false">
      <c r="H214" s="109"/>
    </row>
    <row r="215" customFormat="false" ht="12.75" hidden="false" customHeight="false" outlineLevel="0" collapsed="false">
      <c r="H215" s="109"/>
    </row>
    <row r="216" customFormat="false" ht="12.75" hidden="false" customHeight="false" outlineLevel="0" collapsed="false">
      <c r="H216" s="109"/>
    </row>
    <row r="217" customFormat="false" ht="12.75" hidden="false" customHeight="false" outlineLevel="0" collapsed="false">
      <c r="H217" s="109"/>
    </row>
    <row r="218" customFormat="false" ht="12.75" hidden="false" customHeight="false" outlineLevel="0" collapsed="false">
      <c r="H218" s="109"/>
    </row>
    <row r="219" customFormat="false" ht="12.75" hidden="false" customHeight="false" outlineLevel="0" collapsed="false">
      <c r="H219" s="109"/>
    </row>
    <row r="220" customFormat="false" ht="12.75" hidden="false" customHeight="false" outlineLevel="0" collapsed="false">
      <c r="H220" s="109"/>
    </row>
    <row r="221" customFormat="false" ht="12.75" hidden="false" customHeight="false" outlineLevel="0" collapsed="false">
      <c r="H221" s="109"/>
    </row>
    <row r="222" customFormat="false" ht="12.75" hidden="false" customHeight="false" outlineLevel="0" collapsed="false">
      <c r="H222" s="109"/>
    </row>
    <row r="223" customFormat="false" ht="12.75" hidden="false" customHeight="false" outlineLevel="0" collapsed="false">
      <c r="H223" s="109"/>
    </row>
    <row r="224" customFormat="false" ht="12.75" hidden="false" customHeight="false" outlineLevel="0" collapsed="false">
      <c r="H224" s="109"/>
    </row>
    <row r="225" customFormat="false" ht="12.75" hidden="false" customHeight="false" outlineLevel="0" collapsed="false">
      <c r="H225" s="109"/>
    </row>
    <row r="226" customFormat="false" ht="12.75" hidden="false" customHeight="false" outlineLevel="0" collapsed="false">
      <c r="H226" s="109"/>
    </row>
    <row r="227" customFormat="false" ht="12.75" hidden="false" customHeight="false" outlineLevel="0" collapsed="false">
      <c r="H227" s="109"/>
    </row>
    <row r="228" customFormat="false" ht="12.75" hidden="false" customHeight="false" outlineLevel="0" collapsed="false">
      <c r="H228" s="109"/>
    </row>
    <row r="229" customFormat="false" ht="12.75" hidden="false" customHeight="false" outlineLevel="0" collapsed="false">
      <c r="H229" s="109"/>
    </row>
    <row r="230" customFormat="false" ht="12.75" hidden="false" customHeight="false" outlineLevel="0" collapsed="false">
      <c r="H230" s="109"/>
    </row>
    <row r="231" customFormat="false" ht="12.75" hidden="false" customHeight="false" outlineLevel="0" collapsed="false">
      <c r="H231" s="109"/>
    </row>
    <row r="232" customFormat="false" ht="12.75" hidden="false" customHeight="false" outlineLevel="0" collapsed="false">
      <c r="H232" s="109"/>
    </row>
    <row r="233" customFormat="false" ht="12.75" hidden="false" customHeight="false" outlineLevel="0" collapsed="false">
      <c r="H233" s="109"/>
    </row>
    <row r="234" customFormat="false" ht="12.75" hidden="false" customHeight="false" outlineLevel="0" collapsed="false">
      <c r="H234" s="109"/>
    </row>
    <row r="235" customFormat="false" ht="12.75" hidden="false" customHeight="false" outlineLevel="0" collapsed="false">
      <c r="H235" s="109"/>
    </row>
    <row r="236" customFormat="false" ht="12.75" hidden="false" customHeight="false" outlineLevel="0" collapsed="false">
      <c r="H236" s="109"/>
    </row>
    <row r="237" customFormat="false" ht="12.75" hidden="false" customHeight="false" outlineLevel="0" collapsed="false">
      <c r="H237" s="109"/>
    </row>
    <row r="238" customFormat="false" ht="12.75" hidden="false" customHeight="false" outlineLevel="0" collapsed="false">
      <c r="H238" s="109"/>
    </row>
    <row r="239" customFormat="false" ht="12.75" hidden="false" customHeight="false" outlineLevel="0" collapsed="false">
      <c r="H239" s="109"/>
    </row>
    <row r="240" customFormat="false" ht="12.75" hidden="false" customHeight="false" outlineLevel="0" collapsed="false">
      <c r="H240" s="109"/>
    </row>
    <row r="241" customFormat="false" ht="12.75" hidden="false" customHeight="false" outlineLevel="0" collapsed="false">
      <c r="H241" s="109"/>
    </row>
    <row r="242" customFormat="false" ht="12.75" hidden="false" customHeight="false" outlineLevel="0" collapsed="false">
      <c r="H242" s="109"/>
    </row>
    <row r="243" customFormat="false" ht="12.75" hidden="false" customHeight="false" outlineLevel="0" collapsed="false">
      <c r="H243" s="109"/>
    </row>
    <row r="244" customFormat="false" ht="12.75" hidden="false" customHeight="false" outlineLevel="0" collapsed="false">
      <c r="H244" s="109"/>
    </row>
    <row r="245" customFormat="false" ht="12.75" hidden="false" customHeight="false" outlineLevel="0" collapsed="false">
      <c r="H245" s="109"/>
    </row>
    <row r="246" customFormat="false" ht="12.75" hidden="false" customHeight="false" outlineLevel="0" collapsed="false">
      <c r="H246" s="109"/>
    </row>
    <row r="247" customFormat="false" ht="12.75" hidden="false" customHeight="false" outlineLevel="0" collapsed="false">
      <c r="H247" s="109"/>
    </row>
    <row r="248" customFormat="false" ht="12.75" hidden="false" customHeight="false" outlineLevel="0" collapsed="false">
      <c r="H248" s="109"/>
    </row>
    <row r="249" customFormat="false" ht="12.75" hidden="false" customHeight="false" outlineLevel="0" collapsed="false">
      <c r="H249" s="109"/>
    </row>
    <row r="250" customFormat="false" ht="12.75" hidden="false" customHeight="false" outlineLevel="0" collapsed="false">
      <c r="H250" s="109"/>
    </row>
    <row r="251" customFormat="false" ht="12.75" hidden="false" customHeight="false" outlineLevel="0" collapsed="false">
      <c r="H251" s="109"/>
    </row>
    <row r="252" customFormat="false" ht="12.75" hidden="false" customHeight="false" outlineLevel="0" collapsed="false">
      <c r="H252" s="109"/>
    </row>
    <row r="253" customFormat="false" ht="12.75" hidden="false" customHeight="false" outlineLevel="0" collapsed="false">
      <c r="H253" s="109"/>
    </row>
    <row r="254" customFormat="false" ht="12.75" hidden="false" customHeight="false" outlineLevel="0" collapsed="false">
      <c r="H254" s="109"/>
    </row>
    <row r="255" customFormat="false" ht="12.75" hidden="false" customHeight="false" outlineLevel="0" collapsed="false">
      <c r="H255" s="109"/>
    </row>
    <row r="256" customFormat="false" ht="12.75" hidden="false" customHeight="false" outlineLevel="0" collapsed="false">
      <c r="H256" s="109"/>
    </row>
    <row r="257" customFormat="false" ht="12.75" hidden="false" customHeight="false" outlineLevel="0" collapsed="false">
      <c r="H257" s="109"/>
    </row>
    <row r="258" customFormat="false" ht="12.75" hidden="false" customHeight="false" outlineLevel="0" collapsed="false">
      <c r="H258" s="109"/>
    </row>
    <row r="259" customFormat="false" ht="12.75" hidden="false" customHeight="false" outlineLevel="0" collapsed="false">
      <c r="H259" s="109"/>
    </row>
    <row r="260" customFormat="false" ht="12.75" hidden="false" customHeight="false" outlineLevel="0" collapsed="false">
      <c r="H260" s="109"/>
    </row>
    <row r="261" customFormat="false" ht="12.75" hidden="false" customHeight="false" outlineLevel="0" collapsed="false">
      <c r="H261" s="109"/>
    </row>
    <row r="262" customFormat="false" ht="12.75" hidden="false" customHeight="false" outlineLevel="0" collapsed="false">
      <c r="H262" s="109"/>
    </row>
    <row r="263" customFormat="false" ht="12.75" hidden="false" customHeight="false" outlineLevel="0" collapsed="false">
      <c r="H263" s="109"/>
    </row>
    <row r="264" customFormat="false" ht="12.75" hidden="false" customHeight="false" outlineLevel="0" collapsed="false">
      <c r="H264" s="109"/>
    </row>
    <row r="265" customFormat="false" ht="12.75" hidden="false" customHeight="false" outlineLevel="0" collapsed="false">
      <c r="H265" s="109"/>
    </row>
    <row r="266" customFormat="false" ht="12.75" hidden="false" customHeight="false" outlineLevel="0" collapsed="false">
      <c r="H266" s="109"/>
    </row>
    <row r="267" customFormat="false" ht="12.75" hidden="false" customHeight="false" outlineLevel="0" collapsed="false">
      <c r="H267" s="1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27" width="9.14"/>
    <col collapsed="false" customWidth="true" hidden="false" outlineLevel="0" max="2" min="2" style="0" width="16.28"/>
    <col collapsed="false" customWidth="true" hidden="false" outlineLevel="0" max="3" min="3" style="0" width="16.13"/>
    <col collapsed="false" customWidth="true" hidden="false" outlineLevel="0" max="4" min="4" style="0" width="12.85"/>
    <col collapsed="false" customWidth="true" hidden="false" outlineLevel="0" max="5" min="5" style="0" width="16.56"/>
    <col collapsed="false" customWidth="true" hidden="false" outlineLevel="0" max="9" min="9" style="0" width="15.28"/>
  </cols>
  <sheetData>
    <row r="1" customFormat="false" ht="12.75" hidden="false" customHeight="false" outlineLevel="0" collapsed="false">
      <c r="B1" s="127" t="s">
        <v>65</v>
      </c>
      <c r="C1" s="127" t="s">
        <v>28</v>
      </c>
      <c r="D1" s="127" t="s">
        <v>66</v>
      </c>
      <c r="E1" s="127" t="s">
        <v>29</v>
      </c>
      <c r="F1" s="127"/>
      <c r="G1" s="127" t="s">
        <v>67</v>
      </c>
      <c r="H1" s="127"/>
      <c r="I1" s="127" t="s">
        <v>68</v>
      </c>
    </row>
    <row r="2" customFormat="false" ht="12.75" hidden="false" customHeight="false" outlineLevel="0" collapsed="false">
      <c r="A2" s="42" t="n">
        <v>36647</v>
      </c>
      <c r="B2" s="128" t="n">
        <v>-0.005</v>
      </c>
      <c r="C2" s="128" t="n">
        <v>-0.005</v>
      </c>
      <c r="D2" s="128" t="n">
        <v>-0.025</v>
      </c>
      <c r="E2" s="128" t="n">
        <v>-0.005</v>
      </c>
    </row>
    <row r="3" customFormat="false" ht="12.75" hidden="false" customHeight="false" outlineLevel="0" collapsed="false">
      <c r="A3" s="42" t="n">
        <v>36678</v>
      </c>
      <c r="B3" s="128" t="n">
        <v>-0.005</v>
      </c>
      <c r="C3" s="128" t="n">
        <v>-0.005</v>
      </c>
      <c r="D3" s="128" t="n">
        <v>-0.02</v>
      </c>
      <c r="E3" s="128" t="n">
        <v>-0.005</v>
      </c>
    </row>
    <row r="4" customFormat="false" ht="12.75" hidden="false" customHeight="false" outlineLevel="0" collapsed="false">
      <c r="A4" s="42" t="n">
        <v>36708</v>
      </c>
      <c r="B4" s="128" t="n">
        <v>0</v>
      </c>
      <c r="C4" s="128" t="n">
        <v>0</v>
      </c>
      <c r="D4" s="128" t="n">
        <v>-0.0175</v>
      </c>
      <c r="E4" s="128" t="n">
        <v>-0.005</v>
      </c>
    </row>
    <row r="5" customFormat="false" ht="12.75" hidden="false" customHeight="false" outlineLevel="0" collapsed="false">
      <c r="A5" s="42" t="n">
        <v>36739</v>
      </c>
      <c r="B5" s="128" t="n">
        <v>0</v>
      </c>
      <c r="C5" s="128" t="n">
        <v>0</v>
      </c>
      <c r="D5" s="128" t="n">
        <v>-0.0175</v>
      </c>
      <c r="E5" s="128" t="n">
        <v>-0.005</v>
      </c>
    </row>
    <row r="6" customFormat="false" ht="12.75" hidden="false" customHeight="false" outlineLevel="0" collapsed="false">
      <c r="A6" s="42" t="n">
        <v>36770</v>
      </c>
      <c r="B6" s="128" t="n">
        <v>0</v>
      </c>
      <c r="C6" s="128" t="n">
        <v>0</v>
      </c>
      <c r="D6" s="128" t="n">
        <v>-0.02</v>
      </c>
      <c r="E6" s="128" t="n">
        <v>-0.005</v>
      </c>
    </row>
    <row r="7" customFormat="false" ht="12.75" hidden="false" customHeight="false" outlineLevel="0" collapsed="false">
      <c r="A7" s="42" t="n">
        <v>36800</v>
      </c>
      <c r="B7" s="128" t="n">
        <v>-0.005</v>
      </c>
      <c r="C7" s="128" t="n">
        <v>-0.005</v>
      </c>
      <c r="D7" s="128" t="n">
        <v>-0.025</v>
      </c>
      <c r="E7" s="128" t="n">
        <v>-0.005</v>
      </c>
    </row>
    <row r="8" customFormat="false" ht="12.75" hidden="false" customHeight="false" outlineLevel="0" collapsed="false">
      <c r="A8" s="42" t="n">
        <v>36831</v>
      </c>
      <c r="B8" s="128" t="n">
        <v>-0.005</v>
      </c>
      <c r="C8" s="128" t="n">
        <v>-0.005</v>
      </c>
      <c r="D8" s="128" t="n">
        <v>-0.03</v>
      </c>
      <c r="E8" s="128" t="n">
        <v>-0.005</v>
      </c>
    </row>
    <row r="9" customFormat="false" ht="12.75" hidden="false" customHeight="false" outlineLevel="0" collapsed="false">
      <c r="A9" s="42" t="n">
        <v>36861</v>
      </c>
      <c r="B9" s="128" t="n">
        <v>0</v>
      </c>
      <c r="C9" s="128" t="n">
        <v>0</v>
      </c>
      <c r="D9" s="128" t="n">
        <v>-0.035</v>
      </c>
      <c r="E9" s="128" t="n">
        <v>-0.005</v>
      </c>
    </row>
    <row r="10" customFormat="false" ht="12.75" hidden="false" customHeight="false" outlineLevel="0" collapsed="false">
      <c r="A10" s="42" t="n">
        <v>36892</v>
      </c>
      <c r="B10" s="128" t="n">
        <v>0</v>
      </c>
      <c r="C10" s="128" t="n">
        <v>0</v>
      </c>
      <c r="D10" s="128" t="n">
        <v>-0.035</v>
      </c>
      <c r="E10" s="128" t="n">
        <v>-0.005</v>
      </c>
    </row>
    <row r="11" customFormat="false" ht="12.75" hidden="false" customHeight="false" outlineLevel="0" collapsed="false">
      <c r="A11" s="42" t="n">
        <v>36923</v>
      </c>
      <c r="B11" s="128" t="n">
        <v>0</v>
      </c>
      <c r="C11" s="128" t="n">
        <v>0</v>
      </c>
      <c r="D11" s="128" t="n">
        <v>-0.035</v>
      </c>
      <c r="E11" s="128" t="n">
        <v>-0.005</v>
      </c>
    </row>
    <row r="12" customFormat="false" ht="12.75" hidden="false" customHeight="false" outlineLevel="0" collapsed="false">
      <c r="A12" s="42" t="n">
        <v>36951</v>
      </c>
      <c r="B12" s="128" t="n">
        <v>0</v>
      </c>
      <c r="C12" s="128" t="n">
        <v>0</v>
      </c>
      <c r="D12" s="128" t="n">
        <v>-0.035</v>
      </c>
      <c r="E12" s="128" t="n">
        <v>-0.005</v>
      </c>
    </row>
    <row r="13" customFormat="false" ht="12.75" hidden="false" customHeight="false" outlineLevel="0" collapsed="false">
      <c r="A13" s="42" t="n">
        <v>36982</v>
      </c>
      <c r="B13" s="128" t="n">
        <v>-0.005</v>
      </c>
      <c r="C13" s="128" t="n">
        <v>-0.005</v>
      </c>
      <c r="D13" s="128" t="n">
        <v>-0.03</v>
      </c>
      <c r="E13" s="128" t="n">
        <v>-0.005</v>
      </c>
    </row>
    <row r="14" customFormat="false" ht="12.75" hidden="false" customHeight="false" outlineLevel="0" collapsed="false">
      <c r="A14" s="42" t="n">
        <v>37012</v>
      </c>
      <c r="B14" s="128" t="n">
        <v>-0.005</v>
      </c>
      <c r="C14" s="128" t="n">
        <v>-0.005</v>
      </c>
      <c r="D14" s="128" t="n">
        <v>-0.025</v>
      </c>
      <c r="E14" s="128" t="n">
        <v>-0.005</v>
      </c>
    </row>
    <row r="15" customFormat="false" ht="12.75" hidden="false" customHeight="false" outlineLevel="0" collapsed="false">
      <c r="A15" s="42" t="n">
        <v>37043</v>
      </c>
      <c r="B15" s="128" t="n">
        <v>-0.005</v>
      </c>
      <c r="C15" s="128" t="n">
        <v>-0.005</v>
      </c>
      <c r="D15" s="128" t="n">
        <v>-0.02</v>
      </c>
      <c r="E15" s="128" t="n">
        <v>-0.005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4: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2.99"/>
    <col collapsed="false" customWidth="true" hidden="false" outlineLevel="0" max="3" min="3" style="0" width="9.85"/>
    <col collapsed="false" customWidth="true" hidden="false" outlineLevel="0" max="4" min="4" style="0" width="11.85"/>
    <col collapsed="false" customWidth="true" hidden="false" outlineLevel="0" max="5" min="5" style="0" width="21.99"/>
  </cols>
  <sheetData>
    <row r="2" customFormat="false" ht="12.75" hidden="false" customHeight="false" outlineLevel="0" collapsed="false">
      <c r="A2" s="129" t="s">
        <v>69</v>
      </c>
      <c r="B2" s="129" t="s">
        <v>70</v>
      </c>
      <c r="C2" s="129" t="s">
        <v>71</v>
      </c>
      <c r="D2" s="129" t="s">
        <v>72</v>
      </c>
      <c r="E2" s="129" t="s">
        <v>73</v>
      </c>
    </row>
    <row r="3" customFormat="false" ht="12.75" hidden="false" customHeight="false" outlineLevel="0" collapsed="false">
      <c r="A3" s="129"/>
      <c r="B3" s="129"/>
      <c r="C3" s="129"/>
      <c r="D3" s="129"/>
      <c r="E3" s="129"/>
    </row>
    <row r="4" customFormat="false" ht="12.75" hidden="false" customHeight="false" outlineLevel="0" collapsed="false">
      <c r="A4" s="38" t="s">
        <v>74</v>
      </c>
      <c r="B4" s="38" t="n">
        <v>1412</v>
      </c>
      <c r="C4" s="38" t="n">
        <v>6</v>
      </c>
      <c r="D4" s="38" t="s">
        <v>75</v>
      </c>
      <c r="E4" s="38" t="s">
        <v>76</v>
      </c>
    </row>
    <row r="5" customFormat="false" ht="12.75" hidden="false" customHeight="false" outlineLevel="0" collapsed="false">
      <c r="A5" s="38" t="s">
        <v>77</v>
      </c>
      <c r="B5" s="38" t="n">
        <v>1401</v>
      </c>
      <c r="C5" s="38" t="n">
        <v>4</v>
      </c>
      <c r="D5" s="38" t="s">
        <v>78</v>
      </c>
      <c r="E5" s="38" t="s">
        <v>76</v>
      </c>
    </row>
    <row r="6" customFormat="false" ht="12.75" hidden="false" customHeight="false" outlineLevel="0" collapsed="false">
      <c r="A6" s="38" t="s">
        <v>79</v>
      </c>
      <c r="B6" s="38" t="n">
        <v>1480</v>
      </c>
      <c r="C6" s="38" t="n">
        <v>16</v>
      </c>
      <c r="D6" s="38" t="s">
        <v>80</v>
      </c>
      <c r="E6" s="38" t="s">
        <v>67</v>
      </c>
    </row>
    <row r="7" customFormat="false" ht="12.75" hidden="false" customHeight="false" outlineLevel="0" collapsed="false">
      <c r="A7" s="38" t="s">
        <v>81</v>
      </c>
      <c r="B7" s="38" t="n">
        <v>1393</v>
      </c>
      <c r="C7" s="38" t="n">
        <v>17</v>
      </c>
      <c r="D7" s="38" t="s">
        <v>82</v>
      </c>
      <c r="E7" s="38" t="s">
        <v>67</v>
      </c>
    </row>
    <row r="8" customFormat="false" ht="12.75" hidden="false" customHeight="false" outlineLevel="0" collapsed="false">
      <c r="A8" s="38" t="s">
        <v>83</v>
      </c>
      <c r="B8" s="38" t="n">
        <v>1396</v>
      </c>
      <c r="C8" s="38" t="n">
        <v>10</v>
      </c>
      <c r="D8" s="38" t="s">
        <v>84</v>
      </c>
      <c r="E8" s="38" t="s">
        <v>67</v>
      </c>
    </row>
    <row r="9" customFormat="false" ht="12.75" hidden="false" customHeight="false" outlineLevel="0" collapsed="false">
      <c r="A9" s="38"/>
      <c r="B9" s="38"/>
      <c r="C9" s="38"/>
      <c r="D9" s="38"/>
      <c r="E9" s="38"/>
    </row>
    <row r="16" customFormat="false" ht="12.75" hidden="false" customHeight="false" outlineLevel="0" collapsed="false">
      <c r="A16" s="130"/>
      <c r="B16" s="131"/>
      <c r="C16" s="38"/>
      <c r="D16" s="38"/>
      <c r="E16" s="38"/>
    </row>
    <row r="17" customFormat="false" ht="12.75" hidden="false" customHeight="false" outlineLevel="0" collapsed="false">
      <c r="A17" s="130"/>
      <c r="B17" s="131"/>
      <c r="C17" s="38"/>
      <c r="D17" s="38"/>
      <c r="E17" s="38"/>
    </row>
    <row r="18" customFormat="false" ht="12.75" hidden="false" customHeight="false" outlineLevel="0" collapsed="false">
      <c r="A18" s="130"/>
      <c r="B18" s="131"/>
      <c r="C18" s="38"/>
      <c r="D18" s="38"/>
      <c r="E18" s="38"/>
    </row>
    <row r="19" customFormat="false" ht="12.75" hidden="false" customHeight="false" outlineLevel="0" collapsed="false">
      <c r="A19" s="130"/>
      <c r="B19" s="131"/>
      <c r="C19" s="38"/>
      <c r="D19" s="38"/>
      <c r="E19" s="38"/>
    </row>
    <row r="20" customFormat="false" ht="12.75" hidden="false" customHeight="false" outlineLevel="0" collapsed="false">
      <c r="A20" s="130"/>
      <c r="B20" s="131"/>
      <c r="C20" s="38"/>
      <c r="D20" s="38"/>
      <c r="E20" s="38"/>
    </row>
    <row r="21" customFormat="false" ht="12.75" hidden="false" customHeight="false" outlineLevel="0" collapsed="false">
      <c r="A21" s="130"/>
      <c r="B21" s="131"/>
      <c r="C21" s="38"/>
      <c r="D21" s="38"/>
      <c r="E21" s="38"/>
    </row>
    <row r="22" customFormat="false" ht="12.75" hidden="false" customHeight="false" outlineLevel="0" collapsed="false">
      <c r="A22" s="130"/>
      <c r="B22" s="131"/>
      <c r="C22" s="38"/>
      <c r="D22" s="38"/>
      <c r="E22" s="38"/>
    </row>
    <row r="23" customFormat="false" ht="12.75" hidden="false" customHeight="false" outlineLevel="0" collapsed="false">
      <c r="A23" s="130"/>
      <c r="B23" s="131"/>
      <c r="C23" s="38"/>
      <c r="D23" s="38"/>
      <c r="E23" s="38"/>
    </row>
    <row r="24" customFormat="false" ht="12.75" hidden="false" customHeight="false" outlineLevel="0" collapsed="false">
      <c r="A24" s="130"/>
      <c r="B24" s="131"/>
      <c r="C24" s="38"/>
      <c r="D24" s="38"/>
      <c r="E24" s="38"/>
    </row>
    <row r="25" customFormat="false" ht="12.75" hidden="false" customHeight="false" outlineLevel="0" collapsed="false">
      <c r="A25" s="130"/>
      <c r="B25" s="131"/>
      <c r="C25" s="38"/>
      <c r="D25" s="38"/>
      <c r="E25" s="38"/>
    </row>
    <row r="26" customFormat="false" ht="12.75" hidden="false" customHeight="false" outlineLevel="0" collapsed="false">
      <c r="A26" s="130"/>
      <c r="B26" s="131"/>
      <c r="C26" s="38"/>
      <c r="D26" s="38"/>
      <c r="E26" s="38"/>
    </row>
    <row r="27" customFormat="false" ht="12.75" hidden="false" customHeight="false" outlineLevel="0" collapsed="false">
      <c r="A27" s="130"/>
      <c r="B27" s="131"/>
      <c r="C27" s="38"/>
      <c r="D27" s="38"/>
      <c r="E27" s="38"/>
    </row>
    <row r="28" customFormat="false" ht="12.75" hidden="false" customHeight="false" outlineLevel="0" collapsed="false">
      <c r="A28" s="130"/>
      <c r="B28" s="131"/>
      <c r="C28" s="38"/>
      <c r="D28" s="38"/>
      <c r="E28" s="38"/>
    </row>
    <row r="29" customFormat="false" ht="12.75" hidden="false" customHeight="false" outlineLevel="0" collapsed="false">
      <c r="A29" s="130"/>
      <c r="B29" s="131"/>
      <c r="C29" s="38"/>
      <c r="D29" s="38"/>
      <c r="E29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13.99"/>
    <col collapsed="false" customWidth="true" hidden="false" outlineLevel="0" max="2" min="2" style="132" width="11.28"/>
    <col collapsed="false" customWidth="true" hidden="false" outlineLevel="0" max="3" min="3" style="132" width="13.28"/>
    <col collapsed="false" customWidth="true" hidden="false" outlineLevel="0" max="4" min="4" style="132" width="14.56"/>
    <col collapsed="false" customWidth="true" hidden="false" outlineLevel="0" max="5" min="5" style="132" width="15.85"/>
    <col collapsed="false" customWidth="true" hidden="false" outlineLevel="0" max="7" min="6" style="132" width="14.56"/>
    <col collapsed="false" customWidth="true" hidden="false" outlineLevel="0" max="8" min="8" style="132" width="14.41"/>
    <col collapsed="false" customWidth="true" hidden="false" outlineLevel="0" max="11" min="9" style="132" width="14.56"/>
    <col collapsed="false" customWidth="true" hidden="false" outlineLevel="0" max="12" min="12" style="132" width="12.85"/>
    <col collapsed="false" customWidth="true" hidden="false" outlineLevel="0" max="13" min="13" style="132" width="13.7"/>
    <col collapsed="false" customWidth="true" hidden="false" outlineLevel="0" max="14" min="14" style="132" width="12.56"/>
    <col collapsed="false" customWidth="true" hidden="false" outlineLevel="0" max="15" min="15" style="132" width="17.99"/>
    <col collapsed="false" customWidth="true" hidden="false" outlineLevel="0" max="16" min="16" style="132" width="14.56"/>
    <col collapsed="false" customWidth="true" hidden="false" outlineLevel="0" max="20" min="17" style="132" width="17.99"/>
    <col collapsed="false" customWidth="true" hidden="false" outlineLevel="0" max="21" min="21" style="132" width="9.85"/>
    <col collapsed="false" customWidth="true" hidden="false" outlineLevel="0" max="22" min="22" style="132" width="17.99"/>
    <col collapsed="false" customWidth="true" hidden="false" outlineLevel="0" max="23" min="23" style="132" width="15.41"/>
    <col collapsed="false" customWidth="true" hidden="false" outlineLevel="0" max="24" min="24" style="132" width="14.7"/>
    <col collapsed="false" customWidth="false" hidden="false" outlineLevel="0" max="25" min="25" style="132" width="9.14"/>
    <col collapsed="false" customWidth="true" hidden="false" outlineLevel="0" max="26" min="26" style="132" width="10.41"/>
    <col collapsed="false" customWidth="false" hidden="false" outlineLevel="0" max="27" min="27" style="132" width="9.14"/>
    <col collapsed="false" customWidth="true" hidden="false" outlineLevel="0" max="28" min="28" style="132" width="10.85"/>
    <col collapsed="false" customWidth="false" hidden="false" outlineLevel="0" max="257" min="29" style="132" width="9.14"/>
  </cols>
  <sheetData>
    <row r="1" customFormat="false" ht="12.75" hidden="false" customHeight="false" outlineLevel="0" collapsed="false">
      <c r="A1" s="133" t="s">
        <v>85</v>
      </c>
      <c r="B1" s="134" t="n">
        <f aca="true">TODAY()</f>
        <v>45926</v>
      </c>
      <c r="E1" s="135" t="s">
        <v>86</v>
      </c>
      <c r="F1" s="136" t="n">
        <v>0</v>
      </c>
      <c r="G1" s="137" t="s">
        <v>2</v>
      </c>
      <c r="H1" s="136" t="n">
        <v>0.0445559403127615</v>
      </c>
      <c r="P1" s="138" t="s">
        <v>87</v>
      </c>
      <c r="Q1" s="139" t="n">
        <v>0.04</v>
      </c>
      <c r="R1" s="139" t="n">
        <v>0.035</v>
      </c>
    </row>
    <row r="2" customFormat="false" ht="12.75" hidden="false" customHeight="false" outlineLevel="0" collapsed="false">
      <c r="E2" s="135" t="s">
        <v>88</v>
      </c>
      <c r="F2" s="136" t="n">
        <v>-0.005</v>
      </c>
      <c r="G2" s="140"/>
    </row>
    <row r="3" customFormat="false" ht="12.75" hidden="false" customHeight="false" outlineLevel="0" collapsed="false">
      <c r="F3" s="141"/>
      <c r="G3" s="141"/>
      <c r="H3" s="141"/>
      <c r="I3" s="141"/>
      <c r="J3" s="140"/>
      <c r="K3" s="140"/>
    </row>
    <row r="4" customFormat="false" ht="12.75" hidden="false" customHeight="true" outlineLevel="0" collapsed="false">
      <c r="A4" s="142"/>
      <c r="B4" s="143"/>
      <c r="C4" s="143"/>
      <c r="D4" s="144" t="s">
        <v>89</v>
      </c>
      <c r="E4" s="144"/>
      <c r="F4" s="144"/>
      <c r="G4" s="144" t="s">
        <v>90</v>
      </c>
      <c r="H4" s="144"/>
      <c r="I4" s="144"/>
      <c r="J4" s="144" t="s">
        <v>91</v>
      </c>
      <c r="K4" s="144"/>
      <c r="L4" s="143"/>
      <c r="M4" s="144" t="s">
        <v>92</v>
      </c>
      <c r="N4" s="144"/>
      <c r="O4" s="144"/>
      <c r="P4" s="144" t="s">
        <v>93</v>
      </c>
      <c r="Q4" s="144"/>
      <c r="R4" s="144" t="s">
        <v>94</v>
      </c>
      <c r="S4" s="144" t="s">
        <v>95</v>
      </c>
      <c r="T4" s="144"/>
      <c r="U4" s="144"/>
      <c r="V4" s="144"/>
      <c r="W4" s="143"/>
      <c r="X4" s="145"/>
      <c r="Z4" s="146" t="s">
        <v>96</v>
      </c>
      <c r="AA4" s="146"/>
      <c r="AB4" s="146"/>
      <c r="AC4" s="146"/>
      <c r="AD4" s="146"/>
    </row>
    <row r="5" customFormat="false" ht="25.5" hidden="false" customHeight="false" outlineLevel="0" collapsed="false">
      <c r="A5" s="147" t="s">
        <v>3</v>
      </c>
      <c r="B5" s="148" t="s">
        <v>5</v>
      </c>
      <c r="C5" s="148" t="s">
        <v>6</v>
      </c>
      <c r="D5" s="148" t="s">
        <v>97</v>
      </c>
      <c r="E5" s="148" t="s">
        <v>67</v>
      </c>
      <c r="F5" s="148" t="s">
        <v>98</v>
      </c>
      <c r="G5" s="148" t="str">
        <f aca="false">+D5</f>
        <v>IF-A/S EAST OFFER</v>
      </c>
      <c r="H5" s="148" t="str">
        <f aca="false">+E5</f>
        <v>HSC</v>
      </c>
      <c r="I5" s="148" t="s">
        <v>98</v>
      </c>
      <c r="J5" s="148" t="str">
        <f aca="false">+D5</f>
        <v>IF-A/S EAST OFFER</v>
      </c>
      <c r="K5" s="148" t="str">
        <f aca="false">+E5</f>
        <v>HSC</v>
      </c>
      <c r="L5" s="148" t="s">
        <v>99</v>
      </c>
      <c r="M5" s="148" t="str">
        <f aca="false">+D5</f>
        <v>IF-A/S EAST OFFER</v>
      </c>
      <c r="N5" s="148" t="str">
        <f aca="false">+E5</f>
        <v>HSC</v>
      </c>
      <c r="O5" s="148" t="s">
        <v>98</v>
      </c>
      <c r="P5" s="148" t="s">
        <v>100</v>
      </c>
      <c r="Q5" s="148" t="s">
        <v>101</v>
      </c>
      <c r="R5" s="148" t="s">
        <v>101</v>
      </c>
      <c r="S5" s="148" t="s">
        <v>102</v>
      </c>
      <c r="T5" s="148" t="s">
        <v>103</v>
      </c>
      <c r="U5" s="148" t="s">
        <v>104</v>
      </c>
      <c r="V5" s="148" t="s">
        <v>101</v>
      </c>
      <c r="W5" s="148" t="s">
        <v>105</v>
      </c>
      <c r="X5" s="149" t="s">
        <v>106</v>
      </c>
      <c r="Y5" s="150"/>
      <c r="Z5" s="151" t="s">
        <v>107</v>
      </c>
      <c r="AA5" s="152" t="s">
        <v>93</v>
      </c>
      <c r="AB5" s="152" t="s">
        <v>108</v>
      </c>
      <c r="AC5" s="152" t="s">
        <v>94</v>
      </c>
      <c r="AD5" s="153" t="s">
        <v>109</v>
      </c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</row>
    <row r="6" customFormat="false" ht="12.75" hidden="false" customHeight="false" outlineLevel="0" collapsed="false">
      <c r="A6" s="154"/>
      <c r="B6" s="154"/>
      <c r="L6" s="155"/>
      <c r="P6" s="156"/>
      <c r="Z6" s="157" t="e">
        <f aca="false">+$AD$6-SUM($AA$6:AC6)</f>
        <v>#NAME?</v>
      </c>
      <c r="AA6" s="158" t="n">
        <f aca="false">+$Q$13/$I$13</f>
        <v>0.0128296019785387</v>
      </c>
      <c r="AB6" s="158" t="e">
        <f aca="false">+$V$13/$I$13</f>
        <v>#NAME?</v>
      </c>
      <c r="AC6" s="158" t="n">
        <f aca="false">+$R$1</f>
        <v>0.035</v>
      </c>
      <c r="AD6" s="159" t="n">
        <f aca="false">+$H$1</f>
        <v>0.0445559403127615</v>
      </c>
    </row>
    <row r="7" customFormat="false" ht="15" hidden="false" customHeight="false" outlineLevel="0" collapsed="false">
      <c r="A7" s="160" t="n">
        <v>36647</v>
      </c>
      <c r="B7" s="161" t="n">
        <f aca="false">+'GD Options'!M5</f>
        <v>0.061739896749392</v>
      </c>
      <c r="C7" s="162" t="n">
        <f aca="false">1/((1+B7/2)^(2*(A7-$B$1)/365.25))</f>
        <v>4.68679942932618</v>
      </c>
      <c r="D7" s="163" t="n">
        <f aca="false">-'Deal Volumes'!J22</f>
        <v>-2043336.63573459</v>
      </c>
      <c r="E7" s="164" t="n">
        <f aca="false">-'Deal Volumes'!K22</f>
        <v>-281663.364265408</v>
      </c>
      <c r="F7" s="165" t="n">
        <f aca="false">+D7+E7</f>
        <v>-2325000</v>
      </c>
      <c r="G7" s="163" t="n">
        <f aca="false">+D7*$C7</f>
        <v>-9576708.97828216</v>
      </c>
      <c r="H7" s="164" t="n">
        <f aca="false">+E7*$C7</f>
        <v>-1320099.69490121</v>
      </c>
      <c r="I7" s="165" t="n">
        <f aca="false">SUM(G7:H7)</f>
        <v>-10896808.6731834</v>
      </c>
      <c r="J7" s="166" t="n">
        <f aca="false">+Curves!C2</f>
        <v>-0.005</v>
      </c>
      <c r="K7" s="167" t="n">
        <f aca="false">+Curves!E2</f>
        <v>-0.005</v>
      </c>
      <c r="L7" s="168" t="n">
        <f aca="false">+G7*(J7-$H$1)+H7*(K7-$H$1)</f>
        <v>540001.600207857</v>
      </c>
      <c r="M7" s="169" t="n">
        <f aca="false">-G7*(J7-$F$1)</f>
        <v>-47883.5448914108</v>
      </c>
      <c r="N7" s="170" t="n">
        <f aca="false">-H7*(K7-$F$2)</f>
        <v>0</v>
      </c>
      <c r="O7" s="169" t="n">
        <f aca="false">SUM(M7:N7)</f>
        <v>-47883.5448914108</v>
      </c>
      <c r="P7" s="171" t="n">
        <f aca="false">-'Deal Volumes'!C22*C7</f>
        <v>-3495042.95283077</v>
      </c>
      <c r="Q7" s="172" t="n">
        <f aca="false">+P7*$Q$1</f>
        <v>-139801.718113231</v>
      </c>
      <c r="R7" s="165" t="n">
        <f aca="false">+$R$1*I7</f>
        <v>-381388.303561418</v>
      </c>
      <c r="S7" s="173" t="n">
        <f aca="false">+'GD Options'!B21</f>
        <v>-116250</v>
      </c>
      <c r="T7" s="174" t="n">
        <f aca="false">+'GD Options'!B5</f>
        <v>-116250</v>
      </c>
      <c r="U7" s="175" t="e">
        <f aca="false">+'GD Options'!T5</f>
        <v>#NAME?</v>
      </c>
      <c r="V7" s="176" t="e">
        <f aca="false">+(S7+T7)*U7</f>
        <v>#NAME?</v>
      </c>
      <c r="W7" s="177" t="e">
        <f aca="false">+O7+R7+V7</f>
        <v>#NAME?</v>
      </c>
      <c r="X7" s="178" t="e">
        <f aca="false">+L7+W7</f>
        <v>#NAME?</v>
      </c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</row>
    <row r="8" customFormat="false" ht="15" hidden="false" customHeight="false" outlineLevel="0" collapsed="false">
      <c r="A8" s="160" t="n">
        <v>36678</v>
      </c>
      <c r="B8" s="179" t="n">
        <f aca="false">+'GD Options'!M6</f>
        <v>0.062588347760124</v>
      </c>
      <c r="C8" s="180" t="n">
        <f aca="false">1/((1+B8/2)^(2*(A8-$B$1)/365.25))</f>
        <v>4.76083937441728</v>
      </c>
      <c r="D8" s="181" t="n">
        <f aca="false">-'Deal Volumes'!J23</f>
        <v>-1977422.5507109</v>
      </c>
      <c r="E8" s="182" t="n">
        <f aca="false">-'Deal Volumes'!K23</f>
        <v>-272577.449289105</v>
      </c>
      <c r="F8" s="183" t="n">
        <f aca="false">+D8+E8</f>
        <v>-2250000</v>
      </c>
      <c r="G8" s="181" t="n">
        <f aca="false">+D8*$C8</f>
        <v>-9414191.13928507</v>
      </c>
      <c r="H8" s="182" t="n">
        <f aca="false">+E8*$C8</f>
        <v>-1297697.4531538</v>
      </c>
      <c r="I8" s="183" t="n">
        <f aca="false">SUM(G8:H8)</f>
        <v>-10711888.5924389</v>
      </c>
      <c r="J8" s="184" t="n">
        <f aca="false">+Curves!C3</f>
        <v>-0.005</v>
      </c>
      <c r="K8" s="185" t="n">
        <f aca="false">+Curves!E3</f>
        <v>-0.005</v>
      </c>
      <c r="L8" s="186" t="n">
        <f aca="false">+G8*(J8-$H$1)+H8*(K8-$H$1)</f>
        <v>530837.711723852</v>
      </c>
      <c r="M8" s="187" t="n">
        <f aca="false">-G8*(J8-$F$1)</f>
        <v>-47070.9556964254</v>
      </c>
      <c r="N8" s="188" t="n">
        <f aca="false">-H8*(K8-$F$2)</f>
        <v>0</v>
      </c>
      <c r="O8" s="187" t="n">
        <f aca="false">SUM(M8:N8)</f>
        <v>-47070.9556964254</v>
      </c>
      <c r="P8" s="189" t="n">
        <f aca="false">-'Deal Volumes'!C23*C8</f>
        <v>-3435731.67698599</v>
      </c>
      <c r="Q8" s="190" t="n">
        <f aca="false">+P8*$Q$1</f>
        <v>-137429.26707944</v>
      </c>
      <c r="R8" s="183" t="n">
        <f aca="false">+$R$1*I8</f>
        <v>-374916.100735361</v>
      </c>
      <c r="S8" s="191" t="n">
        <f aca="false">+'GD Options'!B22</f>
        <v>-112500</v>
      </c>
      <c r="T8" s="192" t="n">
        <f aca="false">+'GD Options'!B6</f>
        <v>-112500</v>
      </c>
      <c r="U8" s="193" t="e">
        <f aca="false">+'GD Options'!T6</f>
        <v>#NAME?</v>
      </c>
      <c r="V8" s="194" t="e">
        <f aca="false">+(S8+T8)*U8</f>
        <v>#NAME?</v>
      </c>
      <c r="W8" s="195" t="e">
        <f aca="false">+O8+R8+V8</f>
        <v>#NAME?</v>
      </c>
      <c r="X8" s="196" t="e">
        <f aca="false">+L8+W8</f>
        <v>#NAME?</v>
      </c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</row>
    <row r="9" customFormat="false" ht="15" hidden="false" customHeight="false" outlineLevel="0" collapsed="false">
      <c r="A9" s="160" t="n">
        <v>36708</v>
      </c>
      <c r="B9" s="179" t="n">
        <f aca="false">+'GD Options'!M7</f>
        <v>0.063435677173907</v>
      </c>
      <c r="C9" s="180" t="n">
        <f aca="false">1/((1+B9/2)^(2*(A9-$B$1)/365.25))</f>
        <v>4.83602636848189</v>
      </c>
      <c r="D9" s="181" t="n">
        <f aca="false">-'Deal Volumes'!J24</f>
        <v>-2724448.84764612</v>
      </c>
      <c r="E9" s="182" t="n">
        <f aca="false">-'Deal Volumes'!K24</f>
        <v>-375551.152353878</v>
      </c>
      <c r="F9" s="183" t="n">
        <f aca="false">+D9+E9</f>
        <v>-3100000</v>
      </c>
      <c r="G9" s="181" t="n">
        <f aca="false">+D9*$C9</f>
        <v>-13175506.4667967</v>
      </c>
      <c r="H9" s="182" t="n">
        <f aca="false">+E9*$C9</f>
        <v>-1816175.27549711</v>
      </c>
      <c r="I9" s="183" t="n">
        <f aca="false">SUM(G9:H9)</f>
        <v>-14991681.7422939</v>
      </c>
      <c r="J9" s="184" t="n">
        <f aca="false">+Curves!C4</f>
        <v>0</v>
      </c>
      <c r="K9" s="185" t="n">
        <f aca="false">+Curves!E4</f>
        <v>-0.005</v>
      </c>
      <c r="L9" s="186" t="n">
        <f aca="false">+G9*(J9-$H$1)+H9*(K9-$H$1)</f>
        <v>677049.353275048</v>
      </c>
      <c r="M9" s="187" t="n">
        <f aca="false">-G9*(J9-$F$1)</f>
        <v>0</v>
      </c>
      <c r="N9" s="188" t="n">
        <f aca="false">-H9*(K9-$F$2)</f>
        <v>0</v>
      </c>
      <c r="O9" s="187" t="n">
        <f aca="false">SUM(M9:N9)</f>
        <v>0</v>
      </c>
      <c r="P9" s="189" t="n">
        <f aca="false">-'Deal Volumes'!C24*C9</f>
        <v>-4808432.74356389</v>
      </c>
      <c r="Q9" s="190" t="n">
        <f aca="false">+P9*$Q$1</f>
        <v>-192337.309742556</v>
      </c>
      <c r="R9" s="183" t="n">
        <f aca="false">+$R$1*I9</f>
        <v>-524708.860980285</v>
      </c>
      <c r="S9" s="191" t="n">
        <f aca="false">+'GD Options'!B23</f>
        <v>-155000</v>
      </c>
      <c r="T9" s="192" t="n">
        <f aca="false">+'GD Options'!B7</f>
        <v>-155000</v>
      </c>
      <c r="U9" s="193" t="e">
        <f aca="false">+'GD Options'!T7</f>
        <v>#NAME?</v>
      </c>
      <c r="V9" s="194" t="e">
        <f aca="false">+(S9+T9)*U9</f>
        <v>#NAME?</v>
      </c>
      <c r="W9" s="195" t="e">
        <f aca="false">+O9+R9+V9</f>
        <v>#NAME?</v>
      </c>
      <c r="X9" s="196" t="e">
        <f aca="false">+L9+W9</f>
        <v>#NAME?</v>
      </c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" hidden="false" customHeight="false" outlineLevel="0" collapsed="false">
      <c r="A10" s="160" t="n">
        <v>36739</v>
      </c>
      <c r="B10" s="179" t="n">
        <f aca="false">+'GD Options'!M8</f>
        <v>0.064112455868493</v>
      </c>
      <c r="C10" s="180" t="n">
        <f aca="false">1/((1+B10/2)^(2*(A10-$B$1)/365.25))</f>
        <v>4.89047649718721</v>
      </c>
      <c r="D10" s="181" t="n">
        <f aca="false">-'Deal Volumes'!J25</f>
        <v>-2724448.84764612</v>
      </c>
      <c r="E10" s="182" t="n">
        <f aca="false">-'Deal Volumes'!K25</f>
        <v>-375551.152353878</v>
      </c>
      <c r="F10" s="183" t="n">
        <f aca="false">+D10+E10</f>
        <v>-3100000</v>
      </c>
      <c r="G10" s="181" t="n">
        <f aca="false">+D10*$C10</f>
        <v>-13323853.0572022</v>
      </c>
      <c r="H10" s="182" t="n">
        <f aca="false">+E10*$C10</f>
        <v>-1836624.08407821</v>
      </c>
      <c r="I10" s="183" t="n">
        <f aca="false">SUM(G10:H10)</f>
        <v>-15160477.1412804</v>
      </c>
      <c r="J10" s="184" t="n">
        <f aca="false">+Curves!C5</f>
        <v>0</v>
      </c>
      <c r="K10" s="185" t="n">
        <f aca="false">+Curves!E5</f>
        <v>-0.005</v>
      </c>
      <c r="L10" s="186" t="n">
        <f aca="false">+G10*(J10-$H$1)+H10*(K10-$H$1)</f>
        <v>684672.435040265</v>
      </c>
      <c r="M10" s="187" t="n">
        <f aca="false">-G10*(J10-$F$1)</f>
        <v>0</v>
      </c>
      <c r="N10" s="188" t="n">
        <f aca="false">-H10*(K10-$F$2)</f>
        <v>0</v>
      </c>
      <c r="O10" s="187" t="n">
        <f aca="false">SUM(M10:N10)</f>
        <v>0</v>
      </c>
      <c r="P10" s="189" t="n">
        <f aca="false">-'Deal Volumes'!C25*C10</f>
        <v>-4862572.18818403</v>
      </c>
      <c r="Q10" s="190" t="n">
        <f aca="false">+P10*$Q$1</f>
        <v>-194502.887527361</v>
      </c>
      <c r="R10" s="183" t="n">
        <f aca="false">+$R$1*I10</f>
        <v>-530616.699944813</v>
      </c>
      <c r="S10" s="191" t="n">
        <f aca="false">+'GD Options'!B24</f>
        <v>-155000</v>
      </c>
      <c r="T10" s="192" t="n">
        <f aca="false">+'GD Options'!B8</f>
        <v>-155000</v>
      </c>
      <c r="U10" s="193" t="e">
        <f aca="false">+'GD Options'!T8</f>
        <v>#NAME?</v>
      </c>
      <c r="V10" s="194" t="e">
        <f aca="false">+(S10+T10)*U10</f>
        <v>#NAME?</v>
      </c>
      <c r="W10" s="195" t="e">
        <f aca="false">+O10+R10+V10</f>
        <v>#NAME?</v>
      </c>
      <c r="X10" s="196" t="e">
        <f aca="false">+L10+W10</f>
        <v>#NAME?</v>
      </c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</row>
    <row r="11" customFormat="false" ht="15" hidden="false" customHeight="false" outlineLevel="0" collapsed="false">
      <c r="A11" s="160" t="n">
        <v>36770</v>
      </c>
      <c r="B11" s="197" t="n">
        <f aca="false">+'GD Options'!M9</f>
        <v>0.064789234714962</v>
      </c>
      <c r="C11" s="198" t="n">
        <f aca="false">1/((1+B11/2)^(2*(A11-$B$1)/365.25))</f>
        <v>4.94496249936633</v>
      </c>
      <c r="D11" s="199" t="n">
        <f aca="false">-'Deal Volumes'!J26</f>
        <v>-2636563.40094786</v>
      </c>
      <c r="E11" s="200" t="n">
        <f aca="false">-'Deal Volumes'!K26</f>
        <v>-363436.59905214</v>
      </c>
      <c r="F11" s="201" t="n">
        <f aca="false">+D11+E11</f>
        <v>-3000000</v>
      </c>
      <c r="G11" s="199" t="n">
        <f aca="false">+D11*$C11</f>
        <v>-13037707.1448889</v>
      </c>
      <c r="H11" s="200" t="n">
        <f aca="false">+E11*$C11</f>
        <v>-1797180.35321007</v>
      </c>
      <c r="I11" s="201" t="n">
        <f aca="false">SUM(G11:H11)</f>
        <v>-14834887.498099</v>
      </c>
      <c r="J11" s="202" t="n">
        <f aca="false">+Curves!C6</f>
        <v>0</v>
      </c>
      <c r="K11" s="203" t="n">
        <f aca="false">+Curves!E6</f>
        <v>-0.005</v>
      </c>
      <c r="L11" s="204" t="n">
        <f aca="false">+G11*(J11-$H$1)+H11*(K11-$H$1)</f>
        <v>669968.263677882</v>
      </c>
      <c r="M11" s="205" t="n">
        <f aca="false">-G11*(J11-$F$1)</f>
        <v>0</v>
      </c>
      <c r="N11" s="206" t="n">
        <f aca="false">-H11*(K11-$F$2)</f>
        <v>0</v>
      </c>
      <c r="O11" s="205" t="n">
        <f aca="false">SUM(M11:N11)</f>
        <v>0</v>
      </c>
      <c r="P11" s="207" t="n">
        <f aca="false">-'Deal Volumes'!C26*C11</f>
        <v>-4758142.54992524</v>
      </c>
      <c r="Q11" s="208" t="n">
        <f aca="false">+P11*$Q$1</f>
        <v>-190325.70199701</v>
      </c>
      <c r="R11" s="201" t="n">
        <f aca="false">+$R$1*I11</f>
        <v>-519221.062433465</v>
      </c>
      <c r="S11" s="209" t="n">
        <f aca="false">+'GD Options'!B25</f>
        <v>-150000</v>
      </c>
      <c r="T11" s="210" t="n">
        <f aca="false">+'GD Options'!B9</f>
        <v>-150000</v>
      </c>
      <c r="U11" s="211" t="e">
        <f aca="false">+'GD Options'!T9</f>
        <v>#NAME?</v>
      </c>
      <c r="V11" s="212" t="e">
        <f aca="false">+(S11+T11)*U11</f>
        <v>#NAME?</v>
      </c>
      <c r="W11" s="213" t="e">
        <f aca="false">+O11+R11+V11</f>
        <v>#NAME?</v>
      </c>
      <c r="X11" s="214" t="e">
        <f aca="false">+L11+W11</f>
        <v>#NAME?</v>
      </c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  <c r="IW11" s="154"/>
    </row>
    <row r="12" customFormat="false" ht="12.75" hidden="false" customHeight="false" outlineLevel="0" collapsed="false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215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  <c r="IW12" s="154"/>
    </row>
    <row r="13" customFormat="false" ht="18" hidden="false" customHeight="false" outlineLevel="0" collapsed="false">
      <c r="A13" s="216" t="s">
        <v>17</v>
      </c>
      <c r="B13" s="217"/>
      <c r="C13" s="217"/>
      <c r="D13" s="218" t="n">
        <f aca="false">SUM(D7:D11)</f>
        <v>-12106220.2826856</v>
      </c>
      <c r="E13" s="218" t="n">
        <f aca="false">SUM(E7:E11)</f>
        <v>-1668779.71731441</v>
      </c>
      <c r="F13" s="218" t="n">
        <f aca="false">SUM(F7:F11)</f>
        <v>-13775000</v>
      </c>
      <c r="G13" s="218" t="n">
        <f aca="false">SUM(G7:G11)</f>
        <v>-58527966.7864551</v>
      </c>
      <c r="H13" s="218" t="n">
        <f aca="false">SUM(H7:H11)</f>
        <v>-8067776.8608404</v>
      </c>
      <c r="I13" s="218" t="n">
        <f aca="false">SUM(I7:I11)</f>
        <v>-66595743.6472955</v>
      </c>
      <c r="J13" s="217"/>
      <c r="K13" s="217"/>
      <c r="L13" s="219" t="n">
        <f aca="false">SUM(L7:L11)</f>
        <v>3102529.3639249</v>
      </c>
      <c r="M13" s="219" t="n">
        <f aca="false">SUM(M7:M11)</f>
        <v>-94954.5005878362</v>
      </c>
      <c r="N13" s="219" t="n">
        <f aca="false">SUM(N7:N11)</f>
        <v>0</v>
      </c>
      <c r="O13" s="219" t="n">
        <f aca="false">SUM(O7:O11)</f>
        <v>-94954.5005878362</v>
      </c>
      <c r="P13" s="218" t="n">
        <f aca="false">SUM(P7:P11)</f>
        <v>-21359922.1114899</v>
      </c>
      <c r="Q13" s="219" t="n">
        <f aca="false">SUM(Q7:Q11)</f>
        <v>-854396.884459597</v>
      </c>
      <c r="R13" s="219" t="n">
        <f aca="false">SUM(R7:R11)</f>
        <v>-2330851.02765534</v>
      </c>
      <c r="S13" s="218" t="n">
        <f aca="false">SUM(S7:S11)</f>
        <v>-688750</v>
      </c>
      <c r="T13" s="218" t="n">
        <f aca="false">SUM(T7:T11)</f>
        <v>-688750</v>
      </c>
      <c r="U13" s="217"/>
      <c r="V13" s="219" t="e">
        <f aca="false">SUM(V7:V11)</f>
        <v>#NAME?</v>
      </c>
      <c r="W13" s="219" t="e">
        <f aca="false">SUM(W7:W11)</f>
        <v>#NAME?</v>
      </c>
      <c r="X13" s="220" t="e">
        <f aca="false">SUM(X7:X11)</f>
        <v>#NAME?</v>
      </c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  <c r="GB13" s="221"/>
      <c r="GC13" s="221"/>
      <c r="GD13" s="221"/>
      <c r="GE13" s="221"/>
      <c r="GF13" s="221"/>
      <c r="GG13" s="221"/>
      <c r="GH13" s="221"/>
      <c r="GI13" s="221"/>
      <c r="GJ13" s="221"/>
      <c r="GK13" s="221"/>
      <c r="GL13" s="221"/>
      <c r="GM13" s="221"/>
      <c r="GN13" s="221"/>
      <c r="GO13" s="221"/>
      <c r="GP13" s="221"/>
      <c r="GQ13" s="221"/>
      <c r="GR13" s="221"/>
      <c r="GS13" s="221"/>
      <c r="GT13" s="221"/>
      <c r="GU13" s="221"/>
      <c r="GV13" s="221"/>
      <c r="GW13" s="221"/>
      <c r="GX13" s="221"/>
      <c r="GY13" s="221"/>
      <c r="GZ13" s="221"/>
      <c r="HA13" s="221"/>
      <c r="HB13" s="221"/>
      <c r="HC13" s="221"/>
      <c r="HD13" s="221"/>
      <c r="HE13" s="221"/>
      <c r="HF13" s="221"/>
      <c r="HG13" s="221"/>
      <c r="HH13" s="221"/>
      <c r="HI13" s="221"/>
      <c r="HJ13" s="221"/>
      <c r="HK13" s="221"/>
      <c r="HL13" s="221"/>
      <c r="HM13" s="221"/>
      <c r="HN13" s="221"/>
      <c r="HO13" s="221"/>
      <c r="HP13" s="221"/>
      <c r="HQ13" s="221"/>
      <c r="HR13" s="221"/>
      <c r="HS13" s="221"/>
      <c r="HT13" s="221"/>
      <c r="HU13" s="221"/>
      <c r="HV13" s="221"/>
      <c r="HW13" s="221"/>
      <c r="HX13" s="221"/>
      <c r="HY13" s="221"/>
      <c r="HZ13" s="221"/>
      <c r="IA13" s="221"/>
      <c r="IB13" s="221"/>
      <c r="IC13" s="221"/>
      <c r="ID13" s="221"/>
      <c r="IE13" s="221"/>
      <c r="IF13" s="221"/>
      <c r="IG13" s="221"/>
      <c r="IH13" s="221"/>
      <c r="II13" s="221"/>
      <c r="IJ13" s="221"/>
      <c r="IK13" s="221"/>
      <c r="IL13" s="221"/>
      <c r="IM13" s="221"/>
      <c r="IN13" s="221"/>
      <c r="IO13" s="221"/>
      <c r="IP13" s="221"/>
      <c r="IQ13" s="221"/>
      <c r="IR13" s="221"/>
      <c r="IS13" s="221"/>
      <c r="IT13" s="221"/>
      <c r="IU13" s="221"/>
      <c r="IV13" s="221"/>
      <c r="IW13" s="221"/>
    </row>
    <row r="14" customFormat="false" ht="15" hidden="false" customHeight="false" outlineLevel="0" collapsed="false">
      <c r="A14" s="133" t="s">
        <v>110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3" t="n">
        <f aca="false">-L13/$I$13</f>
        <v>0.046587502353852</v>
      </c>
      <c r="M14" s="223"/>
      <c r="N14" s="223"/>
      <c r="O14" s="223" t="n">
        <f aca="false">-O13/$I$13</f>
        <v>-0.00142583437600358</v>
      </c>
      <c r="P14" s="223"/>
      <c r="Q14" s="223" t="n">
        <f aca="false">-Q13/$I$13</f>
        <v>-0.0128296019785387</v>
      </c>
      <c r="R14" s="223" t="n">
        <f aca="false">-R13/$I$13</f>
        <v>-0.035</v>
      </c>
      <c r="S14" s="223"/>
      <c r="T14" s="223"/>
      <c r="U14" s="223"/>
      <c r="V14" s="223" t="e">
        <f aca="false">-V13/$I$13</f>
        <v>#NAME?</v>
      </c>
      <c r="W14" s="223" t="e">
        <f aca="false">-W13/$I$13</f>
        <v>#NAME?</v>
      </c>
      <c r="X14" s="224" t="e">
        <f aca="false">-X13/$I$13</f>
        <v>#NAME?</v>
      </c>
      <c r="Y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</sheetData>
  <mergeCells count="7">
    <mergeCell ref="D4:F4"/>
    <mergeCell ref="G4:I4"/>
    <mergeCell ref="J4:K4"/>
    <mergeCell ref="M4:O4"/>
    <mergeCell ref="P4:Q4"/>
    <mergeCell ref="S4:V4"/>
    <mergeCell ref="Z4:A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985" ySplit="0" topLeftCell="A1" activePane="topLeft" state="split"/>
      <selection pane="topLeft" activeCell="A23" activeCellId="0" sqref="A23:IV23"/>
      <selection pane="top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13.99"/>
    <col collapsed="false" customWidth="true" hidden="false" outlineLevel="0" max="2" min="2" style="132" width="10.71"/>
    <col collapsed="false" customWidth="true" hidden="false" outlineLevel="0" max="3" min="3" style="132" width="13.28"/>
    <col collapsed="false" customWidth="true" hidden="false" outlineLevel="0" max="4" min="4" style="132" width="14.56"/>
    <col collapsed="false" customWidth="true" hidden="false" outlineLevel="0" max="5" min="5" style="132" width="15.85"/>
    <col collapsed="false" customWidth="true" hidden="false" outlineLevel="0" max="7" min="6" style="132" width="14.56"/>
    <col collapsed="false" customWidth="true" hidden="false" outlineLevel="0" max="8" min="8" style="132" width="14.41"/>
    <col collapsed="false" customWidth="true" hidden="false" outlineLevel="0" max="11" min="9" style="132" width="14.56"/>
    <col collapsed="false" customWidth="true" hidden="false" outlineLevel="0" max="12" min="12" style="132" width="13.85"/>
    <col collapsed="false" customWidth="true" hidden="false" outlineLevel="0" max="13" min="13" style="132" width="13.7"/>
    <col collapsed="false" customWidth="true" hidden="false" outlineLevel="0" max="14" min="14" style="132" width="12.56"/>
    <col collapsed="false" customWidth="true" hidden="false" outlineLevel="0" max="15" min="15" style="132" width="12.85"/>
    <col collapsed="false" customWidth="true" hidden="false" outlineLevel="0" max="16" min="16" style="132" width="14.56"/>
    <col collapsed="false" customWidth="true" hidden="false" outlineLevel="0" max="17" min="17" style="132" width="12.85"/>
    <col collapsed="false" customWidth="true" hidden="false" outlineLevel="0" max="18" min="18" style="132" width="15.85"/>
    <col collapsed="false" customWidth="true" hidden="false" outlineLevel="0" max="20" min="19" style="132" width="16.28"/>
    <col collapsed="false" customWidth="true" hidden="false" outlineLevel="0" max="21" min="21" style="132" width="9.85"/>
    <col collapsed="false" customWidth="true" hidden="false" outlineLevel="0" max="22" min="22" style="132" width="12.85"/>
    <col collapsed="false" customWidth="true" hidden="false" outlineLevel="0" max="23" min="23" style="132" width="14.7"/>
    <col collapsed="false" customWidth="true" hidden="false" outlineLevel="0" max="24" min="24" style="132" width="16.84"/>
    <col collapsed="false" customWidth="false" hidden="false" outlineLevel="0" max="25" min="25" style="132" width="9.14"/>
    <col collapsed="false" customWidth="true" hidden="false" outlineLevel="0" max="26" min="26" style="132" width="10.56"/>
    <col collapsed="false" customWidth="true" hidden="false" outlineLevel="0" max="27" min="27" style="132" width="9.56"/>
    <col collapsed="false" customWidth="true" hidden="false" outlineLevel="0" max="28" min="28" style="132" width="9.28"/>
    <col collapsed="false" customWidth="true" hidden="false" outlineLevel="0" max="29" min="29" style="132" width="8.41"/>
    <col collapsed="false" customWidth="true" hidden="false" outlineLevel="0" max="30" min="30" style="132" width="8.99"/>
    <col collapsed="false" customWidth="false" hidden="false" outlineLevel="0" max="257" min="31" style="132" width="9.14"/>
  </cols>
  <sheetData>
    <row r="1" customFormat="false" ht="12.75" hidden="false" customHeight="false" outlineLevel="0" collapsed="false">
      <c r="A1" s="133" t="s">
        <v>85</v>
      </c>
      <c r="B1" s="134" t="n">
        <f aca="true">TODAY()</f>
        <v>45926</v>
      </c>
      <c r="E1" s="135" t="s">
        <v>86</v>
      </c>
      <c r="F1" s="136" t="n">
        <v>-0.0025</v>
      </c>
      <c r="G1" s="137" t="s">
        <v>2</v>
      </c>
      <c r="H1" s="136" t="n">
        <v>0.0577234374730172</v>
      </c>
      <c r="J1" s="154" t="s">
        <v>111</v>
      </c>
      <c r="K1" s="154" t="n">
        <v>713964</v>
      </c>
      <c r="P1" s="138" t="s">
        <v>87</v>
      </c>
      <c r="Q1" s="139" t="n">
        <v>0.04</v>
      </c>
      <c r="R1" s="139" t="n">
        <v>0.04</v>
      </c>
    </row>
    <row r="2" customFormat="false" ht="12.75" hidden="false" customHeight="false" outlineLevel="0" collapsed="false">
      <c r="E2" s="135" t="s">
        <v>88</v>
      </c>
      <c r="F2" s="136" t="n">
        <v>-0.0075</v>
      </c>
      <c r="G2" s="140"/>
    </row>
    <row r="3" customFormat="false" ht="12.75" hidden="false" customHeight="false" outlineLevel="0" collapsed="false">
      <c r="F3" s="141"/>
      <c r="G3" s="141"/>
      <c r="H3" s="141"/>
      <c r="I3" s="141"/>
      <c r="J3" s="140"/>
      <c r="K3" s="140"/>
    </row>
    <row r="4" customFormat="false" ht="12.75" hidden="false" customHeight="true" outlineLevel="0" collapsed="false">
      <c r="A4" s="142"/>
      <c r="B4" s="143"/>
      <c r="C4" s="143"/>
      <c r="D4" s="144" t="s">
        <v>89</v>
      </c>
      <c r="E4" s="144"/>
      <c r="F4" s="144"/>
      <c r="G4" s="144" t="s">
        <v>90</v>
      </c>
      <c r="H4" s="144"/>
      <c r="I4" s="144"/>
      <c r="J4" s="144" t="s">
        <v>91</v>
      </c>
      <c r="K4" s="144"/>
      <c r="L4" s="143"/>
      <c r="M4" s="144" t="s">
        <v>92</v>
      </c>
      <c r="N4" s="144"/>
      <c r="O4" s="144"/>
      <c r="P4" s="144" t="s">
        <v>93</v>
      </c>
      <c r="Q4" s="144"/>
      <c r="R4" s="144" t="s">
        <v>94</v>
      </c>
      <c r="S4" s="144" t="s">
        <v>95</v>
      </c>
      <c r="T4" s="144"/>
      <c r="U4" s="144"/>
      <c r="V4" s="144"/>
      <c r="W4" s="143"/>
      <c r="X4" s="145"/>
      <c r="Z4" s="146" t="s">
        <v>96</v>
      </c>
      <c r="AA4" s="146"/>
      <c r="AB4" s="146"/>
      <c r="AC4" s="146"/>
      <c r="AD4" s="146"/>
    </row>
    <row r="5" customFormat="false" ht="25.5" hidden="false" customHeight="true" outlineLevel="0" collapsed="false">
      <c r="A5" s="147" t="s">
        <v>3</v>
      </c>
      <c r="B5" s="148" t="s">
        <v>5</v>
      </c>
      <c r="C5" s="148" t="s">
        <v>6</v>
      </c>
      <c r="D5" s="148" t="s">
        <v>97</v>
      </c>
      <c r="E5" s="148" t="s">
        <v>67</v>
      </c>
      <c r="F5" s="148" t="s">
        <v>98</v>
      </c>
      <c r="G5" s="148" t="str">
        <f aca="false">+D5</f>
        <v>IF-A/S EAST OFFER</v>
      </c>
      <c r="H5" s="148" t="str">
        <f aca="false">+E5</f>
        <v>HSC</v>
      </c>
      <c r="I5" s="148" t="s">
        <v>98</v>
      </c>
      <c r="J5" s="148" t="str">
        <f aca="false">+D5</f>
        <v>IF-A/S EAST OFFER</v>
      </c>
      <c r="K5" s="148" t="str">
        <f aca="false">+E5</f>
        <v>HSC</v>
      </c>
      <c r="L5" s="148" t="s">
        <v>99</v>
      </c>
      <c r="M5" s="148" t="str">
        <f aca="false">+D5</f>
        <v>IF-A/S EAST OFFER</v>
      </c>
      <c r="N5" s="148" t="str">
        <f aca="false">+E5</f>
        <v>HSC</v>
      </c>
      <c r="O5" s="148" t="s">
        <v>98</v>
      </c>
      <c r="P5" s="148" t="s">
        <v>100</v>
      </c>
      <c r="Q5" s="148" t="s">
        <v>101</v>
      </c>
      <c r="R5" s="148" t="s">
        <v>101</v>
      </c>
      <c r="S5" s="148" t="s">
        <v>102</v>
      </c>
      <c r="T5" s="148" t="s">
        <v>103</v>
      </c>
      <c r="U5" s="148" t="s">
        <v>104</v>
      </c>
      <c r="V5" s="148" t="s">
        <v>101</v>
      </c>
      <c r="W5" s="148" t="s">
        <v>105</v>
      </c>
      <c r="X5" s="149" t="s">
        <v>106</v>
      </c>
      <c r="Y5" s="150"/>
      <c r="Z5" s="151" t="s">
        <v>107</v>
      </c>
      <c r="AA5" s="152" t="s">
        <v>93</v>
      </c>
      <c r="AB5" s="152" t="s">
        <v>108</v>
      </c>
      <c r="AC5" s="152" t="s">
        <v>94</v>
      </c>
      <c r="AD5" s="153" t="s">
        <v>109</v>
      </c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</row>
    <row r="6" customFormat="false" ht="12.75" hidden="false" customHeight="false" outlineLevel="0" collapsed="false">
      <c r="A6" s="154"/>
      <c r="B6" s="154"/>
      <c r="L6" s="155"/>
      <c r="P6" s="156"/>
      <c r="Z6" s="157" t="e">
        <f aca="false">+AD6-SUM(AA6:AC6)</f>
        <v>#NAME?</v>
      </c>
      <c r="AA6" s="158" t="n">
        <f aca="false">+$Q$22/$I$22</f>
        <v>0.00833848693650838</v>
      </c>
      <c r="AB6" s="158" t="e">
        <f aca="false">+$V$22/$I$22</f>
        <v>#NAME?</v>
      </c>
      <c r="AC6" s="158" t="n">
        <f aca="false">+$R$1</f>
        <v>0.04</v>
      </c>
      <c r="AD6" s="159" t="n">
        <f aca="false">+H1</f>
        <v>0.0577234374730172</v>
      </c>
    </row>
    <row r="7" customFormat="false" ht="15" hidden="false" customHeight="false" outlineLevel="0" collapsed="false">
      <c r="A7" s="160" t="n">
        <v>36647</v>
      </c>
      <c r="B7" s="161" t="n">
        <f aca="false">+'GD Options'!M5</f>
        <v>0.061739896749392</v>
      </c>
      <c r="C7" s="162" t="n">
        <f aca="false">1/((1+B7/2)^(2*(A7-$B$1)/365.25))</f>
        <v>4.68679942932618</v>
      </c>
      <c r="D7" s="163" t="n">
        <f aca="false">-'Deal Volumes'!J22</f>
        <v>-2043336.63573459</v>
      </c>
      <c r="E7" s="164" t="n">
        <f aca="false">-'Deal Volumes'!K22</f>
        <v>-281663.364265408</v>
      </c>
      <c r="F7" s="165" t="n">
        <f aca="false">+D7+E7</f>
        <v>-2325000</v>
      </c>
      <c r="G7" s="163" t="n">
        <f aca="false">+D7*$C7</f>
        <v>-9576708.97828216</v>
      </c>
      <c r="H7" s="164" t="n">
        <f aca="false">+E7*$C7</f>
        <v>-1320099.69490121</v>
      </c>
      <c r="I7" s="165" t="n">
        <f aca="false">SUM(G7:H7)</f>
        <v>-10896808.6731834</v>
      </c>
      <c r="J7" s="166" t="n">
        <f aca="false">+Curves!C2</f>
        <v>-0.005</v>
      </c>
      <c r="K7" s="167" t="n">
        <f aca="false">+Curves!E2</f>
        <v>-0.005</v>
      </c>
      <c r="L7" s="168" t="n">
        <f aca="false">+G7*(J7-$H$1)+H7*(K7-$H$1)</f>
        <v>683485.297467849</v>
      </c>
      <c r="M7" s="169" t="n">
        <f aca="false">-G7*(J7-$F$1)</f>
        <v>-23941.7724457054</v>
      </c>
      <c r="N7" s="170" t="n">
        <f aca="false">-H7*(K7-$F$2)</f>
        <v>3300.24923725302</v>
      </c>
      <c r="O7" s="169" t="n">
        <f aca="false">SUM(M7:N7)</f>
        <v>-20641.5232084524</v>
      </c>
      <c r="P7" s="171" t="n">
        <f aca="false">-'Deal Volumes'!C22*C7</f>
        <v>-3495042.95283077</v>
      </c>
      <c r="Q7" s="225" t="n">
        <f aca="false">+P7*$Q$1</f>
        <v>-139801.718113231</v>
      </c>
      <c r="R7" s="226" t="n">
        <f aca="false">+$R$1*I7</f>
        <v>-435872.346927335</v>
      </c>
      <c r="S7" s="173" t="n">
        <f aca="false">+'GD Options'!B21</f>
        <v>-116250</v>
      </c>
      <c r="T7" s="174" t="n">
        <f aca="false">+'GD Options'!B5</f>
        <v>-116250</v>
      </c>
      <c r="U7" s="227" t="e">
        <f aca="false">+'GD Options'!T5</f>
        <v>#NAME?</v>
      </c>
      <c r="V7" s="228" t="e">
        <f aca="false">+(S7+T7)*U7</f>
        <v>#NAME?</v>
      </c>
      <c r="W7" s="177" t="e">
        <f aca="false">+O7+R7+V7+Q7</f>
        <v>#NAME?</v>
      </c>
      <c r="X7" s="229" t="e">
        <f aca="false">+L7+W7</f>
        <v>#NAME?</v>
      </c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</row>
    <row r="8" customFormat="false" ht="15" hidden="false" customHeight="false" outlineLevel="0" collapsed="false">
      <c r="A8" s="160" t="n">
        <v>36678</v>
      </c>
      <c r="B8" s="179" t="n">
        <f aca="false">+'GD Options'!M6</f>
        <v>0.062588347760124</v>
      </c>
      <c r="C8" s="180" t="n">
        <f aca="false">1/((1+B8/2)^(2*(A8-$B$1)/365.25))</f>
        <v>4.76083937441728</v>
      </c>
      <c r="D8" s="181" t="n">
        <f aca="false">-'Deal Volumes'!J23</f>
        <v>-1977422.5507109</v>
      </c>
      <c r="E8" s="182" t="n">
        <f aca="false">-'Deal Volumes'!K23</f>
        <v>-272577.449289105</v>
      </c>
      <c r="F8" s="183" t="n">
        <f aca="false">+D8+E8</f>
        <v>-2250000</v>
      </c>
      <c r="G8" s="181" t="n">
        <f aca="false">+D8*$C8</f>
        <v>-9414191.13928507</v>
      </c>
      <c r="H8" s="182" t="n">
        <f aca="false">+E8*$C8</f>
        <v>-1297697.4531538</v>
      </c>
      <c r="I8" s="183" t="n">
        <f aca="false">SUM(G8:H8)</f>
        <v>-10711888.5924389</v>
      </c>
      <c r="J8" s="184" t="n">
        <f aca="false">+Curves!C3</f>
        <v>-0.005</v>
      </c>
      <c r="K8" s="185" t="n">
        <f aca="false">+Curves!E3</f>
        <v>-0.005</v>
      </c>
      <c r="L8" s="186" t="n">
        <f aca="false">+G8*(J8-$H$1)+H8*(K8-$H$1)</f>
        <v>671886.474345766</v>
      </c>
      <c r="M8" s="187" t="n">
        <f aca="false">-G8*(J8-$F$1)</f>
        <v>-23535.4778482127</v>
      </c>
      <c r="N8" s="188" t="n">
        <f aca="false">-H8*(K8-$F$2)</f>
        <v>3244.2436328845</v>
      </c>
      <c r="O8" s="187" t="n">
        <f aca="false">SUM(M8:N8)</f>
        <v>-20291.2342153282</v>
      </c>
      <c r="P8" s="189" t="n">
        <f aca="false">-'Deal Volumes'!C23*C8</f>
        <v>-3435731.67698599</v>
      </c>
      <c r="Q8" s="230" t="n">
        <f aca="false">+P8*$Q$1</f>
        <v>-137429.26707944</v>
      </c>
      <c r="R8" s="231" t="n">
        <f aca="false">+$R$1*I8</f>
        <v>-428475.543697555</v>
      </c>
      <c r="S8" s="191" t="n">
        <f aca="false">+'GD Options'!B22</f>
        <v>-112500</v>
      </c>
      <c r="T8" s="192" t="n">
        <f aca="false">+'GD Options'!B6</f>
        <v>-112500</v>
      </c>
      <c r="U8" s="232" t="e">
        <f aca="false">+'GD Options'!T6</f>
        <v>#NAME?</v>
      </c>
      <c r="V8" s="233" t="e">
        <f aca="false">+(S8+T8)*U8</f>
        <v>#NAME?</v>
      </c>
      <c r="W8" s="195" t="e">
        <f aca="false">+O8+R8+V8+Q8</f>
        <v>#NAME?</v>
      </c>
      <c r="X8" s="234" t="e">
        <f aca="false">+L8+W8</f>
        <v>#NAME?</v>
      </c>
      <c r="Y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</row>
    <row r="9" customFormat="false" ht="15" hidden="false" customHeight="false" outlineLevel="0" collapsed="false">
      <c r="A9" s="160" t="n">
        <v>36708</v>
      </c>
      <c r="B9" s="179" t="n">
        <f aca="false">+'GD Options'!M7</f>
        <v>0.063435677173907</v>
      </c>
      <c r="C9" s="180" t="n">
        <f aca="false">1/((1+B9/2)^(2*(A9-$B$1)/365.25))</f>
        <v>4.83602636848189</v>
      </c>
      <c r="D9" s="181" t="n">
        <f aca="false">-'Deal Volumes'!J24</f>
        <v>-2724448.84764612</v>
      </c>
      <c r="E9" s="182" t="n">
        <f aca="false">-'Deal Volumes'!K24</f>
        <v>-375551.152353878</v>
      </c>
      <c r="F9" s="183" t="n">
        <f aca="false">+D9+E9</f>
        <v>-3100000</v>
      </c>
      <c r="G9" s="181" t="n">
        <f aca="false">+D9*$C9</f>
        <v>-13175506.4667967</v>
      </c>
      <c r="H9" s="182" t="n">
        <f aca="false">+E9*$C9</f>
        <v>-1816175.27549711</v>
      </c>
      <c r="I9" s="183" t="n">
        <f aca="false">SUM(G9:H9)</f>
        <v>-14991681.7422939</v>
      </c>
      <c r="J9" s="184" t="n">
        <f aca="false">+Curves!C4</f>
        <v>0</v>
      </c>
      <c r="K9" s="185" t="n">
        <f aca="false">+Curves!E4</f>
        <v>-0.005</v>
      </c>
      <c r="L9" s="186" t="n">
        <f aca="false">+G9*(J9-$H$1)+H9*(K9-$H$1)</f>
        <v>874452.280044159</v>
      </c>
      <c r="M9" s="187" t="n">
        <f aca="false">-G9*(J9-$F$1)</f>
        <v>32938.7661669919</v>
      </c>
      <c r="N9" s="188" t="n">
        <f aca="false">-H9*(K9-$F$2)</f>
        <v>4540.43818874278</v>
      </c>
      <c r="O9" s="187" t="n">
        <f aca="false">SUM(M9:N9)</f>
        <v>37479.2043557347</v>
      </c>
      <c r="P9" s="189" t="n">
        <f aca="false">-'Deal Volumes'!C24*C9</f>
        <v>-4808432.74356389</v>
      </c>
      <c r="Q9" s="230" t="n">
        <f aca="false">+P9*$Q$1</f>
        <v>-192337.309742556</v>
      </c>
      <c r="R9" s="231" t="n">
        <f aca="false">+$R$1*I9</f>
        <v>-599667.269691754</v>
      </c>
      <c r="S9" s="191" t="n">
        <f aca="false">+'GD Options'!B23</f>
        <v>-155000</v>
      </c>
      <c r="T9" s="192" t="n">
        <f aca="false">+'GD Options'!B7</f>
        <v>-155000</v>
      </c>
      <c r="U9" s="232" t="e">
        <f aca="false">+'GD Options'!T7</f>
        <v>#NAME?</v>
      </c>
      <c r="V9" s="233" t="e">
        <f aca="false">+(S9+T9)*U9</f>
        <v>#NAME?</v>
      </c>
      <c r="W9" s="195" t="e">
        <f aca="false">+O9+R9+V9+Q9</f>
        <v>#NAME?</v>
      </c>
      <c r="X9" s="234" t="e">
        <f aca="false">+L9+W9</f>
        <v>#NAME?</v>
      </c>
      <c r="Y9" s="154"/>
      <c r="AA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" hidden="false" customHeight="false" outlineLevel="0" collapsed="false">
      <c r="A10" s="160" t="n">
        <v>36739</v>
      </c>
      <c r="B10" s="179" t="n">
        <f aca="false">+'GD Options'!M8</f>
        <v>0.064112455868493</v>
      </c>
      <c r="C10" s="180" t="n">
        <f aca="false">1/((1+B10/2)^(2*(A10-$B$1)/365.25))</f>
        <v>4.89047649718721</v>
      </c>
      <c r="D10" s="181" t="n">
        <f aca="false">-'Deal Volumes'!J25</f>
        <v>-2724448.84764612</v>
      </c>
      <c r="E10" s="182" t="n">
        <f aca="false">-'Deal Volumes'!K25</f>
        <v>-375551.152353878</v>
      </c>
      <c r="F10" s="183" t="n">
        <f aca="false">+D10+E10</f>
        <v>-3100000</v>
      </c>
      <c r="G10" s="181" t="n">
        <f aca="false">+D10*$C10</f>
        <v>-13323853.0572022</v>
      </c>
      <c r="H10" s="182" t="n">
        <f aca="false">+E10*$C10</f>
        <v>-1836624.08407821</v>
      </c>
      <c r="I10" s="183" t="n">
        <f aca="false">SUM(G10:H10)</f>
        <v>-15160477.1412804</v>
      </c>
      <c r="J10" s="184" t="n">
        <f aca="false">+Curves!C5</f>
        <v>0</v>
      </c>
      <c r="K10" s="185" t="n">
        <f aca="false">+Curves!E5</f>
        <v>-0.005</v>
      </c>
      <c r="L10" s="186" t="n">
        <f aca="false">+G10*(J10-$H$1)+H10*(K10-$H$1)</f>
        <v>884297.974746195</v>
      </c>
      <c r="M10" s="187" t="n">
        <f aca="false">-G10*(J10-$F$1)</f>
        <v>33309.6326430054</v>
      </c>
      <c r="N10" s="188" t="n">
        <f aca="false">-H10*(K10-$F$2)</f>
        <v>4591.56021019553</v>
      </c>
      <c r="O10" s="187" t="n">
        <f aca="false">SUM(M10:N10)</f>
        <v>37901.1928532009</v>
      </c>
      <c r="P10" s="189" t="n">
        <f aca="false">-'Deal Volumes'!C25*C10</f>
        <v>-4862572.18818403</v>
      </c>
      <c r="Q10" s="230" t="n">
        <f aca="false">+P10*$Q$1</f>
        <v>-194502.887527361</v>
      </c>
      <c r="R10" s="231" t="n">
        <f aca="false">+$R$1*I10</f>
        <v>-606419.085651215</v>
      </c>
      <c r="S10" s="191" t="n">
        <f aca="false">+'GD Options'!B24</f>
        <v>-155000</v>
      </c>
      <c r="T10" s="192" t="n">
        <f aca="false">+'GD Options'!B8</f>
        <v>-155000</v>
      </c>
      <c r="U10" s="232" t="e">
        <f aca="false">+'GD Options'!T8</f>
        <v>#NAME?</v>
      </c>
      <c r="V10" s="233" t="e">
        <f aca="false">+(S10+T10)*U10</f>
        <v>#NAME?</v>
      </c>
      <c r="W10" s="195" t="e">
        <f aca="false">+O10+R10+V10+Q10</f>
        <v>#NAME?</v>
      </c>
      <c r="X10" s="234" t="e">
        <f aca="false">+L10+W10</f>
        <v>#NAME?</v>
      </c>
      <c r="Y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</row>
    <row r="11" customFormat="false" ht="15" hidden="false" customHeight="false" outlineLevel="0" collapsed="false">
      <c r="A11" s="160" t="n">
        <v>36770</v>
      </c>
      <c r="B11" s="179" t="n">
        <f aca="false">+'GD Options'!M9</f>
        <v>0.064789234714962</v>
      </c>
      <c r="C11" s="180" t="n">
        <f aca="false">1/((1+B11/2)^(2*(A11-$B$1)/365.25))</f>
        <v>4.94496249936633</v>
      </c>
      <c r="D11" s="181" t="n">
        <f aca="false">-'Deal Volumes'!J26</f>
        <v>-2636563.40094786</v>
      </c>
      <c r="E11" s="182" t="n">
        <f aca="false">-'Deal Volumes'!K26</f>
        <v>-363436.59905214</v>
      </c>
      <c r="F11" s="183" t="n">
        <f aca="false">+D11+E11</f>
        <v>-3000000</v>
      </c>
      <c r="G11" s="181" t="n">
        <f aca="false">+D11*$C11</f>
        <v>-13037707.1448889</v>
      </c>
      <c r="H11" s="182" t="n">
        <f aca="false">+E11*$C11</f>
        <v>-1797180.35321007</v>
      </c>
      <c r="I11" s="183" t="n">
        <f aca="false">SUM(G11:H11)</f>
        <v>-14834887.498099</v>
      </c>
      <c r="J11" s="184" t="n">
        <f aca="false">+Curves!C6</f>
        <v>0</v>
      </c>
      <c r="K11" s="185" t="n">
        <f aca="false">+Curves!E6</f>
        <v>-0.005</v>
      </c>
      <c r="L11" s="186" t="n">
        <f aca="false">+G11*(J11-$H$1)+H11*(K11-$H$1)</f>
        <v>865306.602681813</v>
      </c>
      <c r="M11" s="187" t="n">
        <f aca="false">-G11*(J11-$F$1)</f>
        <v>32594.2678622223</v>
      </c>
      <c r="N11" s="188" t="n">
        <f aca="false">-H11*(K11-$F$2)</f>
        <v>4492.95088302517</v>
      </c>
      <c r="O11" s="187" t="n">
        <f aca="false">SUM(M11:N11)</f>
        <v>37087.2187452475</v>
      </c>
      <c r="P11" s="189" t="n">
        <f aca="false">-'Deal Volumes'!C26*C11</f>
        <v>-4758142.54992524</v>
      </c>
      <c r="Q11" s="230" t="n">
        <f aca="false">+P11*$Q$1</f>
        <v>-190325.70199701</v>
      </c>
      <c r="R11" s="231" t="n">
        <f aca="false">+$R$1*I11</f>
        <v>-593395.49992396</v>
      </c>
      <c r="S11" s="191" t="n">
        <f aca="false">+'GD Options'!B25</f>
        <v>-150000</v>
      </c>
      <c r="T11" s="192" t="n">
        <f aca="false">+'GD Options'!B9</f>
        <v>-150000</v>
      </c>
      <c r="U11" s="232" t="e">
        <f aca="false">+'GD Options'!T9</f>
        <v>#NAME?</v>
      </c>
      <c r="V11" s="233" t="e">
        <f aca="false">+(S11+T11)*U11</f>
        <v>#NAME?</v>
      </c>
      <c r="W11" s="195" t="e">
        <f aca="false">+O11+R11+V11+Q11</f>
        <v>#NAME?</v>
      </c>
      <c r="X11" s="234" t="e">
        <f aca="false">+L11+W11</f>
        <v>#NAME?</v>
      </c>
      <c r="Y11" s="154"/>
      <c r="AB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  <c r="IW11" s="154"/>
    </row>
    <row r="12" customFormat="false" ht="15" hidden="false" customHeight="false" outlineLevel="0" collapsed="false">
      <c r="A12" s="160" t="n">
        <v>36800</v>
      </c>
      <c r="B12" s="179" t="n">
        <f aca="false">+'GD Options'!M10</f>
        <v>0.065417688435194</v>
      </c>
      <c r="C12" s="180" t="n">
        <f aca="false">1/((1+B12/2)^(2*(A12-$B$1)/365.25))</f>
        <v>4.99451118647667</v>
      </c>
      <c r="D12" s="181" t="n">
        <f aca="false">-'Deal Volumes'!J27</f>
        <v>-1226001.98144076</v>
      </c>
      <c r="E12" s="182" t="n">
        <f aca="false">-'Deal Volumes'!K27</f>
        <v>-168998.018559245</v>
      </c>
      <c r="F12" s="183" t="n">
        <f aca="false">+D12+E12</f>
        <v>-1395000</v>
      </c>
      <c r="G12" s="181" t="n">
        <f aca="false">+D12*$C12</f>
        <v>-6123280.61094842</v>
      </c>
      <c r="H12" s="182" t="n">
        <f aca="false">+E12*$C12</f>
        <v>-844062.494186541</v>
      </c>
      <c r="I12" s="183" t="n">
        <f aca="false">SUM(G12:H12)</f>
        <v>-6967343.10513496</v>
      </c>
      <c r="J12" s="184" t="n">
        <f aca="false">+Curves!C7</f>
        <v>-0.005</v>
      </c>
      <c r="K12" s="185" t="n">
        <f aca="false">+Curves!E7</f>
        <v>-0.005</v>
      </c>
      <c r="L12" s="186" t="n">
        <f aca="false">+G12*(J12-$H$1)+H12*(K12-$H$1)</f>
        <v>437015.70960799</v>
      </c>
      <c r="M12" s="187" t="n">
        <f aca="false">-G12*(J12-$F$1)</f>
        <v>-15308.201527371</v>
      </c>
      <c r="N12" s="188" t="n">
        <f aca="false">-H12*(K12-$F$2)</f>
        <v>2110.15623546635</v>
      </c>
      <c r="O12" s="187" t="n">
        <f aca="false">SUM(M12:N12)</f>
        <v>-13198.0452919047</v>
      </c>
      <c r="P12" s="189" t="n">
        <f aca="false">-'Deal Volumes'!C27*C12</f>
        <v>-2234705.97216993</v>
      </c>
      <c r="Q12" s="230" t="n">
        <v>0</v>
      </c>
      <c r="R12" s="231" t="n">
        <f aca="false">+$R$1*I12</f>
        <v>-278693.724205398</v>
      </c>
      <c r="S12" s="191" t="n">
        <f aca="false">+'GD Options'!B26</f>
        <v>-69750</v>
      </c>
      <c r="T12" s="192" t="n">
        <f aca="false">+'GD Options'!B10</f>
        <v>-69750</v>
      </c>
      <c r="U12" s="232" t="e">
        <f aca="false">+'GD Options'!T10</f>
        <v>#NAME?</v>
      </c>
      <c r="V12" s="233" t="e">
        <f aca="false">+(S12+T12)*U12</f>
        <v>#NAME?</v>
      </c>
      <c r="W12" s="195" t="e">
        <f aca="false">+O12+R12+V12+Q12</f>
        <v>#NAME?</v>
      </c>
      <c r="X12" s="234" t="e">
        <f aca="false">+L12+W12</f>
        <v>#NAME?</v>
      </c>
      <c r="Y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  <c r="IW12" s="154"/>
    </row>
    <row r="13" customFormat="false" ht="15" hidden="false" customHeight="false" outlineLevel="0" collapsed="false">
      <c r="A13" s="160" t="n">
        <v>36831</v>
      </c>
      <c r="B13" s="179" t="n">
        <f aca="false">+'GD Options'!M11</f>
        <v>0.066017878160483</v>
      </c>
      <c r="C13" s="180" t="n">
        <f aca="false">1/((1+B13/2)^(2*(A13-$B$1)/365.25))</f>
        <v>5.03969676551767</v>
      </c>
      <c r="D13" s="181" t="n">
        <f aca="false">-'Deal Volumes'!J28</f>
        <v>-1186453.53042654</v>
      </c>
      <c r="E13" s="182" t="n">
        <f aca="false">-'Deal Volumes'!K28</f>
        <v>-163546.469573463</v>
      </c>
      <c r="F13" s="183" t="n">
        <f aca="false">+D13+E13</f>
        <v>-1350000</v>
      </c>
      <c r="G13" s="181" t="n">
        <f aca="false">+D13*$C13</f>
        <v>-5979366.01972764</v>
      </c>
      <c r="H13" s="182" t="n">
        <f aca="false">+E13*$C13</f>
        <v>-824224.613721215</v>
      </c>
      <c r="I13" s="183" t="n">
        <f aca="false">SUM(G13:H13)</f>
        <v>-6803590.63344886</v>
      </c>
      <c r="J13" s="184" t="n">
        <f aca="false">+Curves!C8</f>
        <v>-0.005</v>
      </c>
      <c r="K13" s="185" t="n">
        <f aca="false">+Curves!E8</f>
        <v>-0.005</v>
      </c>
      <c r="L13" s="186" t="n">
        <f aca="false">+G13*(J13-$H$1)+H13*(K13-$H$1)</f>
        <v>426744.591689135</v>
      </c>
      <c r="M13" s="187" t="n">
        <f aca="false">-G13*(J13-$F$1)</f>
        <v>-14948.4150493191</v>
      </c>
      <c r="N13" s="188" t="n">
        <f aca="false">-H13*(K13-$F$2)</f>
        <v>2060.56153430304</v>
      </c>
      <c r="O13" s="187" t="n">
        <f aca="false">SUM(M13:N13)</f>
        <v>-12887.8535150161</v>
      </c>
      <c r="P13" s="189" t="n">
        <f aca="false">-'Deal Volumes'!C28*C13</f>
        <v>-2182183.99630157</v>
      </c>
      <c r="Q13" s="230" t="n">
        <v>0</v>
      </c>
      <c r="R13" s="231" t="n">
        <f aca="false">+$R$1*I13</f>
        <v>-272143.625337954</v>
      </c>
      <c r="S13" s="191" t="n">
        <f aca="false">+'GD Options'!B27</f>
        <v>-67500</v>
      </c>
      <c r="T13" s="192" t="n">
        <f aca="false">+'GD Options'!B11</f>
        <v>-67500</v>
      </c>
      <c r="U13" s="232" t="e">
        <f aca="false">+'GD Options'!T11</f>
        <v>#NAME?</v>
      </c>
      <c r="V13" s="233" t="e">
        <f aca="false">+(S13+T13)*U13</f>
        <v>#NAME?</v>
      </c>
      <c r="W13" s="195" t="e">
        <f aca="false">+O13+R13+V13+Q13</f>
        <v>#NAME?</v>
      </c>
      <c r="X13" s="234" t="e">
        <f aca="false">+L13+W13</f>
        <v>#NAME?</v>
      </c>
      <c r="Y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  <c r="IW13" s="154"/>
    </row>
    <row r="14" customFormat="false" ht="15" hidden="false" customHeight="false" outlineLevel="0" collapsed="false">
      <c r="A14" s="160" t="n">
        <v>36861</v>
      </c>
      <c r="B14" s="179" t="n">
        <f aca="false">+'GD Options'!M12</f>
        <v>0.066598707040522</v>
      </c>
      <c r="C14" s="180" t="n">
        <f aca="false">1/((1+B14/2)^(2*(A14-$B$1)/365.25))</f>
        <v>5.08331623753918</v>
      </c>
      <c r="D14" s="181" t="n">
        <f aca="false">-'Deal Volumes'!J29</f>
        <v>-1226001.98144076</v>
      </c>
      <c r="E14" s="182" t="n">
        <f aca="false">-'Deal Volumes'!K29</f>
        <v>-168998.018559245</v>
      </c>
      <c r="F14" s="183" t="n">
        <f aca="false">+D14+E14</f>
        <v>-1395000</v>
      </c>
      <c r="G14" s="181" t="n">
        <f aca="false">+D14*$C14</f>
        <v>-6232155.779513</v>
      </c>
      <c r="H14" s="182" t="n">
        <f aca="false">+E14*$C14</f>
        <v>-859070.371854158</v>
      </c>
      <c r="I14" s="183" t="n">
        <f aca="false">SUM(G14:H14)</f>
        <v>-7091226.15136716</v>
      </c>
      <c r="J14" s="184" t="n">
        <f aca="false">+Curves!C9</f>
        <v>0</v>
      </c>
      <c r="K14" s="185" t="n">
        <f aca="false">+Curves!E9</f>
        <v>-0.005</v>
      </c>
      <c r="L14" s="186" t="n">
        <f aca="false">+G14*(J14-$H$1)+H14*(K14-$H$1)</f>
        <v>413625.301214737</v>
      </c>
      <c r="M14" s="187" t="n">
        <f aca="false">-G14*(J14-$F$1)</f>
        <v>15580.3894487825</v>
      </c>
      <c r="N14" s="188" t="n">
        <f aca="false">-H14*(K14-$F$2)</f>
        <v>2147.67592963539</v>
      </c>
      <c r="O14" s="187" t="n">
        <f aca="false">SUM(M14:N14)</f>
        <v>17728.0653784179</v>
      </c>
      <c r="P14" s="189" t="n">
        <f aca="false">-'Deal Volumes'!C29*C14</f>
        <v>-2274440.22654613</v>
      </c>
      <c r="Q14" s="230" t="n">
        <v>1</v>
      </c>
      <c r="R14" s="231" t="n">
        <f aca="false">+$R$1*I14</f>
        <v>-283649.046054686</v>
      </c>
      <c r="S14" s="191" t="n">
        <f aca="false">+'GD Options'!B28</f>
        <v>-69750</v>
      </c>
      <c r="T14" s="192" t="n">
        <f aca="false">+'GD Options'!B12</f>
        <v>-69750</v>
      </c>
      <c r="U14" s="232" t="e">
        <f aca="false">+'GD Options'!T12</f>
        <v>#NAME?</v>
      </c>
      <c r="V14" s="233" t="e">
        <f aca="false">+(S14+T14)*U14</f>
        <v>#NAME?</v>
      </c>
      <c r="W14" s="195" t="e">
        <f aca="false">+O14+R14+V14+Q14</f>
        <v>#NAME?</v>
      </c>
      <c r="X14" s="234" t="e">
        <f aca="false">+L14+W14</f>
        <v>#NAME?</v>
      </c>
      <c r="Y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  <row r="15" customFormat="false" ht="15" hidden="false" customHeight="false" outlineLevel="0" collapsed="false">
      <c r="A15" s="160" t="n">
        <v>36892</v>
      </c>
      <c r="B15" s="179" t="n">
        <f aca="false">+'GD Options'!M13</f>
        <v>0.06717047581431</v>
      </c>
      <c r="C15" s="180" t="n">
        <f aca="false">1/((1+B15/2)^(2*(A15-$B$1)/365.25))</f>
        <v>5.12478111095313</v>
      </c>
      <c r="D15" s="181" t="n">
        <f aca="false">-'Deal Volumes'!J30</f>
        <v>-1226001.98144076</v>
      </c>
      <c r="E15" s="182" t="n">
        <f aca="false">-'Deal Volumes'!K30</f>
        <v>-168998.018559245</v>
      </c>
      <c r="F15" s="183" t="n">
        <f aca="false">+D15+E15</f>
        <v>-1395000</v>
      </c>
      <c r="G15" s="181" t="n">
        <f aca="false">+D15*$C15</f>
        <v>-6282991.79647869</v>
      </c>
      <c r="H15" s="182" t="n">
        <f aca="false">+E15*$C15</f>
        <v>-866077.853300925</v>
      </c>
      <c r="I15" s="183" t="n">
        <f aca="false">SUM(G15:H15)</f>
        <v>-7149069.64977962</v>
      </c>
      <c r="J15" s="184" t="n">
        <f aca="false">+Curves!C10</f>
        <v>0</v>
      </c>
      <c r="K15" s="185" t="n">
        <f aca="false">+Curves!E10</f>
        <v>-0.005</v>
      </c>
      <c r="L15" s="186" t="n">
        <f aca="false">+G15*(J15-$H$1)+H15*(K15-$H$1)</f>
        <v>416999.264185803</v>
      </c>
      <c r="M15" s="187" t="n">
        <f aca="false">-G15*(J15-$F$1)</f>
        <v>15707.4794911967</v>
      </c>
      <c r="N15" s="188" t="n">
        <f aca="false">-H15*(K15-$F$2)</f>
        <v>2165.19463325231</v>
      </c>
      <c r="O15" s="187" t="n">
        <f aca="false">SUM(M15:N15)</f>
        <v>17872.674124449</v>
      </c>
      <c r="P15" s="189" t="n">
        <f aca="false">-'Deal Volumes'!C30*C15</f>
        <v>-2292992.95308809</v>
      </c>
      <c r="Q15" s="230" t="n">
        <v>0</v>
      </c>
      <c r="R15" s="231" t="n">
        <f aca="false">+$R$1*I15</f>
        <v>-285962.785991185</v>
      </c>
      <c r="S15" s="191" t="n">
        <f aca="false">+'GD Options'!B29</f>
        <v>-69750</v>
      </c>
      <c r="T15" s="192" t="n">
        <f aca="false">+'GD Options'!B13</f>
        <v>-69750</v>
      </c>
      <c r="U15" s="232" t="e">
        <f aca="false">+'GD Options'!T13</f>
        <v>#NAME?</v>
      </c>
      <c r="V15" s="233" t="e">
        <f aca="false">+(S15+T15)*U15</f>
        <v>#NAME?</v>
      </c>
      <c r="W15" s="195" t="e">
        <f aca="false">+O15+R15+V15+Q15</f>
        <v>#NAME?</v>
      </c>
      <c r="X15" s="234" t="e">
        <f aca="false">+L15+W15</f>
        <v>#NAME?</v>
      </c>
      <c r="Y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  <c r="IW15" s="154"/>
    </row>
    <row r="16" customFormat="false" ht="15" hidden="false" customHeight="false" outlineLevel="0" collapsed="false">
      <c r="A16" s="160" t="n">
        <v>36923</v>
      </c>
      <c r="B16" s="179" t="n">
        <f aca="false">+'GD Options'!M14</f>
        <v>0.067697244476729</v>
      </c>
      <c r="C16" s="180" t="n">
        <f aca="false">1/((1+B16/2)^(2*(A16-$B$1)/365.25))</f>
        <v>5.16053995078435</v>
      </c>
      <c r="D16" s="181" t="n">
        <f aca="false">-'Deal Volumes'!J31</f>
        <v>-1107356.6283981</v>
      </c>
      <c r="E16" s="182" t="n">
        <f aca="false">-'Deal Volumes'!K31</f>
        <v>-152643.371601899</v>
      </c>
      <c r="F16" s="183" t="n">
        <f aca="false">+D16+E16</f>
        <v>-1260000</v>
      </c>
      <c r="G16" s="181" t="n">
        <f aca="false">+D16*$C16</f>
        <v>-5714558.12061426</v>
      </c>
      <c r="H16" s="182" t="n">
        <f aca="false">+E16*$C16</f>
        <v>-787722.21737402</v>
      </c>
      <c r="I16" s="183" t="n">
        <f aca="false">SUM(G16:H16)</f>
        <v>-6502280.33798828</v>
      </c>
      <c r="J16" s="184" t="n">
        <f aca="false">+Curves!C11</f>
        <v>0</v>
      </c>
      <c r="K16" s="185" t="n">
        <f aca="false">+Curves!E11</f>
        <v>-0.005</v>
      </c>
      <c r="L16" s="186" t="n">
        <f aca="false">+G16*(J16-$H$1)+H16*(K16-$H$1)</f>
        <v>379272.583608766</v>
      </c>
      <c r="M16" s="187" t="n">
        <f aca="false">-G16*(J16-$F$1)</f>
        <v>14286.3953015357</v>
      </c>
      <c r="N16" s="188" t="n">
        <f aca="false">-H16*(K16-$F$2)</f>
        <v>1969.30554343505</v>
      </c>
      <c r="O16" s="187" t="n">
        <f aca="false">SUM(M16:N16)</f>
        <v>16255.7008449707</v>
      </c>
      <c r="P16" s="189" t="n">
        <f aca="false">-'Deal Volumes'!C31*C16</f>
        <v>-2085541.71723169</v>
      </c>
      <c r="Q16" s="230" t="n">
        <v>0</v>
      </c>
      <c r="R16" s="231" t="n">
        <f aca="false">+$R$1*I16</f>
        <v>-260091.213519531</v>
      </c>
      <c r="S16" s="191" t="n">
        <f aca="false">+'GD Options'!B30</f>
        <v>-63000</v>
      </c>
      <c r="T16" s="192" t="n">
        <f aca="false">+'GD Options'!B14</f>
        <v>-63000</v>
      </c>
      <c r="U16" s="232" t="e">
        <f aca="false">+'GD Options'!T14</f>
        <v>#NAME?</v>
      </c>
      <c r="V16" s="233" t="e">
        <f aca="false">+(S16+T16)*U16</f>
        <v>#NAME?</v>
      </c>
      <c r="W16" s="195" t="e">
        <f aca="false">+O16+R16+V16+Q16</f>
        <v>#NAME?</v>
      </c>
      <c r="X16" s="234" t="e">
        <f aca="false">+L16+W16</f>
        <v>#NAME?</v>
      </c>
      <c r="Y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</row>
    <row r="17" customFormat="false" ht="15" hidden="false" customHeight="false" outlineLevel="0" collapsed="false">
      <c r="A17" s="160" t="n">
        <v>36951</v>
      </c>
      <c r="B17" s="179" t="n">
        <f aca="false">+'GD Options'!M15</f>
        <v>0.068173035605607</v>
      </c>
      <c r="C17" s="180" t="n">
        <f aca="false">1/((1+B17/2)^(2*(A17-$B$1)/365.25))</f>
        <v>5.19265235895214</v>
      </c>
      <c r="D17" s="181" t="n">
        <f aca="false">-'Deal Volumes'!J32</f>
        <v>-1226001.98144076</v>
      </c>
      <c r="E17" s="182" t="n">
        <f aca="false">-'Deal Volumes'!K32</f>
        <v>-168998.018559245</v>
      </c>
      <c r="F17" s="183" t="n">
        <f aca="false">+D17+E17</f>
        <v>-1395000</v>
      </c>
      <c r="G17" s="181" t="n">
        <f aca="false">+D17*$C17</f>
        <v>-6366202.08100833</v>
      </c>
      <c r="H17" s="182" t="n">
        <f aca="false">+E17*$C17</f>
        <v>-877547.9597299</v>
      </c>
      <c r="I17" s="183" t="n">
        <f aca="false">SUM(G17:H17)</f>
        <v>-7243750.04073823</v>
      </c>
      <c r="J17" s="184" t="n">
        <f aca="false">+Curves!C12</f>
        <v>0</v>
      </c>
      <c r="K17" s="185" t="n">
        <f aca="false">+Curves!E12</f>
        <v>-0.005</v>
      </c>
      <c r="L17" s="186" t="n">
        <f aca="false">+G17*(J17-$H$1)+H17*(K17-$H$1)</f>
        <v>422521.892345369</v>
      </c>
      <c r="M17" s="187" t="n">
        <f aca="false">-G17*(J17-$F$1)</f>
        <v>15915.5052025208</v>
      </c>
      <c r="N17" s="188" t="n">
        <f aca="false">-H17*(K17-$F$2)</f>
        <v>2193.86989932475</v>
      </c>
      <c r="O17" s="187" t="n">
        <f aca="false">SUM(M17:N17)</f>
        <v>18109.3751018456</v>
      </c>
      <c r="P17" s="189" t="n">
        <f aca="false">-'Deal Volumes'!C32*C17</f>
        <v>-2323360.74636737</v>
      </c>
      <c r="Q17" s="230" t="n">
        <v>0</v>
      </c>
      <c r="R17" s="231" t="n">
        <f aca="false">+$R$1*I17</f>
        <v>-289750.001629529</v>
      </c>
      <c r="S17" s="191" t="n">
        <f aca="false">+'GD Options'!B31</f>
        <v>-69750</v>
      </c>
      <c r="T17" s="192" t="n">
        <f aca="false">+'GD Options'!B15</f>
        <v>-69750</v>
      </c>
      <c r="U17" s="232" t="e">
        <f aca="false">+'GD Options'!T15</f>
        <v>#NAME?</v>
      </c>
      <c r="V17" s="233" t="e">
        <f aca="false">+(S17+T17)*U17</f>
        <v>#NAME?</v>
      </c>
      <c r="W17" s="195" t="e">
        <f aca="false">+O17+R17+V17+Q17</f>
        <v>#NAME?</v>
      </c>
      <c r="X17" s="234" t="e">
        <f aca="false">+L17+W17</f>
        <v>#NAME?</v>
      </c>
      <c r="Y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  <c r="IW17" s="154"/>
    </row>
    <row r="18" customFormat="false" ht="15" hidden="false" customHeight="false" outlineLevel="0" collapsed="false">
      <c r="A18" s="160" t="n">
        <v>36982</v>
      </c>
      <c r="B18" s="179" t="n">
        <f aca="false">+'GD Options'!M16</f>
        <v>0.068656219094093</v>
      </c>
      <c r="C18" s="180" t="n">
        <f aca="false">1/((1+B18/2)^(2*(A18-$B$1)/365.25))</f>
        <v>5.22260071337353</v>
      </c>
      <c r="D18" s="181" t="n">
        <f aca="false">-'Deal Volumes'!J33</f>
        <v>-1186453.53042654</v>
      </c>
      <c r="E18" s="182" t="n">
        <f aca="false">-'Deal Volumes'!K33</f>
        <v>-163546.469573463</v>
      </c>
      <c r="F18" s="183" t="n">
        <f aca="false">+D18+E18</f>
        <v>-1350000</v>
      </c>
      <c r="G18" s="181" t="n">
        <f aca="false">+D18*$C18</f>
        <v>-6196373.05439017</v>
      </c>
      <c r="H18" s="182" t="n">
        <f aca="false">+E18*$C18</f>
        <v>-854137.908664089</v>
      </c>
      <c r="I18" s="183" t="n">
        <f aca="false">SUM(G18:H18)</f>
        <v>-7050510.96305426</v>
      </c>
      <c r="J18" s="184" t="n">
        <f aca="false">+Curves!C13</f>
        <v>-0.005</v>
      </c>
      <c r="K18" s="185" t="n">
        <f aca="false">+Curves!E13</f>
        <v>-0.005</v>
      </c>
      <c r="L18" s="186" t="n">
        <f aca="false">+G18*(J18-$H$1)+H18*(K18-$H$1)</f>
        <v>442232.283543956</v>
      </c>
      <c r="M18" s="187" t="n">
        <f aca="false">-G18*(J18-$F$1)</f>
        <v>-15490.9326359754</v>
      </c>
      <c r="N18" s="188" t="n">
        <f aca="false">-H18*(K18-$F$2)</f>
        <v>2135.34477166022</v>
      </c>
      <c r="O18" s="187" t="n">
        <f aca="false">SUM(M18:N18)</f>
        <v>-13355.5878643152</v>
      </c>
      <c r="P18" s="189" t="n">
        <f aca="false">-'Deal Volumes'!C33*C18</f>
        <v>-2261381.23503274</v>
      </c>
      <c r="Q18" s="230" t="n">
        <v>0</v>
      </c>
      <c r="R18" s="231" t="n">
        <f aca="false">+$R$1*I18</f>
        <v>-282020.438522171</v>
      </c>
      <c r="S18" s="191" t="n">
        <f aca="false">+'GD Options'!B32</f>
        <v>-67500</v>
      </c>
      <c r="T18" s="192" t="n">
        <f aca="false">+'GD Options'!B16</f>
        <v>-67500</v>
      </c>
      <c r="U18" s="232" t="e">
        <f aca="false">+'GD Options'!T16</f>
        <v>#NAME?</v>
      </c>
      <c r="V18" s="233" t="e">
        <f aca="false">+(S18+T18)*U18</f>
        <v>#NAME?</v>
      </c>
      <c r="W18" s="195" t="e">
        <f aca="false">+O18+R18+V18+Q18</f>
        <v>#NAME?</v>
      </c>
      <c r="X18" s="234" t="e">
        <f aca="false">+L18+W18</f>
        <v>#NAME?</v>
      </c>
      <c r="Y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  <c r="IW18" s="154"/>
    </row>
    <row r="19" customFormat="false" ht="15" hidden="false" customHeight="false" outlineLevel="0" collapsed="false">
      <c r="A19" s="160" t="n">
        <v>37012</v>
      </c>
      <c r="B19" s="179" t="n">
        <f aca="false">+'GD Options'!M17</f>
        <v>0.069045363608288</v>
      </c>
      <c r="C19" s="180" t="n">
        <f aca="false">1/((1+B19/2)^(2*(A19-$B$1)/365.25))</f>
        <v>5.24162781945035</v>
      </c>
      <c r="D19" s="181" t="n">
        <f aca="false">-'Deal Volumes'!J34</f>
        <v>-2043336.63573459</v>
      </c>
      <c r="E19" s="182" t="n">
        <f aca="false">-'Deal Volumes'!K34</f>
        <v>-281663.364265408</v>
      </c>
      <c r="F19" s="183" t="n">
        <f aca="false">+D19+E19</f>
        <v>-2325000</v>
      </c>
      <c r="G19" s="181" t="n">
        <f aca="false">+D19*$C19</f>
        <v>-10710410.1543685</v>
      </c>
      <c r="H19" s="182" t="n">
        <f aca="false">+E19*$C19</f>
        <v>-1476374.52585354</v>
      </c>
      <c r="I19" s="183" t="n">
        <f aca="false">SUM(G19:H19)</f>
        <v>-12186784.6802221</v>
      </c>
      <c r="J19" s="184" t="n">
        <f aca="false">+Curves!C14</f>
        <v>-0.005</v>
      </c>
      <c r="K19" s="185" t="n">
        <f aca="false">+Curves!E14</f>
        <v>-0.005</v>
      </c>
      <c r="L19" s="186" t="n">
        <f aca="false">+G19*(J19-$H$1)+H19*(K19-$H$1)</f>
        <v>764397.026887033</v>
      </c>
      <c r="M19" s="187" t="n">
        <f aca="false">-G19*(J19-$F$1)</f>
        <v>-26776.0253859213</v>
      </c>
      <c r="N19" s="188" t="n">
        <f aca="false">-H19*(K19-$F$2)</f>
        <v>3690.93631463386</v>
      </c>
      <c r="O19" s="187" t="n">
        <f aca="false">SUM(M19:N19)</f>
        <v>-23085.0890712875</v>
      </c>
      <c r="P19" s="189" t="n">
        <f aca="false">-'Deal Volumes'!C34*C19</f>
        <v>-3908789.92113505</v>
      </c>
      <c r="Q19" s="230" t="n">
        <f aca="false">+P19*$Q$1</f>
        <v>-156351.596845402</v>
      </c>
      <c r="R19" s="231" t="n">
        <f aca="false">+$R$1*I19</f>
        <v>-487471.387208883</v>
      </c>
      <c r="S19" s="191" t="n">
        <f aca="false">+'GD Options'!B33</f>
        <v>-116250</v>
      </c>
      <c r="T19" s="192" t="n">
        <f aca="false">+'GD Options'!B17</f>
        <v>-116250</v>
      </c>
      <c r="U19" s="232" t="e">
        <f aca="false">+'GD Options'!T17</f>
        <v>#NAME?</v>
      </c>
      <c r="V19" s="233" t="e">
        <f aca="false">+(S19+T19)*U19</f>
        <v>#NAME?</v>
      </c>
      <c r="W19" s="195" t="e">
        <f aca="false">+O19+R19+V19+Q19</f>
        <v>#NAME?</v>
      </c>
      <c r="X19" s="234" t="e">
        <f aca="false">+L19+W19</f>
        <v>#NAME?</v>
      </c>
      <c r="Y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  <c r="IW19" s="154"/>
    </row>
    <row r="20" customFormat="false" ht="15" hidden="false" customHeight="false" outlineLevel="0" collapsed="false">
      <c r="A20" s="160" t="n">
        <v>37043</v>
      </c>
      <c r="B20" s="197" t="n">
        <f aca="false">+'GD Options'!M18</f>
        <v>0.069447479658918</v>
      </c>
      <c r="C20" s="198" t="n">
        <f aca="false">1/((1+B20/2)^(2*(A20-$B$1)/365.25))</f>
        <v>5.26101091967494</v>
      </c>
      <c r="D20" s="199" t="n">
        <f aca="false">-'Deal Volumes'!J35</f>
        <v>-1977422.5507109</v>
      </c>
      <c r="E20" s="200" t="n">
        <f aca="false">-'Deal Volumes'!K35</f>
        <v>-272577.449289105</v>
      </c>
      <c r="F20" s="201" t="n">
        <f aca="false">+D20+E20</f>
        <v>-2250000</v>
      </c>
      <c r="G20" s="199" t="n">
        <f aca="false">+D20*$C20</f>
        <v>-10403241.6321015</v>
      </c>
      <c r="H20" s="200" t="n">
        <f aca="false">+E20*$C20</f>
        <v>-1434032.93716712</v>
      </c>
      <c r="I20" s="201" t="n">
        <f aca="false">SUM(G20:H20)</f>
        <v>-11837274.5692686</v>
      </c>
      <c r="J20" s="202" t="n">
        <f aca="false">+Curves!C15</f>
        <v>-0.005</v>
      </c>
      <c r="K20" s="203" t="n">
        <f aca="false">+Curves!E15</f>
        <v>-0.005</v>
      </c>
      <c r="L20" s="204" t="n">
        <f aca="false">+G20*(J20-$H$1)+H20*(K20-$H$1)</f>
        <v>742474.551296456</v>
      </c>
      <c r="M20" s="205" t="n">
        <f aca="false">-G20*(J20-$F$1)</f>
        <v>-26008.1040802537</v>
      </c>
      <c r="N20" s="206" t="n">
        <f aca="false">-H20*(K20-$F$2)</f>
        <v>3585.0823429178</v>
      </c>
      <c r="O20" s="205" t="n">
        <f aca="false">SUM(M20:N20)</f>
        <v>-22423.0217373359</v>
      </c>
      <c r="P20" s="207" t="n">
        <f aca="false">-'Deal Volumes'!C35*C20</f>
        <v>-3796688.03085985</v>
      </c>
      <c r="Q20" s="235" t="n">
        <f aca="false">+P20*$Q$1</f>
        <v>-151867.521234394</v>
      </c>
      <c r="R20" s="236" t="n">
        <f aca="false">+$R$1*I20</f>
        <v>-473490.982770744</v>
      </c>
      <c r="S20" s="209" t="n">
        <f aca="false">+'GD Options'!B34</f>
        <v>-112500</v>
      </c>
      <c r="T20" s="210" t="n">
        <f aca="false">+'GD Options'!B18</f>
        <v>-112500</v>
      </c>
      <c r="U20" s="237" t="e">
        <f aca="false">+'GD Options'!T18</f>
        <v>#NAME?</v>
      </c>
      <c r="V20" s="238" t="e">
        <f aca="false">+(S20+T20)*U20</f>
        <v>#NAME?</v>
      </c>
      <c r="W20" s="213" t="e">
        <f aca="false">+O20+R20+V20+Q20</f>
        <v>#NAME?</v>
      </c>
      <c r="X20" s="239" t="e">
        <f aca="false">+L20+W20</f>
        <v>#NAME?</v>
      </c>
      <c r="Y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  <c r="IW20" s="154"/>
    </row>
    <row r="21" customFormat="false" ht="12.75" hidden="false" customHeight="false" outlineLevel="0" collapsed="false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215"/>
      <c r="Q21" s="154"/>
      <c r="R21" s="154"/>
      <c r="S21" s="154"/>
      <c r="T21" s="154"/>
      <c r="U21" s="154"/>
      <c r="V21" s="154"/>
      <c r="W21" s="154"/>
      <c r="X21" s="154"/>
      <c r="Y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  <c r="IW21" s="154"/>
    </row>
    <row r="22" customFormat="false" ht="18" hidden="false" customHeight="false" outlineLevel="0" collapsed="false">
      <c r="A22" s="216" t="s">
        <v>17</v>
      </c>
      <c r="B22" s="217"/>
      <c r="C22" s="217"/>
      <c r="D22" s="218" t="n">
        <f aca="false">SUM(D7:D20)</f>
        <v>-24511251.0841453</v>
      </c>
      <c r="E22" s="218" t="n">
        <f aca="false">SUM(E7:E20)</f>
        <v>-3378748.91585473</v>
      </c>
      <c r="F22" s="218" t="n">
        <f aca="false">SUM(F7:F20)</f>
        <v>-27890000</v>
      </c>
      <c r="G22" s="218" t="n">
        <f aca="false">SUM(G7:G20)</f>
        <v>-122536546.035606</v>
      </c>
      <c r="H22" s="218" t="n">
        <f aca="false">SUM(H7:H20)</f>
        <v>-16891027.7426919</v>
      </c>
      <c r="I22" s="218" t="n">
        <f aca="false">SUM(I7:I20)</f>
        <v>-139427573.778298</v>
      </c>
      <c r="J22" s="217"/>
      <c r="K22" s="217"/>
      <c r="L22" s="219" t="n">
        <f aca="false">SUM(L7:L20)</f>
        <v>8424711.83366503</v>
      </c>
      <c r="M22" s="219" t="n">
        <f aca="false">SUM(M7:M20)</f>
        <v>14323.5071434966</v>
      </c>
      <c r="N22" s="219" t="n">
        <f aca="false">SUM(N7:N20)</f>
        <v>42227.5693567298</v>
      </c>
      <c r="O22" s="219" t="n">
        <f aca="false">SUM(O7:O20)</f>
        <v>56551.0765002264</v>
      </c>
      <c r="P22" s="218" t="n">
        <f aca="false">SUM(P7:P20)</f>
        <v>-44720006.9102223</v>
      </c>
      <c r="Q22" s="219" t="n">
        <f aca="false">SUM(Q7:Q20)</f>
        <v>-1162615.00253939</v>
      </c>
      <c r="R22" s="219" t="n">
        <f aca="false">SUM(R7:R20)</f>
        <v>-5577102.9511319</v>
      </c>
      <c r="S22" s="218" t="n">
        <f aca="false">SUM(S7:S20)</f>
        <v>-1394500</v>
      </c>
      <c r="T22" s="218" t="n">
        <f aca="false">SUM(T7:T20)</f>
        <v>-1394500</v>
      </c>
      <c r="U22" s="217"/>
      <c r="V22" s="219" t="e">
        <f aca="false">SUM(V7:V20)</f>
        <v>#NAME?</v>
      </c>
      <c r="W22" s="219" t="e">
        <f aca="false">SUM(W7:W20)</f>
        <v>#NAME?</v>
      </c>
      <c r="X22" s="220" t="e">
        <f aca="false">SUM(X7:X20)</f>
        <v>#NAME?</v>
      </c>
      <c r="Y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1"/>
      <c r="CJ22" s="221"/>
      <c r="CK22" s="221"/>
      <c r="CL22" s="221"/>
      <c r="CM22" s="221"/>
      <c r="CN22" s="221"/>
      <c r="CO22" s="221"/>
      <c r="CP22" s="221"/>
      <c r="CQ22" s="221"/>
      <c r="CR22" s="221"/>
      <c r="CS22" s="221"/>
      <c r="CT22" s="221"/>
      <c r="CU22" s="221"/>
      <c r="CV22" s="221"/>
      <c r="CW22" s="221"/>
      <c r="CX22" s="221"/>
      <c r="CY22" s="221"/>
      <c r="CZ22" s="221"/>
      <c r="DA22" s="221"/>
      <c r="DB22" s="221"/>
      <c r="DC22" s="221"/>
      <c r="DD22" s="221"/>
      <c r="DE22" s="221"/>
      <c r="DF22" s="221"/>
      <c r="DG22" s="221"/>
      <c r="DH22" s="221"/>
      <c r="DI22" s="221"/>
      <c r="DJ22" s="221"/>
      <c r="DK22" s="221"/>
      <c r="DL22" s="221"/>
      <c r="DM22" s="221"/>
      <c r="DN22" s="221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1"/>
      <c r="EE22" s="221"/>
      <c r="EF22" s="221"/>
      <c r="EG22" s="221"/>
      <c r="EH22" s="221"/>
      <c r="EI22" s="221"/>
      <c r="EJ22" s="221"/>
      <c r="EK22" s="221"/>
      <c r="EL22" s="221"/>
      <c r="EM22" s="221"/>
      <c r="EN22" s="221"/>
      <c r="EO22" s="221"/>
      <c r="EP22" s="221"/>
      <c r="EQ22" s="221"/>
      <c r="ER22" s="221"/>
      <c r="ES22" s="221"/>
      <c r="ET22" s="221"/>
      <c r="EU22" s="221"/>
      <c r="EV22" s="221"/>
      <c r="EW22" s="221"/>
      <c r="EX22" s="221"/>
      <c r="EY22" s="221"/>
      <c r="EZ22" s="221"/>
      <c r="FA22" s="221"/>
      <c r="FB22" s="221"/>
      <c r="FC22" s="221"/>
      <c r="FD22" s="221"/>
      <c r="FE22" s="221"/>
      <c r="FF22" s="221"/>
      <c r="FG22" s="221"/>
      <c r="FH22" s="221"/>
      <c r="FI22" s="221"/>
      <c r="FJ22" s="221"/>
      <c r="FK22" s="221"/>
      <c r="FL22" s="221"/>
      <c r="FM22" s="221"/>
      <c r="FN22" s="221"/>
      <c r="FO22" s="221"/>
      <c r="FP22" s="221"/>
      <c r="FQ22" s="221"/>
      <c r="FR22" s="221"/>
      <c r="FS22" s="221"/>
      <c r="FT22" s="221"/>
      <c r="FU22" s="221"/>
      <c r="FV22" s="221"/>
      <c r="FW22" s="221"/>
      <c r="FX22" s="221"/>
      <c r="FY22" s="221"/>
      <c r="FZ22" s="221"/>
      <c r="GA22" s="221"/>
      <c r="GB22" s="221"/>
      <c r="GC22" s="221"/>
      <c r="GD22" s="221"/>
      <c r="GE22" s="221"/>
      <c r="GF22" s="221"/>
      <c r="GG22" s="221"/>
      <c r="GH22" s="221"/>
      <c r="GI22" s="221"/>
      <c r="GJ22" s="221"/>
      <c r="GK22" s="221"/>
      <c r="GL22" s="221"/>
      <c r="GM22" s="221"/>
      <c r="GN22" s="221"/>
      <c r="GO22" s="221"/>
      <c r="GP22" s="221"/>
      <c r="GQ22" s="221"/>
      <c r="GR22" s="221"/>
      <c r="GS22" s="221"/>
      <c r="GT22" s="221"/>
      <c r="GU22" s="221"/>
      <c r="GV22" s="221"/>
      <c r="GW22" s="221"/>
      <c r="GX22" s="221"/>
      <c r="GY22" s="221"/>
      <c r="GZ22" s="221"/>
      <c r="HA22" s="221"/>
      <c r="HB22" s="221"/>
      <c r="HC22" s="221"/>
      <c r="HD22" s="221"/>
      <c r="HE22" s="221"/>
      <c r="HF22" s="221"/>
      <c r="HG22" s="221"/>
      <c r="HH22" s="221"/>
      <c r="HI22" s="221"/>
      <c r="HJ22" s="221"/>
      <c r="HK22" s="221"/>
      <c r="HL22" s="221"/>
      <c r="HM22" s="221"/>
      <c r="HN22" s="221"/>
      <c r="HO22" s="221"/>
      <c r="HP22" s="221"/>
      <c r="HQ22" s="221"/>
      <c r="HR22" s="221"/>
      <c r="HS22" s="221"/>
      <c r="HT22" s="221"/>
      <c r="HU22" s="221"/>
      <c r="HV22" s="221"/>
      <c r="HW22" s="221"/>
      <c r="HX22" s="221"/>
      <c r="HY22" s="221"/>
      <c r="HZ22" s="221"/>
      <c r="IA22" s="221"/>
      <c r="IB22" s="221"/>
      <c r="IC22" s="221"/>
      <c r="ID22" s="221"/>
      <c r="IE22" s="221"/>
      <c r="IF22" s="221"/>
      <c r="IG22" s="221"/>
      <c r="IH22" s="221"/>
      <c r="II22" s="221"/>
      <c r="IJ22" s="221"/>
      <c r="IK22" s="221"/>
      <c r="IL22" s="221"/>
      <c r="IM22" s="221"/>
      <c r="IN22" s="221"/>
      <c r="IO22" s="221"/>
      <c r="IP22" s="221"/>
      <c r="IQ22" s="221"/>
      <c r="IR22" s="221"/>
      <c r="IS22" s="221"/>
      <c r="IT22" s="221"/>
      <c r="IU22" s="221"/>
      <c r="IV22" s="221"/>
      <c r="IW22" s="221"/>
    </row>
    <row r="23" customFormat="false" ht="15" hidden="false" customHeight="false" outlineLevel="0" collapsed="false">
      <c r="A23" s="133" t="s">
        <v>110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3" t="n">
        <f aca="false">-L22/$I$22</f>
        <v>0.0604235704987672</v>
      </c>
      <c r="M23" s="223"/>
      <c r="N23" s="223"/>
      <c r="O23" s="223" t="n">
        <f aca="false">-O22/$I$22</f>
        <v>0.000405594639336891</v>
      </c>
      <c r="P23" s="223"/>
      <c r="Q23" s="223" t="n">
        <f aca="false">-Q22/$I$22</f>
        <v>-0.00833848693650838</v>
      </c>
      <c r="R23" s="223" t="n">
        <f aca="false">-R22/$I$22</f>
        <v>-0.04</v>
      </c>
      <c r="S23" s="223"/>
      <c r="T23" s="223"/>
      <c r="U23" s="223"/>
      <c r="V23" s="223" t="e">
        <f aca="false">-V22/$I$22</f>
        <v>#NAME?</v>
      </c>
      <c r="W23" s="223" t="e">
        <f aca="false">-W22/$I$22</f>
        <v>#NAME?</v>
      </c>
      <c r="X23" s="224" t="e">
        <f aca="false">-X22/$I$22</f>
        <v>#NAME?</v>
      </c>
      <c r="Y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  <c r="IW23" s="154"/>
    </row>
  </sheetData>
  <mergeCells count="7">
    <mergeCell ref="D4:F4"/>
    <mergeCell ref="G4:I4"/>
    <mergeCell ref="J4:K4"/>
    <mergeCell ref="M4:O4"/>
    <mergeCell ref="P4:Q4"/>
    <mergeCell ref="S4:V4"/>
    <mergeCell ref="Z4:A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8" activeCellId="0" sqref="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8" width="10.85"/>
    <col collapsed="false" customWidth="true" hidden="false" outlineLevel="0" max="3" min="3" style="43" width="11.85"/>
    <col collapsed="false" customWidth="true" hidden="false" outlineLevel="0" max="4" min="4" style="59" width="8.28"/>
    <col collapsed="false" customWidth="true" hidden="false" outlineLevel="0" max="5" min="5" style="43" width="14.28"/>
    <col collapsed="false" customWidth="true" hidden="false" outlineLevel="0" max="6" min="6" style="59" width="8.85"/>
    <col collapsed="false" customWidth="true" hidden="false" outlineLevel="0" max="7" min="7" style="43" width="13.99"/>
    <col collapsed="false" customWidth="true" hidden="false" outlineLevel="0" max="8" min="8" style="59" width="9.14"/>
    <col collapsed="false" customWidth="true" hidden="false" outlineLevel="0" max="9" min="9" style="43" width="9.7"/>
    <col collapsed="false" customWidth="true" hidden="false" outlineLevel="0" max="10" min="10" style="59" width="9.14"/>
    <col collapsed="false" customWidth="true" hidden="false" outlineLevel="0" max="11" min="11" style="43" width="13.14"/>
    <col collapsed="false" customWidth="true" hidden="false" outlineLevel="0" max="12" min="12" style="59" width="9.14"/>
    <col collapsed="false" customWidth="true" hidden="false" outlineLevel="0" max="14" min="14" style="43" width="12.7"/>
  </cols>
  <sheetData>
    <row r="1" customFormat="false" ht="38.25" hidden="false" customHeight="false" outlineLevel="0" collapsed="false">
      <c r="A1" s="129" t="s">
        <v>3</v>
      </c>
      <c r="B1" s="129"/>
      <c r="C1" s="240" t="s">
        <v>22</v>
      </c>
      <c r="D1" s="241" t="s">
        <v>112</v>
      </c>
      <c r="E1" s="240" t="s">
        <v>23</v>
      </c>
      <c r="F1" s="241" t="s">
        <v>112</v>
      </c>
      <c r="G1" s="240" t="s">
        <v>24</v>
      </c>
      <c r="H1" s="241" t="s">
        <v>112</v>
      </c>
      <c r="I1" s="240" t="s">
        <v>25</v>
      </c>
      <c r="J1" s="241" t="s">
        <v>112</v>
      </c>
      <c r="K1" s="240" t="s">
        <v>26</v>
      </c>
      <c r="L1" s="241" t="s">
        <v>112</v>
      </c>
      <c r="M1" s="242"/>
      <c r="N1" s="240" t="s">
        <v>113</v>
      </c>
    </row>
    <row r="2" customFormat="false" ht="12.75" hidden="false" customHeight="false" outlineLevel="0" collapsed="false">
      <c r="A2" s="129"/>
      <c r="B2" s="129"/>
      <c r="C2" s="240"/>
      <c r="D2" s="241"/>
      <c r="E2" s="240"/>
      <c r="F2" s="241"/>
      <c r="G2" s="240"/>
      <c r="H2" s="241"/>
      <c r="I2" s="240"/>
      <c r="J2" s="241"/>
      <c r="K2" s="240"/>
      <c r="L2" s="241"/>
      <c r="M2" s="242"/>
      <c r="N2" s="240"/>
    </row>
    <row r="3" customFormat="false" ht="12.75" hidden="false" customHeight="false" outlineLevel="0" collapsed="false">
      <c r="A3" s="130" t="n">
        <v>35947</v>
      </c>
      <c r="B3" s="38"/>
      <c r="C3" s="43" t="n">
        <v>311374</v>
      </c>
      <c r="D3" s="243" t="n">
        <f aca="false">+C3/$N3</f>
        <v>0.254726620500088</v>
      </c>
      <c r="E3" s="43" t="n">
        <v>120420</v>
      </c>
      <c r="F3" s="243" t="n">
        <f aca="false">+E3/$N3</f>
        <v>0.0985123344936334</v>
      </c>
      <c r="G3" s="43" t="n">
        <v>702668</v>
      </c>
      <c r="H3" s="243" t="n">
        <f aca="false">+G3/$N3</f>
        <v>0.574833624430928</v>
      </c>
      <c r="I3" s="43" t="n">
        <v>40121</v>
      </c>
      <c r="J3" s="243" t="n">
        <f aca="false">+I3/$N3</f>
        <v>0.0328219014467619</v>
      </c>
      <c r="K3" s="43" t="n">
        <v>47802</v>
      </c>
      <c r="L3" s="243" t="n">
        <f aca="false">+K3/$N3</f>
        <v>0.0391055191285888</v>
      </c>
      <c r="M3" s="38"/>
      <c r="N3" s="43" t="n">
        <f aca="false">+C3+E3+G3+I3+K3</f>
        <v>1222385</v>
      </c>
    </row>
    <row r="4" customFormat="false" ht="12.75" hidden="false" customHeight="false" outlineLevel="0" collapsed="false">
      <c r="A4" s="130" t="n">
        <v>35977</v>
      </c>
      <c r="B4" s="38"/>
      <c r="C4" s="43" t="n">
        <v>1155964</v>
      </c>
      <c r="D4" s="243" t="n">
        <f aca="false">+C4/$N4</f>
        <v>0.243635406385343</v>
      </c>
      <c r="E4" s="43" t="n">
        <v>385685</v>
      </c>
      <c r="F4" s="243" t="n">
        <f aca="false">+E4/$N4</f>
        <v>0.0812884499099722</v>
      </c>
      <c r="G4" s="43" t="n">
        <v>2673292</v>
      </c>
      <c r="H4" s="243" t="n">
        <f aca="false">+G4/$N4</f>
        <v>0.563433275436508</v>
      </c>
      <c r="I4" s="43" t="n">
        <v>431345</v>
      </c>
      <c r="J4" s="243" t="n">
        <f aca="false">+I4/$N4</f>
        <v>0.0909119266406964</v>
      </c>
      <c r="K4" s="43" t="n">
        <v>98361</v>
      </c>
      <c r="L4" s="243" t="n">
        <f aca="false">+K4/$N4</f>
        <v>0.0207309416274804</v>
      </c>
      <c r="M4" s="38"/>
      <c r="N4" s="43" t="n">
        <f aca="false">+C4+E4+G4+I4+K4</f>
        <v>4744647</v>
      </c>
    </row>
    <row r="5" customFormat="false" ht="12.75" hidden="false" customHeight="false" outlineLevel="0" collapsed="false">
      <c r="A5" s="130" t="n">
        <v>36008</v>
      </c>
      <c r="B5" s="38"/>
      <c r="C5" s="43" t="n">
        <v>1141059</v>
      </c>
      <c r="D5" s="243" t="n">
        <f aca="false">+C5/$N5</f>
        <v>0.27188981049712</v>
      </c>
      <c r="E5" s="43" t="n">
        <v>202887</v>
      </c>
      <c r="F5" s="243" t="n">
        <f aca="false">+E5/$N5</f>
        <v>0.0483436071073707</v>
      </c>
      <c r="G5" s="43" t="n">
        <v>2845097</v>
      </c>
      <c r="H5" s="243" t="n">
        <f aca="false">+G5/$N5</f>
        <v>0.677925404537299</v>
      </c>
      <c r="I5" s="43" t="n">
        <v>6485</v>
      </c>
      <c r="J5" s="243" t="n">
        <f aca="false">+I5/$N5</f>
        <v>0.00154523597909821</v>
      </c>
      <c r="K5" s="43" t="n">
        <v>1242</v>
      </c>
      <c r="L5" s="243" t="n">
        <f aca="false">+K5/$N5</f>
        <v>0.000295941879111793</v>
      </c>
      <c r="M5" s="38"/>
      <c r="N5" s="43" t="n">
        <f aca="false">+C5+E5+G5+I5+K5</f>
        <v>4196770</v>
      </c>
    </row>
    <row r="6" customFormat="false" ht="12.75" hidden="false" customHeight="false" outlineLevel="0" collapsed="false">
      <c r="A6" s="130" t="n">
        <v>36039</v>
      </c>
      <c r="B6" s="38"/>
      <c r="C6" s="43" t="n">
        <v>525361</v>
      </c>
      <c r="D6" s="243" t="n">
        <f aca="false">+C6/$N6</f>
        <v>0.186035731852114</v>
      </c>
      <c r="E6" s="43" t="n">
        <v>99543</v>
      </c>
      <c r="F6" s="243" t="n">
        <f aca="false">+E6/$N6</f>
        <v>0.0352491997992903</v>
      </c>
      <c r="G6" s="43" t="n">
        <v>2199075</v>
      </c>
      <c r="H6" s="243" t="n">
        <f aca="false">+G6/$N6</f>
        <v>0.778715068348596</v>
      </c>
      <c r="I6" s="43" t="n">
        <v>0</v>
      </c>
      <c r="J6" s="243" t="n">
        <f aca="false">+I6/$N6</f>
        <v>0</v>
      </c>
      <c r="K6" s="43" t="n">
        <v>0</v>
      </c>
      <c r="L6" s="243" t="n">
        <f aca="false">+K6/$N6</f>
        <v>0</v>
      </c>
      <c r="M6" s="38"/>
      <c r="N6" s="43" t="n">
        <f aca="false">+C6+E6+G6+I6+K6</f>
        <v>2823979</v>
      </c>
    </row>
    <row r="7" customFormat="false" ht="12.75" hidden="false" customHeight="false" outlineLevel="0" collapsed="false">
      <c r="A7" s="130" t="n">
        <v>36069</v>
      </c>
      <c r="B7" s="38"/>
      <c r="C7" s="43" t="n">
        <v>1277301</v>
      </c>
      <c r="D7" s="243" t="n">
        <f aca="false">+C7/$N7</f>
        <v>0.280589208318597</v>
      </c>
      <c r="E7" s="43" t="n">
        <v>373759</v>
      </c>
      <c r="F7" s="243" t="n">
        <f aca="false">+E7/$N7</f>
        <v>0.082104955614965</v>
      </c>
      <c r="G7" s="43" t="n">
        <v>2275284</v>
      </c>
      <c r="H7" s="243" t="n">
        <f aca="false">+G7/$N7</f>
        <v>0.499819648039084</v>
      </c>
      <c r="I7" s="43" t="n">
        <v>254112</v>
      </c>
      <c r="J7" s="243" t="n">
        <f aca="false">+I7/$N7</f>
        <v>0.0558216778224203</v>
      </c>
      <c r="K7" s="43" t="n">
        <v>371754</v>
      </c>
      <c r="L7" s="243" t="n">
        <f aca="false">+K7/$N7</f>
        <v>0.0816645102049334</v>
      </c>
      <c r="M7" s="38"/>
      <c r="N7" s="43" t="n">
        <f aca="false">+C7+E7+G7+I7+K7</f>
        <v>4552210</v>
      </c>
    </row>
    <row r="8" customFormat="false" ht="12.75" hidden="false" customHeight="false" outlineLevel="0" collapsed="false">
      <c r="A8" s="130"/>
      <c r="B8" s="38"/>
      <c r="D8" s="243"/>
      <c r="F8" s="243"/>
      <c r="H8" s="243"/>
      <c r="J8" s="243"/>
      <c r="L8" s="243"/>
      <c r="M8" s="38"/>
    </row>
    <row r="9" customFormat="false" ht="12.75" hidden="false" customHeight="false" outlineLevel="0" collapsed="false">
      <c r="A9" s="130" t="n">
        <v>36100</v>
      </c>
      <c r="B9" s="38"/>
      <c r="C9" s="43" t="n">
        <v>224461</v>
      </c>
      <c r="D9" s="243" t="n">
        <f aca="false">+C9/$N9</f>
        <v>0.168185343228895</v>
      </c>
      <c r="E9" s="43" t="n">
        <v>97886</v>
      </c>
      <c r="F9" s="243" t="n">
        <f aca="false">+E9/$N9</f>
        <v>0.0733445476376906</v>
      </c>
      <c r="G9" s="43" t="n">
        <v>1010844</v>
      </c>
      <c r="H9" s="243" t="n">
        <f aca="false">+G9/$N9</f>
        <v>0.757410619621536</v>
      </c>
      <c r="J9" s="243" t="n">
        <f aca="false">+I9/$N9</f>
        <v>0</v>
      </c>
      <c r="K9" s="43" t="n">
        <v>1414</v>
      </c>
      <c r="L9" s="243" t="n">
        <f aca="false">+K9/$N9</f>
        <v>0.00105948951187805</v>
      </c>
      <c r="M9" s="38"/>
      <c r="N9" s="43" t="n">
        <f aca="false">+C9+E9+G9+I9+K9</f>
        <v>1334605</v>
      </c>
    </row>
    <row r="10" customFormat="false" ht="12.75" hidden="false" customHeight="false" outlineLevel="0" collapsed="false">
      <c r="A10" s="130" t="n">
        <v>36130</v>
      </c>
      <c r="B10" s="38"/>
      <c r="C10" s="43" t="n">
        <v>97956</v>
      </c>
      <c r="D10" s="243" t="n">
        <f aca="false">+C10/$N10</f>
        <v>0.0717535433238132</v>
      </c>
      <c r="E10" s="43" t="n">
        <v>26736</v>
      </c>
      <c r="F10" s="243" t="n">
        <f aca="false">+E10/$N10</f>
        <v>0.0195843310701281</v>
      </c>
      <c r="G10" s="43" t="n">
        <v>1229824</v>
      </c>
      <c r="H10" s="243" t="n">
        <f aca="false">+G10/$N10</f>
        <v>0.900855788973266</v>
      </c>
      <c r="I10" s="43" t="n">
        <v>5480</v>
      </c>
      <c r="J10" s="243" t="n">
        <f aca="false">+I10/$N10</f>
        <v>0.00401414326242901</v>
      </c>
      <c r="K10" s="43" t="n">
        <v>5177</v>
      </c>
      <c r="L10" s="243" t="n">
        <f aca="false">+K10/$N10</f>
        <v>0.00379219337036405</v>
      </c>
      <c r="M10" s="38"/>
      <c r="N10" s="43" t="n">
        <f aca="false">+C10+E10+G10+I10+K10</f>
        <v>1365173</v>
      </c>
    </row>
    <row r="11" customFormat="false" ht="12.75" hidden="false" customHeight="false" outlineLevel="0" collapsed="false">
      <c r="A11" s="130" t="n">
        <v>36161</v>
      </c>
      <c r="B11" s="38"/>
      <c r="C11" s="43" t="n">
        <v>199321</v>
      </c>
      <c r="D11" s="243" t="n">
        <f aca="false">+C11/$N11</f>
        <v>0.141315406435732</v>
      </c>
      <c r="E11" s="43" t="n">
        <v>82543</v>
      </c>
      <c r="F11" s="243" t="n">
        <f aca="false">+E11/$N11</f>
        <v>0.0585216690334917</v>
      </c>
      <c r="G11" s="43" t="n">
        <v>1107978</v>
      </c>
      <c r="H11" s="243" t="n">
        <f aca="false">+G11/$N11</f>
        <v>0.785538710882692</v>
      </c>
      <c r="I11" s="43" t="n">
        <v>12918</v>
      </c>
      <c r="J11" s="243" t="n">
        <f aca="false">+I11/$N11</f>
        <v>0.00915865573791413</v>
      </c>
      <c r="K11" s="43" t="n">
        <v>7709</v>
      </c>
      <c r="L11" s="243" t="n">
        <f aca="false">+K11/$N11</f>
        <v>0.00546555791017031</v>
      </c>
      <c r="M11" s="38"/>
      <c r="N11" s="43" t="n">
        <f aca="false">+C11+E11+G11+I11+K11</f>
        <v>1410469</v>
      </c>
    </row>
    <row r="12" customFormat="false" ht="12.75" hidden="false" customHeight="false" outlineLevel="0" collapsed="false">
      <c r="A12" s="130" t="n">
        <v>36192</v>
      </c>
      <c r="B12" s="38"/>
      <c r="C12" s="43" t="n">
        <v>146406</v>
      </c>
      <c r="D12" s="243" t="n">
        <f aca="false">+C12/$N12</f>
        <v>0.125891479800577</v>
      </c>
      <c r="E12" s="43" t="n">
        <v>294598</v>
      </c>
      <c r="F12" s="243" t="n">
        <f aca="false">+E12/$N12</f>
        <v>0.253318703921221</v>
      </c>
      <c r="G12" s="43" t="n">
        <v>622978</v>
      </c>
      <c r="H12" s="243" t="n">
        <f aca="false">+G12/$N12</f>
        <v>0.535685848279468</v>
      </c>
      <c r="I12" s="43" t="n">
        <v>76585</v>
      </c>
      <c r="J12" s="243" t="n">
        <f aca="false">+I12/$N12</f>
        <v>0.0658538514850974</v>
      </c>
      <c r="K12" s="43" t="n">
        <v>22387</v>
      </c>
      <c r="L12" s="243" t="n">
        <f aca="false">+K12/$N12</f>
        <v>0.0192501165136368</v>
      </c>
      <c r="M12" s="38"/>
      <c r="N12" s="43" t="n">
        <f aca="false">+C12+E12+G12+I12+K12</f>
        <v>1162954</v>
      </c>
    </row>
    <row r="13" customFormat="false" ht="12.75" hidden="false" customHeight="false" outlineLevel="0" collapsed="false">
      <c r="A13" s="130"/>
      <c r="B13" s="38"/>
      <c r="D13" s="243"/>
      <c r="F13" s="243"/>
      <c r="H13" s="243"/>
      <c r="J13" s="243"/>
      <c r="L13" s="243"/>
      <c r="M13" s="38"/>
    </row>
    <row r="14" customFormat="false" ht="12.75" hidden="false" customHeight="false" outlineLevel="0" collapsed="false">
      <c r="A14" s="130" t="n">
        <v>36220</v>
      </c>
      <c r="B14" s="38"/>
      <c r="C14" s="43" t="n">
        <v>953465</v>
      </c>
      <c r="D14" s="243" t="n">
        <f aca="false">+C14/$N14</f>
        <v>0.595519604463032</v>
      </c>
      <c r="E14" s="43" t="n">
        <v>228319</v>
      </c>
      <c r="F14" s="243" t="n">
        <f aca="false">+E14/$N14</f>
        <v>0.142604542978919</v>
      </c>
      <c r="G14" s="43" t="n">
        <v>414672</v>
      </c>
      <c r="H14" s="243" t="n">
        <f aca="false">+G14/$N14</f>
        <v>0.258997766485287</v>
      </c>
      <c r="I14" s="43" t="n">
        <v>4608</v>
      </c>
      <c r="J14" s="243" t="n">
        <f aca="false">+I14/$N14</f>
        <v>0.00287808607276161</v>
      </c>
      <c r="K14" s="43" t="n">
        <v>0</v>
      </c>
      <c r="L14" s="243" t="n">
        <f aca="false">+K14/$N14</f>
        <v>0</v>
      </c>
      <c r="M14" s="38"/>
      <c r="N14" s="43" t="n">
        <f aca="false">+C14+E14+G14+I14+K14</f>
        <v>1601064</v>
      </c>
    </row>
    <row r="15" customFormat="false" ht="12.75" hidden="false" customHeight="false" outlineLevel="0" collapsed="false">
      <c r="A15" s="130" t="n">
        <v>36251</v>
      </c>
      <c r="B15" s="38"/>
      <c r="C15" s="43" t="n">
        <v>1089146</v>
      </c>
      <c r="D15" s="243" t="n">
        <f aca="false">+C15/$N15</f>
        <v>0.748980175660101</v>
      </c>
      <c r="E15" s="43" t="n">
        <v>62613</v>
      </c>
      <c r="F15" s="243" t="n">
        <f aca="false">+E15/$N15</f>
        <v>0.0430574925112023</v>
      </c>
      <c r="G15" s="43" t="n">
        <v>233440</v>
      </c>
      <c r="H15" s="243" t="n">
        <f aca="false">+G15/$N15</f>
        <v>0.160531216389808</v>
      </c>
      <c r="I15" s="43" t="n">
        <v>39610</v>
      </c>
      <c r="J15" s="243" t="n">
        <f aca="false">+I15/$N15</f>
        <v>0.0272388685795078</v>
      </c>
      <c r="K15" s="43" t="n">
        <v>29363</v>
      </c>
      <c r="L15" s="243" t="n">
        <f aca="false">+K15/$N15</f>
        <v>0.0201922468593811</v>
      </c>
      <c r="M15" s="38"/>
      <c r="N15" s="43" t="n">
        <f aca="false">+C15+E15+G15+I15+K15</f>
        <v>1454172</v>
      </c>
    </row>
    <row r="16" customFormat="false" ht="12.75" hidden="false" customHeight="false" outlineLevel="0" collapsed="false">
      <c r="A16" s="130" t="n">
        <v>36281</v>
      </c>
      <c r="B16" s="38"/>
      <c r="C16" s="43" t="n">
        <v>1285236</v>
      </c>
      <c r="D16" s="243" t="n">
        <f aca="false">+C16/$N16</f>
        <v>0.589890084873498</v>
      </c>
      <c r="E16" s="43" t="n">
        <v>45372</v>
      </c>
      <c r="F16" s="243" t="n">
        <f aca="false">+E16/$N16</f>
        <v>0.0208245745768717</v>
      </c>
      <c r="G16" s="43" t="n">
        <v>791650</v>
      </c>
      <c r="H16" s="243" t="n">
        <f aca="false">+G16/$N16</f>
        <v>0.363346876130224</v>
      </c>
      <c r="I16" s="43" t="n">
        <v>28581</v>
      </c>
      <c r="J16" s="243" t="n">
        <f aca="false">+I16/$N16</f>
        <v>0.0131179398303264</v>
      </c>
      <c r="K16" s="43" t="n">
        <v>27933</v>
      </c>
      <c r="L16" s="243" t="n">
        <f aca="false">+K16/$N16</f>
        <v>0.0128205245890805</v>
      </c>
      <c r="M16" s="38"/>
      <c r="N16" s="43" t="n">
        <f aca="false">+C16+E16+G16+I16+K16</f>
        <v>2178772</v>
      </c>
    </row>
    <row r="17" customFormat="false" ht="12.75" hidden="false" customHeight="false" outlineLevel="0" collapsed="false">
      <c r="A17" s="130" t="n">
        <v>36312</v>
      </c>
      <c r="B17" s="38"/>
      <c r="C17" s="244" t="n">
        <v>1296699</v>
      </c>
      <c r="D17" s="243" t="n">
        <f aca="false">+C17/$N17</f>
        <v>0.587526415374745</v>
      </c>
      <c r="E17" s="244" t="n">
        <v>17717</v>
      </c>
      <c r="F17" s="243" t="n">
        <f aca="false">+E17/$N17</f>
        <v>0.0080274647402322</v>
      </c>
      <c r="G17" s="244" t="n">
        <v>778530</v>
      </c>
      <c r="H17" s="243" t="n">
        <f aca="false">+G17/$N17</f>
        <v>0.35274719897347</v>
      </c>
      <c r="I17" s="244" t="n">
        <v>48556</v>
      </c>
      <c r="J17" s="243" t="n">
        <f aca="false">+I17/$N17</f>
        <v>0.0220004277206477</v>
      </c>
      <c r="K17" s="244" t="n">
        <v>65546</v>
      </c>
      <c r="L17" s="243" t="n">
        <f aca="false">+K17/$N17</f>
        <v>0.0296984931909048</v>
      </c>
      <c r="M17" s="38"/>
      <c r="N17" s="244" t="n">
        <f aca="false">+C17+E17+G17+I17+K17</f>
        <v>2207048</v>
      </c>
    </row>
    <row r="18" customFormat="false" ht="12.75" hidden="false" customHeight="false" outlineLevel="0" collapsed="false">
      <c r="A18" s="130"/>
    </row>
    <row r="19" customFormat="false" ht="12.75" hidden="false" customHeight="false" outlineLevel="0" collapsed="false">
      <c r="A19" s="245" t="s">
        <v>114</v>
      </c>
      <c r="B19" s="246"/>
      <c r="C19" s="247" t="n">
        <f aca="false">SUM(C3:C17)</f>
        <v>9703749</v>
      </c>
      <c r="D19" s="248" t="n">
        <f aca="false">+C19/$N19</f>
        <v>0.320740049463467</v>
      </c>
      <c r="E19" s="247" t="n">
        <f aca="false">SUM(E3:E17)</f>
        <v>2038078</v>
      </c>
      <c r="F19" s="248" t="n">
        <f aca="false">+E19/$N19</f>
        <v>0.0673650192858867</v>
      </c>
      <c r="G19" s="247" t="n">
        <f aca="false">SUM(G3:G17)</f>
        <v>16885332</v>
      </c>
      <c r="H19" s="248" t="n">
        <f aca="false">+G19/$N19</f>
        <v>0.558114417519153</v>
      </c>
      <c r="I19" s="247" t="n">
        <f aca="false">SUM(I3:I17)</f>
        <v>948401</v>
      </c>
      <c r="J19" s="248" t="n">
        <f aca="false">+I19/$N19</f>
        <v>0.0313476970242328</v>
      </c>
      <c r="K19" s="247" t="n">
        <f aca="false">SUM(K3:K17)</f>
        <v>678688</v>
      </c>
      <c r="L19" s="248" t="n">
        <f aca="false">+K19/$N19</f>
        <v>0.0224328167072604</v>
      </c>
      <c r="M19" s="246"/>
      <c r="N19" s="249" t="n">
        <f aca="false">SUM(N3:N17)</f>
        <v>30254248</v>
      </c>
    </row>
    <row r="20" customFormat="false" ht="12.75" hidden="false" customHeight="false" outlineLevel="0" collapsed="false">
      <c r="A20" s="250"/>
      <c r="B20" s="251"/>
      <c r="C20" s="251"/>
      <c r="D20" s="251"/>
      <c r="E20" s="251"/>
      <c r="F20" s="251"/>
      <c r="G20" s="251"/>
      <c r="H20" s="252"/>
      <c r="I20" s="253"/>
      <c r="J20" s="252"/>
      <c r="K20" s="253"/>
      <c r="L20" s="252"/>
      <c r="M20" s="251"/>
      <c r="N20" s="254" t="n">
        <f aca="false">+N19/13</f>
        <v>2327249.84615385</v>
      </c>
    </row>
    <row r="21" customFormat="false" ht="12.75" hidden="false" customHeight="false" outlineLevel="0" collapsed="false">
      <c r="A21" s="255" t="s">
        <v>115</v>
      </c>
      <c r="B21" s="251"/>
      <c r="C21" s="253" t="n">
        <f aca="false">MAX(C3:C17)</f>
        <v>1296699</v>
      </c>
      <c r="D21" s="256" t="n">
        <f aca="false">MAX(D3:D17)</f>
        <v>0.748980175660101</v>
      </c>
      <c r="E21" s="253" t="n">
        <f aca="false">MAX(E3:E17)</f>
        <v>385685</v>
      </c>
      <c r="F21" s="256" t="n">
        <f aca="false">MAX(F3:F17)</f>
        <v>0.253318703921221</v>
      </c>
      <c r="G21" s="253" t="n">
        <f aca="false">MAX(G3:G17)</f>
        <v>2845097</v>
      </c>
      <c r="H21" s="256" t="n">
        <f aca="false">MAX(H3:H17)</f>
        <v>0.900855788973266</v>
      </c>
      <c r="I21" s="253" t="n">
        <f aca="false">MAX(I3:I17)</f>
        <v>431345</v>
      </c>
      <c r="J21" s="256" t="n">
        <f aca="false">MAX(J3:J17)</f>
        <v>0.0909119266406964</v>
      </c>
      <c r="K21" s="253" t="n">
        <f aca="false">MAX(K3:K17)</f>
        <v>371754</v>
      </c>
      <c r="L21" s="256" t="n">
        <f aca="false">MAX(L3:L17)</f>
        <v>0.0816645102049334</v>
      </c>
      <c r="M21" s="251"/>
      <c r="N21" s="254"/>
    </row>
    <row r="22" customFormat="false" ht="12.75" hidden="false" customHeight="false" outlineLevel="0" collapsed="false">
      <c r="A22" s="257" t="s">
        <v>116</v>
      </c>
      <c r="B22" s="258"/>
      <c r="C22" s="259" t="n">
        <f aca="false">MIN(C3:C17)</f>
        <v>97956</v>
      </c>
      <c r="D22" s="260" t="n">
        <f aca="false">MIN(D3:D17)</f>
        <v>0.0717535433238132</v>
      </c>
      <c r="E22" s="259" t="n">
        <f aca="false">MIN(E3:E17)</f>
        <v>17717</v>
      </c>
      <c r="F22" s="260" t="n">
        <f aca="false">MIN(F3:F17)</f>
        <v>0.0080274647402322</v>
      </c>
      <c r="G22" s="259" t="n">
        <f aca="false">MIN(G3:G17)</f>
        <v>233440</v>
      </c>
      <c r="H22" s="260" t="n">
        <f aca="false">MIN(H3:H17)</f>
        <v>0.160531216389808</v>
      </c>
      <c r="I22" s="259" t="n">
        <f aca="false">MIN(I3:I17)</f>
        <v>0</v>
      </c>
      <c r="J22" s="260" t="n">
        <f aca="false">MIN(J3:J17)</f>
        <v>0</v>
      </c>
      <c r="K22" s="259" t="n">
        <f aca="false">MIN(K3:K17)</f>
        <v>0</v>
      </c>
      <c r="L22" s="260" t="n">
        <f aca="false">MIN(L3:L17)</f>
        <v>0</v>
      </c>
      <c r="M22" s="258"/>
      <c r="N22" s="261"/>
    </row>
    <row r="23" customFormat="false" ht="12.75" hidden="false" customHeight="false" outlineLevel="0" collapsed="false">
      <c r="A23" s="130"/>
    </row>
    <row r="24" customFormat="false" ht="12.75" hidden="false" customHeight="false" outlineLevel="0" collapsed="false">
      <c r="A24" s="262" t="s">
        <v>117</v>
      </c>
      <c r="B24" s="263"/>
      <c r="C24" s="264" t="n">
        <f aca="false">+SUM(C3:C6)+SUM(C16:C17)</f>
        <v>5715693</v>
      </c>
      <c r="D24" s="265" t="n">
        <f aca="false">+C24/$N$24</f>
        <v>0.328987237591102</v>
      </c>
      <c r="E24" s="264" t="n">
        <f aca="false">+SUM(E3:E6)+SUM(E16:E17)</f>
        <v>871624</v>
      </c>
      <c r="F24" s="265" t="n">
        <f aca="false">+E24/$N$24</f>
        <v>0.0501694496149647</v>
      </c>
      <c r="G24" s="264" t="n">
        <f aca="false">+SUM(G3:G6)+SUM(G16:G17)</f>
        <v>9990312</v>
      </c>
      <c r="H24" s="265" t="n">
        <f aca="false">+G24/$N$24</f>
        <v>0.575028285730748</v>
      </c>
      <c r="I24" s="264" t="n">
        <f aca="false">+SUM(I3:I6)+SUM(I16:I17)</f>
        <v>555088</v>
      </c>
      <c r="J24" s="265" t="n">
        <f aca="false">+I24/$N$24</f>
        <v>0.0319500833477182</v>
      </c>
      <c r="K24" s="264" t="n">
        <f aca="false">+SUM(K3:K6)+SUM(K16:K17)</f>
        <v>240884</v>
      </c>
      <c r="L24" s="265" t="n">
        <f aca="false">+K24/$N$24</f>
        <v>0.0138649437154681</v>
      </c>
      <c r="M24" s="263"/>
      <c r="N24" s="266" t="n">
        <f aca="false">+SUM(N3:N6)+SUM(N16:N17)</f>
        <v>17373601</v>
      </c>
    </row>
    <row r="25" customFormat="false" ht="12.75" hidden="false" customHeight="false" outlineLevel="0" collapsed="false">
      <c r="A25" s="130"/>
      <c r="D25" s="0"/>
      <c r="F25" s="0"/>
      <c r="G25" s="0"/>
      <c r="H25" s="0"/>
      <c r="I25" s="0"/>
      <c r="J25" s="0"/>
      <c r="K25" s="0"/>
      <c r="L25" s="0"/>
      <c r="N25" s="0"/>
    </row>
    <row r="26" customFormat="false" ht="12.75" hidden="false" customHeight="false" outlineLevel="0" collapsed="false">
      <c r="A26" s="130"/>
    </row>
    <row r="27" customFormat="false" ht="12.75" hidden="false" customHeight="false" outlineLevel="0" collapsed="false">
      <c r="A27" s="130"/>
    </row>
    <row r="28" customFormat="false" ht="12.75" hidden="false" customHeight="false" outlineLevel="0" collapsed="false">
      <c r="A28" s="130"/>
    </row>
    <row r="29" customFormat="false" ht="12.75" hidden="false" customHeight="false" outlineLevel="0" collapsed="false">
      <c r="A29" s="130"/>
    </row>
    <row r="30" customFormat="false" ht="12.75" hidden="false" customHeight="false" outlineLevel="0" collapsed="false">
      <c r="A30" s="130"/>
    </row>
    <row r="31" customFormat="false" ht="12.75" hidden="false" customHeight="false" outlineLevel="0" collapsed="false">
      <c r="A31" s="130"/>
    </row>
    <row r="32" customFormat="false" ht="12.75" hidden="false" customHeight="false" outlineLevel="0" collapsed="false">
      <c r="A32" s="130"/>
    </row>
    <row r="33" customFormat="false" ht="12.75" hidden="false" customHeight="false" outlineLevel="0" collapsed="false">
      <c r="A33" s="130"/>
    </row>
    <row r="34" customFormat="false" ht="12.75" hidden="false" customHeight="false" outlineLevel="0" collapsed="false">
      <c r="A34" s="130"/>
    </row>
    <row r="35" customFormat="false" ht="12.75" hidden="false" customHeight="false" outlineLevel="0" collapsed="false">
      <c r="A35" s="130"/>
    </row>
    <row r="36" customFormat="false" ht="12.75" hidden="false" customHeight="false" outlineLevel="0" collapsed="false">
      <c r="A36" s="130"/>
    </row>
    <row r="37" customFormat="false" ht="12.75" hidden="false" customHeight="false" outlineLevel="0" collapsed="false">
      <c r="A37" s="130"/>
    </row>
    <row r="38" customFormat="false" ht="12.75" hidden="false" customHeight="false" outlineLevel="0" collapsed="false">
      <c r="A38" s="130"/>
    </row>
    <row r="39" customFormat="false" ht="12.75" hidden="false" customHeight="false" outlineLevel="0" collapsed="false">
      <c r="A39" s="130"/>
    </row>
    <row r="40" customFormat="false" ht="12.75" hidden="false" customHeight="false" outlineLevel="0" collapsed="false">
      <c r="A40" s="130"/>
    </row>
    <row r="41" customFormat="false" ht="12.75" hidden="false" customHeight="false" outlineLevel="0" collapsed="false">
      <c r="A41" s="130"/>
    </row>
    <row r="42" customFormat="false" ht="12.75" hidden="false" customHeight="false" outlineLevel="0" collapsed="false">
      <c r="A42" s="130"/>
    </row>
    <row r="43" customFormat="false" ht="12.75" hidden="false" customHeight="false" outlineLevel="0" collapsed="false">
      <c r="A43" s="130"/>
    </row>
    <row r="44" customFormat="false" ht="12.75" hidden="false" customHeight="false" outlineLevel="0" collapsed="false">
      <c r="A44" s="130"/>
    </row>
    <row r="45" customFormat="false" ht="12.75" hidden="false" customHeight="false" outlineLevel="0" collapsed="false">
      <c r="A45" s="130"/>
    </row>
    <row r="46" customFormat="false" ht="12.75" hidden="false" customHeight="false" outlineLevel="0" collapsed="false">
      <c r="A46" s="130"/>
    </row>
    <row r="47" customFormat="false" ht="12.75" hidden="false" customHeight="false" outlineLevel="0" collapsed="false">
      <c r="A47" s="130"/>
    </row>
    <row r="48" customFormat="false" ht="12.75" hidden="false" customHeight="false" outlineLevel="0" collapsed="false">
      <c r="A48" s="130"/>
    </row>
    <row r="49" customFormat="false" ht="12.75" hidden="false" customHeight="false" outlineLevel="0" collapsed="false">
      <c r="A49" s="130"/>
    </row>
    <row r="50" customFormat="false" ht="12.75" hidden="false" customHeight="false" outlineLevel="0" collapsed="false">
      <c r="A50" s="130"/>
    </row>
    <row r="51" customFormat="false" ht="12.75" hidden="false" customHeight="false" outlineLevel="0" collapsed="false">
      <c r="A51" s="130"/>
    </row>
    <row r="52" customFormat="false" ht="12.75" hidden="false" customHeight="false" outlineLevel="0" collapsed="false">
      <c r="A52" s="130"/>
    </row>
    <row r="53" customFormat="false" ht="12.75" hidden="false" customHeight="false" outlineLevel="0" collapsed="false">
      <c r="A53" s="130"/>
    </row>
    <row r="54" customFormat="false" ht="12.75" hidden="false" customHeight="false" outlineLevel="0" collapsed="false">
      <c r="A54" s="130"/>
    </row>
    <row r="55" customFormat="false" ht="12.75" hidden="false" customHeight="false" outlineLevel="0" collapsed="false">
      <c r="A55" s="130"/>
    </row>
    <row r="56" customFormat="false" ht="12.75" hidden="false" customHeight="false" outlineLevel="0" collapsed="false">
      <c r="A56" s="130"/>
    </row>
    <row r="57" customFormat="false" ht="12.75" hidden="false" customHeight="false" outlineLevel="0" collapsed="false">
      <c r="A57" s="130"/>
    </row>
    <row r="58" customFormat="false" ht="12.75" hidden="false" customHeight="false" outlineLevel="0" collapsed="false">
      <c r="A58" s="130"/>
    </row>
    <row r="59" customFormat="false" ht="12.75" hidden="false" customHeight="false" outlineLevel="0" collapsed="false">
      <c r="A59" s="130"/>
    </row>
    <row r="60" customFormat="false" ht="12.75" hidden="false" customHeight="false" outlineLevel="0" collapsed="false">
      <c r="A60" s="130"/>
    </row>
    <row r="61" customFormat="false" ht="12.75" hidden="false" customHeight="false" outlineLevel="0" collapsed="false">
      <c r="A61" s="130"/>
    </row>
    <row r="62" customFormat="false" ht="12.75" hidden="false" customHeight="false" outlineLevel="0" collapsed="false">
      <c r="A62" s="130"/>
    </row>
    <row r="63" customFormat="false" ht="12.75" hidden="false" customHeight="false" outlineLevel="0" collapsed="false">
      <c r="A63" s="130"/>
    </row>
    <row r="64" customFormat="false" ht="12.75" hidden="false" customHeight="false" outlineLevel="0" collapsed="false">
      <c r="A64" s="130"/>
    </row>
    <row r="65" customFormat="false" ht="12.75" hidden="false" customHeight="false" outlineLevel="0" collapsed="false">
      <c r="A65" s="130"/>
    </row>
    <row r="66" customFormat="false" ht="12.75" hidden="false" customHeight="false" outlineLevel="0" collapsed="false">
      <c r="A66" s="130"/>
    </row>
    <row r="67" customFormat="false" ht="12.75" hidden="false" customHeight="false" outlineLevel="0" collapsed="false">
      <c r="A67" s="130"/>
    </row>
    <row r="68" customFormat="false" ht="12.75" hidden="false" customHeight="false" outlineLevel="0" collapsed="false">
      <c r="A68" s="130"/>
    </row>
    <row r="69" customFormat="false" ht="12.75" hidden="false" customHeight="false" outlineLevel="0" collapsed="false">
      <c r="A69" s="130"/>
    </row>
    <row r="70" customFormat="false" ht="12.75" hidden="false" customHeight="false" outlineLevel="0" collapsed="false">
      <c r="A70" s="130"/>
    </row>
    <row r="71" customFormat="false" ht="12.75" hidden="false" customHeight="false" outlineLevel="0" collapsed="false">
      <c r="A71" s="130"/>
    </row>
    <row r="72" customFormat="false" ht="12.75" hidden="false" customHeight="false" outlineLevel="0" collapsed="false">
      <c r="A72" s="130"/>
    </row>
    <row r="73" customFormat="false" ht="12.75" hidden="false" customHeight="false" outlineLevel="0" collapsed="false">
      <c r="A73" s="130"/>
    </row>
    <row r="74" customFormat="false" ht="12.75" hidden="false" customHeight="false" outlineLevel="0" collapsed="false">
      <c r="A74" s="130"/>
    </row>
    <row r="75" customFormat="false" ht="12.75" hidden="false" customHeight="false" outlineLevel="0" collapsed="false">
      <c r="A75" s="130"/>
    </row>
    <row r="76" customFormat="false" ht="12.75" hidden="false" customHeight="false" outlineLevel="0" collapsed="false">
      <c r="A76" s="130"/>
    </row>
    <row r="77" customFormat="false" ht="12.75" hidden="false" customHeight="false" outlineLevel="0" collapsed="false">
      <c r="A77" s="130"/>
    </row>
    <row r="78" customFormat="false" ht="12.75" hidden="false" customHeight="false" outlineLevel="0" collapsed="false">
      <c r="A78" s="130"/>
    </row>
    <row r="79" customFormat="false" ht="12.75" hidden="false" customHeight="false" outlineLevel="0" collapsed="false">
      <c r="A79" s="130"/>
    </row>
    <row r="80" customFormat="false" ht="12.75" hidden="false" customHeight="false" outlineLevel="0" collapsed="false">
      <c r="A80" s="130"/>
    </row>
    <row r="81" customFormat="false" ht="12.75" hidden="false" customHeight="false" outlineLevel="0" collapsed="false">
      <c r="A81" s="130"/>
    </row>
    <row r="82" customFormat="false" ht="12.75" hidden="false" customHeight="false" outlineLevel="0" collapsed="false">
      <c r="A82" s="130"/>
    </row>
    <row r="83" customFormat="false" ht="12.75" hidden="false" customHeight="false" outlineLevel="0" collapsed="false">
      <c r="A83" s="130"/>
    </row>
    <row r="84" customFormat="false" ht="12.75" hidden="false" customHeight="false" outlineLevel="0" collapsed="false">
      <c r="A84" s="130"/>
    </row>
    <row r="85" customFormat="false" ht="12.75" hidden="false" customHeight="false" outlineLevel="0" collapsed="false">
      <c r="A85" s="130"/>
    </row>
    <row r="86" customFormat="false" ht="12.75" hidden="false" customHeight="false" outlineLevel="0" collapsed="false">
      <c r="A86" s="130"/>
    </row>
    <row r="87" customFormat="false" ht="12.75" hidden="false" customHeight="false" outlineLevel="0" collapsed="false">
      <c r="A87" s="130"/>
    </row>
    <row r="88" customFormat="false" ht="12.75" hidden="false" customHeight="false" outlineLevel="0" collapsed="false">
      <c r="A88" s="130"/>
    </row>
    <row r="89" customFormat="false" ht="12.75" hidden="false" customHeight="false" outlineLevel="0" collapsed="false">
      <c r="A89" s="130"/>
    </row>
    <row r="90" customFormat="false" ht="12.75" hidden="false" customHeight="false" outlineLevel="0" collapsed="false">
      <c r="A90" s="130"/>
    </row>
    <row r="91" customFormat="false" ht="12.75" hidden="false" customHeight="false" outlineLevel="0" collapsed="false">
      <c r="A91" s="130"/>
    </row>
    <row r="92" customFormat="false" ht="12.75" hidden="false" customHeight="false" outlineLevel="0" collapsed="false">
      <c r="A92" s="130"/>
    </row>
    <row r="93" customFormat="false" ht="12.75" hidden="false" customHeight="false" outlineLevel="0" collapsed="false">
      <c r="A93" s="130"/>
    </row>
    <row r="94" customFormat="false" ht="12.75" hidden="false" customHeight="false" outlineLevel="0" collapsed="false">
      <c r="A94" s="130"/>
    </row>
    <row r="95" customFormat="false" ht="12.75" hidden="false" customHeight="false" outlineLevel="0" collapsed="false">
      <c r="A95" s="130"/>
    </row>
    <row r="96" customFormat="false" ht="12.75" hidden="false" customHeight="false" outlineLevel="0" collapsed="false">
      <c r="A96" s="130"/>
    </row>
    <row r="97" customFormat="false" ht="12.75" hidden="false" customHeight="false" outlineLevel="0" collapsed="false">
      <c r="A97" s="130"/>
    </row>
    <row r="98" customFormat="false" ht="12.75" hidden="false" customHeight="false" outlineLevel="0" collapsed="false">
      <c r="A98" s="130"/>
    </row>
    <row r="99" customFormat="false" ht="12.75" hidden="false" customHeight="false" outlineLevel="0" collapsed="false">
      <c r="A99" s="130"/>
    </row>
    <row r="100" customFormat="false" ht="12.75" hidden="false" customHeight="false" outlineLevel="0" collapsed="false">
      <c r="A100" s="130"/>
    </row>
    <row r="101" customFormat="false" ht="12.75" hidden="false" customHeight="false" outlineLevel="0" collapsed="false">
      <c r="A101" s="130"/>
    </row>
    <row r="102" customFormat="false" ht="12.75" hidden="false" customHeight="false" outlineLevel="0" collapsed="false">
      <c r="A102" s="130"/>
    </row>
    <row r="103" customFormat="false" ht="12.75" hidden="false" customHeight="false" outlineLevel="0" collapsed="false">
      <c r="A103" s="130"/>
    </row>
    <row r="104" customFormat="false" ht="12.75" hidden="false" customHeight="false" outlineLevel="0" collapsed="false">
      <c r="A104" s="130"/>
    </row>
    <row r="105" customFormat="false" ht="12.75" hidden="false" customHeight="false" outlineLevel="0" collapsed="false">
      <c r="A105" s="130"/>
    </row>
    <row r="106" customFormat="false" ht="12.75" hidden="false" customHeight="false" outlineLevel="0" collapsed="false">
      <c r="A106" s="130"/>
    </row>
    <row r="107" customFormat="false" ht="12.75" hidden="false" customHeight="false" outlineLevel="0" collapsed="false">
      <c r="A107" s="130"/>
    </row>
    <row r="108" customFormat="false" ht="12.75" hidden="false" customHeight="false" outlineLevel="0" collapsed="false">
      <c r="A108" s="130"/>
    </row>
    <row r="109" customFormat="false" ht="12.75" hidden="false" customHeight="false" outlineLevel="0" collapsed="false">
      <c r="A109" s="130"/>
    </row>
    <row r="110" customFormat="false" ht="12.75" hidden="false" customHeight="false" outlineLevel="0" collapsed="false">
      <c r="A110" s="130"/>
    </row>
    <row r="111" customFormat="false" ht="12.75" hidden="false" customHeight="false" outlineLevel="0" collapsed="false">
      <c r="A111" s="130"/>
    </row>
    <row r="112" customFormat="false" ht="12.75" hidden="false" customHeight="false" outlineLevel="0" collapsed="false">
      <c r="A112" s="130"/>
    </row>
    <row r="113" customFormat="false" ht="12.75" hidden="false" customHeight="false" outlineLevel="0" collapsed="false">
      <c r="A113" s="130"/>
    </row>
    <row r="114" customFormat="false" ht="12.75" hidden="false" customHeight="false" outlineLevel="0" collapsed="false">
      <c r="A114" s="130"/>
    </row>
    <row r="115" customFormat="false" ht="12.75" hidden="false" customHeight="false" outlineLevel="0" collapsed="false">
      <c r="A115" s="130"/>
    </row>
    <row r="116" customFormat="false" ht="12.75" hidden="false" customHeight="false" outlineLevel="0" collapsed="false">
      <c r="A116" s="130"/>
    </row>
    <row r="117" customFormat="false" ht="12.75" hidden="false" customHeight="false" outlineLevel="0" collapsed="false">
      <c r="A117" s="130"/>
    </row>
    <row r="118" customFormat="false" ht="12.75" hidden="false" customHeight="false" outlineLevel="0" collapsed="false">
      <c r="A118" s="130"/>
    </row>
    <row r="119" customFormat="false" ht="12.75" hidden="false" customHeight="false" outlineLevel="0" collapsed="false">
      <c r="A119" s="130"/>
    </row>
    <row r="120" customFormat="false" ht="12.75" hidden="false" customHeight="false" outlineLevel="0" collapsed="false">
      <c r="A120" s="130"/>
    </row>
    <row r="121" customFormat="false" ht="12.75" hidden="false" customHeight="false" outlineLevel="0" collapsed="false">
      <c r="A121" s="130"/>
    </row>
    <row r="122" customFormat="false" ht="12.75" hidden="false" customHeight="false" outlineLevel="0" collapsed="false">
      <c r="A122" s="130"/>
    </row>
    <row r="123" customFormat="false" ht="12.75" hidden="false" customHeight="false" outlineLevel="0" collapsed="false">
      <c r="A123" s="130"/>
    </row>
    <row r="124" customFormat="false" ht="12.75" hidden="false" customHeight="false" outlineLevel="0" collapsed="false">
      <c r="A124" s="130"/>
    </row>
    <row r="125" customFormat="false" ht="12.75" hidden="false" customHeight="false" outlineLevel="0" collapsed="false">
      <c r="A125" s="130"/>
    </row>
    <row r="126" customFormat="false" ht="12.75" hidden="false" customHeight="false" outlineLevel="0" collapsed="false">
      <c r="A126" s="130"/>
    </row>
    <row r="127" customFormat="false" ht="12.75" hidden="false" customHeight="false" outlineLevel="0" collapsed="false">
      <c r="A127" s="130"/>
    </row>
    <row r="128" customFormat="false" ht="12.75" hidden="false" customHeight="false" outlineLevel="0" collapsed="false">
      <c r="A128" s="130"/>
    </row>
    <row r="129" customFormat="false" ht="12.75" hidden="false" customHeight="false" outlineLevel="0" collapsed="false">
      <c r="A129" s="130"/>
    </row>
    <row r="130" customFormat="false" ht="12.75" hidden="false" customHeight="false" outlineLevel="0" collapsed="false">
      <c r="A130" s="130"/>
    </row>
    <row r="131" customFormat="false" ht="12.75" hidden="false" customHeight="false" outlineLevel="0" collapsed="false">
      <c r="A131" s="130"/>
    </row>
    <row r="132" customFormat="false" ht="12.75" hidden="false" customHeight="false" outlineLevel="0" collapsed="false">
      <c r="A132" s="130"/>
    </row>
    <row r="133" customFormat="false" ht="12.75" hidden="false" customHeight="false" outlineLevel="0" collapsed="false">
      <c r="A133" s="130"/>
    </row>
    <row r="134" customFormat="false" ht="12.75" hidden="false" customHeight="false" outlineLevel="0" collapsed="false">
      <c r="A134" s="130"/>
    </row>
    <row r="135" customFormat="false" ht="12.75" hidden="false" customHeight="false" outlineLevel="0" collapsed="false">
      <c r="A135" s="130"/>
    </row>
    <row r="136" customFormat="false" ht="12.75" hidden="false" customHeight="false" outlineLevel="0" collapsed="false">
      <c r="A136" s="130"/>
    </row>
    <row r="137" customFormat="false" ht="12.75" hidden="false" customHeight="false" outlineLevel="0" collapsed="false">
      <c r="A137" s="130"/>
    </row>
    <row r="138" customFormat="false" ht="12.75" hidden="false" customHeight="false" outlineLevel="0" collapsed="false">
      <c r="A138" s="130"/>
    </row>
    <row r="139" customFormat="false" ht="12.75" hidden="false" customHeight="false" outlineLevel="0" collapsed="false">
      <c r="A139" s="130"/>
    </row>
    <row r="140" customFormat="false" ht="12.75" hidden="false" customHeight="false" outlineLevel="0" collapsed="false">
      <c r="A140" s="130"/>
    </row>
    <row r="141" customFormat="false" ht="12.75" hidden="false" customHeight="false" outlineLevel="0" collapsed="false">
      <c r="A141" s="130"/>
    </row>
    <row r="142" customFormat="false" ht="12.75" hidden="false" customHeight="false" outlineLevel="0" collapsed="false">
      <c r="A142" s="130"/>
    </row>
    <row r="143" customFormat="false" ht="12.75" hidden="false" customHeight="false" outlineLevel="0" collapsed="false">
      <c r="A143" s="130"/>
    </row>
    <row r="144" customFormat="false" ht="12.75" hidden="false" customHeight="false" outlineLevel="0" collapsed="false">
      <c r="A144" s="130"/>
    </row>
    <row r="145" customFormat="false" ht="12.75" hidden="false" customHeight="false" outlineLevel="0" collapsed="false">
      <c r="A145" s="130"/>
    </row>
    <row r="146" customFormat="false" ht="12.75" hidden="false" customHeight="false" outlineLevel="0" collapsed="false">
      <c r="A146" s="130"/>
    </row>
    <row r="147" customFormat="false" ht="12.75" hidden="false" customHeight="false" outlineLevel="0" collapsed="false">
      <c r="A147" s="130"/>
    </row>
    <row r="148" customFormat="false" ht="12.75" hidden="false" customHeight="false" outlineLevel="0" collapsed="false">
      <c r="A148" s="130"/>
    </row>
    <row r="149" customFormat="false" ht="12.75" hidden="false" customHeight="false" outlineLevel="0" collapsed="false">
      <c r="A149" s="130"/>
    </row>
    <row r="150" customFormat="false" ht="12.75" hidden="false" customHeight="false" outlineLevel="0" collapsed="false">
      <c r="A150" s="130"/>
    </row>
    <row r="151" customFormat="false" ht="12.75" hidden="false" customHeight="false" outlineLevel="0" collapsed="false">
      <c r="A151" s="130"/>
    </row>
    <row r="152" customFormat="false" ht="12.75" hidden="false" customHeight="false" outlineLevel="0" collapsed="false">
      <c r="A152" s="130"/>
    </row>
    <row r="153" customFormat="false" ht="12.75" hidden="false" customHeight="false" outlineLevel="0" collapsed="false">
      <c r="A153" s="130"/>
    </row>
    <row r="154" customFormat="false" ht="12.75" hidden="false" customHeight="false" outlineLevel="0" collapsed="false">
      <c r="A154" s="130"/>
    </row>
    <row r="155" customFormat="false" ht="12.75" hidden="false" customHeight="false" outlineLevel="0" collapsed="false">
      <c r="A155" s="130"/>
    </row>
    <row r="156" customFormat="false" ht="12.75" hidden="false" customHeight="false" outlineLevel="0" collapsed="false">
      <c r="A156" s="130"/>
    </row>
    <row r="157" customFormat="false" ht="12.75" hidden="false" customHeight="false" outlineLevel="0" collapsed="false">
      <c r="A157" s="130"/>
    </row>
    <row r="158" customFormat="false" ht="12.75" hidden="false" customHeight="false" outlineLevel="0" collapsed="false">
      <c r="A158" s="130"/>
    </row>
    <row r="159" customFormat="false" ht="12.75" hidden="false" customHeight="false" outlineLevel="0" collapsed="false">
      <c r="A159" s="130"/>
    </row>
    <row r="160" customFormat="false" ht="12.75" hidden="false" customHeight="false" outlineLevel="0" collapsed="false">
      <c r="A160" s="130"/>
    </row>
    <row r="161" customFormat="false" ht="12.75" hidden="false" customHeight="false" outlineLevel="0" collapsed="false">
      <c r="A161" s="130"/>
    </row>
    <row r="162" customFormat="false" ht="12.75" hidden="false" customHeight="false" outlineLevel="0" collapsed="false">
      <c r="A162" s="130"/>
    </row>
    <row r="163" customFormat="false" ht="12.75" hidden="false" customHeight="false" outlineLevel="0" collapsed="false">
      <c r="A163" s="130"/>
    </row>
    <row r="164" customFormat="false" ht="12.75" hidden="false" customHeight="false" outlineLevel="0" collapsed="false">
      <c r="A164" s="130"/>
    </row>
    <row r="165" customFormat="false" ht="12.75" hidden="false" customHeight="false" outlineLevel="0" collapsed="false">
      <c r="A165" s="130"/>
    </row>
    <row r="166" customFormat="false" ht="12.75" hidden="false" customHeight="false" outlineLevel="0" collapsed="false">
      <c r="A166" s="130"/>
    </row>
    <row r="167" customFormat="false" ht="12.75" hidden="false" customHeight="false" outlineLevel="0" collapsed="false">
      <c r="A167" s="130"/>
    </row>
    <row r="168" customFormat="false" ht="12.75" hidden="false" customHeight="false" outlineLevel="0" collapsed="false">
      <c r="A168" s="130"/>
    </row>
    <row r="169" customFormat="false" ht="12.75" hidden="false" customHeight="false" outlineLevel="0" collapsed="false">
      <c r="A169" s="130"/>
    </row>
    <row r="170" customFormat="false" ht="12.75" hidden="false" customHeight="false" outlineLevel="0" collapsed="false">
      <c r="A170" s="130"/>
    </row>
    <row r="171" customFormat="false" ht="12.75" hidden="false" customHeight="false" outlineLevel="0" collapsed="false">
      <c r="A171" s="130"/>
    </row>
    <row r="172" customFormat="false" ht="12.75" hidden="false" customHeight="false" outlineLevel="0" collapsed="false">
      <c r="A172" s="130"/>
    </row>
    <row r="173" customFormat="false" ht="12.75" hidden="false" customHeight="false" outlineLevel="0" collapsed="false">
      <c r="A173" s="130"/>
    </row>
    <row r="174" customFormat="false" ht="12.75" hidden="false" customHeight="false" outlineLevel="0" collapsed="false">
      <c r="A174" s="130"/>
    </row>
    <row r="175" customFormat="false" ht="12.75" hidden="false" customHeight="false" outlineLevel="0" collapsed="false">
      <c r="A175" s="130"/>
    </row>
    <row r="176" customFormat="false" ht="12.75" hidden="false" customHeight="false" outlineLevel="0" collapsed="false">
      <c r="A176" s="130"/>
    </row>
    <row r="177" customFormat="false" ht="12.75" hidden="false" customHeight="false" outlineLevel="0" collapsed="false">
      <c r="A177" s="130"/>
    </row>
    <row r="178" customFormat="false" ht="12.75" hidden="false" customHeight="false" outlineLevel="0" collapsed="false">
      <c r="A178" s="130"/>
    </row>
    <row r="179" customFormat="false" ht="12.75" hidden="false" customHeight="false" outlineLevel="0" collapsed="false">
      <c r="A179" s="130"/>
    </row>
    <row r="180" customFormat="false" ht="12.75" hidden="false" customHeight="false" outlineLevel="0" collapsed="false">
      <c r="A180" s="130"/>
    </row>
    <row r="181" customFormat="false" ht="12.75" hidden="false" customHeight="false" outlineLevel="0" collapsed="false">
      <c r="A181" s="130"/>
    </row>
    <row r="182" customFormat="false" ht="12.75" hidden="false" customHeight="false" outlineLevel="0" collapsed="false">
      <c r="A182" s="130"/>
    </row>
    <row r="183" customFormat="false" ht="12.75" hidden="false" customHeight="false" outlineLevel="0" collapsed="false">
      <c r="A183" s="130"/>
    </row>
    <row r="184" customFormat="false" ht="12.75" hidden="false" customHeight="false" outlineLevel="0" collapsed="false">
      <c r="A184" s="130"/>
    </row>
    <row r="185" customFormat="false" ht="12.75" hidden="false" customHeight="false" outlineLevel="0" collapsed="false">
      <c r="A185" s="130"/>
    </row>
    <row r="186" customFormat="false" ht="12.75" hidden="false" customHeight="false" outlineLevel="0" collapsed="false">
      <c r="A186" s="130"/>
    </row>
    <row r="187" customFormat="false" ht="12.75" hidden="false" customHeight="false" outlineLevel="0" collapsed="false">
      <c r="A187" s="130"/>
    </row>
    <row r="188" customFormat="false" ht="12.75" hidden="false" customHeight="false" outlineLevel="0" collapsed="false">
      <c r="A188" s="130"/>
    </row>
    <row r="189" customFormat="false" ht="12.75" hidden="false" customHeight="false" outlineLevel="0" collapsed="false">
      <c r="A189" s="130"/>
    </row>
    <row r="190" customFormat="false" ht="12.75" hidden="false" customHeight="false" outlineLevel="0" collapsed="false">
      <c r="A190" s="130"/>
    </row>
    <row r="191" customFormat="false" ht="12.75" hidden="false" customHeight="false" outlineLevel="0" collapsed="false">
      <c r="A191" s="130"/>
    </row>
    <row r="192" customFormat="false" ht="12.75" hidden="false" customHeight="false" outlineLevel="0" collapsed="false">
      <c r="A192" s="130"/>
    </row>
    <row r="193" customFormat="false" ht="12.75" hidden="false" customHeight="false" outlineLevel="0" collapsed="false">
      <c r="A193" s="130"/>
    </row>
    <row r="194" customFormat="false" ht="12.75" hidden="false" customHeight="false" outlineLevel="0" collapsed="false">
      <c r="A194" s="130"/>
    </row>
    <row r="195" customFormat="false" ht="12.75" hidden="false" customHeight="false" outlineLevel="0" collapsed="false">
      <c r="A195" s="130"/>
    </row>
    <row r="196" customFormat="false" ht="12.75" hidden="false" customHeight="false" outlineLevel="0" collapsed="false">
      <c r="A196" s="130"/>
    </row>
    <row r="197" customFormat="false" ht="12.75" hidden="false" customHeight="false" outlineLevel="0" collapsed="false">
      <c r="A197" s="130"/>
    </row>
    <row r="198" customFormat="false" ht="12.75" hidden="false" customHeight="false" outlineLevel="0" collapsed="false">
      <c r="A198" s="130"/>
    </row>
    <row r="199" customFormat="false" ht="12.75" hidden="false" customHeight="false" outlineLevel="0" collapsed="false">
      <c r="A199" s="130"/>
    </row>
    <row r="200" customFormat="false" ht="12.75" hidden="false" customHeight="false" outlineLevel="0" collapsed="false">
      <c r="A200" s="130"/>
    </row>
    <row r="201" customFormat="false" ht="12.75" hidden="false" customHeight="false" outlineLevel="0" collapsed="false">
      <c r="A201" s="130"/>
    </row>
    <row r="202" customFormat="false" ht="12.75" hidden="false" customHeight="false" outlineLevel="0" collapsed="false">
      <c r="A202" s="130"/>
    </row>
    <row r="203" customFormat="false" ht="12.75" hidden="false" customHeight="false" outlineLevel="0" collapsed="false">
      <c r="A203" s="130"/>
    </row>
    <row r="204" customFormat="false" ht="12.75" hidden="false" customHeight="false" outlineLevel="0" collapsed="false">
      <c r="A204" s="130"/>
    </row>
    <row r="205" customFormat="false" ht="12.75" hidden="false" customHeight="false" outlineLevel="0" collapsed="false">
      <c r="A205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2000-02-09T20:50:56Z</dcterms:created>
  <dc:creator>Eric Bass</dc:creator>
  <dc:description/>
  <dc:language>en-US</dc:language>
  <cp:lastModifiedBy>Eric Bass</cp:lastModifiedBy>
  <cp:lastPrinted>2000-02-14T17:48:57Z</cp:lastPrinted>
  <cp:revision>0</cp:revision>
  <dc:subject/>
  <dc:title/>
</cp:coreProperties>
</file>