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Quote" sheetId="2" state="visible" r:id="rId4"/>
    <sheet name="Inputs" sheetId="3" state="visible" r:id="rId5"/>
    <sheet name="Spread Option" sheetId="4" state="visible" r:id="rId6"/>
  </sheets>
  <externalReferences>
    <externalReference r:id="rId7"/>
  </externalReferences>
  <definedNames>
    <definedName function="false" hidden="false" localSheetId="3" name="_xlnm.Print_Area" vbProcedure="false">'Spread Option'!$B$10:$AT$129</definedName>
    <definedName function="false" hidden="false" localSheetId="3" name="_xlnm.Print_Titles" vbProcedure="false">'Spread Option'!$A:$A,'Spread Option'!$1:$6</definedName>
    <definedName function="false" hidden="false" name="Curves" vbProcedure="false">#REF!</definedName>
    <definedName function="false" hidden="false" name="DemandCharge" vbProcedure="false">#REF!</definedName>
    <definedName function="false" hidden="false" name="Months" vbProcedure="false">#REF!</definedName>
    <definedName function="false" hidden="false" name="mthbeg" vbProcedure="false">#REF!</definedName>
    <definedName function="false" hidden="false" name="mthend" vbProcedure="false">#REF!</definedName>
    <definedName function="false" hidden="false" name="Rates" vbProcedure="false">#REF!</definedName>
    <definedName function="false" hidden="false" name="sencount" vbProcedure="false">1</definedName>
    <definedName function="false" hidden="false" name="Table" vbProcedure="false">#REF!</definedName>
    <definedName function="false" hidden="false" name="TPortCharges" vbProcedure="false">#REF!</definedName>
    <definedName function="false" hidden="false" name="Volumes" vbProcedure="false">#REF!</definedName>
    <definedName function="false" hidden="false" name="Years" vbProcedure="false">#REF!</definedName>
    <definedName function="false" hidden="false" localSheetId="3" name="mthbeg" vbProcedure="false">'Spread Option'!$A$3</definedName>
    <definedName function="false" hidden="false" localSheetId="3" name="mthend" vbProcedure="false">'Spread Option'!$B$3</definedName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<sst xmlns="http://schemas.openxmlformats.org/spreadsheetml/2006/main" count="173" uniqueCount="101">
  <si>
    <t xml:space="preserve">Trader</t>
  </si>
  <si>
    <t xml:space="preserve">Originator</t>
  </si>
  <si>
    <t xml:space="preserve">Structurer</t>
  </si>
  <si>
    <t xml:space="preserve">Customer</t>
  </si>
  <si>
    <t xml:space="preserve">Andy Zipper</t>
  </si>
  <si>
    <t xml:space="preserve">Kim Ward</t>
  </si>
  <si>
    <t xml:space="preserve">Kelli Little  x5-3419</t>
  </si>
  <si>
    <t xml:space="preserve">Tucson Electric</t>
  </si>
  <si>
    <t xml:space="preserve">Field / Location</t>
  </si>
  <si>
    <t xml:space="preserve">El Paso San Juan</t>
  </si>
  <si>
    <t xml:space="preserve">Start</t>
  </si>
  <si>
    <t xml:space="preserve">Stop</t>
  </si>
  <si>
    <t xml:space="preserve">Daily</t>
  </si>
  <si>
    <t xml:space="preserve">Date</t>
  </si>
  <si>
    <t xml:space="preserve">Term</t>
  </si>
  <si>
    <t xml:space="preserve">MMbtu</t>
  </si>
  <si>
    <t xml:space="preserve">NOTES</t>
  </si>
  <si>
    <t xml:space="preserve">Pricing Pt.</t>
  </si>
  <si>
    <t xml:space="preserve">Strike</t>
  </si>
  <si>
    <t xml:space="preserve">Option Premium</t>
  </si>
  <si>
    <t xml:space="preserve">5 Months</t>
  </si>
  <si>
    <t xml:space="preserve">Financial call option on the spread between San Juan and Socal.</t>
  </si>
  <si>
    <t xml:space="preserve">IF-ELPO/SJ, NGI-Socal</t>
  </si>
  <si>
    <t xml:space="preserve">Spread Option Inputs</t>
  </si>
  <si>
    <t xml:space="preserve">Start Date</t>
  </si>
  <si>
    <t xml:space="preserve">Stop Date</t>
  </si>
  <si>
    <t xml:space="preserve">Curve Date</t>
  </si>
  <si>
    <t xml:space="preserve">Volumes</t>
  </si>
  <si>
    <t xml:space="preserve">Daily=1/Monthly=2</t>
  </si>
  <si>
    <t xml:space="preserve">Desk Position</t>
  </si>
  <si>
    <t xml:space="preserve">1= Buy Call</t>
  </si>
  <si>
    <t xml:space="preserve">2 = Buy Put</t>
  </si>
  <si>
    <t xml:space="preserve">Physical=1/Financial=2</t>
  </si>
  <si>
    <t xml:space="preserve">Cost of Funds (bp)</t>
  </si>
  <si>
    <t xml:space="preserve">Strike Price</t>
  </si>
  <si>
    <t xml:space="preserve">NYMEX Spread</t>
  </si>
  <si>
    <t xml:space="preserve">Commodity A</t>
  </si>
  <si>
    <t xml:space="preserve">Commodity B</t>
  </si>
  <si>
    <t xml:space="preserve">Correlation</t>
  </si>
  <si>
    <t xml:space="preserve">Price Curve</t>
  </si>
  <si>
    <t xml:space="preserve">IF-FGT/MKTAREA</t>
  </si>
  <si>
    <t xml:space="preserve">IF-FGT/Z2</t>
  </si>
  <si>
    <t xml:space="preserve">daily</t>
  </si>
  <si>
    <t xml:space="preserve">Monthly Vol Curve</t>
  </si>
  <si>
    <t xml:space="preserve">IF-FGT/MKT-P2X</t>
  </si>
  <si>
    <t xml:space="preserve">VO</t>
  </si>
  <si>
    <t xml:space="preserve">monthly</t>
  </si>
  <si>
    <t xml:space="preserve">Daily Vol Curve</t>
  </si>
  <si>
    <t xml:space="preserve">Basis Spread</t>
  </si>
  <si>
    <t xml:space="preserve">Index Spread</t>
  </si>
  <si>
    <t xml:space="preserve">SUMMARY</t>
  </si>
  <si>
    <t xml:space="preserve">Intrinsic Value</t>
  </si>
  <si>
    <t xml:space="preserve">Option</t>
  </si>
  <si>
    <t xml:space="preserve">Total</t>
  </si>
  <si>
    <t xml:space="preserve">(Basis Spread-</t>
  </si>
  <si>
    <t xml:space="preserve">Extrinsic</t>
  </si>
  <si>
    <t xml:space="preserve">Commodity&amp;Fuel)</t>
  </si>
  <si>
    <t xml:space="preserve">Value</t>
  </si>
  <si>
    <t xml:space="preserve">Mark Date</t>
  </si>
  <si>
    <t xml:space="preserve">Phy1 Fin2</t>
  </si>
  <si>
    <t xml:space="preserve">Buy1 Sell2</t>
  </si>
  <si>
    <t xml:space="preserve">Real</t>
  </si>
  <si>
    <t xml:space="preserve">PV</t>
  </si>
  <si>
    <t xml:space="preserve">NG-P</t>
  </si>
  <si>
    <t xml:space="preserve">VO-P</t>
  </si>
  <si>
    <t xml:space="preserve"> </t>
  </si>
  <si>
    <t xml:space="preserve">Accum</t>
  </si>
  <si>
    <t xml:space="preserve">LIBOR-AA</t>
  </si>
  <si>
    <t xml:space="preserve">Delivery</t>
  </si>
  <si>
    <t xml:space="preserve">Monthly</t>
  </si>
  <si>
    <t xml:space="preserve">Nymex</t>
  </si>
  <si>
    <t xml:space="preserve">Basis</t>
  </si>
  <si>
    <t xml:space="preserve">Index</t>
  </si>
  <si>
    <t xml:space="preserve">Total Price</t>
  </si>
  <si>
    <t xml:space="preserve">Daily Vol</t>
  </si>
  <si>
    <t xml:space="preserve"> Monthly Vol</t>
  </si>
  <si>
    <t xml:space="preserve">Blended</t>
  </si>
  <si>
    <t xml:space="preserve">Monthly Vol</t>
  </si>
  <si>
    <t xml:space="preserve">Intrinsic</t>
  </si>
  <si>
    <t xml:space="preserve">Premium</t>
  </si>
  <si>
    <t xml:space="preserve">Calendar</t>
  </si>
  <si>
    <t xml:space="preserve">Discount</t>
  </si>
  <si>
    <t xml:space="preserve">Libor</t>
  </si>
  <si>
    <t xml:space="preserve">Active</t>
  </si>
  <si>
    <t xml:space="preserve">Month</t>
  </si>
  <si>
    <t xml:space="preserve">MMBtu</t>
  </si>
  <si>
    <t xml:space="preserve">Mid</t>
  </si>
  <si>
    <t xml:space="preserve">Bid/Offer</t>
  </si>
  <si>
    <t xml:space="preserve">Contract</t>
  </si>
  <si>
    <t xml:space="preserve">Offer</t>
  </si>
  <si>
    <t xml:space="preserve">Bid</t>
  </si>
  <si>
    <t xml:space="preserve">Vol</t>
  </si>
  <si>
    <t xml:space="preserve">Expire Date</t>
  </si>
  <si>
    <t xml:space="preserve">Expire Days</t>
  </si>
  <si>
    <t xml:space="preserve">Type</t>
  </si>
  <si>
    <t xml:space="preserve">per mmbtu</t>
  </si>
  <si>
    <t xml:space="preserve">Days</t>
  </si>
  <si>
    <t xml:space="preserve">AA</t>
  </si>
  <si>
    <t xml:space="preserve">Factor</t>
  </si>
  <si>
    <t xml:space="preserve">Months</t>
  </si>
  <si>
    <t xml:space="preserve">SWAP PRICE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</si>
</sst>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m/d/yy"/>
    <numFmt numFmtId="173" formatCode="_(* #,##0.00_);_(* \(#,##0.00\);_(* \-??_);_(@_)"/>
    <numFmt numFmtId="174" formatCode="\$#,##0.00_);[RED]&quot;($&quot;#,##0.00\)"/>
    <numFmt numFmtId="175" formatCode="\$#,##0.00"/>
    <numFmt numFmtId="176" formatCode="[$-409]mmm\-yy"/>
    <numFmt numFmtId="177" formatCode="[$-409]m/d/yyyy"/>
    <numFmt numFmtId="178" formatCode="\$#,##0.000_);[RED]&quot;($&quot;#,##0.000\)"/>
    <numFmt numFmtId="179" formatCode="0%"/>
    <numFmt numFmtId="180" formatCode="\$#,##0.0000_);[RED]&quot;($&quot;#,##0.0000\)"/>
    <numFmt numFmtId="181" formatCode="0.0000"/>
    <numFmt numFmtId="182" formatCode="mm/dd/yy"/>
    <numFmt numFmtId="183" formatCode="\$#,##0.0000"/>
    <numFmt numFmtId="184" formatCode="0.0000_);\(0.0000\)"/>
    <numFmt numFmtId="185" formatCode="\$#,##0.0_);[RED]&quot;($&quot;#,##0.0\)"/>
    <numFmt numFmtId="186" formatCode="#,##0.000_);\(#,##0.000\)"/>
    <numFmt numFmtId="187" formatCode="0.000000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Arial"/>
      <family val="2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5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2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8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2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_%20Calpine%20Spread%20Op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oday" refersTo="[1]Curves!$A$6"/>
      <definedName name="CurveTable" refersTo="[1]Curves!$C$8:$AC$443"/>
      <definedName name="CurveType" refersTo="[1]Curves!$C$8:$AC$8"/>
    </definedNames>
    <sheetDataSet>
      <sheetData sheetId="0">
        <row r="6">
          <cell r="A6">
            <v>37187</v>
          </cell>
        </row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IF-FGT/Z2-D</v>
          </cell>
          <cell r="H8" t="str">
            <v>IF-FGT/Z2-I</v>
          </cell>
          <cell r="I8" t="str">
            <v>IF-FGT/Z3-D</v>
          </cell>
          <cell r="J8" t="str">
            <v>IF-FGT/Z3-I</v>
          </cell>
          <cell r="K8" t="str">
            <v>IF-FGT/MKT-D</v>
          </cell>
          <cell r="L8" t="str">
            <v>IF-FGT/MKT-I</v>
          </cell>
          <cell r="M8" t="str">
            <v>IF-FGT/MKTAREA-D</v>
          </cell>
          <cell r="N8" t="str">
            <v>IF-FGT/MKTAREA-I</v>
          </cell>
          <cell r="O8" t="str">
            <v>none-D</v>
          </cell>
          <cell r="P8" t="str">
            <v>none-VO</v>
          </cell>
        </row>
        <row r="8">
          <cell r="R8" t="str">
            <v>IF-FGT/MKT-P2X-P</v>
          </cell>
          <cell r="S8" t="str">
            <v>IF-FGT/MKT-P1.5X-P</v>
          </cell>
          <cell r="T8" t="str">
            <v>-D</v>
          </cell>
          <cell r="U8" t="str">
            <v>-I</v>
          </cell>
          <cell r="V8" t="str">
            <v>-D</v>
          </cell>
          <cell r="W8" t="str">
            <v>-I</v>
          </cell>
          <cell r="X8" t="str">
            <v>-P</v>
          </cell>
          <cell r="Y8" t="str">
            <v>-P</v>
          </cell>
          <cell r="Z8" t="str">
            <v>-P</v>
          </cell>
        </row>
        <row r="9">
          <cell r="R9">
            <v>2</v>
          </cell>
          <cell r="S9">
            <v>1.5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  <cell r="H10">
            <v>4</v>
          </cell>
          <cell r="I10">
            <v>5</v>
          </cell>
          <cell r="J10">
            <v>5</v>
          </cell>
        </row>
        <row r="11">
          <cell r="C11" t="str">
            <v>Effective Date</v>
          </cell>
          <cell r="D11">
            <v>37187</v>
          </cell>
          <cell r="E11">
            <v>37187</v>
          </cell>
          <cell r="F11">
            <v>37187</v>
          </cell>
          <cell r="G11">
            <v>37187</v>
          </cell>
          <cell r="H11">
            <v>37187</v>
          </cell>
          <cell r="I11">
            <v>37187</v>
          </cell>
          <cell r="J11">
            <v>37187</v>
          </cell>
          <cell r="K11">
            <v>37187</v>
          </cell>
          <cell r="L11">
            <v>37181</v>
          </cell>
          <cell r="M11">
            <v>37187</v>
          </cell>
          <cell r="N11">
            <v>37181</v>
          </cell>
          <cell r="O11">
            <v>37187</v>
          </cell>
          <cell r="P11">
            <v>37187</v>
          </cell>
        </row>
        <row r="11">
          <cell r="R11">
            <v>37181</v>
          </cell>
          <cell r="S11">
            <v>37181</v>
          </cell>
          <cell r="T11">
            <v>37187</v>
          </cell>
          <cell r="U11">
            <v>37187</v>
          </cell>
          <cell r="V11">
            <v>37187</v>
          </cell>
          <cell r="W11">
            <v>37187</v>
          </cell>
          <cell r="X11">
            <v>37187</v>
          </cell>
          <cell r="Y11">
            <v>37187</v>
          </cell>
          <cell r="Z11">
            <v>37187</v>
          </cell>
        </row>
        <row r="12">
          <cell r="C12" t="str">
            <v>Prompt Month</v>
          </cell>
          <cell r="D12">
            <v>37196</v>
          </cell>
          <cell r="E12">
            <v>37196</v>
          </cell>
          <cell r="F12">
            <v>37196</v>
          </cell>
          <cell r="G12">
            <v>37196</v>
          </cell>
          <cell r="H12">
            <v>37196</v>
          </cell>
          <cell r="I12">
            <v>37196</v>
          </cell>
          <cell r="J12">
            <v>37196</v>
          </cell>
          <cell r="K12">
            <v>37196</v>
          </cell>
          <cell r="L12">
            <v>37196</v>
          </cell>
          <cell r="M12">
            <v>37196</v>
          </cell>
          <cell r="N12">
            <v>37196</v>
          </cell>
          <cell r="O12">
            <v>37196</v>
          </cell>
          <cell r="P12">
            <v>37196</v>
          </cell>
        </row>
        <row r="12">
          <cell r="R12">
            <v>37196</v>
          </cell>
          <cell r="S12">
            <v>37196</v>
          </cell>
          <cell r="T12">
            <v>37196</v>
          </cell>
          <cell r="U12">
            <v>37196</v>
          </cell>
          <cell r="V12">
            <v>37196</v>
          </cell>
          <cell r="W12">
            <v>37196</v>
          </cell>
          <cell r="X12">
            <v>37196</v>
          </cell>
          <cell r="Y12">
            <v>37196</v>
          </cell>
          <cell r="Z12">
            <v>37196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IF-FGT/Z2</v>
          </cell>
          <cell r="H13" t="str">
            <v>IF-FGT/Z2</v>
          </cell>
          <cell r="I13" t="str">
            <v>IF-FGT/Z3</v>
          </cell>
          <cell r="J13" t="str">
            <v>IF-FGT/Z3</v>
          </cell>
          <cell r="K13" t="str">
            <v>IF-FGT/MKT</v>
          </cell>
          <cell r="L13" t="str">
            <v>IF-FGT/MKT</v>
          </cell>
          <cell r="M13" t="str">
            <v>IF-FGT/MKTAREA</v>
          </cell>
          <cell r="N13" t="str">
            <v>IF-FGT/MKTAREA</v>
          </cell>
          <cell r="O13" t="str">
            <v>none</v>
          </cell>
          <cell r="P13" t="str">
            <v>none</v>
          </cell>
        </row>
        <row r="13">
          <cell r="R13" t="str">
            <v>IF-FGT/MKT</v>
          </cell>
          <cell r="S13" t="str">
            <v>IF-FGT/MKT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PR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  <cell r="N14" t="str">
            <v>PR</v>
          </cell>
          <cell r="O14" t="str">
            <v>PR</v>
          </cell>
          <cell r="P14" t="str">
            <v>VO</v>
          </cell>
        </row>
        <row r="14">
          <cell r="R14" t="str">
            <v>VO</v>
          </cell>
          <cell r="S14" t="str">
            <v>VO</v>
          </cell>
          <cell r="T14" t="str">
            <v>PR</v>
          </cell>
          <cell r="U14" t="str">
            <v>PR</v>
          </cell>
          <cell r="V14" t="str">
            <v>PR</v>
          </cell>
          <cell r="W14" t="str">
            <v>PR</v>
          </cell>
          <cell r="X14" t="str">
            <v>VO</v>
          </cell>
          <cell r="Y14" t="str">
            <v>VO</v>
          </cell>
          <cell r="Z14" t="str">
            <v>VO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D</v>
          </cell>
          <cell r="H15" t="str">
            <v>I</v>
          </cell>
          <cell r="I15" t="str">
            <v>D</v>
          </cell>
          <cell r="J15" t="str">
            <v>I</v>
          </cell>
          <cell r="K15" t="str">
            <v>D</v>
          </cell>
          <cell r="L15" t="str">
            <v>I</v>
          </cell>
          <cell r="M15" t="str">
            <v>D</v>
          </cell>
          <cell r="N15" t="str">
            <v>I</v>
          </cell>
          <cell r="O15" t="str">
            <v>D</v>
          </cell>
          <cell r="P15" t="str">
            <v>P</v>
          </cell>
        </row>
        <row r="15">
          <cell r="R15" t="str">
            <v>P</v>
          </cell>
          <cell r="S15" t="str">
            <v>P</v>
          </cell>
          <cell r="T15" t="str">
            <v>D</v>
          </cell>
          <cell r="U15" t="str">
            <v>I</v>
          </cell>
          <cell r="V15" t="str">
            <v>D</v>
          </cell>
          <cell r="W15" t="str">
            <v>I</v>
          </cell>
          <cell r="X15" t="str">
            <v>P</v>
          </cell>
          <cell r="Y15" t="str">
            <v>P</v>
          </cell>
          <cell r="Z15" t="str">
            <v>P</v>
          </cell>
        </row>
        <row r="16">
          <cell r="C16" t="str">
            <v>Publisher</v>
          </cell>
          <cell r="D16" t="str">
            <v>ATEST_PC</v>
          </cell>
          <cell r="E16" t="str">
            <v>DQUIGLE</v>
          </cell>
          <cell r="F16" t="str">
            <v>DQUIGLE</v>
          </cell>
          <cell r="G16" t="str">
            <v>SBRAWNE</v>
          </cell>
          <cell r="H16" t="str">
            <v>SBRAWNE</v>
          </cell>
          <cell r="I16" t="str">
            <v>SBRAWNE</v>
          </cell>
          <cell r="J16" t="str">
            <v>SBRAWNE</v>
          </cell>
          <cell r="K16" t="str">
            <v>BMCKAY_PC</v>
          </cell>
        </row>
        <row r="16">
          <cell r="M16" t="str">
            <v>JROYED</v>
          </cell>
          <cell r="N16" t="str">
            <v>JROYED</v>
          </cell>
        </row>
        <row r="17">
          <cell r="C17">
            <v>37196</v>
          </cell>
          <cell r="D17">
            <v>0.0261070694271357</v>
          </cell>
          <cell r="E17">
            <v>2.681</v>
          </cell>
          <cell r="F17">
            <v>1.1</v>
          </cell>
          <cell r="G17">
            <v>0.0075</v>
          </cell>
          <cell r="H17">
            <v>-0.02</v>
          </cell>
          <cell r="I17">
            <v>-0.0325</v>
          </cell>
          <cell r="J17">
            <v>-0.01</v>
          </cell>
          <cell r="K17">
            <v>0.22</v>
          </cell>
        </row>
        <row r="17">
          <cell r="M17">
            <v>0.22</v>
          </cell>
          <cell r="N17">
            <v>0</v>
          </cell>
        </row>
        <row r="17">
          <cell r="R17">
            <v>1.1</v>
          </cell>
          <cell r="S17">
            <v>1.1</v>
          </cell>
        </row>
        <row r="18">
          <cell r="C18">
            <v>37226</v>
          </cell>
          <cell r="D18">
            <v>0.0246451704484381</v>
          </cell>
          <cell r="E18">
            <v>2.935</v>
          </cell>
          <cell r="F18">
            <v>0.765</v>
          </cell>
          <cell r="G18">
            <v>0.005</v>
          </cell>
          <cell r="H18">
            <v>-0.0025</v>
          </cell>
          <cell r="I18">
            <v>-0.035</v>
          </cell>
          <cell r="J18">
            <v>-0.0025</v>
          </cell>
          <cell r="K18">
            <v>0.2</v>
          </cell>
        </row>
        <row r="18">
          <cell r="M18">
            <v>0.2</v>
          </cell>
          <cell r="N18">
            <v>0</v>
          </cell>
        </row>
        <row r="18">
          <cell r="R18">
            <v>0.765</v>
          </cell>
          <cell r="S18">
            <v>0.765</v>
          </cell>
        </row>
        <row r="19">
          <cell r="C19">
            <v>37257</v>
          </cell>
          <cell r="D19">
            <v>0.0240753473490614</v>
          </cell>
          <cell r="E19">
            <v>3.11</v>
          </cell>
          <cell r="F19">
            <v>0.7575</v>
          </cell>
          <cell r="G19">
            <v>0.005</v>
          </cell>
          <cell r="H19">
            <v>-0.0025</v>
          </cell>
          <cell r="I19">
            <v>-0.035</v>
          </cell>
          <cell r="J19">
            <v>-0.0025</v>
          </cell>
          <cell r="K19">
            <v>0.35</v>
          </cell>
        </row>
        <row r="19">
          <cell r="M19">
            <v>0.075</v>
          </cell>
          <cell r="N19">
            <v>0</v>
          </cell>
        </row>
        <row r="19">
          <cell r="R19">
            <v>0.7575</v>
          </cell>
          <cell r="S19">
            <v>0.7575</v>
          </cell>
        </row>
        <row r="20">
          <cell r="C20">
            <v>37288</v>
          </cell>
          <cell r="D20">
            <v>0.0238777263165941</v>
          </cell>
          <cell r="E20">
            <v>3.117</v>
          </cell>
          <cell r="F20">
            <v>0.7025</v>
          </cell>
          <cell r="G20">
            <v>0.005</v>
          </cell>
          <cell r="H20">
            <v>-0.0025</v>
          </cell>
          <cell r="I20">
            <v>-0.035</v>
          </cell>
          <cell r="J20">
            <v>-0.0025</v>
          </cell>
          <cell r="K20">
            <v>0.35</v>
          </cell>
        </row>
        <row r="20">
          <cell r="M20">
            <v>0.1</v>
          </cell>
          <cell r="N20">
            <v>0</v>
          </cell>
        </row>
        <row r="20">
          <cell r="R20">
            <v>0.7025</v>
          </cell>
          <cell r="S20">
            <v>0.7025</v>
          </cell>
        </row>
        <row r="21">
          <cell r="C21">
            <v>37316</v>
          </cell>
          <cell r="D21">
            <v>0.0235548849717935</v>
          </cell>
          <cell r="E21">
            <v>3.074</v>
          </cell>
          <cell r="F21">
            <v>0.63</v>
          </cell>
          <cell r="G21">
            <v>0.005</v>
          </cell>
          <cell r="H21">
            <v>-0.0025</v>
          </cell>
          <cell r="I21">
            <v>-0.035</v>
          </cell>
          <cell r="J21">
            <v>-0.0025</v>
          </cell>
          <cell r="K21">
            <v>0.4</v>
          </cell>
        </row>
        <row r="21">
          <cell r="M21">
            <v>0.25</v>
          </cell>
          <cell r="N21">
            <v>0</v>
          </cell>
        </row>
        <row r="21">
          <cell r="R21">
            <v>0.63</v>
          </cell>
          <cell r="S21">
            <v>0.63</v>
          </cell>
        </row>
        <row r="22">
          <cell r="C22">
            <v>37347</v>
          </cell>
          <cell r="D22">
            <v>0.0233747461551128</v>
          </cell>
          <cell r="E22">
            <v>2.982</v>
          </cell>
          <cell r="F22">
            <v>0.5175</v>
          </cell>
          <cell r="G22">
            <v>0.01</v>
          </cell>
          <cell r="H22">
            <v>0.005</v>
          </cell>
          <cell r="I22">
            <v>-0.0225</v>
          </cell>
          <cell r="J22">
            <v>0.005</v>
          </cell>
          <cell r="K22">
            <v>0.6</v>
          </cell>
        </row>
        <row r="22">
          <cell r="M22">
            <v>0.45</v>
          </cell>
          <cell r="N22">
            <v>0</v>
          </cell>
        </row>
        <row r="22">
          <cell r="R22">
            <v>0.5175</v>
          </cell>
          <cell r="S22">
            <v>0.5175</v>
          </cell>
        </row>
        <row r="23">
          <cell r="C23">
            <v>37377</v>
          </cell>
          <cell r="D23">
            <v>0.0234340284021202</v>
          </cell>
          <cell r="E23">
            <v>3.013</v>
          </cell>
          <cell r="F23">
            <v>0.465</v>
          </cell>
          <cell r="G23">
            <v>0.01</v>
          </cell>
          <cell r="H23">
            <v>0.005</v>
          </cell>
          <cell r="I23">
            <v>-0.0225</v>
          </cell>
          <cell r="J23">
            <v>0.005</v>
          </cell>
          <cell r="K23">
            <v>0.75</v>
          </cell>
        </row>
        <row r="23">
          <cell r="M23">
            <v>0.6</v>
          </cell>
          <cell r="N23">
            <v>0</v>
          </cell>
        </row>
        <row r="23">
          <cell r="R23">
            <v>0.93</v>
          </cell>
          <cell r="S23">
            <v>0.6975</v>
          </cell>
        </row>
        <row r="24">
          <cell r="C24">
            <v>37408</v>
          </cell>
          <cell r="D24">
            <v>0.0234952867252769</v>
          </cell>
          <cell r="E24">
            <v>3.063</v>
          </cell>
          <cell r="F24">
            <v>0.455</v>
          </cell>
          <cell r="G24">
            <v>0.0125</v>
          </cell>
          <cell r="H24">
            <v>0.005</v>
          </cell>
          <cell r="I24">
            <v>-0.02</v>
          </cell>
          <cell r="J24">
            <v>0.005</v>
          </cell>
          <cell r="K24">
            <v>0.85</v>
          </cell>
        </row>
        <row r="24">
          <cell r="M24">
            <v>0.7</v>
          </cell>
          <cell r="N24">
            <v>0</v>
          </cell>
        </row>
        <row r="24">
          <cell r="R24">
            <v>0.91</v>
          </cell>
          <cell r="S24">
            <v>0.6825</v>
          </cell>
        </row>
        <row r="25">
          <cell r="C25">
            <v>37438</v>
          </cell>
          <cell r="D25">
            <v>0.0236609101237324</v>
          </cell>
          <cell r="E25">
            <v>3.103</v>
          </cell>
          <cell r="F25">
            <v>0.455</v>
          </cell>
          <cell r="G25">
            <v>0.01</v>
          </cell>
          <cell r="H25">
            <v>0.005</v>
          </cell>
          <cell r="I25">
            <v>-0.0225</v>
          </cell>
          <cell r="J25">
            <v>0.005</v>
          </cell>
          <cell r="K25">
            <v>1.05</v>
          </cell>
        </row>
        <row r="25">
          <cell r="M25">
            <v>0.9</v>
          </cell>
          <cell r="N25">
            <v>0</v>
          </cell>
        </row>
        <row r="25">
          <cell r="R25">
            <v>0.91</v>
          </cell>
          <cell r="S25">
            <v>0.6825</v>
          </cell>
        </row>
        <row r="26">
          <cell r="C26">
            <v>37469</v>
          </cell>
          <cell r="D26">
            <v>0.024004072908745</v>
          </cell>
          <cell r="E26">
            <v>3.145</v>
          </cell>
          <cell r="F26">
            <v>0.455</v>
          </cell>
          <cell r="G26">
            <v>0.0075</v>
          </cell>
          <cell r="H26">
            <v>0.005</v>
          </cell>
          <cell r="I26">
            <v>-0.025</v>
          </cell>
          <cell r="J26">
            <v>0.005</v>
          </cell>
          <cell r="K26">
            <v>1.05</v>
          </cell>
        </row>
        <row r="26">
          <cell r="M26">
            <v>0.9</v>
          </cell>
          <cell r="N26">
            <v>0</v>
          </cell>
        </row>
        <row r="26">
          <cell r="R26">
            <v>0.91</v>
          </cell>
          <cell r="S26">
            <v>0.6825</v>
          </cell>
        </row>
        <row r="27">
          <cell r="C27">
            <v>37500</v>
          </cell>
          <cell r="D27">
            <v>0.0243472357335808</v>
          </cell>
          <cell r="E27">
            <v>3.145</v>
          </cell>
          <cell r="F27">
            <v>0.455</v>
          </cell>
          <cell r="G27">
            <v>0.0075</v>
          </cell>
          <cell r="H27">
            <v>0.005</v>
          </cell>
          <cell r="I27">
            <v>-0.025</v>
          </cell>
          <cell r="J27">
            <v>0.005</v>
          </cell>
          <cell r="K27">
            <v>0.75</v>
          </cell>
        </row>
        <row r="27">
          <cell r="M27">
            <v>0.6</v>
          </cell>
          <cell r="N27">
            <v>0</v>
          </cell>
        </row>
        <row r="27">
          <cell r="R27">
            <v>0.91</v>
          </cell>
          <cell r="S27">
            <v>0.6825</v>
          </cell>
        </row>
        <row r="28">
          <cell r="C28">
            <v>37530</v>
          </cell>
          <cell r="D28">
            <v>0.0247538471927373</v>
          </cell>
          <cell r="E28">
            <v>3.175</v>
          </cell>
          <cell r="F28">
            <v>0.455</v>
          </cell>
          <cell r="G28">
            <v>0.0075</v>
          </cell>
          <cell r="H28">
            <v>0.005</v>
          </cell>
          <cell r="I28">
            <v>-0.025</v>
          </cell>
          <cell r="J28">
            <v>0.005</v>
          </cell>
          <cell r="K28">
            <v>0.45</v>
          </cell>
        </row>
        <row r="28">
          <cell r="M28">
            <v>0.3</v>
          </cell>
          <cell r="N28">
            <v>0</v>
          </cell>
        </row>
        <row r="28">
          <cell r="R28">
            <v>0.455</v>
          </cell>
          <cell r="S28">
            <v>0.455</v>
          </cell>
        </row>
        <row r="29">
          <cell r="C29">
            <v>37561</v>
          </cell>
          <cell r="D29">
            <v>0.0252798210372323</v>
          </cell>
          <cell r="E29">
            <v>3.36</v>
          </cell>
          <cell r="F29">
            <v>0.455</v>
          </cell>
          <cell r="G29">
            <v>0.005</v>
          </cell>
          <cell r="H29">
            <v>0.005</v>
          </cell>
          <cell r="I29">
            <v>-0.0225</v>
          </cell>
          <cell r="J29">
            <v>0.0025</v>
          </cell>
          <cell r="K29">
            <v>0.45</v>
          </cell>
        </row>
        <row r="29">
          <cell r="M29">
            <v>0.27</v>
          </cell>
          <cell r="N29">
            <v>0</v>
          </cell>
        </row>
        <row r="29">
          <cell r="R29">
            <v>0.455</v>
          </cell>
          <cell r="S29">
            <v>0.455</v>
          </cell>
        </row>
        <row r="30">
          <cell r="C30">
            <v>37591</v>
          </cell>
          <cell r="D30">
            <v>0.0257888280725389</v>
          </cell>
          <cell r="E30">
            <v>3.57</v>
          </cell>
          <cell r="F30">
            <v>0.4525</v>
          </cell>
          <cell r="G30">
            <v>0.005</v>
          </cell>
          <cell r="H30">
            <v>0.005</v>
          </cell>
          <cell r="I30">
            <v>-0.0225</v>
          </cell>
          <cell r="J30">
            <v>0.0025</v>
          </cell>
          <cell r="K30">
            <v>0.4</v>
          </cell>
        </row>
        <row r="30">
          <cell r="M30">
            <v>0.25</v>
          </cell>
          <cell r="N30">
            <v>0</v>
          </cell>
        </row>
        <row r="30">
          <cell r="R30">
            <v>0.4525</v>
          </cell>
          <cell r="S30">
            <v>0.4525</v>
          </cell>
        </row>
        <row r="31">
          <cell r="C31">
            <v>37622</v>
          </cell>
          <cell r="D31">
            <v>0.026368072268864</v>
          </cell>
          <cell r="E31">
            <v>3.695</v>
          </cell>
          <cell r="F31">
            <v>0.4525</v>
          </cell>
          <cell r="G31">
            <v>0.005</v>
          </cell>
          <cell r="H31">
            <v>0.005</v>
          </cell>
          <cell r="I31">
            <v>-0.0225</v>
          </cell>
          <cell r="J31">
            <v>0.0025</v>
          </cell>
          <cell r="K31">
            <v>0.35</v>
          </cell>
        </row>
        <row r="31">
          <cell r="M31">
            <v>0.075</v>
          </cell>
          <cell r="N31">
            <v>0</v>
          </cell>
        </row>
        <row r="31">
          <cell r="R31">
            <v>0.4525</v>
          </cell>
          <cell r="S31">
            <v>0.4525</v>
          </cell>
        </row>
        <row r="32">
          <cell r="C32">
            <v>37653</v>
          </cell>
          <cell r="D32">
            <v>0.0270120017963156</v>
          </cell>
          <cell r="E32">
            <v>3.613</v>
          </cell>
          <cell r="F32">
            <v>0.445</v>
          </cell>
          <cell r="G32">
            <v>0.005</v>
          </cell>
          <cell r="H32">
            <v>0.005</v>
          </cell>
          <cell r="I32">
            <v>-0.0225</v>
          </cell>
          <cell r="J32">
            <v>0.0025</v>
          </cell>
          <cell r="K32">
            <v>0.35</v>
          </cell>
        </row>
        <row r="32">
          <cell r="M32">
            <v>0.075</v>
          </cell>
          <cell r="N32">
            <v>0</v>
          </cell>
        </row>
        <row r="32">
          <cell r="R32">
            <v>0.445</v>
          </cell>
          <cell r="S32">
            <v>0.445</v>
          </cell>
        </row>
        <row r="33">
          <cell r="C33">
            <v>37681</v>
          </cell>
          <cell r="D33">
            <v>0.0275936156833914</v>
          </cell>
          <cell r="E33">
            <v>3.518</v>
          </cell>
          <cell r="F33">
            <v>0.4275</v>
          </cell>
          <cell r="G33">
            <v>0.005</v>
          </cell>
          <cell r="H33">
            <v>0.005</v>
          </cell>
          <cell r="I33">
            <v>-0.0225</v>
          </cell>
          <cell r="J33">
            <v>0.0025</v>
          </cell>
          <cell r="K33">
            <v>0.4</v>
          </cell>
        </row>
        <row r="33">
          <cell r="M33">
            <v>0.25</v>
          </cell>
          <cell r="N33">
            <v>0</v>
          </cell>
        </row>
        <row r="33">
          <cell r="R33">
            <v>0.4275</v>
          </cell>
          <cell r="S33">
            <v>0.4275</v>
          </cell>
        </row>
        <row r="34">
          <cell r="C34">
            <v>37712</v>
          </cell>
          <cell r="D34">
            <v>0.0282349961411921</v>
          </cell>
          <cell r="E34">
            <v>3.393</v>
          </cell>
          <cell r="F34">
            <v>0.38</v>
          </cell>
          <cell r="G34">
            <v>0.01</v>
          </cell>
          <cell r="H34">
            <v>0.005</v>
          </cell>
          <cell r="I34">
            <v>-0.0175</v>
          </cell>
          <cell r="J34">
            <v>0.005</v>
          </cell>
          <cell r="K34">
            <v>0.6</v>
          </cell>
        </row>
        <row r="34">
          <cell r="M34">
            <v>0.5</v>
          </cell>
          <cell r="N34">
            <v>0</v>
          </cell>
        </row>
        <row r="34">
          <cell r="R34">
            <v>0.38</v>
          </cell>
          <cell r="S34">
            <v>0.38</v>
          </cell>
        </row>
        <row r="35">
          <cell r="C35">
            <v>37742</v>
          </cell>
          <cell r="D35">
            <v>0.0288440481606167</v>
          </cell>
          <cell r="E35">
            <v>3.393</v>
          </cell>
          <cell r="F35">
            <v>0.3625</v>
          </cell>
          <cell r="G35">
            <v>0.01</v>
          </cell>
          <cell r="H35">
            <v>0.005</v>
          </cell>
          <cell r="I35">
            <v>-0.0175</v>
          </cell>
          <cell r="J35">
            <v>0.005</v>
          </cell>
          <cell r="K35">
            <v>0.75</v>
          </cell>
        </row>
        <row r="35">
          <cell r="M35">
            <v>0.65</v>
          </cell>
          <cell r="N35">
            <v>0</v>
          </cell>
        </row>
        <row r="35">
          <cell r="R35">
            <v>0.725</v>
          </cell>
          <cell r="S35">
            <v>0.54375</v>
          </cell>
        </row>
        <row r="36">
          <cell r="C36">
            <v>37773</v>
          </cell>
          <cell r="D36">
            <v>0.0294734020454923</v>
          </cell>
          <cell r="E36">
            <v>3.415</v>
          </cell>
          <cell r="F36">
            <v>0.3575</v>
          </cell>
          <cell r="G36">
            <v>0.0125</v>
          </cell>
          <cell r="H36">
            <v>0.005</v>
          </cell>
          <cell r="I36">
            <v>-0.015</v>
          </cell>
          <cell r="J36">
            <v>0.005</v>
          </cell>
          <cell r="K36">
            <v>0.85</v>
          </cell>
        </row>
        <row r="36">
          <cell r="M36">
            <v>0.75</v>
          </cell>
          <cell r="N36">
            <v>0</v>
          </cell>
        </row>
        <row r="36">
          <cell r="R36">
            <v>0.715</v>
          </cell>
          <cell r="S36">
            <v>0.53625</v>
          </cell>
        </row>
        <row r="37">
          <cell r="C37">
            <v>37803</v>
          </cell>
          <cell r="D37">
            <v>0.0300833414528716</v>
          </cell>
          <cell r="E37">
            <v>3.44</v>
          </cell>
          <cell r="F37">
            <v>0.3575</v>
          </cell>
          <cell r="G37">
            <v>0.01</v>
          </cell>
          <cell r="H37">
            <v>0.005</v>
          </cell>
          <cell r="I37">
            <v>-0.0175</v>
          </cell>
          <cell r="J37">
            <v>0.005</v>
          </cell>
          <cell r="K37">
            <v>1.05</v>
          </cell>
        </row>
        <row r="37">
          <cell r="M37">
            <v>0.95</v>
          </cell>
          <cell r="N37">
            <v>0</v>
          </cell>
        </row>
        <row r="37">
          <cell r="R37">
            <v>0.715</v>
          </cell>
          <cell r="S37">
            <v>0.53625</v>
          </cell>
        </row>
        <row r="38">
          <cell r="C38">
            <v>37834</v>
          </cell>
          <cell r="D38">
            <v>0.0307148924065186</v>
          </cell>
          <cell r="E38">
            <v>3.472</v>
          </cell>
          <cell r="F38">
            <v>0.3575</v>
          </cell>
          <cell r="G38">
            <v>0.0075</v>
          </cell>
          <cell r="H38">
            <v>0.005</v>
          </cell>
          <cell r="I38">
            <v>-0.02</v>
          </cell>
          <cell r="J38">
            <v>0.005</v>
          </cell>
          <cell r="K38">
            <v>1.05</v>
          </cell>
        </row>
        <row r="38">
          <cell r="M38">
            <v>0.95</v>
          </cell>
          <cell r="N38">
            <v>0</v>
          </cell>
        </row>
        <row r="38">
          <cell r="R38">
            <v>0.715</v>
          </cell>
          <cell r="S38">
            <v>0.53625</v>
          </cell>
        </row>
        <row r="39">
          <cell r="C39">
            <v>37865</v>
          </cell>
          <cell r="D39">
            <v>0.0313464434946029</v>
          </cell>
          <cell r="E39">
            <v>3.472</v>
          </cell>
          <cell r="F39">
            <v>0.3575</v>
          </cell>
          <cell r="G39">
            <v>0.0075</v>
          </cell>
          <cell r="H39">
            <v>0.005</v>
          </cell>
          <cell r="I39">
            <v>-0.02</v>
          </cell>
          <cell r="J39">
            <v>0.005</v>
          </cell>
          <cell r="K39">
            <v>0.75</v>
          </cell>
        </row>
        <row r="39">
          <cell r="M39">
            <v>0.65</v>
          </cell>
          <cell r="N39">
            <v>0</v>
          </cell>
        </row>
        <row r="39">
          <cell r="R39">
            <v>0.715</v>
          </cell>
          <cell r="S39">
            <v>0.53625</v>
          </cell>
        </row>
        <row r="40">
          <cell r="C40">
            <v>37895</v>
          </cell>
          <cell r="D40">
            <v>0.031947768598394</v>
          </cell>
          <cell r="E40">
            <v>3.487</v>
          </cell>
          <cell r="F40">
            <v>0.3575</v>
          </cell>
          <cell r="G40">
            <v>0.0075</v>
          </cell>
          <cell r="H40">
            <v>0.005</v>
          </cell>
          <cell r="I40">
            <v>-0.02</v>
          </cell>
          <cell r="J40">
            <v>0.005</v>
          </cell>
          <cell r="K40">
            <v>0.45</v>
          </cell>
        </row>
        <row r="40">
          <cell r="M40">
            <v>0.35</v>
          </cell>
          <cell r="N40">
            <v>0</v>
          </cell>
        </row>
        <row r="40">
          <cell r="R40">
            <v>0.3575</v>
          </cell>
          <cell r="S40">
            <v>0.3575</v>
          </cell>
        </row>
        <row r="41">
          <cell r="C41">
            <v>37926</v>
          </cell>
          <cell r="D41">
            <v>0.0325568039920086</v>
          </cell>
          <cell r="E41">
            <v>3.65</v>
          </cell>
          <cell r="F41">
            <v>0.3575</v>
          </cell>
          <cell r="G41">
            <v>0.005</v>
          </cell>
          <cell r="H41">
            <v>0.0075</v>
          </cell>
          <cell r="I41">
            <v>-0.02</v>
          </cell>
          <cell r="J41">
            <v>0.0025</v>
          </cell>
          <cell r="K41">
            <v>0.45</v>
          </cell>
        </row>
        <row r="41">
          <cell r="M41">
            <v>0.27</v>
          </cell>
          <cell r="N41">
            <v>0</v>
          </cell>
        </row>
        <row r="41">
          <cell r="R41">
            <v>0.3575</v>
          </cell>
          <cell r="S41">
            <v>0.3575</v>
          </cell>
        </row>
        <row r="42">
          <cell r="C42">
            <v>37956</v>
          </cell>
          <cell r="D42">
            <v>0.0331461932015329</v>
          </cell>
          <cell r="E42">
            <v>3.797</v>
          </cell>
          <cell r="F42">
            <v>0.3575</v>
          </cell>
          <cell r="G42">
            <v>0.005</v>
          </cell>
          <cell r="H42">
            <v>0.0075</v>
          </cell>
          <cell r="I42">
            <v>-0.02</v>
          </cell>
          <cell r="J42">
            <v>0.0025</v>
          </cell>
          <cell r="K42">
            <v>0.4</v>
          </cell>
        </row>
        <row r="42">
          <cell r="M42">
            <v>0.25</v>
          </cell>
          <cell r="N42">
            <v>0</v>
          </cell>
        </row>
        <row r="42">
          <cell r="R42">
            <v>0.3575</v>
          </cell>
          <cell r="S42">
            <v>0.3575</v>
          </cell>
        </row>
        <row r="43">
          <cell r="C43">
            <v>37987</v>
          </cell>
          <cell r="D43">
            <v>0.0337492469024419</v>
          </cell>
          <cell r="E43">
            <v>3.837</v>
          </cell>
          <cell r="F43">
            <v>0.3525</v>
          </cell>
          <cell r="G43">
            <v>0.005</v>
          </cell>
          <cell r="H43">
            <v>0.0075</v>
          </cell>
          <cell r="I43">
            <v>-0.02</v>
          </cell>
          <cell r="J43">
            <v>0.0025</v>
          </cell>
          <cell r="K43">
            <v>0.35</v>
          </cell>
        </row>
        <row r="43">
          <cell r="M43">
            <v>0.075</v>
          </cell>
          <cell r="N43">
            <v>0</v>
          </cell>
        </row>
        <row r="43">
          <cell r="R43">
            <v>0.3525</v>
          </cell>
          <cell r="S43">
            <v>0.3525</v>
          </cell>
        </row>
        <row r="44">
          <cell r="C44">
            <v>38018</v>
          </cell>
          <cell r="D44">
            <v>0.0343459199901104</v>
          </cell>
          <cell r="E44">
            <v>3.75</v>
          </cell>
          <cell r="F44">
            <v>0.3475</v>
          </cell>
          <cell r="G44">
            <v>0.005</v>
          </cell>
          <cell r="H44">
            <v>0.0075</v>
          </cell>
          <cell r="I44">
            <v>-0.02</v>
          </cell>
          <cell r="J44">
            <v>0.0025</v>
          </cell>
          <cell r="K44">
            <v>0.35</v>
          </cell>
        </row>
        <row r="44">
          <cell r="M44">
            <v>0.075</v>
          </cell>
          <cell r="N44">
            <v>0</v>
          </cell>
        </row>
        <row r="44">
          <cell r="R44">
            <v>0.3475</v>
          </cell>
          <cell r="S44">
            <v>0.3475</v>
          </cell>
        </row>
        <row r="45">
          <cell r="C45">
            <v>38047</v>
          </cell>
          <cell r="D45">
            <v>0.034904098148306</v>
          </cell>
          <cell r="E45">
            <v>3.611</v>
          </cell>
          <cell r="F45">
            <v>0.335</v>
          </cell>
          <cell r="G45">
            <v>0.005</v>
          </cell>
          <cell r="H45">
            <v>0.0075</v>
          </cell>
          <cell r="I45">
            <v>-0.02</v>
          </cell>
          <cell r="J45">
            <v>0.0025</v>
          </cell>
          <cell r="K45">
            <v>0.4</v>
          </cell>
        </row>
        <row r="45">
          <cell r="M45">
            <v>0.25</v>
          </cell>
          <cell r="N45">
            <v>0</v>
          </cell>
        </row>
        <row r="45">
          <cell r="R45">
            <v>0.335</v>
          </cell>
          <cell r="S45">
            <v>0.335</v>
          </cell>
        </row>
        <row r="46">
          <cell r="C46">
            <v>38078</v>
          </cell>
          <cell r="D46">
            <v>0.0354666715538041</v>
          </cell>
          <cell r="E46">
            <v>3.457</v>
          </cell>
          <cell r="F46">
            <v>0.3075</v>
          </cell>
          <cell r="G46">
            <v>0.009</v>
          </cell>
          <cell r="H46">
            <v>0.005</v>
          </cell>
          <cell r="I46">
            <v>-0.016</v>
          </cell>
          <cell r="J46">
            <v>0.0075</v>
          </cell>
          <cell r="K46">
            <v>0.6</v>
          </cell>
        </row>
        <row r="46">
          <cell r="M46">
            <v>0.55</v>
          </cell>
          <cell r="N46">
            <v>0</v>
          </cell>
        </row>
        <row r="46">
          <cell r="R46">
            <v>0.3075</v>
          </cell>
          <cell r="S46">
            <v>0.3075</v>
          </cell>
        </row>
        <row r="47">
          <cell r="C47">
            <v>38108</v>
          </cell>
          <cell r="D47">
            <v>0.035975897614188</v>
          </cell>
          <cell r="E47">
            <v>3.462</v>
          </cell>
          <cell r="F47">
            <v>0.3025</v>
          </cell>
          <cell r="G47">
            <v>0.009</v>
          </cell>
          <cell r="H47">
            <v>0.005</v>
          </cell>
          <cell r="I47">
            <v>-0.016</v>
          </cell>
          <cell r="J47">
            <v>0.0075</v>
          </cell>
          <cell r="K47">
            <v>0.75</v>
          </cell>
        </row>
        <row r="47">
          <cell r="M47">
            <v>0.7</v>
          </cell>
          <cell r="N47">
            <v>0</v>
          </cell>
        </row>
        <row r="47">
          <cell r="R47">
            <v>0.605</v>
          </cell>
          <cell r="S47">
            <v>0.45375</v>
          </cell>
        </row>
        <row r="48">
          <cell r="C48">
            <v>38139</v>
          </cell>
          <cell r="D48">
            <v>0.0365020979681674</v>
          </cell>
          <cell r="E48">
            <v>3.5</v>
          </cell>
          <cell r="F48">
            <v>0.3025</v>
          </cell>
          <cell r="G48">
            <v>0.0115</v>
          </cell>
          <cell r="H48">
            <v>0.005</v>
          </cell>
          <cell r="I48">
            <v>-0.0135</v>
          </cell>
          <cell r="J48">
            <v>0.0075</v>
          </cell>
          <cell r="K48">
            <v>0.85</v>
          </cell>
        </row>
        <row r="48">
          <cell r="M48">
            <v>0.8</v>
          </cell>
          <cell r="N48">
            <v>0</v>
          </cell>
        </row>
        <row r="48">
          <cell r="R48">
            <v>0.605</v>
          </cell>
          <cell r="S48">
            <v>0.45375</v>
          </cell>
        </row>
        <row r="49">
          <cell r="C49">
            <v>38169</v>
          </cell>
          <cell r="D49">
            <v>0.0369924836168933</v>
          </cell>
          <cell r="E49">
            <v>3.545</v>
          </cell>
          <cell r="F49">
            <v>0.3025</v>
          </cell>
          <cell r="G49">
            <v>0.009</v>
          </cell>
          <cell r="H49">
            <v>0.005</v>
          </cell>
          <cell r="I49">
            <v>-0.016</v>
          </cell>
          <cell r="J49">
            <v>0.0075</v>
          </cell>
          <cell r="K49">
            <v>1.05</v>
          </cell>
        </row>
        <row r="49">
          <cell r="M49">
            <v>1</v>
          </cell>
          <cell r="N49">
            <v>0</v>
          </cell>
        </row>
        <row r="49">
          <cell r="R49">
            <v>0.605</v>
          </cell>
          <cell r="S49">
            <v>0.45375</v>
          </cell>
        </row>
        <row r="50">
          <cell r="C50">
            <v>38200</v>
          </cell>
          <cell r="D50">
            <v>0.0374785437604142</v>
          </cell>
          <cell r="E50">
            <v>3.583</v>
          </cell>
          <cell r="F50">
            <v>0.3025</v>
          </cell>
          <cell r="G50">
            <v>0.0065</v>
          </cell>
          <cell r="H50">
            <v>0.005</v>
          </cell>
          <cell r="I50">
            <v>-0.0185</v>
          </cell>
          <cell r="J50">
            <v>0.0075</v>
          </cell>
          <cell r="K50">
            <v>1.05</v>
          </cell>
        </row>
        <row r="50">
          <cell r="M50">
            <v>1</v>
          </cell>
          <cell r="N50">
            <v>0</v>
          </cell>
        </row>
        <row r="50">
          <cell r="R50">
            <v>0.605</v>
          </cell>
          <cell r="S50">
            <v>0.45375</v>
          </cell>
        </row>
        <row r="51">
          <cell r="C51">
            <v>38231</v>
          </cell>
          <cell r="D51">
            <v>0.0379646039833008</v>
          </cell>
          <cell r="E51">
            <v>3.577</v>
          </cell>
          <cell r="F51">
            <v>0.3025</v>
          </cell>
          <cell r="G51">
            <v>0.0065</v>
          </cell>
          <cell r="H51">
            <v>0.005</v>
          </cell>
          <cell r="I51">
            <v>-0.0185</v>
          </cell>
          <cell r="J51">
            <v>0.0075</v>
          </cell>
          <cell r="K51">
            <v>0.75</v>
          </cell>
        </row>
        <row r="51">
          <cell r="M51">
            <v>0.65</v>
          </cell>
          <cell r="N51">
            <v>0</v>
          </cell>
        </row>
        <row r="51">
          <cell r="R51">
            <v>0.605</v>
          </cell>
          <cell r="S51">
            <v>0.45375</v>
          </cell>
        </row>
        <row r="52">
          <cell r="C52">
            <v>38261</v>
          </cell>
          <cell r="D52">
            <v>0.038416276345083</v>
          </cell>
          <cell r="E52">
            <v>3.577</v>
          </cell>
          <cell r="F52">
            <v>0.3025</v>
          </cell>
          <cell r="G52">
            <v>0.0065</v>
          </cell>
          <cell r="H52">
            <v>0.005</v>
          </cell>
          <cell r="I52">
            <v>-0.0185</v>
          </cell>
          <cell r="J52">
            <v>0.0075</v>
          </cell>
          <cell r="K52">
            <v>0.45</v>
          </cell>
        </row>
        <row r="52">
          <cell r="M52">
            <v>0.35</v>
          </cell>
          <cell r="N52">
            <v>0</v>
          </cell>
        </row>
        <row r="52">
          <cell r="R52">
            <v>0.3025</v>
          </cell>
          <cell r="S52">
            <v>0.3025</v>
          </cell>
        </row>
        <row r="53">
          <cell r="C53">
            <v>38292</v>
          </cell>
          <cell r="D53">
            <v>0.038865022537725</v>
          </cell>
          <cell r="E53">
            <v>3.725</v>
          </cell>
          <cell r="F53">
            <v>0.3025</v>
          </cell>
          <cell r="G53">
            <v>0.006</v>
          </cell>
          <cell r="H53">
            <v>0.0075</v>
          </cell>
          <cell r="I53">
            <v>-0.0165</v>
          </cell>
          <cell r="J53">
            <v>0.0025</v>
          </cell>
          <cell r="K53">
            <v>0.45</v>
          </cell>
        </row>
        <row r="53">
          <cell r="M53">
            <v>0.27</v>
          </cell>
          <cell r="N53">
            <v>0</v>
          </cell>
        </row>
        <row r="53">
          <cell r="R53">
            <v>0.3025</v>
          </cell>
          <cell r="S53">
            <v>0.3025</v>
          </cell>
        </row>
        <row r="54">
          <cell r="C54">
            <v>38322</v>
          </cell>
          <cell r="D54">
            <v>0.0392992931110996</v>
          </cell>
          <cell r="E54">
            <v>3.877</v>
          </cell>
          <cell r="F54">
            <v>0.3</v>
          </cell>
          <cell r="G54">
            <v>0.006</v>
          </cell>
          <cell r="H54">
            <v>0.0075</v>
          </cell>
          <cell r="I54">
            <v>-0.0165</v>
          </cell>
          <cell r="J54">
            <v>0.0025</v>
          </cell>
          <cell r="K54">
            <v>0.4</v>
          </cell>
        </row>
        <row r="54">
          <cell r="M54">
            <v>0.25</v>
          </cell>
          <cell r="N54">
            <v>0</v>
          </cell>
        </row>
        <row r="54">
          <cell r="R54">
            <v>0.3</v>
          </cell>
          <cell r="S54">
            <v>0.3</v>
          </cell>
        </row>
        <row r="55">
          <cell r="C55">
            <v>38353</v>
          </cell>
          <cell r="D55">
            <v>0.0397364606420343</v>
          </cell>
          <cell r="E55">
            <v>3.937</v>
          </cell>
          <cell r="F55">
            <v>0.3</v>
          </cell>
          <cell r="G55">
            <v>0.006</v>
          </cell>
          <cell r="H55">
            <v>0.0075</v>
          </cell>
          <cell r="I55">
            <v>-0.0165</v>
          </cell>
          <cell r="J55">
            <v>0.0025</v>
          </cell>
          <cell r="K55">
            <v>0.35</v>
          </cell>
        </row>
        <row r="55">
          <cell r="M55">
            <v>0.075</v>
          </cell>
          <cell r="N55">
            <v>0</v>
          </cell>
        </row>
        <row r="55">
          <cell r="R55">
            <v>0.3</v>
          </cell>
          <cell r="S55">
            <v>0.3</v>
          </cell>
        </row>
        <row r="56">
          <cell r="C56">
            <v>38384</v>
          </cell>
          <cell r="D56">
            <v>0.0401640927577325</v>
          </cell>
          <cell r="E56">
            <v>3.85</v>
          </cell>
          <cell r="F56">
            <v>0.2975</v>
          </cell>
          <cell r="G56">
            <v>0.006</v>
          </cell>
          <cell r="H56">
            <v>0.0075</v>
          </cell>
          <cell r="I56">
            <v>-0.0165</v>
          </cell>
          <cell r="J56">
            <v>0.0025</v>
          </cell>
          <cell r="K56">
            <v>0.35</v>
          </cell>
        </row>
        <row r="56">
          <cell r="M56">
            <v>0.075</v>
          </cell>
          <cell r="N56">
            <v>0</v>
          </cell>
        </row>
        <row r="56">
          <cell r="R56">
            <v>0.2975</v>
          </cell>
          <cell r="S56">
            <v>0.2975</v>
          </cell>
        </row>
        <row r="57">
          <cell r="C57">
            <v>38412</v>
          </cell>
          <cell r="D57">
            <v>0.0405503411730317</v>
          </cell>
          <cell r="E57">
            <v>3.711</v>
          </cell>
          <cell r="F57">
            <v>0.2825</v>
          </cell>
          <cell r="G57">
            <v>0.006</v>
          </cell>
          <cell r="H57">
            <v>0.0075</v>
          </cell>
          <cell r="I57">
            <v>-0.0165</v>
          </cell>
          <cell r="J57">
            <v>0.0025</v>
          </cell>
          <cell r="K57">
            <v>0.4</v>
          </cell>
        </row>
        <row r="57">
          <cell r="M57">
            <v>0.25</v>
          </cell>
          <cell r="N57">
            <v>0</v>
          </cell>
        </row>
        <row r="57">
          <cell r="R57">
            <v>0.2825</v>
          </cell>
          <cell r="S57">
            <v>0.2825</v>
          </cell>
        </row>
        <row r="58">
          <cell r="C58">
            <v>38443</v>
          </cell>
          <cell r="D58">
            <v>0.0409489742755182</v>
          </cell>
          <cell r="E58">
            <v>3.557</v>
          </cell>
          <cell r="F58">
            <v>0.27</v>
          </cell>
          <cell r="G58">
            <v>0.01</v>
          </cell>
          <cell r="H58">
            <v>0.0075</v>
          </cell>
          <cell r="I58">
            <v>-0.0125</v>
          </cell>
          <cell r="J58">
            <v>0.0075</v>
          </cell>
          <cell r="K58">
            <v>0.6</v>
          </cell>
        </row>
        <row r="58">
          <cell r="M58">
            <v>0.6</v>
          </cell>
          <cell r="N58">
            <v>0</v>
          </cell>
        </row>
        <row r="58">
          <cell r="R58">
            <v>0.27</v>
          </cell>
          <cell r="S58">
            <v>0.27</v>
          </cell>
        </row>
        <row r="59">
          <cell r="C59">
            <v>38473</v>
          </cell>
          <cell r="D59">
            <v>0.0413095040097891</v>
          </cell>
          <cell r="E59">
            <v>3.562</v>
          </cell>
          <cell r="F59">
            <v>0.2625</v>
          </cell>
          <cell r="G59">
            <v>0.01</v>
          </cell>
          <cell r="H59">
            <v>0.0075</v>
          </cell>
          <cell r="I59">
            <v>-0.0125</v>
          </cell>
          <cell r="J59">
            <v>0.0075</v>
          </cell>
          <cell r="K59">
            <v>0.75</v>
          </cell>
        </row>
        <row r="59">
          <cell r="M59">
            <v>0.75</v>
          </cell>
          <cell r="N59">
            <v>0</v>
          </cell>
        </row>
        <row r="59">
          <cell r="R59">
            <v>0.525</v>
          </cell>
          <cell r="S59">
            <v>0.39375</v>
          </cell>
        </row>
        <row r="60">
          <cell r="C60">
            <v>38504</v>
          </cell>
          <cell r="D60">
            <v>0.0416820514476561</v>
          </cell>
          <cell r="E60">
            <v>3.6</v>
          </cell>
          <cell r="F60">
            <v>0.2575</v>
          </cell>
          <cell r="G60">
            <v>0.0125</v>
          </cell>
          <cell r="H60">
            <v>0.0075</v>
          </cell>
          <cell r="I60">
            <v>-0.01</v>
          </cell>
          <cell r="J60">
            <v>0.0075</v>
          </cell>
          <cell r="K60">
            <v>0.85</v>
          </cell>
        </row>
        <row r="60">
          <cell r="M60">
            <v>0.85</v>
          </cell>
          <cell r="N60">
            <v>0</v>
          </cell>
        </row>
        <row r="60">
          <cell r="R60">
            <v>0.515</v>
          </cell>
          <cell r="S60">
            <v>0.38625</v>
          </cell>
        </row>
        <row r="61">
          <cell r="C61">
            <v>38534</v>
          </cell>
          <cell r="D61">
            <v>0.0420287904882368</v>
          </cell>
          <cell r="E61">
            <v>3.645</v>
          </cell>
          <cell r="F61">
            <v>0.2575</v>
          </cell>
          <cell r="G61">
            <v>0.01</v>
          </cell>
          <cell r="H61">
            <v>0.0075</v>
          </cell>
          <cell r="I61">
            <v>-0.0125</v>
          </cell>
          <cell r="J61">
            <v>0.0075</v>
          </cell>
          <cell r="K61">
            <v>1.05</v>
          </cell>
        </row>
        <row r="61">
          <cell r="M61">
            <v>1.05</v>
          </cell>
          <cell r="N61">
            <v>0</v>
          </cell>
        </row>
        <row r="61">
          <cell r="R61">
            <v>0.515</v>
          </cell>
          <cell r="S61">
            <v>0.38625</v>
          </cell>
        </row>
        <row r="62">
          <cell r="C62">
            <v>38565</v>
          </cell>
          <cell r="D62">
            <v>0.0423738174074688</v>
          </cell>
          <cell r="E62">
            <v>3.683</v>
          </cell>
          <cell r="F62">
            <v>0.2575</v>
          </cell>
          <cell r="G62">
            <v>0.0075</v>
          </cell>
          <cell r="H62">
            <v>0.0075</v>
          </cell>
          <cell r="I62">
            <v>-0.015</v>
          </cell>
          <cell r="J62">
            <v>0.0075</v>
          </cell>
          <cell r="K62">
            <v>1.05</v>
          </cell>
        </row>
        <row r="62">
          <cell r="M62">
            <v>1.05</v>
          </cell>
          <cell r="N62">
            <v>0</v>
          </cell>
        </row>
        <row r="62">
          <cell r="R62">
            <v>0.515</v>
          </cell>
          <cell r="S62">
            <v>0.38625</v>
          </cell>
        </row>
        <row r="63">
          <cell r="C63">
            <v>38596</v>
          </cell>
          <cell r="D63">
            <v>0.0427188443665964</v>
          </cell>
          <cell r="E63">
            <v>3.677</v>
          </cell>
          <cell r="F63">
            <v>0.2575</v>
          </cell>
          <cell r="G63">
            <v>0.0075</v>
          </cell>
          <cell r="H63">
            <v>0.0075</v>
          </cell>
          <cell r="I63">
            <v>-0.015</v>
          </cell>
          <cell r="J63">
            <v>0.0075</v>
          </cell>
          <cell r="K63">
            <v>0.75</v>
          </cell>
        </row>
        <row r="63">
          <cell r="M63">
            <v>0.65</v>
          </cell>
          <cell r="N63">
            <v>0</v>
          </cell>
        </row>
        <row r="63">
          <cell r="R63">
            <v>0.515</v>
          </cell>
          <cell r="S63">
            <v>0.38625</v>
          </cell>
        </row>
        <row r="64">
          <cell r="C64">
            <v>38626</v>
          </cell>
          <cell r="D64">
            <v>0.0430440979885494</v>
          </cell>
          <cell r="E64">
            <v>3.677</v>
          </cell>
          <cell r="F64">
            <v>0.2575</v>
          </cell>
          <cell r="G64">
            <v>0.0075</v>
          </cell>
          <cell r="H64">
            <v>0.0075</v>
          </cell>
          <cell r="I64">
            <v>-0.015</v>
          </cell>
          <cell r="J64">
            <v>0.0075</v>
          </cell>
          <cell r="K64">
            <v>0.45</v>
          </cell>
        </row>
        <row r="64">
          <cell r="M64">
            <v>0.35</v>
          </cell>
          <cell r="N64">
            <v>0</v>
          </cell>
        </row>
        <row r="64">
          <cell r="R64">
            <v>0.2575</v>
          </cell>
          <cell r="S64">
            <v>0.2575</v>
          </cell>
        </row>
        <row r="65">
          <cell r="C65">
            <v>38657</v>
          </cell>
          <cell r="D65">
            <v>0.0433610610254442</v>
          </cell>
          <cell r="E65">
            <v>3.825</v>
          </cell>
          <cell r="F65">
            <v>0.2575</v>
          </cell>
          <cell r="G65">
            <v>0.006</v>
          </cell>
          <cell r="H65">
            <v>0.0075</v>
          </cell>
          <cell r="I65">
            <v>-0.0165</v>
          </cell>
          <cell r="J65">
            <v>0.0025</v>
          </cell>
          <cell r="K65">
            <v>0.45</v>
          </cell>
        </row>
        <row r="65">
          <cell r="M65">
            <v>0.27</v>
          </cell>
          <cell r="N65">
            <v>0</v>
          </cell>
        </row>
        <row r="65">
          <cell r="R65">
            <v>0.2575</v>
          </cell>
          <cell r="S65">
            <v>0.2575</v>
          </cell>
        </row>
        <row r="66">
          <cell r="C66">
            <v>38687</v>
          </cell>
          <cell r="D66">
            <v>0.0436677994802879</v>
          </cell>
          <cell r="E66">
            <v>3.977</v>
          </cell>
          <cell r="F66">
            <v>0.2575</v>
          </cell>
          <cell r="G66">
            <v>0.006</v>
          </cell>
          <cell r="H66">
            <v>0.0075</v>
          </cell>
          <cell r="I66">
            <v>-0.0165</v>
          </cell>
          <cell r="J66">
            <v>0.0025</v>
          </cell>
          <cell r="K66">
            <v>0.4</v>
          </cell>
        </row>
        <row r="66">
          <cell r="M66">
            <v>0.25</v>
          </cell>
          <cell r="N66">
            <v>0</v>
          </cell>
        </row>
        <row r="66">
          <cell r="R66">
            <v>0.2575</v>
          </cell>
          <cell r="S66">
            <v>0.2575</v>
          </cell>
        </row>
        <row r="67">
          <cell r="C67">
            <v>38718</v>
          </cell>
          <cell r="D67">
            <v>0.0439657978848018</v>
          </cell>
          <cell r="E67">
            <v>4.0395</v>
          </cell>
          <cell r="F67">
            <v>0.2575</v>
          </cell>
          <cell r="G67">
            <v>0.006</v>
          </cell>
          <cell r="H67">
            <v>0.0075</v>
          </cell>
          <cell r="I67">
            <v>-0.0165</v>
          </cell>
          <cell r="J67">
            <v>0.0025</v>
          </cell>
          <cell r="K67">
            <v>0.35</v>
          </cell>
        </row>
        <row r="67">
          <cell r="M67">
            <v>0.075</v>
          </cell>
          <cell r="N67">
            <v>0</v>
          </cell>
        </row>
        <row r="67">
          <cell r="R67">
            <v>0.2575</v>
          </cell>
          <cell r="S67">
            <v>0.2575</v>
          </cell>
        </row>
        <row r="68">
          <cell r="C68">
            <v>38749</v>
          </cell>
          <cell r="D68">
            <v>0.0442293150457464</v>
          </cell>
          <cell r="E68">
            <v>3.9525</v>
          </cell>
          <cell r="F68">
            <v>0.25</v>
          </cell>
          <cell r="G68">
            <v>0.006</v>
          </cell>
          <cell r="H68">
            <v>0.0075</v>
          </cell>
          <cell r="I68">
            <v>-0.0165</v>
          </cell>
          <cell r="J68">
            <v>0.0025</v>
          </cell>
          <cell r="K68">
            <v>0.35</v>
          </cell>
        </row>
        <row r="68">
          <cell r="M68">
            <v>0.075</v>
          </cell>
          <cell r="N68">
            <v>0</v>
          </cell>
        </row>
        <row r="68">
          <cell r="R68">
            <v>0.25</v>
          </cell>
          <cell r="S68">
            <v>0.25</v>
          </cell>
        </row>
        <row r="69">
          <cell r="C69">
            <v>38777</v>
          </cell>
          <cell r="D69">
            <v>0.0444673305659382</v>
          </cell>
          <cell r="E69">
            <v>3.8135</v>
          </cell>
          <cell r="F69">
            <v>0.2425</v>
          </cell>
          <cell r="G69">
            <v>0.01</v>
          </cell>
          <cell r="H69">
            <v>0.0075</v>
          </cell>
          <cell r="I69">
            <v>-0.0125</v>
          </cell>
          <cell r="J69">
            <v>0.0025</v>
          </cell>
          <cell r="K69">
            <v>0.4</v>
          </cell>
        </row>
        <row r="69">
          <cell r="M69">
            <v>0.25</v>
          </cell>
          <cell r="N69">
            <v>0</v>
          </cell>
        </row>
        <row r="69">
          <cell r="R69">
            <v>0.2425</v>
          </cell>
          <cell r="S69">
            <v>0.2425</v>
          </cell>
        </row>
        <row r="70">
          <cell r="C70">
            <v>38808</v>
          </cell>
          <cell r="D70">
            <v>0.0447308477711319</v>
          </cell>
          <cell r="E70">
            <v>3.6595</v>
          </cell>
          <cell r="F70">
            <v>0.24</v>
          </cell>
          <cell r="G70">
            <v>0.01</v>
          </cell>
          <cell r="H70">
            <v>0.01</v>
          </cell>
          <cell r="I70">
            <v>-0.0125</v>
          </cell>
          <cell r="J70">
            <v>0.0075</v>
          </cell>
          <cell r="K70">
            <v>0.6</v>
          </cell>
        </row>
        <row r="70">
          <cell r="M70">
            <v>0.65</v>
          </cell>
          <cell r="N70">
            <v>0</v>
          </cell>
        </row>
        <row r="70">
          <cell r="R70">
            <v>0.24</v>
          </cell>
          <cell r="S70">
            <v>0.24</v>
          </cell>
        </row>
        <row r="71">
          <cell r="C71">
            <v>38838</v>
          </cell>
          <cell r="D71">
            <v>0.0449858644434515</v>
          </cell>
          <cell r="E71">
            <v>3.6645</v>
          </cell>
          <cell r="F71">
            <v>0.2375</v>
          </cell>
          <cell r="G71">
            <v>0.0125</v>
          </cell>
          <cell r="H71">
            <v>0.01</v>
          </cell>
          <cell r="I71">
            <v>-0.01</v>
          </cell>
          <cell r="J71">
            <v>0.0075</v>
          </cell>
          <cell r="K71">
            <v>0.75</v>
          </cell>
        </row>
        <row r="71">
          <cell r="M71">
            <v>0.8</v>
          </cell>
          <cell r="N71">
            <v>0</v>
          </cell>
        </row>
        <row r="71">
          <cell r="R71">
            <v>0.475</v>
          </cell>
          <cell r="S71">
            <v>0.35625</v>
          </cell>
        </row>
        <row r="72">
          <cell r="C72">
            <v>38869</v>
          </cell>
          <cell r="D72">
            <v>0.0452493816943824</v>
          </cell>
          <cell r="E72">
            <v>3.7025</v>
          </cell>
          <cell r="F72">
            <v>0.2375</v>
          </cell>
          <cell r="G72">
            <v>0.01</v>
          </cell>
          <cell r="H72">
            <v>0.01</v>
          </cell>
          <cell r="I72">
            <v>-0.0125</v>
          </cell>
          <cell r="J72">
            <v>0.0075</v>
          </cell>
          <cell r="K72">
            <v>0.85</v>
          </cell>
        </row>
        <row r="72">
          <cell r="M72">
            <v>0.9</v>
          </cell>
          <cell r="N72">
            <v>0</v>
          </cell>
        </row>
        <row r="72">
          <cell r="R72">
            <v>0.475</v>
          </cell>
          <cell r="S72">
            <v>0.35625</v>
          </cell>
        </row>
        <row r="73">
          <cell r="C73">
            <v>38899</v>
          </cell>
          <cell r="D73">
            <v>0.0455043984109582</v>
          </cell>
          <cell r="E73">
            <v>3.7475</v>
          </cell>
          <cell r="F73">
            <v>0.2375</v>
          </cell>
          <cell r="G73">
            <v>0.0075</v>
          </cell>
          <cell r="H73">
            <v>0.01</v>
          </cell>
          <cell r="I73">
            <v>-0.015</v>
          </cell>
          <cell r="J73">
            <v>0.0075</v>
          </cell>
          <cell r="K73">
            <v>1.05</v>
          </cell>
        </row>
        <row r="73">
          <cell r="M73">
            <v>1.1</v>
          </cell>
          <cell r="N73">
            <v>0</v>
          </cell>
        </row>
        <row r="73">
          <cell r="R73">
            <v>0.475</v>
          </cell>
          <cell r="S73">
            <v>0.35625</v>
          </cell>
        </row>
        <row r="74">
          <cell r="C74">
            <v>38930</v>
          </cell>
          <cell r="D74">
            <v>0.0457679157076147</v>
          </cell>
          <cell r="E74">
            <v>3.7855</v>
          </cell>
          <cell r="F74">
            <v>0.2375</v>
          </cell>
          <cell r="G74">
            <v>0.0075</v>
          </cell>
          <cell r="H74">
            <v>0.01</v>
          </cell>
          <cell r="I74">
            <v>-0.015</v>
          </cell>
          <cell r="J74">
            <v>0.0075</v>
          </cell>
          <cell r="K74">
            <v>1.05</v>
          </cell>
        </row>
        <row r="74">
          <cell r="M74">
            <v>1.1</v>
          </cell>
          <cell r="N74">
            <v>0</v>
          </cell>
        </row>
        <row r="74">
          <cell r="R74">
            <v>0.475</v>
          </cell>
          <cell r="S74">
            <v>0.35625</v>
          </cell>
        </row>
        <row r="75">
          <cell r="C75">
            <v>38961</v>
          </cell>
          <cell r="D75">
            <v>0.0460314330275047</v>
          </cell>
          <cell r="E75">
            <v>3.7795</v>
          </cell>
          <cell r="F75">
            <v>0.2375</v>
          </cell>
          <cell r="G75">
            <v>0.0075</v>
          </cell>
          <cell r="H75">
            <v>0.01</v>
          </cell>
          <cell r="I75">
            <v>-0.015</v>
          </cell>
          <cell r="J75">
            <v>0.0075</v>
          </cell>
          <cell r="K75">
            <v>0.75</v>
          </cell>
        </row>
        <row r="75">
          <cell r="M75">
            <v>0.65</v>
          </cell>
          <cell r="N75">
            <v>0</v>
          </cell>
        </row>
        <row r="75">
          <cell r="R75">
            <v>0.475</v>
          </cell>
          <cell r="S75">
            <v>0.35625</v>
          </cell>
        </row>
        <row r="76">
          <cell r="C76">
            <v>38991</v>
          </cell>
          <cell r="D76">
            <v>0.0462864498108071</v>
          </cell>
          <cell r="E76">
            <v>3.7795</v>
          </cell>
          <cell r="F76">
            <v>0.2375</v>
          </cell>
          <cell r="G76">
            <v>0.006</v>
          </cell>
          <cell r="H76">
            <v>0.01</v>
          </cell>
          <cell r="I76">
            <v>-0.0165</v>
          </cell>
          <cell r="J76">
            <v>0.0075</v>
          </cell>
          <cell r="K76">
            <v>0.45</v>
          </cell>
        </row>
        <row r="76">
          <cell r="M76">
            <v>0.35</v>
          </cell>
          <cell r="N76">
            <v>0</v>
          </cell>
        </row>
        <row r="76">
          <cell r="R76">
            <v>0.2375</v>
          </cell>
          <cell r="S76">
            <v>0.2375</v>
          </cell>
        </row>
        <row r="77">
          <cell r="C77">
            <v>39022</v>
          </cell>
          <cell r="D77">
            <v>0.0465334064693152</v>
          </cell>
          <cell r="E77">
            <v>3.9275</v>
          </cell>
          <cell r="F77">
            <v>0.2375</v>
          </cell>
          <cell r="G77">
            <v>0.007</v>
          </cell>
          <cell r="H77">
            <v>0.0075</v>
          </cell>
          <cell r="I77">
            <v>-0.013</v>
          </cell>
          <cell r="J77">
            <v>0.0025</v>
          </cell>
          <cell r="K77">
            <v>0.45</v>
          </cell>
        </row>
        <row r="77">
          <cell r="M77">
            <v>0.27</v>
          </cell>
          <cell r="N77">
            <v>0</v>
          </cell>
        </row>
        <row r="77">
          <cell r="R77">
            <v>0.2375</v>
          </cell>
          <cell r="S77">
            <v>0.2375</v>
          </cell>
        </row>
        <row r="78">
          <cell r="C78">
            <v>39052</v>
          </cell>
          <cell r="D78">
            <v>0.0467174488314601</v>
          </cell>
          <cell r="E78">
            <v>4.0795</v>
          </cell>
          <cell r="F78">
            <v>0.24</v>
          </cell>
          <cell r="G78">
            <v>0.007</v>
          </cell>
          <cell r="H78">
            <v>0.0075</v>
          </cell>
          <cell r="I78">
            <v>-0.013</v>
          </cell>
          <cell r="J78">
            <v>0.0025</v>
          </cell>
          <cell r="K78">
            <v>0.4</v>
          </cell>
        </row>
        <row r="78">
          <cell r="M78">
            <v>0.25</v>
          </cell>
          <cell r="N78">
            <v>0</v>
          </cell>
        </row>
        <row r="78">
          <cell r="R78">
            <v>0.24</v>
          </cell>
          <cell r="S78">
            <v>0.24</v>
          </cell>
        </row>
        <row r="79">
          <cell r="C79">
            <v>39083</v>
          </cell>
          <cell r="D79">
            <v>0.0469076259509094</v>
          </cell>
          <cell r="E79">
            <v>4.1445</v>
          </cell>
          <cell r="F79">
            <v>0.2425</v>
          </cell>
          <cell r="G79">
            <v>0.007</v>
          </cell>
          <cell r="H79">
            <v>0.0075</v>
          </cell>
          <cell r="I79">
            <v>-0.013</v>
          </cell>
          <cell r="J79">
            <v>0.0025</v>
          </cell>
          <cell r="K79">
            <v>0.35</v>
          </cell>
        </row>
        <row r="79">
          <cell r="M79">
            <v>0.075</v>
          </cell>
          <cell r="N79">
            <v>0</v>
          </cell>
        </row>
        <row r="79">
          <cell r="R79">
            <v>0.2425</v>
          </cell>
          <cell r="S79">
            <v>0.2425</v>
          </cell>
        </row>
        <row r="80">
          <cell r="C80">
            <v>39114</v>
          </cell>
          <cell r="D80">
            <v>0.0470978030824529</v>
          </cell>
          <cell r="E80">
            <v>4.0575</v>
          </cell>
          <cell r="F80">
            <v>0.2375</v>
          </cell>
          <cell r="G80">
            <v>0.007</v>
          </cell>
          <cell r="H80">
            <v>0.0075</v>
          </cell>
          <cell r="I80">
            <v>-0.013</v>
          </cell>
          <cell r="J80">
            <v>0.0025</v>
          </cell>
          <cell r="K80">
            <v>0.35</v>
          </cell>
        </row>
        <row r="80">
          <cell r="M80">
            <v>0.075</v>
          </cell>
          <cell r="N80">
            <v>0</v>
          </cell>
        </row>
        <row r="80">
          <cell r="R80">
            <v>0.2375</v>
          </cell>
          <cell r="S80">
            <v>0.2375</v>
          </cell>
        </row>
        <row r="81">
          <cell r="C81">
            <v>39142</v>
          </cell>
          <cell r="D81">
            <v>0.0472695759858537</v>
          </cell>
          <cell r="E81">
            <v>3.9185</v>
          </cell>
          <cell r="F81">
            <v>0.2325</v>
          </cell>
          <cell r="G81">
            <v>0.011</v>
          </cell>
          <cell r="H81">
            <v>0.0075</v>
          </cell>
          <cell r="I81">
            <v>-0.009</v>
          </cell>
          <cell r="J81">
            <v>0.0025</v>
          </cell>
          <cell r="K81">
            <v>0.4</v>
          </cell>
        </row>
        <row r="81">
          <cell r="M81">
            <v>0.2</v>
          </cell>
          <cell r="N81">
            <v>0</v>
          </cell>
        </row>
        <row r="81">
          <cell r="R81">
            <v>0.2325</v>
          </cell>
          <cell r="S81">
            <v>0.2325</v>
          </cell>
        </row>
        <row r="82">
          <cell r="C82">
            <v>39173</v>
          </cell>
          <cell r="D82">
            <v>0.0474597531404117</v>
          </cell>
          <cell r="E82">
            <v>3.7645</v>
          </cell>
          <cell r="F82">
            <v>0.2325</v>
          </cell>
          <cell r="G82">
            <v>0.011</v>
          </cell>
          <cell r="H82">
            <v>0.01</v>
          </cell>
          <cell r="I82">
            <v>-0.009</v>
          </cell>
          <cell r="J82">
            <v>0.0075</v>
          </cell>
          <cell r="K82">
            <v>0.6</v>
          </cell>
        </row>
        <row r="82">
          <cell r="M82">
            <v>0.6</v>
          </cell>
          <cell r="N82">
            <v>0</v>
          </cell>
        </row>
        <row r="82">
          <cell r="R82">
            <v>0.2325</v>
          </cell>
          <cell r="S82">
            <v>0.2325</v>
          </cell>
        </row>
        <row r="83">
          <cell r="C83">
            <v>39203</v>
          </cell>
          <cell r="D83">
            <v>0.0476437955595603</v>
          </cell>
          <cell r="E83">
            <v>3.7695</v>
          </cell>
          <cell r="F83">
            <v>0.2325</v>
          </cell>
          <cell r="G83">
            <v>0.0135</v>
          </cell>
          <cell r="H83">
            <v>0.01</v>
          </cell>
          <cell r="I83">
            <v>-0.0065</v>
          </cell>
          <cell r="J83">
            <v>0.0075</v>
          </cell>
          <cell r="K83">
            <v>0.75</v>
          </cell>
        </row>
        <row r="83">
          <cell r="M83">
            <v>0.75</v>
          </cell>
          <cell r="N83">
            <v>0</v>
          </cell>
        </row>
        <row r="83">
          <cell r="R83">
            <v>0.465</v>
          </cell>
          <cell r="S83">
            <v>0.34875</v>
          </cell>
        </row>
        <row r="84">
          <cell r="C84">
            <v>39234</v>
          </cell>
          <cell r="D84">
            <v>0.0478339727379082</v>
          </cell>
          <cell r="E84">
            <v>3.8075</v>
          </cell>
          <cell r="F84">
            <v>0.2325</v>
          </cell>
          <cell r="G84">
            <v>0.011</v>
          </cell>
          <cell r="H84">
            <v>0.01</v>
          </cell>
          <cell r="I84">
            <v>-0.009</v>
          </cell>
          <cell r="J84">
            <v>0.0075</v>
          </cell>
          <cell r="K84">
            <v>0.85</v>
          </cell>
        </row>
        <row r="84">
          <cell r="M84">
            <v>0.85</v>
          </cell>
          <cell r="N84">
            <v>0</v>
          </cell>
        </row>
        <row r="84">
          <cell r="R84">
            <v>0.465</v>
          </cell>
          <cell r="S84">
            <v>0.34875</v>
          </cell>
        </row>
        <row r="85">
          <cell r="C85">
            <v>39264</v>
          </cell>
          <cell r="D85">
            <v>0.048018015180078</v>
          </cell>
          <cell r="E85">
            <v>3.8525</v>
          </cell>
          <cell r="F85">
            <v>0.2325</v>
          </cell>
          <cell r="G85">
            <v>0.0085</v>
          </cell>
          <cell r="H85">
            <v>0.01</v>
          </cell>
          <cell r="I85">
            <v>-0.0115</v>
          </cell>
          <cell r="J85">
            <v>0.0075</v>
          </cell>
          <cell r="K85">
            <v>1.05</v>
          </cell>
        </row>
        <row r="85">
          <cell r="M85">
            <v>1.05</v>
          </cell>
          <cell r="N85">
            <v>0</v>
          </cell>
        </row>
        <row r="85">
          <cell r="R85">
            <v>0.465</v>
          </cell>
          <cell r="S85">
            <v>0.34875</v>
          </cell>
        </row>
        <row r="86">
          <cell r="C86">
            <v>39295</v>
          </cell>
          <cell r="D86">
            <v>0.0482081923822117</v>
          </cell>
          <cell r="E86">
            <v>3.8905</v>
          </cell>
          <cell r="F86">
            <v>0.2325</v>
          </cell>
          <cell r="G86">
            <v>0.0085</v>
          </cell>
          <cell r="H86">
            <v>0.01</v>
          </cell>
          <cell r="I86">
            <v>-0.0115</v>
          </cell>
          <cell r="J86">
            <v>0.0075</v>
          </cell>
          <cell r="K86">
            <v>1.05</v>
          </cell>
        </row>
        <row r="86">
          <cell r="M86">
            <v>1.05</v>
          </cell>
          <cell r="N86">
            <v>0</v>
          </cell>
        </row>
        <row r="86">
          <cell r="R86">
            <v>0.465</v>
          </cell>
          <cell r="S86">
            <v>0.34875</v>
          </cell>
        </row>
        <row r="87">
          <cell r="C87">
            <v>39326</v>
          </cell>
          <cell r="D87">
            <v>0.0483983695964318</v>
          </cell>
          <cell r="E87">
            <v>3.8845</v>
          </cell>
          <cell r="F87">
            <v>0.2325</v>
          </cell>
          <cell r="G87">
            <v>0.0085</v>
          </cell>
          <cell r="H87">
            <v>0.01</v>
          </cell>
          <cell r="I87">
            <v>-0.0115</v>
          </cell>
          <cell r="J87">
            <v>0.0075</v>
          </cell>
          <cell r="K87">
            <v>0.75</v>
          </cell>
        </row>
        <row r="87">
          <cell r="M87">
            <v>0.6</v>
          </cell>
          <cell r="N87">
            <v>0</v>
          </cell>
        </row>
        <row r="87">
          <cell r="R87">
            <v>0.465</v>
          </cell>
          <cell r="S87">
            <v>0.34875</v>
          </cell>
        </row>
        <row r="88">
          <cell r="C88">
            <v>39356</v>
          </cell>
          <cell r="D88">
            <v>0.0485824120733134</v>
          </cell>
          <cell r="E88">
            <v>3.8845</v>
          </cell>
          <cell r="F88">
            <v>0.2325</v>
          </cell>
          <cell r="G88">
            <v>0.007</v>
          </cell>
          <cell r="H88">
            <v>0.01</v>
          </cell>
          <cell r="I88">
            <v>-0.013</v>
          </cell>
          <cell r="J88">
            <v>0.0075</v>
          </cell>
          <cell r="K88">
            <v>0.45</v>
          </cell>
        </row>
        <row r="88">
          <cell r="M88">
            <v>0.3</v>
          </cell>
          <cell r="N88">
            <v>0</v>
          </cell>
        </row>
        <row r="88">
          <cell r="R88">
            <v>0.2325</v>
          </cell>
          <cell r="S88">
            <v>0.2325</v>
          </cell>
        </row>
        <row r="89">
          <cell r="C89">
            <v>39387</v>
          </cell>
          <cell r="D89">
            <v>0.0487725893113131</v>
          </cell>
          <cell r="E89">
            <v>4.0325</v>
          </cell>
          <cell r="F89">
            <v>0.2325</v>
          </cell>
          <cell r="G89">
            <v>0.008</v>
          </cell>
          <cell r="H89">
            <v>0.0075</v>
          </cell>
          <cell r="I89">
            <v>-0.012</v>
          </cell>
          <cell r="J89">
            <v>0.0025</v>
          </cell>
          <cell r="K89">
            <v>0.45</v>
          </cell>
        </row>
        <row r="89">
          <cell r="M89">
            <v>0.22</v>
          </cell>
          <cell r="N89">
            <v>0</v>
          </cell>
        </row>
        <row r="89">
          <cell r="R89">
            <v>0.2325</v>
          </cell>
          <cell r="S89">
            <v>0.2325</v>
          </cell>
        </row>
        <row r="90">
          <cell r="C90">
            <v>39417</v>
          </cell>
          <cell r="D90">
            <v>0.0489566318112047</v>
          </cell>
          <cell r="E90">
            <v>4.1845</v>
          </cell>
          <cell r="F90">
            <v>0.2325</v>
          </cell>
          <cell r="G90">
            <v>0.008</v>
          </cell>
          <cell r="H90">
            <v>0.0075</v>
          </cell>
          <cell r="I90">
            <v>-0.012</v>
          </cell>
          <cell r="J90">
            <v>0.0025</v>
          </cell>
          <cell r="K90">
            <v>0.4</v>
          </cell>
        </row>
        <row r="90">
          <cell r="M90">
            <v>0.2</v>
          </cell>
          <cell r="N90">
            <v>0</v>
          </cell>
        </row>
        <row r="90">
          <cell r="R90">
            <v>0.2325</v>
          </cell>
          <cell r="S90">
            <v>0.2325</v>
          </cell>
        </row>
        <row r="91">
          <cell r="C91">
            <v>39448</v>
          </cell>
          <cell r="D91">
            <v>0.0491468090729796</v>
          </cell>
          <cell r="E91">
            <v>4.252</v>
          </cell>
          <cell r="F91">
            <v>0.2325</v>
          </cell>
          <cell r="G91">
            <v>0.008</v>
          </cell>
          <cell r="H91">
            <v>0.0075</v>
          </cell>
          <cell r="I91">
            <v>-0.012</v>
          </cell>
          <cell r="J91">
            <v>0.0025</v>
          </cell>
          <cell r="K91">
            <v>0.35</v>
          </cell>
        </row>
        <row r="91">
          <cell r="M91">
            <v>0.075</v>
          </cell>
          <cell r="N91">
            <v>0</v>
          </cell>
        </row>
        <row r="91">
          <cell r="R91">
            <v>0.2325</v>
          </cell>
          <cell r="S91">
            <v>0.2325</v>
          </cell>
        </row>
        <row r="92">
          <cell r="C92">
            <v>39479</v>
          </cell>
          <cell r="D92">
            <v>0.0493369863468351</v>
          </cell>
          <cell r="E92">
            <v>4.165</v>
          </cell>
          <cell r="F92">
            <v>0.2325</v>
          </cell>
          <cell r="G92">
            <v>0.008</v>
          </cell>
          <cell r="H92">
            <v>0.0075</v>
          </cell>
          <cell r="I92">
            <v>-0.012</v>
          </cell>
          <cell r="J92">
            <v>0.0025</v>
          </cell>
          <cell r="K92">
            <v>0.35</v>
          </cell>
        </row>
        <row r="92">
          <cell r="M92">
            <v>0.075</v>
          </cell>
          <cell r="N92">
            <v>0</v>
          </cell>
        </row>
        <row r="92">
          <cell r="R92">
            <v>0.2325</v>
          </cell>
          <cell r="S92">
            <v>0.2325</v>
          </cell>
        </row>
        <row r="93">
          <cell r="C93">
            <v>39508</v>
          </cell>
          <cell r="D93">
            <v>0.0495148941300871</v>
          </cell>
          <cell r="E93">
            <v>4.026</v>
          </cell>
          <cell r="F93">
            <v>0.2225</v>
          </cell>
          <cell r="G93">
            <v>0.012</v>
          </cell>
          <cell r="H93">
            <v>0.0075</v>
          </cell>
          <cell r="I93">
            <v>-0.008</v>
          </cell>
          <cell r="J93">
            <v>0.0025</v>
          </cell>
          <cell r="K93">
            <v>0.4</v>
          </cell>
        </row>
        <row r="93">
          <cell r="M93">
            <v>0.18</v>
          </cell>
          <cell r="N93">
            <v>0</v>
          </cell>
        </row>
        <row r="93">
          <cell r="R93">
            <v>0.2225</v>
          </cell>
          <cell r="S93">
            <v>0.2225</v>
          </cell>
        </row>
        <row r="94">
          <cell r="C94">
            <v>39539</v>
          </cell>
          <cell r="D94">
            <v>0.0497050714273222</v>
          </cell>
          <cell r="E94">
            <v>3.872</v>
          </cell>
          <cell r="F94">
            <v>0.2225</v>
          </cell>
          <cell r="G94">
            <v>0.012</v>
          </cell>
          <cell r="H94">
            <v>0.01</v>
          </cell>
          <cell r="I94">
            <v>-0.0055</v>
          </cell>
          <cell r="J94">
            <v>0.0075</v>
          </cell>
          <cell r="K94">
            <v>0.6</v>
          </cell>
        </row>
        <row r="94">
          <cell r="M94">
            <v>0.55</v>
          </cell>
          <cell r="N94">
            <v>0</v>
          </cell>
        </row>
        <row r="94">
          <cell r="R94">
            <v>0.2225</v>
          </cell>
          <cell r="S94">
            <v>0.2225</v>
          </cell>
        </row>
        <row r="95">
          <cell r="C95">
            <v>39569</v>
          </cell>
          <cell r="D95">
            <v>0.0498891139845323</v>
          </cell>
          <cell r="E95">
            <v>3.877</v>
          </cell>
          <cell r="F95">
            <v>0.2225</v>
          </cell>
          <cell r="G95">
            <v>0.0145</v>
          </cell>
          <cell r="H95">
            <v>0.01</v>
          </cell>
          <cell r="I95">
            <v>-0.003</v>
          </cell>
          <cell r="J95">
            <v>0.0075</v>
          </cell>
          <cell r="K95">
            <v>0.75</v>
          </cell>
        </row>
        <row r="95">
          <cell r="M95">
            <v>0.7</v>
          </cell>
          <cell r="N95">
            <v>0</v>
          </cell>
        </row>
        <row r="95">
          <cell r="R95">
            <v>0.445</v>
          </cell>
          <cell r="S95">
            <v>0.33375</v>
          </cell>
        </row>
        <row r="96">
          <cell r="C96">
            <v>39600</v>
          </cell>
          <cell r="D96">
            <v>0.0500792913055306</v>
          </cell>
          <cell r="E96">
            <v>3.915</v>
          </cell>
          <cell r="F96">
            <v>0.2225</v>
          </cell>
          <cell r="G96">
            <v>0.012</v>
          </cell>
          <cell r="H96">
            <v>0.01</v>
          </cell>
          <cell r="I96">
            <v>-0.0055</v>
          </cell>
          <cell r="J96">
            <v>0.0075</v>
          </cell>
          <cell r="K96">
            <v>0.85</v>
          </cell>
        </row>
        <row r="96">
          <cell r="M96">
            <v>0.8</v>
          </cell>
          <cell r="N96">
            <v>0</v>
          </cell>
        </row>
        <row r="96">
          <cell r="R96">
            <v>0.445</v>
          </cell>
          <cell r="S96">
            <v>0.33375</v>
          </cell>
        </row>
        <row r="97">
          <cell r="C97">
            <v>39630</v>
          </cell>
          <cell r="D97">
            <v>0.050263333885737</v>
          </cell>
          <cell r="E97">
            <v>3.96</v>
          </cell>
          <cell r="F97">
            <v>0.22</v>
          </cell>
          <cell r="G97">
            <v>0.0095</v>
          </cell>
          <cell r="H97">
            <v>0.01</v>
          </cell>
          <cell r="I97">
            <v>-0.008</v>
          </cell>
          <cell r="J97">
            <v>0.0075</v>
          </cell>
          <cell r="K97">
            <v>1.05</v>
          </cell>
        </row>
        <row r="97">
          <cell r="M97">
            <v>1</v>
          </cell>
          <cell r="N97">
            <v>0</v>
          </cell>
        </row>
        <row r="97">
          <cell r="R97">
            <v>0.44</v>
          </cell>
          <cell r="S97">
            <v>0.33</v>
          </cell>
        </row>
        <row r="98">
          <cell r="C98">
            <v>39661</v>
          </cell>
          <cell r="D98">
            <v>0.0504535112304954</v>
          </cell>
          <cell r="E98">
            <v>3.998</v>
          </cell>
          <cell r="F98">
            <v>0.22</v>
          </cell>
          <cell r="G98">
            <v>0.0095</v>
          </cell>
          <cell r="H98">
            <v>0.01</v>
          </cell>
          <cell r="I98">
            <v>-0.008</v>
          </cell>
          <cell r="J98">
            <v>0.0075</v>
          </cell>
          <cell r="K98">
            <v>1.05</v>
          </cell>
        </row>
        <row r="98">
          <cell r="M98">
            <v>1</v>
          </cell>
          <cell r="N98">
            <v>0</v>
          </cell>
        </row>
        <row r="98">
          <cell r="R98">
            <v>0.44</v>
          </cell>
          <cell r="S98">
            <v>0.33</v>
          </cell>
        </row>
        <row r="99">
          <cell r="C99">
            <v>39692</v>
          </cell>
          <cell r="D99">
            <v>0.0506436885873272</v>
          </cell>
          <cell r="E99">
            <v>3.992</v>
          </cell>
          <cell r="F99">
            <v>0.22</v>
          </cell>
          <cell r="G99">
            <v>0.0095</v>
          </cell>
          <cell r="H99">
            <v>0.01</v>
          </cell>
          <cell r="I99">
            <v>-0.008</v>
          </cell>
          <cell r="J99">
            <v>0.0075</v>
          </cell>
          <cell r="K99">
            <v>0.75</v>
          </cell>
        </row>
        <row r="99">
          <cell r="M99">
            <v>0.6</v>
          </cell>
          <cell r="N99">
            <v>0</v>
          </cell>
        </row>
        <row r="99">
          <cell r="R99">
            <v>0.44</v>
          </cell>
          <cell r="S99">
            <v>0.33</v>
          </cell>
        </row>
        <row r="100">
          <cell r="C100">
            <v>39722</v>
          </cell>
          <cell r="D100">
            <v>0.0508277312022072</v>
          </cell>
          <cell r="E100">
            <v>3.992</v>
          </cell>
          <cell r="F100">
            <v>0.22</v>
          </cell>
          <cell r="G100">
            <v>0.008</v>
          </cell>
          <cell r="H100">
            <v>0.01</v>
          </cell>
          <cell r="I100">
            <v>-0.0095</v>
          </cell>
          <cell r="J100">
            <v>0.0075</v>
          </cell>
          <cell r="K100">
            <v>0.45</v>
          </cell>
        </row>
        <row r="100">
          <cell r="M100">
            <v>0.3</v>
          </cell>
          <cell r="N100">
            <v>0</v>
          </cell>
        </row>
        <row r="100">
          <cell r="R100">
            <v>0.22</v>
          </cell>
          <cell r="S100">
            <v>0.22</v>
          </cell>
        </row>
        <row r="101">
          <cell r="C101">
            <v>39753</v>
          </cell>
          <cell r="D101">
            <v>0.0510050583335428</v>
          </cell>
          <cell r="E101">
            <v>4.14</v>
          </cell>
          <cell r="F101">
            <v>0.22</v>
          </cell>
          <cell r="G101">
            <v>0.009</v>
          </cell>
          <cell r="H101">
            <v>0.0075</v>
          </cell>
          <cell r="I101">
            <v>-0.011</v>
          </cell>
          <cell r="J101">
            <v>0.0025</v>
          </cell>
          <cell r="K101">
            <v>0.45</v>
          </cell>
        </row>
        <row r="101">
          <cell r="M101">
            <v>0.22</v>
          </cell>
          <cell r="N101">
            <v>0</v>
          </cell>
        </row>
        <row r="101">
          <cell r="R101">
            <v>0.22</v>
          </cell>
          <cell r="S101">
            <v>0.22</v>
          </cell>
        </row>
        <row r="102">
          <cell r="C102">
            <v>39783</v>
          </cell>
          <cell r="D102">
            <v>0.0511119994715483</v>
          </cell>
          <cell r="E102">
            <v>4.292</v>
          </cell>
          <cell r="F102">
            <v>0.2225</v>
          </cell>
          <cell r="G102">
            <v>0.009</v>
          </cell>
          <cell r="H102">
            <v>0.0075</v>
          </cell>
          <cell r="I102">
            <v>-0.011</v>
          </cell>
          <cell r="J102">
            <v>0.0025</v>
          </cell>
          <cell r="K102">
            <v>0.4</v>
          </cell>
        </row>
        <row r="102">
          <cell r="M102">
            <v>0.2</v>
          </cell>
          <cell r="N102">
            <v>0</v>
          </cell>
        </row>
        <row r="102">
          <cell r="R102">
            <v>0.2225</v>
          </cell>
          <cell r="S102">
            <v>0.2225</v>
          </cell>
        </row>
        <row r="103">
          <cell r="C103">
            <v>39814</v>
          </cell>
          <cell r="D103">
            <v>0.0512225053181625</v>
          </cell>
          <cell r="E103">
            <v>4.362</v>
          </cell>
          <cell r="F103">
            <v>0.225</v>
          </cell>
          <cell r="G103">
            <v>0.009</v>
          </cell>
          <cell r="H103">
            <v>0.0075</v>
          </cell>
          <cell r="I103">
            <v>-0.011</v>
          </cell>
          <cell r="J103">
            <v>0.0025</v>
          </cell>
          <cell r="K103">
            <v>0.35</v>
          </cell>
        </row>
        <row r="103">
          <cell r="M103">
            <v>0.075</v>
          </cell>
          <cell r="N103">
            <v>0</v>
          </cell>
        </row>
        <row r="103">
          <cell r="R103">
            <v>0.225</v>
          </cell>
          <cell r="S103">
            <v>0.225</v>
          </cell>
        </row>
        <row r="104">
          <cell r="C104">
            <v>39845</v>
          </cell>
          <cell r="D104">
            <v>0.0513330111688517</v>
          </cell>
          <cell r="E104">
            <v>4.275</v>
          </cell>
          <cell r="F104">
            <v>0.22</v>
          </cell>
          <cell r="G104">
            <v>0.009</v>
          </cell>
          <cell r="H104">
            <v>0.0075</v>
          </cell>
          <cell r="I104">
            <v>-0.011</v>
          </cell>
          <cell r="J104">
            <v>0.0025</v>
          </cell>
          <cell r="K104">
            <v>0.35</v>
          </cell>
        </row>
        <row r="104">
          <cell r="M104">
            <v>0.075</v>
          </cell>
          <cell r="N104">
            <v>0</v>
          </cell>
        </row>
        <row r="104">
          <cell r="R104">
            <v>0.22</v>
          </cell>
          <cell r="S104">
            <v>0.22</v>
          </cell>
        </row>
        <row r="105">
          <cell r="C105">
            <v>39873</v>
          </cell>
          <cell r="D105">
            <v>0.0514328229084602</v>
          </cell>
          <cell r="E105">
            <v>4.136</v>
          </cell>
          <cell r="F105">
            <v>0.205</v>
          </cell>
          <cell r="G105">
            <v>0.013</v>
          </cell>
          <cell r="H105">
            <v>0.0075</v>
          </cell>
          <cell r="I105">
            <v>-0.007</v>
          </cell>
          <cell r="J105">
            <v>0.0025</v>
          </cell>
          <cell r="K105">
            <v>0.4</v>
          </cell>
        </row>
        <row r="105">
          <cell r="M105">
            <v>0.18</v>
          </cell>
          <cell r="N105">
            <v>0</v>
          </cell>
        </row>
        <row r="105">
          <cell r="R105">
            <v>0.205</v>
          </cell>
          <cell r="S105">
            <v>0.205</v>
          </cell>
        </row>
        <row r="106">
          <cell r="C106">
            <v>39904</v>
          </cell>
          <cell r="D106">
            <v>0.051543328766904</v>
          </cell>
          <cell r="E106">
            <v>3.982</v>
          </cell>
          <cell r="F106">
            <v>0.195</v>
          </cell>
          <cell r="G106">
            <v>0.013</v>
          </cell>
          <cell r="H106">
            <v>0.01</v>
          </cell>
          <cell r="I106">
            <v>-0.007</v>
          </cell>
          <cell r="J106">
            <v>0.0075</v>
          </cell>
          <cell r="K106">
            <v>0.6</v>
          </cell>
        </row>
        <row r="106">
          <cell r="M106">
            <v>0.55</v>
          </cell>
          <cell r="N106">
            <v>0</v>
          </cell>
        </row>
        <row r="106">
          <cell r="R106">
            <v>0.195</v>
          </cell>
          <cell r="S106">
            <v>0.195</v>
          </cell>
        </row>
        <row r="107">
          <cell r="C107">
            <v>39934</v>
          </cell>
          <cell r="D107">
            <v>0.0516502699241164</v>
          </cell>
          <cell r="E107">
            <v>3.987</v>
          </cell>
          <cell r="F107">
            <v>0.195</v>
          </cell>
          <cell r="G107">
            <v>0.0155</v>
          </cell>
          <cell r="H107">
            <v>0.01</v>
          </cell>
          <cell r="I107">
            <v>-0.0045</v>
          </cell>
          <cell r="J107">
            <v>0.0075</v>
          </cell>
          <cell r="K107">
            <v>0.75</v>
          </cell>
        </row>
        <row r="107">
          <cell r="M107">
            <v>0.7</v>
          </cell>
          <cell r="N107">
            <v>0</v>
          </cell>
        </row>
        <row r="107">
          <cell r="R107">
            <v>0.39</v>
          </cell>
          <cell r="S107">
            <v>0.2925</v>
          </cell>
        </row>
        <row r="108">
          <cell r="C108">
            <v>39965</v>
          </cell>
          <cell r="D108">
            <v>0.0517607757905769</v>
          </cell>
          <cell r="E108">
            <v>4.025</v>
          </cell>
          <cell r="F108">
            <v>0.195</v>
          </cell>
          <cell r="G108">
            <v>0.013</v>
          </cell>
          <cell r="H108">
            <v>0.01</v>
          </cell>
          <cell r="I108">
            <v>-0.007</v>
          </cell>
          <cell r="J108">
            <v>0.0075</v>
          </cell>
          <cell r="K108">
            <v>0.85</v>
          </cell>
        </row>
        <row r="108">
          <cell r="M108">
            <v>0.8</v>
          </cell>
          <cell r="N108">
            <v>0</v>
          </cell>
        </row>
        <row r="108">
          <cell r="R108">
            <v>0.39</v>
          </cell>
          <cell r="S108">
            <v>0.2925</v>
          </cell>
        </row>
        <row r="109">
          <cell r="C109">
            <v>39995</v>
          </cell>
          <cell r="D109">
            <v>0.0518677169555466</v>
          </cell>
          <cell r="E109">
            <v>4.07</v>
          </cell>
          <cell r="F109">
            <v>0.195</v>
          </cell>
          <cell r="G109">
            <v>0.0105</v>
          </cell>
          <cell r="H109">
            <v>0.01</v>
          </cell>
          <cell r="I109">
            <v>-0.0095</v>
          </cell>
          <cell r="J109">
            <v>0.0075</v>
          </cell>
          <cell r="K109">
            <v>1.05</v>
          </cell>
        </row>
        <row r="109">
          <cell r="M109">
            <v>1</v>
          </cell>
          <cell r="N109">
            <v>0</v>
          </cell>
        </row>
        <row r="109">
          <cell r="R109">
            <v>0.39</v>
          </cell>
          <cell r="S109">
            <v>0.2925</v>
          </cell>
        </row>
        <row r="110">
          <cell r="C110">
            <v>40026</v>
          </cell>
          <cell r="D110">
            <v>0.0519782228300234</v>
          </cell>
          <cell r="E110">
            <v>4.108</v>
          </cell>
          <cell r="F110">
            <v>0.195</v>
          </cell>
          <cell r="G110">
            <v>0.0105</v>
          </cell>
          <cell r="H110">
            <v>0.01</v>
          </cell>
          <cell r="I110">
            <v>-0.0095</v>
          </cell>
          <cell r="J110">
            <v>0.0075</v>
          </cell>
          <cell r="K110">
            <v>1.05</v>
          </cell>
        </row>
        <row r="110">
          <cell r="M110">
            <v>1</v>
          </cell>
          <cell r="N110">
            <v>0</v>
          </cell>
        </row>
        <row r="110">
          <cell r="R110">
            <v>0.39</v>
          </cell>
          <cell r="S110">
            <v>0.2925</v>
          </cell>
        </row>
        <row r="111">
          <cell r="C111">
            <v>40057</v>
          </cell>
          <cell r="D111">
            <v>0.052088728708573</v>
          </cell>
          <cell r="E111">
            <v>4.102</v>
          </cell>
          <cell r="F111">
            <v>0.195</v>
          </cell>
          <cell r="G111">
            <v>0.0105</v>
          </cell>
          <cell r="H111">
            <v>0.01</v>
          </cell>
          <cell r="I111">
            <v>-0.0095</v>
          </cell>
          <cell r="J111">
            <v>0.0075</v>
          </cell>
          <cell r="K111">
            <v>0.75</v>
          </cell>
        </row>
        <row r="111">
          <cell r="M111">
            <v>0.6</v>
          </cell>
          <cell r="N111">
            <v>0</v>
          </cell>
        </row>
        <row r="111">
          <cell r="R111">
            <v>0.39</v>
          </cell>
          <cell r="S111">
            <v>0.2925</v>
          </cell>
        </row>
        <row r="112">
          <cell r="C112">
            <v>40087</v>
          </cell>
          <cell r="D112">
            <v>0.0521956698852408</v>
          </cell>
          <cell r="E112">
            <v>4.102</v>
          </cell>
          <cell r="F112">
            <v>0.195</v>
          </cell>
          <cell r="G112">
            <v>0.009</v>
          </cell>
          <cell r="H112">
            <v>0.01</v>
          </cell>
          <cell r="I112">
            <v>-0.011</v>
          </cell>
          <cell r="J112">
            <v>0.0075</v>
          </cell>
          <cell r="K112">
            <v>0.45</v>
          </cell>
        </row>
        <row r="112">
          <cell r="M112">
            <v>0.3</v>
          </cell>
          <cell r="N112">
            <v>0</v>
          </cell>
        </row>
        <row r="112">
          <cell r="R112">
            <v>0.195</v>
          </cell>
          <cell r="S112">
            <v>0.195</v>
          </cell>
        </row>
        <row r="113">
          <cell r="C113">
            <v>40118</v>
          </cell>
          <cell r="D113">
            <v>0.0523061757718057</v>
          </cell>
          <cell r="E113">
            <v>4.25</v>
          </cell>
          <cell r="F113">
            <v>0.195</v>
          </cell>
          <cell r="G113">
            <v>0.01</v>
          </cell>
          <cell r="H113">
            <v>0.0075</v>
          </cell>
          <cell r="I113">
            <v>-0.0075</v>
          </cell>
          <cell r="J113">
            <v>0.0025</v>
          </cell>
          <cell r="K113">
            <v>0.45</v>
          </cell>
        </row>
        <row r="113">
          <cell r="M113">
            <v>0.22</v>
          </cell>
          <cell r="N113">
            <v>0</v>
          </cell>
        </row>
        <row r="113">
          <cell r="R113">
            <v>0.195</v>
          </cell>
          <cell r="S113">
            <v>0.195</v>
          </cell>
        </row>
        <row r="114">
          <cell r="C114">
            <v>40148</v>
          </cell>
          <cell r="D114">
            <v>0.0524131169562296</v>
          </cell>
          <cell r="E114">
            <v>4.402</v>
          </cell>
          <cell r="F114">
            <v>0.195</v>
          </cell>
          <cell r="G114">
            <v>0.01</v>
          </cell>
          <cell r="H114">
            <v>0.0075</v>
          </cell>
          <cell r="I114">
            <v>-0.0075</v>
          </cell>
          <cell r="J114">
            <v>0.0025</v>
          </cell>
          <cell r="K114">
            <v>0.4</v>
          </cell>
        </row>
        <row r="114">
          <cell r="M114">
            <v>0.2</v>
          </cell>
          <cell r="N114">
            <v>0</v>
          </cell>
        </row>
        <row r="114">
          <cell r="R114">
            <v>0.195</v>
          </cell>
          <cell r="S114">
            <v>0.195</v>
          </cell>
        </row>
        <row r="115">
          <cell r="C115">
            <v>40179</v>
          </cell>
          <cell r="D115">
            <v>0.0525236228508077</v>
          </cell>
          <cell r="E115">
            <v>4.4745</v>
          </cell>
          <cell r="F115">
            <v>0.195</v>
          </cell>
          <cell r="G115">
            <v>0.01</v>
          </cell>
          <cell r="H115">
            <v>0.0075</v>
          </cell>
          <cell r="I115">
            <v>-0.0075</v>
          </cell>
          <cell r="J115">
            <v>0.0025</v>
          </cell>
          <cell r="K115">
            <v>0.35</v>
          </cell>
        </row>
        <row r="115">
          <cell r="M115">
            <v>0.075</v>
          </cell>
          <cell r="N115">
            <v>0</v>
          </cell>
        </row>
        <row r="115">
          <cell r="R115">
            <v>0.195</v>
          </cell>
          <cell r="S115">
            <v>0.195</v>
          </cell>
        </row>
        <row r="116">
          <cell r="C116">
            <v>40210</v>
          </cell>
          <cell r="D116">
            <v>0.052634128749458</v>
          </cell>
          <cell r="E116">
            <v>4.3875</v>
          </cell>
          <cell r="F116">
            <v>0.19</v>
          </cell>
          <cell r="G116">
            <v>0.01</v>
          </cell>
          <cell r="H116">
            <v>0.0075</v>
          </cell>
          <cell r="I116">
            <v>-0.0075</v>
          </cell>
          <cell r="J116">
            <v>0.0025</v>
          </cell>
          <cell r="K116">
            <v>0.35</v>
          </cell>
        </row>
        <row r="116">
          <cell r="M116">
            <v>0.075</v>
          </cell>
          <cell r="N116">
            <v>0</v>
          </cell>
        </row>
        <row r="116">
          <cell r="R116">
            <v>0.19</v>
          </cell>
          <cell r="S116">
            <v>0.19</v>
          </cell>
        </row>
        <row r="117">
          <cell r="C117">
            <v>40238</v>
          </cell>
          <cell r="D117">
            <v>0.0527339405323839</v>
          </cell>
          <cell r="E117">
            <v>4.2485</v>
          </cell>
          <cell r="F117">
            <v>0.1875</v>
          </cell>
          <cell r="G117">
            <v>0.014</v>
          </cell>
          <cell r="H117">
            <v>0.0075</v>
          </cell>
          <cell r="I117">
            <v>-0.0035</v>
          </cell>
          <cell r="J117">
            <v>0.0025</v>
          </cell>
          <cell r="K117">
            <v>0.4</v>
          </cell>
        </row>
        <row r="117">
          <cell r="M117">
            <v>0.18</v>
          </cell>
          <cell r="N117">
            <v>0</v>
          </cell>
        </row>
        <row r="117">
          <cell r="R117">
            <v>0.1875</v>
          </cell>
          <cell r="S117">
            <v>0.1875</v>
          </cell>
        </row>
        <row r="118">
          <cell r="C118">
            <v>40269</v>
          </cell>
          <cell r="D118">
            <v>0.0528444464387845</v>
          </cell>
          <cell r="E118">
            <v>4.0945</v>
          </cell>
          <cell r="F118">
            <v>0.185</v>
          </cell>
          <cell r="G118">
            <v>0.014</v>
          </cell>
          <cell r="H118">
            <v>0.01</v>
          </cell>
          <cell r="I118">
            <v>-0.0035</v>
          </cell>
          <cell r="J118">
            <v>0.0075</v>
          </cell>
          <cell r="K118">
            <v>0.6</v>
          </cell>
        </row>
        <row r="118">
          <cell r="M118">
            <v>0.55</v>
          </cell>
          <cell r="N118">
            <v>0</v>
          </cell>
        </row>
        <row r="118">
          <cell r="R118">
            <v>0.185</v>
          </cell>
          <cell r="S118">
            <v>0.185</v>
          </cell>
        </row>
        <row r="119">
          <cell r="C119">
            <v>40299</v>
          </cell>
          <cell r="D119">
            <v>0.0529513876424028</v>
          </cell>
          <cell r="E119">
            <v>4.0995</v>
          </cell>
          <cell r="F119">
            <v>0.185</v>
          </cell>
          <cell r="G119">
            <v>0.0165</v>
          </cell>
          <cell r="H119">
            <v>0.01</v>
          </cell>
          <cell r="I119">
            <v>0.001</v>
          </cell>
          <cell r="J119">
            <v>0.0075</v>
          </cell>
          <cell r="K119">
            <v>0.75</v>
          </cell>
        </row>
        <row r="119">
          <cell r="M119">
            <v>0.7</v>
          </cell>
          <cell r="N119">
            <v>0</v>
          </cell>
        </row>
        <row r="119">
          <cell r="R119">
            <v>0.37</v>
          </cell>
          <cell r="S119">
            <v>0.2775</v>
          </cell>
        </row>
        <row r="120">
          <cell r="C120">
            <v>40330</v>
          </cell>
          <cell r="D120">
            <v>0.0530618935568148</v>
          </cell>
          <cell r="E120">
            <v>4.1375</v>
          </cell>
          <cell r="F120">
            <v>0.185</v>
          </cell>
          <cell r="G120">
            <v>0.014</v>
          </cell>
          <cell r="H120">
            <v>0.01</v>
          </cell>
          <cell r="I120">
            <v>-0.0035</v>
          </cell>
          <cell r="J120">
            <v>0.0075</v>
          </cell>
          <cell r="K120">
            <v>0.85</v>
          </cell>
        </row>
        <row r="120">
          <cell r="M120">
            <v>0.8</v>
          </cell>
          <cell r="N120">
            <v>0</v>
          </cell>
        </row>
        <row r="120">
          <cell r="R120">
            <v>0.37</v>
          </cell>
          <cell r="S120">
            <v>0.2775</v>
          </cell>
        </row>
        <row r="121">
          <cell r="C121">
            <v>40360</v>
          </cell>
          <cell r="D121">
            <v>0.0531688347681865</v>
          </cell>
          <cell r="E121">
            <v>4.1825</v>
          </cell>
          <cell r="F121">
            <v>0.185</v>
          </cell>
          <cell r="G121">
            <v>0.0115</v>
          </cell>
          <cell r="H121">
            <v>0.01</v>
          </cell>
          <cell r="I121">
            <v>-0.006</v>
          </cell>
          <cell r="J121">
            <v>0.0075</v>
          </cell>
          <cell r="K121">
            <v>1.05</v>
          </cell>
        </row>
        <row r="121">
          <cell r="M121">
            <v>1</v>
          </cell>
          <cell r="N121">
            <v>0</v>
          </cell>
        </row>
        <row r="121">
          <cell r="R121">
            <v>0.37</v>
          </cell>
          <cell r="S121">
            <v>0.2775</v>
          </cell>
        </row>
        <row r="122">
          <cell r="C122">
            <v>40391</v>
          </cell>
          <cell r="D122">
            <v>0.0532793406906089</v>
          </cell>
          <cell r="E122">
            <v>4.2205</v>
          </cell>
          <cell r="F122">
            <v>0.185</v>
          </cell>
          <cell r="G122">
            <v>0.0115</v>
          </cell>
          <cell r="H122">
            <v>0.01</v>
          </cell>
          <cell r="I122">
            <v>-0.006</v>
          </cell>
          <cell r="J122">
            <v>0.0075</v>
          </cell>
          <cell r="K122">
            <v>1.05</v>
          </cell>
        </row>
        <row r="122">
          <cell r="M122">
            <v>1</v>
          </cell>
          <cell r="N122">
            <v>0</v>
          </cell>
        </row>
        <row r="122">
          <cell r="R122">
            <v>0.37</v>
          </cell>
          <cell r="S122">
            <v>0.2775</v>
          </cell>
        </row>
        <row r="123">
          <cell r="C123">
            <v>40422</v>
          </cell>
          <cell r="D123">
            <v>0.0533898466171023</v>
          </cell>
          <cell r="E123">
            <v>4.2145</v>
          </cell>
          <cell r="F123">
            <v>0.185</v>
          </cell>
          <cell r="G123">
            <v>0.0115</v>
          </cell>
          <cell r="H123">
            <v>0.01</v>
          </cell>
          <cell r="I123">
            <v>-0.006</v>
          </cell>
          <cell r="J123">
            <v>0.0075</v>
          </cell>
          <cell r="K123">
            <v>0.75</v>
          </cell>
        </row>
        <row r="123">
          <cell r="M123">
            <v>0.6</v>
          </cell>
          <cell r="N123">
            <v>0</v>
          </cell>
        </row>
        <row r="123">
          <cell r="R123">
            <v>0.37</v>
          </cell>
          <cell r="S123">
            <v>0.2775</v>
          </cell>
        </row>
        <row r="124">
          <cell r="C124">
            <v>40452</v>
          </cell>
          <cell r="D124">
            <v>0.0534967878401651</v>
          </cell>
          <cell r="E124">
            <v>4.2145</v>
          </cell>
          <cell r="F124">
            <v>0.185</v>
          </cell>
          <cell r="G124">
            <v>0.01</v>
          </cell>
          <cell r="H124">
            <v>0.01</v>
          </cell>
          <cell r="I124">
            <v>-0.0075</v>
          </cell>
          <cell r="J124">
            <v>0.0075</v>
          </cell>
          <cell r="K124">
            <v>0.45</v>
          </cell>
        </row>
        <row r="124">
          <cell r="M124">
            <v>0.3</v>
          </cell>
          <cell r="N124">
            <v>0</v>
          </cell>
        </row>
        <row r="124">
          <cell r="R124">
            <v>0.185</v>
          </cell>
          <cell r="S124">
            <v>0.185</v>
          </cell>
        </row>
        <row r="125">
          <cell r="C125">
            <v>40483</v>
          </cell>
          <cell r="D125">
            <v>0.0536072937746681</v>
          </cell>
          <cell r="E125">
            <v>4.3625</v>
          </cell>
          <cell r="F125">
            <v>0.185</v>
          </cell>
          <cell r="G125">
            <v>0.011</v>
          </cell>
          <cell r="H125">
            <v>0.0075</v>
          </cell>
          <cell r="I125">
            <v>-0.0065</v>
          </cell>
          <cell r="J125">
            <v>0.0025</v>
          </cell>
          <cell r="K125">
            <v>0.45</v>
          </cell>
        </row>
        <row r="125">
          <cell r="M125">
            <v>0.22</v>
          </cell>
          <cell r="N125">
            <v>0</v>
          </cell>
        </row>
        <row r="125">
          <cell r="R125">
            <v>0.185</v>
          </cell>
          <cell r="S125">
            <v>0.185</v>
          </cell>
        </row>
        <row r="126">
          <cell r="C126">
            <v>40513</v>
          </cell>
          <cell r="D126">
            <v>0.0537142350054811</v>
          </cell>
          <cell r="E126">
            <v>4.5145</v>
          </cell>
          <cell r="F126">
            <v>0.185</v>
          </cell>
          <cell r="G126">
            <v>0.011</v>
          </cell>
          <cell r="H126">
            <v>0.0075</v>
          </cell>
          <cell r="I126">
            <v>-0.0065</v>
          </cell>
          <cell r="J126">
            <v>0.0025</v>
          </cell>
          <cell r="K126">
            <v>0.4</v>
          </cell>
        </row>
        <row r="126">
          <cell r="M126">
            <v>0.2</v>
          </cell>
          <cell r="N126">
            <v>0</v>
          </cell>
        </row>
        <row r="126">
          <cell r="R126">
            <v>0.185</v>
          </cell>
          <cell r="S126">
            <v>0.185</v>
          </cell>
        </row>
        <row r="127">
          <cell r="C127">
            <v>40544</v>
          </cell>
          <cell r="D127">
            <v>0.0538247409479928</v>
          </cell>
          <cell r="E127">
            <v>4.5895</v>
          </cell>
          <cell r="F127">
            <v>0.185</v>
          </cell>
          <cell r="G127">
            <v>0.011</v>
          </cell>
          <cell r="H127">
            <v>0.0075</v>
          </cell>
          <cell r="I127">
            <v>-0.0065</v>
          </cell>
          <cell r="J127">
            <v>0.0025</v>
          </cell>
          <cell r="K127">
            <v>0.35</v>
          </cell>
        </row>
        <row r="127">
          <cell r="M127">
            <v>0.085</v>
          </cell>
          <cell r="N127">
            <v>0</v>
          </cell>
        </row>
        <row r="127">
          <cell r="R127">
            <v>0.185</v>
          </cell>
          <cell r="S127">
            <v>0.185</v>
          </cell>
        </row>
        <row r="128">
          <cell r="C128">
            <v>40575</v>
          </cell>
          <cell r="D128">
            <v>0.0539352468945737</v>
          </cell>
          <cell r="E128">
            <v>4.5025</v>
          </cell>
          <cell r="F128">
            <v>0.185</v>
          </cell>
          <cell r="G128">
            <v>0.011</v>
          </cell>
          <cell r="H128">
            <v>0.0075</v>
          </cell>
          <cell r="I128">
            <v>-0.0065</v>
          </cell>
          <cell r="J128">
            <v>0.0025</v>
          </cell>
          <cell r="K128">
            <v>0.35</v>
          </cell>
        </row>
        <row r="128">
          <cell r="M128">
            <v>0.075</v>
          </cell>
          <cell r="N128">
            <v>0</v>
          </cell>
        </row>
        <row r="128">
          <cell r="R128">
            <v>0.185</v>
          </cell>
          <cell r="S128">
            <v>0.185</v>
          </cell>
        </row>
        <row r="129">
          <cell r="C129">
            <v>40603</v>
          </cell>
          <cell r="D129">
            <v>0.0540350587207903</v>
          </cell>
          <cell r="E129">
            <v>4.3635</v>
          </cell>
          <cell r="F129">
            <v>0.18</v>
          </cell>
          <cell r="G129">
            <v>0.015</v>
          </cell>
          <cell r="H129">
            <v>0.0075</v>
          </cell>
          <cell r="I129">
            <v>-0.0025</v>
          </cell>
          <cell r="J129">
            <v>0.0025</v>
          </cell>
          <cell r="K129">
            <v>0.4</v>
          </cell>
        </row>
        <row r="129">
          <cell r="M129">
            <v>0.115</v>
          </cell>
          <cell r="N129">
            <v>0</v>
          </cell>
        </row>
        <row r="129">
          <cell r="R129">
            <v>0.18</v>
          </cell>
          <cell r="S129">
            <v>0.18</v>
          </cell>
        </row>
        <row r="130">
          <cell r="C130">
            <v>40634</v>
          </cell>
          <cell r="D130">
            <v>0.0541455646751166</v>
          </cell>
          <cell r="E130">
            <v>4.2095</v>
          </cell>
          <cell r="F130">
            <v>0.18</v>
          </cell>
          <cell r="G130">
            <v>0.015</v>
          </cell>
          <cell r="H130">
            <v>0.01</v>
          </cell>
          <cell r="I130">
            <v>-0.0025</v>
          </cell>
          <cell r="J130">
            <v>0.0075</v>
          </cell>
          <cell r="K130">
            <v>0.6</v>
          </cell>
        </row>
        <row r="130">
          <cell r="M130">
            <v>0.55</v>
          </cell>
          <cell r="N130">
            <v>0</v>
          </cell>
        </row>
        <row r="130">
          <cell r="R130">
            <v>0.18</v>
          </cell>
          <cell r="S130">
            <v>0.18</v>
          </cell>
        </row>
        <row r="131">
          <cell r="C131">
            <v>40664</v>
          </cell>
          <cell r="D131">
            <v>0.0542525059251124</v>
          </cell>
          <cell r="E131">
            <v>4.2145</v>
          </cell>
          <cell r="F131">
            <v>0.18</v>
          </cell>
          <cell r="G131">
            <v>0.0175</v>
          </cell>
          <cell r="H131">
            <v>0.01</v>
          </cell>
          <cell r="I131">
            <v>0</v>
          </cell>
          <cell r="J131">
            <v>0.0075</v>
          </cell>
          <cell r="K131">
            <v>0.75</v>
          </cell>
        </row>
        <row r="131">
          <cell r="M131">
            <v>0.7</v>
          </cell>
          <cell r="N131">
            <v>0</v>
          </cell>
        </row>
        <row r="131">
          <cell r="R131">
            <v>0.36</v>
          </cell>
          <cell r="S131">
            <v>0.27</v>
          </cell>
        </row>
        <row r="132">
          <cell r="C132">
            <v>40695</v>
          </cell>
          <cell r="D132">
            <v>0.0543630118874447</v>
          </cell>
          <cell r="E132">
            <v>4.2525</v>
          </cell>
          <cell r="F132">
            <v>0.18</v>
          </cell>
          <cell r="G132">
            <v>0.015</v>
          </cell>
          <cell r="H132">
            <v>0.01</v>
          </cell>
          <cell r="I132">
            <v>-0.0025</v>
          </cell>
          <cell r="J132">
            <v>0.0075</v>
          </cell>
          <cell r="K132">
            <v>0.85</v>
          </cell>
        </row>
        <row r="132">
          <cell r="M132">
            <v>0.8</v>
          </cell>
          <cell r="N132">
            <v>0</v>
          </cell>
        </row>
        <row r="132">
          <cell r="R132">
            <v>0.36</v>
          </cell>
          <cell r="S132">
            <v>0.27</v>
          </cell>
        </row>
        <row r="133">
          <cell r="C133">
            <v>40725</v>
          </cell>
          <cell r="D133">
            <v>0.0544699531451891</v>
          </cell>
          <cell r="E133">
            <v>4.2975</v>
          </cell>
          <cell r="F133">
            <v>0.18</v>
          </cell>
          <cell r="G133">
            <v>0.0125</v>
          </cell>
          <cell r="H133">
            <v>0.01</v>
          </cell>
          <cell r="I133">
            <v>-0.005</v>
          </cell>
          <cell r="J133">
            <v>0.0075</v>
          </cell>
          <cell r="K133">
            <v>1.05</v>
          </cell>
        </row>
        <row r="133">
          <cell r="M133">
            <v>1</v>
          </cell>
          <cell r="N133">
            <v>0</v>
          </cell>
        </row>
        <row r="133">
          <cell r="R133">
            <v>0.36</v>
          </cell>
          <cell r="S133">
            <v>0.27</v>
          </cell>
        </row>
        <row r="134">
          <cell r="C134">
            <v>40756</v>
          </cell>
          <cell r="D134">
            <v>0.0545804591155274</v>
          </cell>
          <cell r="E134">
            <v>4.3355</v>
          </cell>
          <cell r="F134">
            <v>0.18</v>
          </cell>
          <cell r="G134">
            <v>0.0125</v>
          </cell>
          <cell r="H134">
            <v>0.01</v>
          </cell>
          <cell r="I134">
            <v>-0.005</v>
          </cell>
          <cell r="J134">
            <v>0.0075</v>
          </cell>
          <cell r="K134">
            <v>1.05</v>
          </cell>
        </row>
        <row r="134">
          <cell r="M134">
            <v>1</v>
          </cell>
          <cell r="N134">
            <v>0</v>
          </cell>
        </row>
        <row r="134">
          <cell r="R134">
            <v>0.36</v>
          </cell>
          <cell r="S134">
            <v>0.27</v>
          </cell>
        </row>
        <row r="135">
          <cell r="C135">
            <v>40787</v>
          </cell>
          <cell r="D135">
            <v>0.0546909650899341</v>
          </cell>
          <cell r="E135">
            <v>4.3295</v>
          </cell>
          <cell r="F135">
            <v>0.18</v>
          </cell>
          <cell r="G135">
            <v>0.0125</v>
          </cell>
          <cell r="H135">
            <v>0.01</v>
          </cell>
          <cell r="I135">
            <v>-0.005</v>
          </cell>
          <cell r="J135">
            <v>0.0075</v>
          </cell>
          <cell r="K135">
            <v>0.75</v>
          </cell>
        </row>
        <row r="135">
          <cell r="M135">
            <v>0.6</v>
          </cell>
          <cell r="N135">
            <v>0</v>
          </cell>
        </row>
        <row r="135">
          <cell r="R135">
            <v>0.36</v>
          </cell>
          <cell r="S135">
            <v>0.27</v>
          </cell>
        </row>
        <row r="136">
          <cell r="C136">
            <v>40817</v>
          </cell>
          <cell r="D136">
            <v>0.054797906359362</v>
          </cell>
          <cell r="E136">
            <v>4.3295</v>
          </cell>
          <cell r="F136">
            <v>0.18</v>
          </cell>
          <cell r="G136">
            <v>0.011</v>
          </cell>
          <cell r="H136">
            <v>0.01</v>
          </cell>
          <cell r="I136">
            <v>-0.0065</v>
          </cell>
          <cell r="J136">
            <v>0.0075</v>
          </cell>
          <cell r="K136">
            <v>0.45</v>
          </cell>
        </row>
        <row r="136">
          <cell r="M136">
            <v>0.3</v>
          </cell>
          <cell r="N136">
            <v>0</v>
          </cell>
        </row>
        <row r="136">
          <cell r="R136">
            <v>0.18</v>
          </cell>
          <cell r="S136">
            <v>0.18</v>
          </cell>
        </row>
        <row r="137">
          <cell r="C137">
            <v>40848</v>
          </cell>
          <cell r="D137">
            <v>0.0548966041805214</v>
          </cell>
          <cell r="E137">
            <v>4.4775</v>
          </cell>
          <cell r="F137">
            <v>0.18</v>
          </cell>
          <cell r="G137">
            <v>0.012</v>
          </cell>
          <cell r="H137">
            <v>0.0075</v>
          </cell>
          <cell r="I137">
            <v>-0.0055</v>
          </cell>
          <cell r="J137">
            <v>0.0025</v>
          </cell>
          <cell r="K137">
            <v>0.45</v>
          </cell>
        </row>
        <row r="137">
          <cell r="M137">
            <v>0.23</v>
          </cell>
          <cell r="N137">
            <v>0</v>
          </cell>
        </row>
        <row r="137">
          <cell r="R137">
            <v>0.18</v>
          </cell>
          <cell r="S137">
            <v>0.18</v>
          </cell>
        </row>
        <row r="138">
          <cell r="C138">
            <v>40878</v>
          </cell>
          <cell r="D138">
            <v>0.0549529390506351</v>
          </cell>
          <cell r="E138">
            <v>4.6295</v>
          </cell>
          <cell r="F138">
            <v>0.18</v>
          </cell>
          <cell r="G138">
            <v>0.012</v>
          </cell>
          <cell r="H138">
            <v>0.0075</v>
          </cell>
          <cell r="I138">
            <v>-0.0055</v>
          </cell>
          <cell r="J138">
            <v>0.0025</v>
          </cell>
          <cell r="K138">
            <v>0.4</v>
          </cell>
        </row>
        <row r="138">
          <cell r="M138">
            <v>0.26</v>
          </cell>
          <cell r="N138">
            <v>0</v>
          </cell>
        </row>
        <row r="138">
          <cell r="R138">
            <v>0.18</v>
          </cell>
          <cell r="S138">
            <v>0.18</v>
          </cell>
        </row>
        <row r="139">
          <cell r="C139">
            <v>40909</v>
          </cell>
          <cell r="D139">
            <v>0.0550111517508634</v>
          </cell>
          <cell r="E139">
            <v>4.707</v>
          </cell>
          <cell r="F139">
            <v>0.18</v>
          </cell>
          <cell r="G139">
            <v>0.012</v>
          </cell>
          <cell r="H139">
            <v>0.0075</v>
          </cell>
          <cell r="I139">
            <v>-0.0055</v>
          </cell>
          <cell r="J139">
            <v>0.0025</v>
          </cell>
          <cell r="K139">
            <v>0.35</v>
          </cell>
        </row>
        <row r="139">
          <cell r="M139">
            <v>0.085</v>
          </cell>
          <cell r="N139">
            <v>0</v>
          </cell>
        </row>
        <row r="139">
          <cell r="R139">
            <v>0.18</v>
          </cell>
          <cell r="S139">
            <v>0.18</v>
          </cell>
        </row>
        <row r="140">
          <cell r="C140">
            <v>40940</v>
          </cell>
          <cell r="D140">
            <v>0.05506936445222</v>
          </cell>
          <cell r="E140">
            <v>4.62</v>
          </cell>
          <cell r="F140">
            <v>0.175</v>
          </cell>
          <cell r="G140">
            <v>0.012</v>
          </cell>
          <cell r="H140">
            <v>0.0075</v>
          </cell>
          <cell r="I140">
            <v>-0.0055</v>
          </cell>
          <cell r="J140">
            <v>0.0025</v>
          </cell>
          <cell r="K140">
            <v>0.35</v>
          </cell>
        </row>
        <row r="140">
          <cell r="M140">
            <v>0.075</v>
          </cell>
          <cell r="N140">
            <v>0</v>
          </cell>
        </row>
        <row r="140">
          <cell r="R140">
            <v>0.175</v>
          </cell>
          <cell r="S140">
            <v>0.175</v>
          </cell>
        </row>
        <row r="141">
          <cell r="C141">
            <v>40969</v>
          </cell>
          <cell r="D141">
            <v>0.0551238214964465</v>
          </cell>
          <cell r="E141">
            <v>4.481</v>
          </cell>
          <cell r="F141">
            <v>0.17</v>
          </cell>
          <cell r="G141">
            <v>0.016</v>
          </cell>
          <cell r="H141">
            <v>0.0075</v>
          </cell>
          <cell r="I141">
            <v>-0.001499999</v>
          </cell>
          <cell r="J141">
            <v>0.0025</v>
          </cell>
          <cell r="K141">
            <v>0.4</v>
          </cell>
        </row>
        <row r="141">
          <cell r="M141">
            <v>0.115</v>
          </cell>
          <cell r="N141">
            <v>0</v>
          </cell>
        </row>
        <row r="141">
          <cell r="R141">
            <v>0.17</v>
          </cell>
          <cell r="S141">
            <v>0.17</v>
          </cell>
        </row>
        <row r="142">
          <cell r="C142">
            <v>41000</v>
          </cell>
          <cell r="D142">
            <v>0.0551820341999876</v>
          </cell>
          <cell r="E142">
            <v>4.327</v>
          </cell>
          <cell r="F142">
            <v>0.17</v>
          </cell>
          <cell r="G142">
            <v>0.016</v>
          </cell>
          <cell r="H142">
            <v>0.01</v>
          </cell>
          <cell r="I142">
            <v>-0.001499999</v>
          </cell>
          <cell r="J142">
            <v>0.0075</v>
          </cell>
          <cell r="K142">
            <v>0.6</v>
          </cell>
        </row>
        <row r="142">
          <cell r="M142">
            <v>0.55</v>
          </cell>
          <cell r="N142">
            <v>0</v>
          </cell>
        </row>
        <row r="142">
          <cell r="R142">
            <v>0.17</v>
          </cell>
          <cell r="S142">
            <v>0.17</v>
          </cell>
        </row>
        <row r="143">
          <cell r="C143">
            <v>41030</v>
          </cell>
          <cell r="D143">
            <v>0.055238369075457</v>
          </cell>
          <cell r="E143">
            <v>4.332</v>
          </cell>
          <cell r="F143">
            <v>0.17</v>
          </cell>
          <cell r="G143">
            <v>0.0185</v>
          </cell>
          <cell r="H143">
            <v>0.01</v>
          </cell>
          <cell r="I143">
            <v>0.001</v>
          </cell>
          <cell r="J143">
            <v>0.0075</v>
          </cell>
          <cell r="K143">
            <v>0.75</v>
          </cell>
        </row>
        <row r="143">
          <cell r="M143">
            <v>0.7</v>
          </cell>
          <cell r="N143">
            <v>0</v>
          </cell>
        </row>
        <row r="143">
          <cell r="R143">
            <v>0.34</v>
          </cell>
          <cell r="S143">
            <v>0.255</v>
          </cell>
        </row>
        <row r="144">
          <cell r="C144">
            <v>41061</v>
          </cell>
          <cell r="D144">
            <v>0.055296581781219</v>
          </cell>
          <cell r="E144">
            <v>4.37</v>
          </cell>
          <cell r="F144">
            <v>0.17</v>
          </cell>
          <cell r="G144">
            <v>0.016</v>
          </cell>
          <cell r="H144">
            <v>0.01</v>
          </cell>
          <cell r="I144">
            <v>-0.001499999</v>
          </cell>
          <cell r="J144">
            <v>0.0075</v>
          </cell>
          <cell r="K144">
            <v>0.85</v>
          </cell>
        </row>
        <row r="144">
          <cell r="M144">
            <v>0.8</v>
          </cell>
          <cell r="N144">
            <v>0</v>
          </cell>
        </row>
        <row r="144">
          <cell r="R144">
            <v>0.34</v>
          </cell>
          <cell r="S144">
            <v>0.255</v>
          </cell>
        </row>
        <row r="145">
          <cell r="C145">
            <v>41091</v>
          </cell>
          <cell r="D145">
            <v>0.0553529166588374</v>
          </cell>
          <cell r="E145">
            <v>4.415</v>
          </cell>
          <cell r="F145">
            <v>0.17</v>
          </cell>
          <cell r="G145">
            <v>0.0135</v>
          </cell>
          <cell r="H145">
            <v>0.01</v>
          </cell>
          <cell r="I145">
            <v>-0.004</v>
          </cell>
          <cell r="J145">
            <v>0.0075</v>
          </cell>
          <cell r="K145">
            <v>1.05</v>
          </cell>
        </row>
        <row r="145">
          <cell r="M145">
            <v>1</v>
          </cell>
          <cell r="N145">
            <v>0</v>
          </cell>
        </row>
        <row r="145">
          <cell r="R145">
            <v>0.34</v>
          </cell>
          <cell r="S145">
            <v>0.255</v>
          </cell>
        </row>
        <row r="146">
          <cell r="C146">
            <v>41122</v>
          </cell>
          <cell r="D146">
            <v>0.0554111293668198</v>
          </cell>
          <cell r="E146">
            <v>4.453</v>
          </cell>
          <cell r="F146">
            <v>0.17</v>
          </cell>
          <cell r="G146">
            <v>0.0135</v>
          </cell>
          <cell r="H146">
            <v>0.01</v>
          </cell>
          <cell r="I146">
            <v>-0.004</v>
          </cell>
          <cell r="J146">
            <v>0.0075</v>
          </cell>
          <cell r="K146">
            <v>1.05</v>
          </cell>
        </row>
        <row r="146">
          <cell r="M146">
            <v>1</v>
          </cell>
          <cell r="N146">
            <v>0</v>
          </cell>
        </row>
        <row r="146">
          <cell r="R146">
            <v>0.34</v>
          </cell>
          <cell r="S146">
            <v>0.255</v>
          </cell>
        </row>
        <row r="147">
          <cell r="C147">
            <v>41153</v>
          </cell>
          <cell r="D147">
            <v>0.0554693420759311</v>
          </cell>
          <cell r="E147">
            <v>4.447</v>
          </cell>
          <cell r="F147">
            <v>0.17</v>
          </cell>
          <cell r="G147">
            <v>0.0135</v>
          </cell>
          <cell r="H147">
            <v>0.01</v>
          </cell>
          <cell r="I147">
            <v>-0.004</v>
          </cell>
          <cell r="J147">
            <v>0.0075</v>
          </cell>
          <cell r="K147">
            <v>0.75</v>
          </cell>
        </row>
        <row r="147">
          <cell r="M147">
            <v>0.6</v>
          </cell>
          <cell r="N147">
            <v>0</v>
          </cell>
        </row>
        <row r="147">
          <cell r="R147">
            <v>0.34</v>
          </cell>
          <cell r="S147">
            <v>0.255</v>
          </cell>
        </row>
        <row r="148">
          <cell r="C148">
            <v>41183</v>
          </cell>
          <cell r="D148">
            <v>0.0555256769567904</v>
          </cell>
          <cell r="E148">
            <v>4.447</v>
          </cell>
          <cell r="F148">
            <v>0.17</v>
          </cell>
          <cell r="G148">
            <v>0.012</v>
          </cell>
          <cell r="H148">
            <v>0.01</v>
          </cell>
          <cell r="I148">
            <v>-0.0055</v>
          </cell>
          <cell r="J148">
            <v>0.0075</v>
          </cell>
          <cell r="K148">
            <v>0.45</v>
          </cell>
        </row>
        <row r="148">
          <cell r="M148">
            <v>0.3</v>
          </cell>
          <cell r="N148">
            <v>0</v>
          </cell>
        </row>
        <row r="148">
          <cell r="R148">
            <v>0.17</v>
          </cell>
          <cell r="S148">
            <v>0.17</v>
          </cell>
        </row>
        <row r="149">
          <cell r="C149">
            <v>41214</v>
          </cell>
          <cell r="D149">
            <v>0.0555838896681218</v>
          </cell>
          <cell r="E149">
            <v>4.595</v>
          </cell>
          <cell r="F149">
            <v>0.17</v>
          </cell>
          <cell r="G149">
            <v>0.013</v>
          </cell>
          <cell r="H149">
            <v>0.0075</v>
          </cell>
          <cell r="I149">
            <v>-0.0045</v>
          </cell>
          <cell r="J149">
            <v>0.0025</v>
          </cell>
          <cell r="K149">
            <v>0.45</v>
          </cell>
        </row>
        <row r="149">
          <cell r="M149">
            <v>0.23</v>
          </cell>
          <cell r="N149">
            <v>0</v>
          </cell>
        </row>
        <row r="149">
          <cell r="R149">
            <v>0.17</v>
          </cell>
          <cell r="S149">
            <v>0.17</v>
          </cell>
        </row>
        <row r="150">
          <cell r="C150">
            <v>41244</v>
          </cell>
          <cell r="D150">
            <v>0.0556402245511296</v>
          </cell>
          <cell r="E150">
            <v>4.747</v>
          </cell>
          <cell r="F150">
            <v>0.17</v>
          </cell>
          <cell r="G150">
            <v>0.013</v>
          </cell>
          <cell r="H150">
            <v>0.0075</v>
          </cell>
          <cell r="I150">
            <v>-0.0045</v>
          </cell>
          <cell r="J150">
            <v>0.0025</v>
          </cell>
          <cell r="K150">
            <v>0.4</v>
          </cell>
        </row>
        <row r="150">
          <cell r="M150">
            <v>0.26</v>
          </cell>
          <cell r="N150">
            <v>0</v>
          </cell>
        </row>
        <row r="150">
          <cell r="R150">
            <v>0.17</v>
          </cell>
          <cell r="S150">
            <v>0.17</v>
          </cell>
        </row>
        <row r="151">
          <cell r="C151">
            <v>41275</v>
          </cell>
          <cell r="D151">
            <v>0.0556984372646814</v>
          </cell>
          <cell r="E151">
            <v>4.8245</v>
          </cell>
          <cell r="F151">
            <v>0.17</v>
          </cell>
          <cell r="G151">
            <v>0.013</v>
          </cell>
          <cell r="H151">
            <v>0.0075</v>
          </cell>
          <cell r="I151">
            <v>-0.001999999</v>
          </cell>
          <cell r="J151">
            <v>0.0025</v>
          </cell>
          <cell r="K151">
            <v>0.35</v>
          </cell>
        </row>
        <row r="151">
          <cell r="M151">
            <v>0.085</v>
          </cell>
          <cell r="N151">
            <v>0</v>
          </cell>
        </row>
        <row r="151">
          <cell r="R151">
            <v>0.17</v>
          </cell>
          <cell r="S151">
            <v>0.17</v>
          </cell>
        </row>
        <row r="152">
          <cell r="C152">
            <v>41306</v>
          </cell>
          <cell r="D152">
            <v>0.0557566499793611</v>
          </cell>
          <cell r="E152">
            <v>4.7375</v>
          </cell>
          <cell r="F152">
            <v>0.17</v>
          </cell>
          <cell r="G152">
            <v>0.013</v>
          </cell>
          <cell r="H152">
            <v>0.0075</v>
          </cell>
          <cell r="I152">
            <v>-0.001999999</v>
          </cell>
          <cell r="J152">
            <v>0.0025</v>
          </cell>
          <cell r="K152">
            <v>0.35</v>
          </cell>
        </row>
        <row r="152">
          <cell r="M152">
            <v>0.075</v>
          </cell>
          <cell r="N152">
            <v>0</v>
          </cell>
        </row>
        <row r="152">
          <cell r="R152">
            <v>0.17</v>
          </cell>
          <cell r="S152">
            <v>0.17</v>
          </cell>
        </row>
        <row r="153">
          <cell r="C153">
            <v>41334</v>
          </cell>
          <cell r="D153">
            <v>0.0558092292064938</v>
          </cell>
          <cell r="E153">
            <v>4.5985</v>
          </cell>
          <cell r="F153">
            <v>0.17</v>
          </cell>
          <cell r="G153">
            <v>0.017</v>
          </cell>
          <cell r="H153">
            <v>0.0075</v>
          </cell>
          <cell r="I153">
            <v>0.002</v>
          </cell>
          <cell r="J153">
            <v>0.0025</v>
          </cell>
          <cell r="K153">
            <v>0.4</v>
          </cell>
        </row>
        <row r="153">
          <cell r="M153">
            <v>0.115</v>
          </cell>
          <cell r="N153">
            <v>0</v>
          </cell>
        </row>
        <row r="153">
          <cell r="R153">
            <v>0.17</v>
          </cell>
          <cell r="S153">
            <v>0.17</v>
          </cell>
        </row>
        <row r="154">
          <cell r="C154">
            <v>41365</v>
          </cell>
          <cell r="D154">
            <v>0.0558674419233212</v>
          </cell>
          <cell r="E154">
            <v>4.4445</v>
          </cell>
          <cell r="F154">
            <v>0.17</v>
          </cell>
          <cell r="G154">
            <v>0.017</v>
          </cell>
          <cell r="H154">
            <v>0.01</v>
          </cell>
          <cell r="I154">
            <v>0.002</v>
          </cell>
          <cell r="J154">
            <v>0.0075</v>
          </cell>
          <cell r="K154">
            <v>0.6</v>
          </cell>
        </row>
        <row r="154">
          <cell r="M154">
            <v>0.55</v>
          </cell>
          <cell r="N154">
            <v>0</v>
          </cell>
        </row>
        <row r="154">
          <cell r="R154">
            <v>0.17</v>
          </cell>
          <cell r="S154">
            <v>0.17</v>
          </cell>
        </row>
        <row r="155">
          <cell r="C155">
            <v>41395</v>
          </cell>
          <cell r="D155">
            <v>0.0559237768116478</v>
          </cell>
          <cell r="E155">
            <v>4.4495</v>
          </cell>
          <cell r="F155">
            <v>0.17</v>
          </cell>
          <cell r="G155">
            <v>0.0195</v>
          </cell>
          <cell r="H155">
            <v>0.01</v>
          </cell>
          <cell r="I155">
            <v>0.0045</v>
          </cell>
          <cell r="J155">
            <v>0.0075</v>
          </cell>
          <cell r="K155">
            <v>0.75</v>
          </cell>
        </row>
        <row r="155">
          <cell r="M155">
            <v>0.7</v>
          </cell>
          <cell r="N155">
            <v>0</v>
          </cell>
        </row>
        <row r="155">
          <cell r="R155">
            <v>0.34</v>
          </cell>
          <cell r="S155">
            <v>0.255</v>
          </cell>
        </row>
        <row r="156">
          <cell r="C156">
            <v>41426</v>
          </cell>
          <cell r="D156">
            <v>0.0559819895306952</v>
          </cell>
          <cell r="E156">
            <v>4.4875</v>
          </cell>
          <cell r="F156">
            <v>0.17</v>
          </cell>
          <cell r="G156">
            <v>0.017</v>
          </cell>
          <cell r="H156">
            <v>0.01</v>
          </cell>
          <cell r="I156">
            <v>0.003</v>
          </cell>
          <cell r="J156">
            <v>0.0075</v>
          </cell>
          <cell r="K156">
            <v>0.85</v>
          </cell>
        </row>
        <row r="156">
          <cell r="M156">
            <v>0.8</v>
          </cell>
          <cell r="N156">
            <v>0</v>
          </cell>
        </row>
        <row r="156">
          <cell r="R156">
            <v>0.34</v>
          </cell>
          <cell r="S156">
            <v>0.255</v>
          </cell>
        </row>
        <row r="157">
          <cell r="C157">
            <v>41456</v>
          </cell>
          <cell r="D157">
            <v>0.05603832442117</v>
          </cell>
          <cell r="E157">
            <v>4.5325</v>
          </cell>
          <cell r="F157">
            <v>0.17</v>
          </cell>
          <cell r="G157">
            <v>0.0145</v>
          </cell>
          <cell r="H157">
            <v>0.01</v>
          </cell>
          <cell r="I157">
            <v>0.000500000000000006</v>
          </cell>
          <cell r="J157">
            <v>0.0075</v>
          </cell>
          <cell r="K157">
            <v>1.05</v>
          </cell>
        </row>
        <row r="157">
          <cell r="M157">
            <v>1</v>
          </cell>
          <cell r="N157">
            <v>0</v>
          </cell>
        </row>
        <row r="157">
          <cell r="R157">
            <v>0.34</v>
          </cell>
          <cell r="S157">
            <v>0.255</v>
          </cell>
        </row>
        <row r="158">
          <cell r="C158">
            <v>41487</v>
          </cell>
          <cell r="D158">
            <v>0.0560965371424373</v>
          </cell>
          <cell r="E158">
            <v>4.5705</v>
          </cell>
          <cell r="F158">
            <v>0.17</v>
          </cell>
          <cell r="G158">
            <v>0.0145</v>
          </cell>
          <cell r="H158">
            <v>0.01</v>
          </cell>
          <cell r="I158">
            <v>0.000500000000000006</v>
          </cell>
          <cell r="J158">
            <v>0.0075</v>
          </cell>
          <cell r="K158">
            <v>1.05</v>
          </cell>
        </row>
        <row r="158">
          <cell r="M158">
            <v>1</v>
          </cell>
          <cell r="N158">
            <v>0</v>
          </cell>
        </row>
        <row r="158">
          <cell r="R158">
            <v>0.34</v>
          </cell>
          <cell r="S158">
            <v>0.255</v>
          </cell>
        </row>
        <row r="159">
          <cell r="C159">
            <v>41518</v>
          </cell>
          <cell r="D159">
            <v>0.0561547498648327</v>
          </cell>
          <cell r="E159">
            <v>4.5645</v>
          </cell>
          <cell r="F159">
            <v>0.17</v>
          </cell>
          <cell r="G159">
            <v>0.0145</v>
          </cell>
          <cell r="H159">
            <v>0.01</v>
          </cell>
          <cell r="I159">
            <v>0.000500000000000006</v>
          </cell>
          <cell r="J159">
            <v>0.0075</v>
          </cell>
          <cell r="K159">
            <v>0.75</v>
          </cell>
        </row>
        <row r="159">
          <cell r="M159">
            <v>0.6</v>
          </cell>
          <cell r="N159">
            <v>0</v>
          </cell>
        </row>
        <row r="159">
          <cell r="R159">
            <v>0.34</v>
          </cell>
          <cell r="S159">
            <v>0.255</v>
          </cell>
        </row>
        <row r="160">
          <cell r="C160">
            <v>41548</v>
          </cell>
          <cell r="D160">
            <v>0.0562110847585475</v>
          </cell>
          <cell r="E160">
            <v>4.5645</v>
          </cell>
          <cell r="F160">
            <v>0.17</v>
          </cell>
          <cell r="G160">
            <v>0.013</v>
          </cell>
          <cell r="H160">
            <v>0.01</v>
          </cell>
          <cell r="I160">
            <v>-0.001999999</v>
          </cell>
          <cell r="J160">
            <v>0.0075</v>
          </cell>
          <cell r="K160">
            <v>0.45</v>
          </cell>
        </row>
        <row r="160">
          <cell r="M160">
            <v>0.3</v>
          </cell>
          <cell r="N160">
            <v>0</v>
          </cell>
        </row>
        <row r="160">
          <cell r="R160">
            <v>0.17</v>
          </cell>
          <cell r="S160">
            <v>0.17</v>
          </cell>
        </row>
        <row r="161">
          <cell r="C161">
            <v>41579</v>
          </cell>
          <cell r="D161">
            <v>0.0562692974831624</v>
          </cell>
          <cell r="E161">
            <v>4.7125</v>
          </cell>
          <cell r="F161">
            <v>0.17</v>
          </cell>
          <cell r="G161">
            <v>0.014</v>
          </cell>
          <cell r="H161">
            <v>0.0075</v>
          </cell>
          <cell r="I161">
            <v>0.001</v>
          </cell>
          <cell r="J161">
            <v>0.0025</v>
          </cell>
          <cell r="K161">
            <v>0.45</v>
          </cell>
        </row>
        <row r="161">
          <cell r="M161">
            <v>0.23</v>
          </cell>
          <cell r="N161">
            <v>0</v>
          </cell>
        </row>
        <row r="161">
          <cell r="R161">
            <v>0.17</v>
          </cell>
          <cell r="S161">
            <v>0.17</v>
          </cell>
        </row>
        <row r="162">
          <cell r="C162">
            <v>41609</v>
          </cell>
          <cell r="D162">
            <v>0.0563256323790253</v>
          </cell>
          <cell r="E162">
            <v>4.8645</v>
          </cell>
          <cell r="F162">
            <v>0.17</v>
          </cell>
          <cell r="G162">
            <v>0.014</v>
          </cell>
          <cell r="H162">
            <v>0.0075</v>
          </cell>
          <cell r="I162">
            <v>0.001</v>
          </cell>
          <cell r="J162">
            <v>0.0025</v>
          </cell>
          <cell r="K162">
            <v>0.4</v>
          </cell>
        </row>
        <row r="162">
          <cell r="M162">
            <v>0.26</v>
          </cell>
          <cell r="N162">
            <v>0</v>
          </cell>
        </row>
        <row r="162">
          <cell r="R162">
            <v>0.17</v>
          </cell>
          <cell r="S162">
            <v>0.17</v>
          </cell>
        </row>
        <row r="163">
          <cell r="C163">
            <v>41640</v>
          </cell>
          <cell r="D163">
            <v>0.0563838451058598</v>
          </cell>
          <cell r="E163">
            <v>4.942</v>
          </cell>
          <cell r="F163">
            <v>0.17</v>
          </cell>
          <cell r="G163">
            <v>0.014</v>
          </cell>
          <cell r="H163">
            <v>0.0075</v>
          </cell>
          <cell r="I163">
            <v>0.001</v>
          </cell>
          <cell r="J163">
            <v>0.0025</v>
          </cell>
          <cell r="K163">
            <v>0.35</v>
          </cell>
        </row>
        <row r="163">
          <cell r="M163">
            <v>0.085</v>
          </cell>
          <cell r="N163">
            <v>0</v>
          </cell>
        </row>
        <row r="163">
          <cell r="R163">
            <v>0.17</v>
          </cell>
          <cell r="S163">
            <v>0.17</v>
          </cell>
        </row>
        <row r="164">
          <cell r="C164">
            <v>41671</v>
          </cell>
          <cell r="D164">
            <v>0.0564420578338218</v>
          </cell>
          <cell r="E164">
            <v>4.855</v>
          </cell>
          <cell r="F164">
            <v>0.17</v>
          </cell>
          <cell r="G164">
            <v>0.014</v>
          </cell>
          <cell r="H164">
            <v>0.0075</v>
          </cell>
          <cell r="I164">
            <v>0.001</v>
          </cell>
          <cell r="J164">
            <v>0.0025</v>
          </cell>
          <cell r="K164">
            <v>0.35</v>
          </cell>
        </row>
        <row r="164">
          <cell r="M164">
            <v>0.075</v>
          </cell>
          <cell r="N164">
            <v>0</v>
          </cell>
        </row>
        <row r="164">
          <cell r="R164">
            <v>0.17</v>
          </cell>
          <cell r="S164">
            <v>0.17</v>
          </cell>
        </row>
        <row r="165">
          <cell r="C165">
            <v>41699</v>
          </cell>
          <cell r="D165">
            <v>0.0564946370729511</v>
          </cell>
          <cell r="E165">
            <v>4.716</v>
          </cell>
          <cell r="F165">
            <v>0.17</v>
          </cell>
          <cell r="G165">
            <v>0.018</v>
          </cell>
          <cell r="H165">
            <v>0.0075</v>
          </cell>
          <cell r="I165">
            <v>0.003</v>
          </cell>
          <cell r="J165">
            <v>0.0025</v>
          </cell>
          <cell r="K165">
            <v>0.4</v>
          </cell>
        </row>
        <row r="165">
          <cell r="M165">
            <v>0.115</v>
          </cell>
          <cell r="N165">
            <v>0</v>
          </cell>
        </row>
        <row r="165">
          <cell r="R165">
            <v>0.17</v>
          </cell>
          <cell r="S165">
            <v>0.17</v>
          </cell>
        </row>
        <row r="166">
          <cell r="C166">
            <v>41730</v>
          </cell>
          <cell r="D166">
            <v>0.0565528498030603</v>
          </cell>
          <cell r="E166">
            <v>4.562</v>
          </cell>
          <cell r="F166">
            <v>0.17</v>
          </cell>
          <cell r="G166">
            <v>0.018</v>
          </cell>
          <cell r="H166">
            <v>0.01</v>
          </cell>
          <cell r="I166">
            <v>0.003</v>
          </cell>
          <cell r="J166">
            <v>0.0075</v>
          </cell>
          <cell r="K166">
            <v>0.6</v>
          </cell>
        </row>
        <row r="166">
          <cell r="M166">
            <v>0.55</v>
          </cell>
          <cell r="N166">
            <v>0</v>
          </cell>
        </row>
        <row r="166">
          <cell r="R166">
            <v>0.17</v>
          </cell>
          <cell r="S166">
            <v>0.17</v>
          </cell>
        </row>
        <row r="167">
          <cell r="C167">
            <v>41760</v>
          </cell>
          <cell r="D167">
            <v>0.0566091847042398</v>
          </cell>
          <cell r="E167">
            <v>4.567</v>
          </cell>
          <cell r="F167">
            <v>0.17</v>
          </cell>
          <cell r="G167">
            <v>0.0205</v>
          </cell>
          <cell r="H167">
            <v>0.01</v>
          </cell>
          <cell r="I167">
            <v>0.0055</v>
          </cell>
          <cell r="J167">
            <v>0.0075</v>
          </cell>
          <cell r="K167">
            <v>0.75</v>
          </cell>
        </row>
        <row r="167">
          <cell r="M167">
            <v>0.7</v>
          </cell>
          <cell r="N167">
            <v>0</v>
          </cell>
        </row>
        <row r="167">
          <cell r="R167">
            <v>0.34</v>
          </cell>
          <cell r="S167">
            <v>0.255</v>
          </cell>
        </row>
        <row r="168">
          <cell r="C168">
            <v>41791</v>
          </cell>
          <cell r="D168">
            <v>0.0566673974365681</v>
          </cell>
          <cell r="E168">
            <v>4.605</v>
          </cell>
          <cell r="F168">
            <v>0.17</v>
          </cell>
          <cell r="G168">
            <v>0.018</v>
          </cell>
          <cell r="H168">
            <v>0.01</v>
          </cell>
          <cell r="I168">
            <v>0.003</v>
          </cell>
          <cell r="J168">
            <v>0.0075</v>
          </cell>
          <cell r="K168">
            <v>0.85</v>
          </cell>
        </row>
        <row r="168">
          <cell r="M168">
            <v>0.8</v>
          </cell>
          <cell r="N168">
            <v>0</v>
          </cell>
        </row>
        <row r="168">
          <cell r="R168">
            <v>0.34</v>
          </cell>
          <cell r="S168">
            <v>0.255</v>
          </cell>
        </row>
        <row r="169">
          <cell r="C169">
            <v>41821</v>
          </cell>
          <cell r="D169">
            <v>0.0567237323398952</v>
          </cell>
          <cell r="E169">
            <v>4.65</v>
          </cell>
          <cell r="F169">
            <v>0.17</v>
          </cell>
          <cell r="G169">
            <v>0.0155</v>
          </cell>
          <cell r="H169">
            <v>0.01</v>
          </cell>
          <cell r="I169">
            <v>0.000500000000000007</v>
          </cell>
          <cell r="J169">
            <v>0.0075</v>
          </cell>
          <cell r="K169">
            <v>1.05</v>
          </cell>
        </row>
        <row r="169">
          <cell r="M169">
            <v>1</v>
          </cell>
          <cell r="N169">
            <v>0</v>
          </cell>
        </row>
        <row r="169">
          <cell r="R169">
            <v>0.34</v>
          </cell>
          <cell r="S169">
            <v>0.255</v>
          </cell>
        </row>
        <row r="170">
          <cell r="C170">
            <v>41852</v>
          </cell>
          <cell r="D170">
            <v>0.0567819450744431</v>
          </cell>
          <cell r="E170">
            <v>4.688</v>
          </cell>
          <cell r="F170">
            <v>0.17</v>
          </cell>
          <cell r="G170">
            <v>0.0155</v>
          </cell>
          <cell r="H170">
            <v>0.01</v>
          </cell>
          <cell r="I170">
            <v>0.000500000000000007</v>
          </cell>
          <cell r="J170">
            <v>0.0075</v>
          </cell>
          <cell r="K170">
            <v>1.05</v>
          </cell>
        </row>
        <row r="170">
          <cell r="M170">
            <v>1</v>
          </cell>
          <cell r="N170">
            <v>0</v>
          </cell>
        </row>
        <row r="170">
          <cell r="R170">
            <v>0.34</v>
          </cell>
          <cell r="S170">
            <v>0.255</v>
          </cell>
        </row>
        <row r="171">
          <cell r="C171">
            <v>41883</v>
          </cell>
          <cell r="D171">
            <v>0.0568401578101181</v>
          </cell>
          <cell r="E171">
            <v>4.682</v>
          </cell>
          <cell r="F171">
            <v>0.17</v>
          </cell>
          <cell r="G171">
            <v>0.0155</v>
          </cell>
          <cell r="H171">
            <v>0.01</v>
          </cell>
          <cell r="I171">
            <v>0.000500000000000007</v>
          </cell>
          <cell r="J171">
            <v>0.0075</v>
          </cell>
          <cell r="K171">
            <v>0.75</v>
          </cell>
        </row>
        <row r="171">
          <cell r="M171">
            <v>0.6</v>
          </cell>
          <cell r="N171">
            <v>0</v>
          </cell>
        </row>
        <row r="171">
          <cell r="R171">
            <v>0.34</v>
          </cell>
          <cell r="S171">
            <v>0.255</v>
          </cell>
        </row>
        <row r="172">
          <cell r="C172">
            <v>41913</v>
          </cell>
          <cell r="D172">
            <v>0.056896492716684</v>
          </cell>
          <cell r="E172">
            <v>4.682</v>
          </cell>
          <cell r="F172">
            <v>0.17</v>
          </cell>
          <cell r="G172">
            <v>0.014</v>
          </cell>
          <cell r="H172">
            <v>0.01</v>
          </cell>
          <cell r="I172">
            <v>0.000999999999999994</v>
          </cell>
          <cell r="J172">
            <v>0.0075</v>
          </cell>
          <cell r="K172">
            <v>0.45</v>
          </cell>
        </row>
        <row r="172">
          <cell r="M172">
            <v>0.3</v>
          </cell>
          <cell r="N172">
            <v>0</v>
          </cell>
        </row>
        <row r="172">
          <cell r="R172">
            <v>0.17</v>
          </cell>
          <cell r="S172">
            <v>0.17</v>
          </cell>
        </row>
        <row r="173">
          <cell r="C173">
            <v>41944</v>
          </cell>
          <cell r="D173">
            <v>0.0569547054545785</v>
          </cell>
          <cell r="E173">
            <v>4.83</v>
          </cell>
          <cell r="F173">
            <v>0.17</v>
          </cell>
          <cell r="G173">
            <v>0.015</v>
          </cell>
          <cell r="H173">
            <v>0.0075</v>
          </cell>
          <cell r="I173">
            <v>0</v>
          </cell>
          <cell r="J173">
            <v>0.0025</v>
          </cell>
          <cell r="K173">
            <v>0.45</v>
          </cell>
        </row>
        <row r="173">
          <cell r="M173">
            <v>0.23</v>
          </cell>
          <cell r="N173">
            <v>0</v>
          </cell>
        </row>
        <row r="173">
          <cell r="R173">
            <v>0.17</v>
          </cell>
          <cell r="S173">
            <v>0.17</v>
          </cell>
        </row>
        <row r="174">
          <cell r="C174">
            <v>41974</v>
          </cell>
          <cell r="D174">
            <v>0.0570110403632915</v>
          </cell>
          <cell r="E174">
            <v>4.982</v>
          </cell>
          <cell r="F174">
            <v>0.17</v>
          </cell>
          <cell r="G174">
            <v>0.015</v>
          </cell>
          <cell r="H174">
            <v>0.0075</v>
          </cell>
          <cell r="I174">
            <v>0</v>
          </cell>
          <cell r="J174">
            <v>0.0025</v>
          </cell>
          <cell r="K174">
            <v>0.4</v>
          </cell>
        </row>
        <row r="174">
          <cell r="M174">
            <v>0.26</v>
          </cell>
          <cell r="N174">
            <v>0</v>
          </cell>
        </row>
        <row r="174">
          <cell r="R174">
            <v>0.17</v>
          </cell>
          <cell r="S174">
            <v>0.17</v>
          </cell>
        </row>
        <row r="175">
          <cell r="C175">
            <v>42005</v>
          </cell>
          <cell r="D175">
            <v>0.0570692531034047</v>
          </cell>
          <cell r="E175">
            <v>5.0595</v>
          </cell>
          <cell r="F175">
            <v>0.17</v>
          </cell>
          <cell r="G175">
            <v>0.015</v>
          </cell>
          <cell r="H175">
            <v>0.0075</v>
          </cell>
          <cell r="I175">
            <v>0</v>
          </cell>
          <cell r="J175">
            <v>0.0025</v>
          </cell>
          <cell r="K175">
            <v>0.35</v>
          </cell>
        </row>
        <row r="175">
          <cell r="M175">
            <v>0.085</v>
          </cell>
          <cell r="N175">
            <v>0</v>
          </cell>
        </row>
        <row r="175">
          <cell r="R175">
            <v>0.17</v>
          </cell>
          <cell r="S175">
            <v>0.17</v>
          </cell>
        </row>
        <row r="176">
          <cell r="C176">
            <v>42036</v>
          </cell>
          <cell r="D176">
            <v>0.057127465844645</v>
          </cell>
          <cell r="E176">
            <v>4.9725</v>
          </cell>
          <cell r="F176">
            <v>0.17</v>
          </cell>
          <cell r="G176">
            <v>0.015</v>
          </cell>
          <cell r="H176">
            <v>0.0075</v>
          </cell>
          <cell r="I176">
            <v>0</v>
          </cell>
          <cell r="J176">
            <v>0.0025</v>
          </cell>
          <cell r="K176">
            <v>0.35</v>
          </cell>
        </row>
        <row r="176">
          <cell r="M176">
            <v>0.075</v>
          </cell>
          <cell r="N176">
            <v>0</v>
          </cell>
        </row>
        <row r="176">
          <cell r="R176">
            <v>0.17</v>
          </cell>
          <cell r="S176">
            <v>0.17</v>
          </cell>
        </row>
        <row r="177">
          <cell r="C177">
            <v>42064</v>
          </cell>
          <cell r="D177">
            <v>0.0571800450957669</v>
          </cell>
          <cell r="E177">
            <v>4.8335</v>
          </cell>
          <cell r="F177">
            <v>0.17</v>
          </cell>
          <cell r="G177">
            <v>0.019</v>
          </cell>
          <cell r="H177">
            <v>0.0075</v>
          </cell>
          <cell r="I177">
            <v>0.004</v>
          </cell>
          <cell r="J177">
            <v>0.0025</v>
          </cell>
          <cell r="K177">
            <v>0.4</v>
          </cell>
        </row>
        <row r="177">
          <cell r="M177">
            <v>0.115</v>
          </cell>
          <cell r="N177">
            <v>0</v>
          </cell>
        </row>
        <row r="177">
          <cell r="R177">
            <v>0.17</v>
          </cell>
          <cell r="S177">
            <v>0.17</v>
          </cell>
        </row>
        <row r="178">
          <cell r="C178">
            <v>42095</v>
          </cell>
          <cell r="D178">
            <v>0.057238257839153</v>
          </cell>
          <cell r="E178">
            <v>4.6795</v>
          </cell>
          <cell r="F178">
            <v>0.17</v>
          </cell>
          <cell r="G178">
            <v>0.019</v>
          </cell>
          <cell r="H178">
            <v>0.01</v>
          </cell>
          <cell r="I178">
            <v>0.004</v>
          </cell>
          <cell r="J178">
            <v>0.0075</v>
          </cell>
          <cell r="K178">
            <v>0.6</v>
          </cell>
        </row>
        <row r="178">
          <cell r="M178">
            <v>0.55</v>
          </cell>
          <cell r="N178">
            <v>0</v>
          </cell>
        </row>
        <row r="178">
          <cell r="R178">
            <v>0.17</v>
          </cell>
          <cell r="S178">
            <v>0.17</v>
          </cell>
        </row>
        <row r="179">
          <cell r="C179">
            <v>42125</v>
          </cell>
          <cell r="D179">
            <v>0.0572945927531814</v>
          </cell>
          <cell r="E179">
            <v>4.6845</v>
          </cell>
          <cell r="F179">
            <v>0.17</v>
          </cell>
          <cell r="G179">
            <v>0.0215</v>
          </cell>
          <cell r="H179">
            <v>0.01</v>
          </cell>
          <cell r="I179">
            <v>0.0065</v>
          </cell>
          <cell r="J179">
            <v>0.0075</v>
          </cell>
          <cell r="K179">
            <v>0.75</v>
          </cell>
        </row>
        <row r="179">
          <cell r="M179">
            <v>0.7</v>
          </cell>
          <cell r="N179">
            <v>0</v>
          </cell>
        </row>
        <row r="179">
          <cell r="R179">
            <v>0.34</v>
          </cell>
          <cell r="S179">
            <v>0.255</v>
          </cell>
        </row>
        <row r="180">
          <cell r="C180">
            <v>42156</v>
          </cell>
          <cell r="D180">
            <v>0.0573528054987862</v>
          </cell>
          <cell r="E180">
            <v>4.7225</v>
          </cell>
          <cell r="F180">
            <v>0.17</v>
          </cell>
          <cell r="G180">
            <v>0.019</v>
          </cell>
          <cell r="H180">
            <v>0.01</v>
          </cell>
          <cell r="I180">
            <v>0.004</v>
          </cell>
          <cell r="J180">
            <v>0.0075</v>
          </cell>
          <cell r="K180">
            <v>0.85</v>
          </cell>
        </row>
        <row r="180">
          <cell r="M180">
            <v>0.8</v>
          </cell>
          <cell r="N180">
            <v>0</v>
          </cell>
        </row>
        <row r="180">
          <cell r="R180">
            <v>0.34</v>
          </cell>
          <cell r="S180">
            <v>0.255</v>
          </cell>
        </row>
        <row r="181">
          <cell r="C181">
            <v>42186</v>
          </cell>
          <cell r="D181">
            <v>0.0574091404149617</v>
          </cell>
          <cell r="E181">
            <v>4.7675</v>
          </cell>
          <cell r="F181">
            <v>0.17</v>
          </cell>
          <cell r="G181">
            <v>0.0165</v>
          </cell>
          <cell r="H181">
            <v>0.01</v>
          </cell>
          <cell r="I181">
            <v>0.0015</v>
          </cell>
          <cell r="J181">
            <v>0.0075</v>
          </cell>
          <cell r="K181">
            <v>1.05</v>
          </cell>
        </row>
        <row r="181">
          <cell r="M181">
            <v>1</v>
          </cell>
          <cell r="N181">
            <v>0</v>
          </cell>
        </row>
        <row r="181">
          <cell r="R181">
            <v>0.34</v>
          </cell>
          <cell r="S181">
            <v>0.255</v>
          </cell>
        </row>
        <row r="182">
          <cell r="C182">
            <v>42217</v>
          </cell>
          <cell r="D182">
            <v>0.0574673531627847</v>
          </cell>
          <cell r="E182">
            <v>4.8055</v>
          </cell>
          <cell r="F182">
            <v>0.17</v>
          </cell>
          <cell r="G182">
            <v>0.0165</v>
          </cell>
          <cell r="H182">
            <v>0.01</v>
          </cell>
          <cell r="I182">
            <v>0.0015</v>
          </cell>
          <cell r="J182">
            <v>0.0075</v>
          </cell>
          <cell r="K182">
            <v>1.05</v>
          </cell>
        </row>
        <row r="182">
          <cell r="M182">
            <v>1</v>
          </cell>
          <cell r="N182">
            <v>0</v>
          </cell>
        </row>
        <row r="182">
          <cell r="R182">
            <v>0.34</v>
          </cell>
          <cell r="S182">
            <v>0.255</v>
          </cell>
        </row>
        <row r="183">
          <cell r="C183">
            <v>42248</v>
          </cell>
          <cell r="D183">
            <v>0.0575255659117357</v>
          </cell>
          <cell r="E183">
            <v>4.7995</v>
          </cell>
          <cell r="F183">
            <v>0.17</v>
          </cell>
          <cell r="G183">
            <v>0.0165</v>
          </cell>
          <cell r="H183">
            <v>0.01</v>
          </cell>
          <cell r="I183">
            <v>0.0015</v>
          </cell>
          <cell r="J183">
            <v>0.0075</v>
          </cell>
          <cell r="K183">
            <v>0.75</v>
          </cell>
        </row>
        <row r="183">
          <cell r="M183">
            <v>0.6</v>
          </cell>
          <cell r="N183">
            <v>0</v>
          </cell>
        </row>
        <row r="183">
          <cell r="R183">
            <v>0.34</v>
          </cell>
          <cell r="S183">
            <v>0.255</v>
          </cell>
        </row>
        <row r="184">
          <cell r="C184">
            <v>42278</v>
          </cell>
          <cell r="D184">
            <v>0.0575819008311482</v>
          </cell>
          <cell r="E184">
            <v>4.7995</v>
          </cell>
          <cell r="F184">
            <v>0.17</v>
          </cell>
          <cell r="G184">
            <v>0.015</v>
          </cell>
          <cell r="H184">
            <v>0.01</v>
          </cell>
          <cell r="I184">
            <v>0</v>
          </cell>
          <cell r="J184">
            <v>0.0075</v>
          </cell>
          <cell r="K184">
            <v>0.45</v>
          </cell>
        </row>
        <row r="184">
          <cell r="M184">
            <v>0.3</v>
          </cell>
          <cell r="N184">
            <v>0</v>
          </cell>
        </row>
        <row r="184">
          <cell r="R184">
            <v>0.17</v>
          </cell>
          <cell r="S184">
            <v>0.17</v>
          </cell>
        </row>
        <row r="185">
          <cell r="C185">
            <v>42309</v>
          </cell>
          <cell r="D185">
            <v>0.0576401135823175</v>
          </cell>
          <cell r="E185">
            <v>4.9475</v>
          </cell>
          <cell r="F185">
            <v>0.17</v>
          </cell>
          <cell r="G185">
            <v>0.016</v>
          </cell>
          <cell r="H185">
            <v>0.0075</v>
          </cell>
          <cell r="I185">
            <v>0.001</v>
          </cell>
          <cell r="J185">
            <v>0.0025</v>
          </cell>
          <cell r="K185">
            <v>0.45</v>
          </cell>
        </row>
        <row r="185">
          <cell r="M185">
            <v>0.23</v>
          </cell>
          <cell r="N185">
            <v>0</v>
          </cell>
        </row>
        <row r="185">
          <cell r="R185">
            <v>0.17</v>
          </cell>
          <cell r="S185">
            <v>0.17</v>
          </cell>
        </row>
        <row r="186">
          <cell r="C186">
            <v>42339</v>
          </cell>
          <cell r="D186">
            <v>0.0576964485038767</v>
          </cell>
          <cell r="E186">
            <v>5.0995</v>
          </cell>
          <cell r="F186">
            <v>0.17</v>
          </cell>
          <cell r="G186">
            <v>0.016</v>
          </cell>
          <cell r="H186">
            <v>0.0075</v>
          </cell>
          <cell r="I186">
            <v>0.001</v>
          </cell>
          <cell r="J186">
            <v>0.0025</v>
          </cell>
          <cell r="K186">
            <v>0.4</v>
          </cell>
        </row>
        <row r="186">
          <cell r="M186">
            <v>0.26</v>
          </cell>
          <cell r="N186">
            <v>0</v>
          </cell>
        </row>
        <row r="186">
          <cell r="R186">
            <v>0.17</v>
          </cell>
          <cell r="S186">
            <v>0.17</v>
          </cell>
        </row>
        <row r="187">
          <cell r="C187">
            <v>42370</v>
          </cell>
          <cell r="D187">
            <v>0.0577546612572637</v>
          </cell>
          <cell r="E187">
            <v>5.177</v>
          </cell>
          <cell r="F187">
            <v>0.17</v>
          </cell>
          <cell r="G187">
            <v>0.016</v>
          </cell>
          <cell r="H187">
            <v>0.0075</v>
          </cell>
          <cell r="I187">
            <v>0.001</v>
          </cell>
          <cell r="J187">
            <v>0.0025</v>
          </cell>
          <cell r="K187">
            <v>0.35</v>
          </cell>
        </row>
        <row r="187">
          <cell r="M187">
            <v>0.085</v>
          </cell>
          <cell r="N187">
            <v>0</v>
          </cell>
        </row>
        <row r="187">
          <cell r="R187">
            <v>0.17</v>
          </cell>
          <cell r="S187">
            <v>0.17</v>
          </cell>
        </row>
        <row r="188">
          <cell r="C188">
            <v>42401</v>
          </cell>
          <cell r="D188">
            <v>0.0578128740117783</v>
          </cell>
          <cell r="E188">
            <v>5.09</v>
          </cell>
          <cell r="F188">
            <v>0.17</v>
          </cell>
          <cell r="G188">
            <v>0.016</v>
          </cell>
          <cell r="H188">
            <v>0.0075</v>
          </cell>
          <cell r="I188">
            <v>0.001</v>
          </cell>
          <cell r="J188">
            <v>0.0025</v>
          </cell>
          <cell r="K188">
            <v>0.35</v>
          </cell>
        </row>
        <row r="188">
          <cell r="M188">
            <v>0.075</v>
          </cell>
          <cell r="N188">
            <v>0</v>
          </cell>
        </row>
        <row r="188">
          <cell r="R188">
            <v>0.17</v>
          </cell>
          <cell r="S188">
            <v>0.17</v>
          </cell>
        </row>
        <row r="189">
          <cell r="C189">
            <v>42430</v>
          </cell>
          <cell r="D189">
            <v>0.0578673311057307</v>
          </cell>
          <cell r="E189">
            <v>4.951</v>
          </cell>
          <cell r="F189">
            <v>0.17</v>
          </cell>
          <cell r="G189">
            <v>0.02</v>
          </cell>
          <cell r="H189">
            <v>0.0075</v>
          </cell>
          <cell r="I189">
            <v>0.005</v>
          </cell>
          <cell r="J189">
            <v>0.0025</v>
          </cell>
          <cell r="K189">
            <v>0.4</v>
          </cell>
        </row>
        <row r="189">
          <cell r="M189">
            <v>0.115</v>
          </cell>
          <cell r="N189">
            <v>0</v>
          </cell>
        </row>
        <row r="189">
          <cell r="R189">
            <v>0.17</v>
          </cell>
          <cell r="S189">
            <v>0.17</v>
          </cell>
        </row>
        <row r="190">
          <cell r="C190">
            <v>42461</v>
          </cell>
          <cell r="D190">
            <v>0.0579255438624267</v>
          </cell>
          <cell r="E190">
            <v>4.797</v>
          </cell>
          <cell r="F190">
            <v>0.17</v>
          </cell>
          <cell r="G190">
            <v>0.02</v>
          </cell>
          <cell r="H190">
            <v>0.01</v>
          </cell>
          <cell r="I190">
            <v>0.005</v>
          </cell>
          <cell r="J190">
            <v>0.0075</v>
          </cell>
          <cell r="K190">
            <v>0.6</v>
          </cell>
        </row>
        <row r="190">
          <cell r="M190">
            <v>0.55</v>
          </cell>
          <cell r="N190">
            <v>0</v>
          </cell>
        </row>
        <row r="190">
          <cell r="R190">
            <v>0.17</v>
          </cell>
          <cell r="S190">
            <v>0.17</v>
          </cell>
        </row>
        <row r="191">
          <cell r="C191">
            <v>42491</v>
          </cell>
          <cell r="D191">
            <v>0.0579818787893345</v>
          </cell>
          <cell r="E191">
            <v>4.802</v>
          </cell>
          <cell r="F191">
            <v>0.17</v>
          </cell>
          <cell r="G191">
            <v>0.0225</v>
          </cell>
          <cell r="H191">
            <v>0.01</v>
          </cell>
          <cell r="I191">
            <v>0.0075</v>
          </cell>
          <cell r="J191">
            <v>0.0075</v>
          </cell>
          <cell r="K191">
            <v>0.75</v>
          </cell>
        </row>
        <row r="191">
          <cell r="M191">
            <v>0.7</v>
          </cell>
          <cell r="N191">
            <v>0</v>
          </cell>
        </row>
        <row r="191">
          <cell r="R191">
            <v>0.34</v>
          </cell>
          <cell r="S191">
            <v>0.255</v>
          </cell>
        </row>
        <row r="192">
          <cell r="C192">
            <v>42522</v>
          </cell>
          <cell r="D192">
            <v>0.0580400915482477</v>
          </cell>
          <cell r="E192">
            <v>4.84</v>
          </cell>
          <cell r="F192">
            <v>0.17</v>
          </cell>
          <cell r="G192">
            <v>0.02</v>
          </cell>
          <cell r="H192">
            <v>0.01</v>
          </cell>
          <cell r="I192">
            <v>0.005</v>
          </cell>
          <cell r="J192">
            <v>0.0075</v>
          </cell>
          <cell r="K192">
            <v>0.85</v>
          </cell>
        </row>
        <row r="192">
          <cell r="M192">
            <v>0.8</v>
          </cell>
          <cell r="N192">
            <v>0</v>
          </cell>
        </row>
        <row r="192">
          <cell r="R192">
            <v>0.34</v>
          </cell>
          <cell r="S192">
            <v>0.255</v>
          </cell>
        </row>
        <row r="193">
          <cell r="C193">
            <v>42552</v>
          </cell>
          <cell r="D193">
            <v>0.0580964264773018</v>
          </cell>
          <cell r="E193">
            <v>4.885</v>
          </cell>
          <cell r="F193">
            <v>0.17</v>
          </cell>
          <cell r="G193">
            <v>0.0175</v>
          </cell>
          <cell r="H193">
            <v>0.01</v>
          </cell>
          <cell r="I193">
            <v>0.0025</v>
          </cell>
          <cell r="J193">
            <v>0.0075</v>
          </cell>
          <cell r="K193">
            <v>1.05</v>
          </cell>
        </row>
        <row r="193">
          <cell r="M193">
            <v>1</v>
          </cell>
          <cell r="N193">
            <v>0</v>
          </cell>
        </row>
        <row r="193">
          <cell r="R193">
            <v>0.34</v>
          </cell>
          <cell r="S193">
            <v>0.255</v>
          </cell>
        </row>
        <row r="194">
          <cell r="C194">
            <v>42583</v>
          </cell>
          <cell r="D194">
            <v>0.0581546392384329</v>
          </cell>
          <cell r="E194">
            <v>4.923</v>
          </cell>
          <cell r="F194">
            <v>0.17</v>
          </cell>
          <cell r="G194">
            <v>0.0175</v>
          </cell>
          <cell r="H194">
            <v>0.01</v>
          </cell>
          <cell r="I194">
            <v>0.0025</v>
          </cell>
          <cell r="J194">
            <v>0.0075</v>
          </cell>
          <cell r="K194">
            <v>1.05</v>
          </cell>
        </row>
        <row r="194">
          <cell r="M194">
            <v>1</v>
          </cell>
          <cell r="N194">
            <v>0</v>
          </cell>
        </row>
        <row r="194">
          <cell r="R194">
            <v>0.34</v>
          </cell>
          <cell r="S194">
            <v>0.255</v>
          </cell>
        </row>
        <row r="195">
          <cell r="C195">
            <v>42614</v>
          </cell>
          <cell r="D195">
            <v>0.058212852000691</v>
          </cell>
          <cell r="E195">
            <v>4.917</v>
          </cell>
          <cell r="F195">
            <v>0.17</v>
          </cell>
          <cell r="G195">
            <v>0.0175</v>
          </cell>
          <cell r="H195">
            <v>0.01</v>
          </cell>
          <cell r="I195">
            <v>0.0025</v>
          </cell>
          <cell r="J195">
            <v>0.0075</v>
          </cell>
          <cell r="K195">
            <v>0.75</v>
          </cell>
        </row>
        <row r="195">
          <cell r="M195">
            <v>0.6</v>
          </cell>
          <cell r="N195">
            <v>0</v>
          </cell>
        </row>
        <row r="195">
          <cell r="R195">
            <v>0.34</v>
          </cell>
          <cell r="S195">
            <v>0.255</v>
          </cell>
        </row>
        <row r="196">
          <cell r="C196">
            <v>42644</v>
          </cell>
          <cell r="D196">
            <v>0.0582691869329817</v>
          </cell>
          <cell r="E196">
            <v>4.917</v>
          </cell>
          <cell r="F196">
            <v>0.17</v>
          </cell>
          <cell r="G196">
            <v>0.016</v>
          </cell>
          <cell r="H196">
            <v>0.01</v>
          </cell>
          <cell r="I196">
            <v>0.001</v>
          </cell>
          <cell r="J196">
            <v>0.0075</v>
          </cell>
          <cell r="K196">
            <v>0.45</v>
          </cell>
        </row>
        <row r="196">
          <cell r="M196">
            <v>0.3</v>
          </cell>
          <cell r="N196">
            <v>0</v>
          </cell>
        </row>
        <row r="196">
          <cell r="R196">
            <v>0.17</v>
          </cell>
          <cell r="S196">
            <v>0.17</v>
          </cell>
        </row>
        <row r="197">
          <cell r="C197">
            <v>42675</v>
          </cell>
          <cell r="D197">
            <v>0.0583273996974572</v>
          </cell>
          <cell r="E197">
            <v>5.065</v>
          </cell>
          <cell r="F197">
            <v>0.17</v>
          </cell>
          <cell r="G197">
            <v>0.017</v>
          </cell>
          <cell r="H197">
            <v>0.0075</v>
          </cell>
          <cell r="I197">
            <v>0.002</v>
          </cell>
          <cell r="J197">
            <v>0.0025</v>
          </cell>
          <cell r="K197">
            <v>0.45</v>
          </cell>
        </row>
        <row r="197">
          <cell r="M197">
            <v>0.23</v>
          </cell>
          <cell r="N197">
            <v>0</v>
          </cell>
        </row>
        <row r="197">
          <cell r="R197">
            <v>0.17</v>
          </cell>
          <cell r="S197">
            <v>0.17</v>
          </cell>
        </row>
        <row r="198">
          <cell r="C198">
            <v>42705</v>
          </cell>
          <cell r="D198">
            <v>0.0583837346318936</v>
          </cell>
          <cell r="E198">
            <v>5.217</v>
          </cell>
          <cell r="F198">
            <v>0.17</v>
          </cell>
          <cell r="G198">
            <v>0.017</v>
          </cell>
          <cell r="H198">
            <v>0.0075</v>
          </cell>
          <cell r="I198">
            <v>0.002</v>
          </cell>
          <cell r="J198">
            <v>0.0025</v>
          </cell>
          <cell r="K198">
            <v>0.4</v>
          </cell>
        </row>
        <row r="198">
          <cell r="M198">
            <v>0.26</v>
          </cell>
          <cell r="N198">
            <v>0</v>
          </cell>
        </row>
        <row r="198">
          <cell r="R198">
            <v>0.17</v>
          </cell>
          <cell r="S198">
            <v>0.17</v>
          </cell>
        </row>
        <row r="199">
          <cell r="C199">
            <v>42736</v>
          </cell>
          <cell r="D199">
            <v>0.0584419473985869</v>
          </cell>
          <cell r="E199">
            <v>5.2945</v>
          </cell>
          <cell r="F199">
            <v>0.17</v>
          </cell>
          <cell r="G199">
            <v>0.017</v>
          </cell>
          <cell r="H199">
            <v>0.0075</v>
          </cell>
          <cell r="I199">
            <v>0.002</v>
          </cell>
          <cell r="J199">
            <v>0.0025</v>
          </cell>
          <cell r="K199">
            <v>0.35</v>
          </cell>
        </row>
        <row r="199">
          <cell r="M199">
            <v>0.085</v>
          </cell>
          <cell r="N199">
            <v>0</v>
          </cell>
        </row>
        <row r="199">
          <cell r="R199">
            <v>0.17</v>
          </cell>
          <cell r="S199">
            <v>0.17</v>
          </cell>
        </row>
        <row r="200">
          <cell r="C200">
            <v>42767</v>
          </cell>
          <cell r="D200">
            <v>0.0585001601664068</v>
          </cell>
          <cell r="E200">
            <v>5.2075</v>
          </cell>
          <cell r="F200">
            <v>0.17</v>
          </cell>
          <cell r="G200">
            <v>0.017</v>
          </cell>
          <cell r="H200">
            <v>0.0075</v>
          </cell>
          <cell r="I200">
            <v>0.002</v>
          </cell>
          <cell r="J200">
            <v>0.0025</v>
          </cell>
          <cell r="K200">
            <v>0.35</v>
          </cell>
        </row>
        <row r="200">
          <cell r="M200">
            <v>0.075</v>
          </cell>
          <cell r="N200">
            <v>0</v>
          </cell>
        </row>
        <row r="200">
          <cell r="R200">
            <v>0.17</v>
          </cell>
          <cell r="S200">
            <v>0.17</v>
          </cell>
        </row>
        <row r="201">
          <cell r="C201">
            <v>42795</v>
          </cell>
          <cell r="D201">
            <v>0.0585527394415348</v>
          </cell>
          <cell r="E201">
            <v>5.0685</v>
          </cell>
          <cell r="F201">
            <v>0.17</v>
          </cell>
          <cell r="G201">
            <v>0.021</v>
          </cell>
          <cell r="H201">
            <v>0.0075</v>
          </cell>
          <cell r="I201">
            <v>0.006</v>
          </cell>
          <cell r="J201">
            <v>0.0025</v>
          </cell>
          <cell r="K201">
            <v>0.4</v>
          </cell>
        </row>
        <row r="201">
          <cell r="M201">
            <v>0.115</v>
          </cell>
          <cell r="N201">
            <v>0</v>
          </cell>
        </row>
        <row r="201">
          <cell r="R201">
            <v>0.17</v>
          </cell>
          <cell r="S201">
            <v>0.17</v>
          </cell>
        </row>
        <row r="202">
          <cell r="C202">
            <v>42826</v>
          </cell>
          <cell r="D202">
            <v>0.0586109522114993</v>
          </cell>
          <cell r="E202">
            <v>4.9145</v>
          </cell>
          <cell r="F202">
            <v>0.17</v>
          </cell>
          <cell r="G202">
            <v>0.021</v>
          </cell>
          <cell r="H202">
            <v>0.01</v>
          </cell>
          <cell r="I202">
            <v>0.006</v>
          </cell>
          <cell r="J202">
            <v>0.0075</v>
          </cell>
          <cell r="K202">
            <v>0.6</v>
          </cell>
        </row>
        <row r="202">
          <cell r="M202">
            <v>0.55</v>
          </cell>
          <cell r="N202">
            <v>0</v>
          </cell>
        </row>
        <row r="202">
          <cell r="R202">
            <v>0.17</v>
          </cell>
          <cell r="S202">
            <v>0.17</v>
          </cell>
        </row>
        <row r="203">
          <cell r="C203">
            <v>42856</v>
          </cell>
          <cell r="D203">
            <v>0.0586672871512466</v>
          </cell>
          <cell r="E203">
            <v>4.9195</v>
          </cell>
          <cell r="F203">
            <v>0.17</v>
          </cell>
          <cell r="G203">
            <v>0.0235</v>
          </cell>
          <cell r="H203">
            <v>0.01</v>
          </cell>
          <cell r="I203">
            <v>0.0085</v>
          </cell>
          <cell r="J203">
            <v>0.0075</v>
          </cell>
          <cell r="K203">
            <v>0.75</v>
          </cell>
        </row>
        <row r="203">
          <cell r="M203">
            <v>0.7</v>
          </cell>
          <cell r="N203">
            <v>0</v>
          </cell>
        </row>
        <row r="203">
          <cell r="R203">
            <v>0.34</v>
          </cell>
          <cell r="S203">
            <v>0.255</v>
          </cell>
        </row>
        <row r="204">
          <cell r="C204">
            <v>42887</v>
          </cell>
          <cell r="D204">
            <v>0.0587254999234279</v>
          </cell>
          <cell r="E204">
            <v>4.9575</v>
          </cell>
          <cell r="F204">
            <v>0.17</v>
          </cell>
          <cell r="G204">
            <v>0.021</v>
          </cell>
          <cell r="H204">
            <v>0.01</v>
          </cell>
          <cell r="I204">
            <v>0.006</v>
          </cell>
          <cell r="J204">
            <v>0.0075</v>
          </cell>
          <cell r="K204">
            <v>0.85</v>
          </cell>
        </row>
        <row r="204">
          <cell r="M204">
            <v>0.8</v>
          </cell>
          <cell r="N204">
            <v>0</v>
          </cell>
        </row>
        <row r="204">
          <cell r="R204">
            <v>0.34</v>
          </cell>
          <cell r="S204">
            <v>0.255</v>
          </cell>
        </row>
        <row r="205">
          <cell r="C205">
            <v>42917</v>
          </cell>
          <cell r="D205">
            <v>0.0587818348653215</v>
          </cell>
          <cell r="E205">
            <v>5.0025</v>
          </cell>
          <cell r="F205">
            <v>0.17</v>
          </cell>
          <cell r="G205">
            <v>0.0185</v>
          </cell>
          <cell r="H205">
            <v>0.01</v>
          </cell>
          <cell r="I205">
            <v>0.0035</v>
          </cell>
          <cell r="J205">
            <v>0.0075</v>
          </cell>
          <cell r="K205">
            <v>1.05</v>
          </cell>
        </row>
        <row r="205">
          <cell r="M205">
            <v>1</v>
          </cell>
          <cell r="N205">
            <v>0</v>
          </cell>
        </row>
        <row r="205">
          <cell r="R205">
            <v>0.34</v>
          </cell>
          <cell r="S205">
            <v>0.255</v>
          </cell>
        </row>
        <row r="206">
          <cell r="C206">
            <v>42948</v>
          </cell>
          <cell r="D206">
            <v>0.0588400476397197</v>
          </cell>
          <cell r="E206">
            <v>5.0405</v>
          </cell>
          <cell r="F206">
            <v>0.17</v>
          </cell>
          <cell r="G206">
            <v>0.0185</v>
          </cell>
          <cell r="H206">
            <v>0.01</v>
          </cell>
          <cell r="I206">
            <v>0.0035</v>
          </cell>
          <cell r="J206">
            <v>0.0075</v>
          </cell>
          <cell r="K206">
            <v>1.05</v>
          </cell>
        </row>
        <row r="206">
          <cell r="M206">
            <v>1</v>
          </cell>
          <cell r="N206">
            <v>0</v>
          </cell>
        </row>
        <row r="206">
          <cell r="R206">
            <v>0.34</v>
          </cell>
          <cell r="S206">
            <v>0.255</v>
          </cell>
        </row>
        <row r="207">
          <cell r="C207">
            <v>42979</v>
          </cell>
          <cell r="D207">
            <v>0.0588982604152442</v>
          </cell>
          <cell r="E207">
            <v>5.0345</v>
          </cell>
          <cell r="F207">
            <v>0.17</v>
          </cell>
          <cell r="G207">
            <v>0.0185</v>
          </cell>
          <cell r="H207">
            <v>0.01</v>
          </cell>
          <cell r="I207">
            <v>0.0035</v>
          </cell>
          <cell r="J207">
            <v>0.0075</v>
          </cell>
          <cell r="K207">
            <v>0.75</v>
          </cell>
        </row>
        <row r="207">
          <cell r="M207">
            <v>0.6</v>
          </cell>
          <cell r="N207">
            <v>0</v>
          </cell>
        </row>
        <row r="207">
          <cell r="R207">
            <v>0.34</v>
          </cell>
          <cell r="S207">
            <v>0.255</v>
          </cell>
        </row>
        <row r="208">
          <cell r="C208">
            <v>43009</v>
          </cell>
          <cell r="D208">
            <v>0.0589545953603734</v>
          </cell>
          <cell r="E208">
            <v>5.0345</v>
          </cell>
          <cell r="F208">
            <v>0.17</v>
          </cell>
          <cell r="G208">
            <v>0.017</v>
          </cell>
          <cell r="H208">
            <v>0.01</v>
          </cell>
          <cell r="I208">
            <v>0.002</v>
          </cell>
          <cell r="J208">
            <v>0.0075</v>
          </cell>
          <cell r="K208">
            <v>0.45</v>
          </cell>
        </row>
        <row r="208">
          <cell r="M208">
            <v>0.3</v>
          </cell>
          <cell r="N208">
            <v>0</v>
          </cell>
        </row>
        <row r="208">
          <cell r="R208">
            <v>0.17</v>
          </cell>
          <cell r="S208">
            <v>0.17</v>
          </cell>
        </row>
        <row r="209">
          <cell r="C209">
            <v>43040</v>
          </cell>
          <cell r="D209">
            <v>0.0590128081381147</v>
          </cell>
          <cell r="E209">
            <v>5.1825</v>
          </cell>
          <cell r="F209">
            <v>0.17</v>
          </cell>
          <cell r="G209">
            <v>0.018</v>
          </cell>
          <cell r="H209">
            <v>0.0075</v>
          </cell>
          <cell r="I209">
            <v>0.003</v>
          </cell>
          <cell r="J209">
            <v>0.0025</v>
          </cell>
          <cell r="K209">
            <v>0.45</v>
          </cell>
        </row>
        <row r="209">
          <cell r="M209">
            <v>0.23</v>
          </cell>
          <cell r="N209">
            <v>0</v>
          </cell>
        </row>
        <row r="209">
          <cell r="R209">
            <v>0.17</v>
          </cell>
          <cell r="S209">
            <v>0.17</v>
          </cell>
        </row>
        <row r="210">
          <cell r="C210">
            <v>43070</v>
          </cell>
          <cell r="D210">
            <v>0.0590691430853889</v>
          </cell>
          <cell r="E210">
            <v>5.3345</v>
          </cell>
          <cell r="F210">
            <v>0.17</v>
          </cell>
          <cell r="G210">
            <v>0.018</v>
          </cell>
          <cell r="H210">
            <v>0.0075</v>
          </cell>
          <cell r="I210">
            <v>0.003</v>
          </cell>
          <cell r="J210">
            <v>0.0025</v>
          </cell>
          <cell r="K210">
            <v>0.4</v>
          </cell>
        </row>
        <row r="210">
          <cell r="M210">
            <v>0.26</v>
          </cell>
          <cell r="N210">
            <v>0</v>
          </cell>
        </row>
        <row r="210">
          <cell r="R210">
            <v>0.17</v>
          </cell>
          <cell r="S210">
            <v>0.17</v>
          </cell>
        </row>
        <row r="211">
          <cell r="C211">
            <v>43101</v>
          </cell>
          <cell r="D211">
            <v>0.0591273558653471</v>
          </cell>
          <cell r="E211">
            <v>5.412</v>
          </cell>
          <cell r="F211">
            <v>0.17</v>
          </cell>
          <cell r="G211">
            <v>0.018</v>
          </cell>
          <cell r="H211">
            <v>0.0075</v>
          </cell>
          <cell r="I211">
            <v>0.003</v>
          </cell>
          <cell r="J211">
            <v>0.0025</v>
          </cell>
          <cell r="K211">
            <v>0.35</v>
          </cell>
        </row>
        <row r="211">
          <cell r="M211">
            <v>0.085</v>
          </cell>
          <cell r="N211">
            <v>0</v>
          </cell>
        </row>
        <row r="211">
          <cell r="R211">
            <v>0.17</v>
          </cell>
          <cell r="S211">
            <v>0.17</v>
          </cell>
        </row>
        <row r="212">
          <cell r="C212">
            <v>43132</v>
          </cell>
          <cell r="D212">
            <v>0.0591855686464315</v>
          </cell>
          <cell r="E212">
            <v>5.325</v>
          </cell>
          <cell r="F212">
            <v>0.17</v>
          </cell>
          <cell r="G212">
            <v>0.018</v>
          </cell>
          <cell r="H212">
            <v>0.0075</v>
          </cell>
          <cell r="I212">
            <v>0.003</v>
          </cell>
          <cell r="J212">
            <v>0.0025</v>
          </cell>
          <cell r="K212">
            <v>0.35</v>
          </cell>
        </row>
        <row r="212">
          <cell r="M212">
            <v>0.075</v>
          </cell>
          <cell r="N212">
            <v>0</v>
          </cell>
        </row>
        <row r="212">
          <cell r="R212">
            <v>0.17</v>
          </cell>
          <cell r="S212">
            <v>0.17</v>
          </cell>
        </row>
        <row r="213">
          <cell r="C213">
            <v>43160</v>
          </cell>
          <cell r="D213">
            <v>0.0592381479335406</v>
          </cell>
          <cell r="E213">
            <v>5.186</v>
          </cell>
          <cell r="F213">
            <v>0.17</v>
          </cell>
          <cell r="G213">
            <v>0.022</v>
          </cell>
          <cell r="H213">
            <v>0.0075</v>
          </cell>
          <cell r="I213">
            <v>0.007</v>
          </cell>
          <cell r="J213">
            <v>0.0025</v>
          </cell>
          <cell r="K213">
            <v>0.4</v>
          </cell>
        </row>
        <row r="213">
          <cell r="M213">
            <v>0.115</v>
          </cell>
          <cell r="N213">
            <v>0</v>
          </cell>
        </row>
        <row r="213">
          <cell r="R213">
            <v>0.17</v>
          </cell>
          <cell r="S213">
            <v>0.17</v>
          </cell>
        </row>
        <row r="214">
          <cell r="C214">
            <v>43191</v>
          </cell>
          <cell r="D214">
            <v>0.0592963607167691</v>
          </cell>
          <cell r="E214">
            <v>5.032</v>
          </cell>
          <cell r="F214">
            <v>0.17</v>
          </cell>
          <cell r="G214">
            <v>0.022</v>
          </cell>
          <cell r="H214">
            <v>0.01</v>
          </cell>
          <cell r="I214">
            <v>0.007</v>
          </cell>
          <cell r="J214">
            <v>0.0075</v>
          </cell>
          <cell r="K214">
            <v>0.6</v>
          </cell>
        </row>
        <row r="214">
          <cell r="M214">
            <v>0.55</v>
          </cell>
          <cell r="N214">
            <v>0</v>
          </cell>
        </row>
        <row r="214">
          <cell r="R214">
            <v>0.17</v>
          </cell>
          <cell r="S214">
            <v>0.17</v>
          </cell>
        </row>
        <row r="215">
          <cell r="C215">
            <v>43221</v>
          </cell>
          <cell r="D215">
            <v>0.0593526956693524</v>
          </cell>
          <cell r="E215">
            <v>5.037</v>
          </cell>
          <cell r="F215">
            <v>0.17</v>
          </cell>
          <cell r="G215">
            <v>0.0245</v>
          </cell>
          <cell r="H215">
            <v>0.01</v>
          </cell>
          <cell r="I215">
            <v>0.0095</v>
          </cell>
          <cell r="J215">
            <v>0.0075</v>
          </cell>
          <cell r="K215">
            <v>0.75</v>
          </cell>
        </row>
        <row r="215">
          <cell r="M215">
            <v>0.7</v>
          </cell>
          <cell r="N215">
            <v>0</v>
          </cell>
        </row>
        <row r="215">
          <cell r="R215">
            <v>0.34</v>
          </cell>
          <cell r="S215">
            <v>0.255</v>
          </cell>
        </row>
        <row r="216">
          <cell r="C216">
            <v>43252</v>
          </cell>
          <cell r="D216">
            <v>0.0594109084547969</v>
          </cell>
          <cell r="E216">
            <v>5.075</v>
          </cell>
          <cell r="F216">
            <v>0.17</v>
          </cell>
          <cell r="G216">
            <v>0.022</v>
          </cell>
          <cell r="H216">
            <v>0.01</v>
          </cell>
          <cell r="I216">
            <v>0.007</v>
          </cell>
          <cell r="J216">
            <v>0.0075</v>
          </cell>
          <cell r="K216">
            <v>0.85</v>
          </cell>
        </row>
        <row r="216">
          <cell r="M216">
            <v>0.8</v>
          </cell>
          <cell r="N216">
            <v>0</v>
          </cell>
        </row>
        <row r="216">
          <cell r="R216">
            <v>0.34</v>
          </cell>
          <cell r="S216">
            <v>0.255</v>
          </cell>
        </row>
        <row r="217">
          <cell r="C217">
            <v>43282</v>
          </cell>
          <cell r="D217">
            <v>0.0594672434095256</v>
          </cell>
          <cell r="E217">
            <v>5.12</v>
          </cell>
          <cell r="F217">
            <v>0.17</v>
          </cell>
          <cell r="G217">
            <v>0.0195</v>
          </cell>
          <cell r="H217">
            <v>0.01</v>
          </cell>
          <cell r="I217">
            <v>0.0045</v>
          </cell>
          <cell r="J217">
            <v>0.0075</v>
          </cell>
          <cell r="K217">
            <v>1.05</v>
          </cell>
        </row>
        <row r="217">
          <cell r="M217">
            <v>1</v>
          </cell>
          <cell r="N217">
            <v>0</v>
          </cell>
        </row>
        <row r="217">
          <cell r="R217">
            <v>0.34</v>
          </cell>
          <cell r="S217">
            <v>0.255</v>
          </cell>
        </row>
        <row r="218">
          <cell r="C218">
            <v>43313</v>
          </cell>
          <cell r="D218">
            <v>0.0595254561971865</v>
          </cell>
          <cell r="E218">
            <v>5.158</v>
          </cell>
          <cell r="F218">
            <v>0.17</v>
          </cell>
          <cell r="G218">
            <v>0.0195</v>
          </cell>
          <cell r="H218">
            <v>0.01</v>
          </cell>
          <cell r="I218">
            <v>0.0045</v>
          </cell>
          <cell r="J218">
            <v>0.0075</v>
          </cell>
          <cell r="K218">
            <v>1.05</v>
          </cell>
        </row>
        <row r="218">
          <cell r="M218">
            <v>1</v>
          </cell>
          <cell r="N218">
            <v>0</v>
          </cell>
        </row>
        <row r="218">
          <cell r="R218">
            <v>0.34</v>
          </cell>
          <cell r="S218">
            <v>0.255</v>
          </cell>
        </row>
        <row r="219">
          <cell r="C219">
            <v>43344</v>
          </cell>
          <cell r="D219">
            <v>0.0595836689859732</v>
          </cell>
          <cell r="E219">
            <v>5.152</v>
          </cell>
          <cell r="F219">
            <v>0.17</v>
          </cell>
          <cell r="G219">
            <v>0.0195</v>
          </cell>
          <cell r="H219">
            <v>0.01</v>
          </cell>
          <cell r="I219">
            <v>0.0045</v>
          </cell>
          <cell r="J219">
            <v>0.0075</v>
          </cell>
          <cell r="K219">
            <v>0.75</v>
          </cell>
        </row>
        <row r="219">
          <cell r="M219">
            <v>0.6</v>
          </cell>
          <cell r="N219">
            <v>0</v>
          </cell>
        </row>
        <row r="219">
          <cell r="R219">
            <v>0.34</v>
          </cell>
          <cell r="S219">
            <v>0.255</v>
          </cell>
        </row>
        <row r="220">
          <cell r="C220">
            <v>43374</v>
          </cell>
          <cell r="D220">
            <v>0.0596400039439362</v>
          </cell>
          <cell r="E220">
            <v>5.152</v>
          </cell>
          <cell r="F220">
            <v>0.17</v>
          </cell>
          <cell r="G220">
            <v>0.018</v>
          </cell>
          <cell r="H220">
            <v>0.01</v>
          </cell>
          <cell r="I220">
            <v>0.003</v>
          </cell>
          <cell r="J220">
            <v>0.0075</v>
          </cell>
          <cell r="K220">
            <v>0.45</v>
          </cell>
        </row>
        <row r="220">
          <cell r="M220">
            <v>0.3</v>
          </cell>
          <cell r="N220">
            <v>0</v>
          </cell>
        </row>
        <row r="220">
          <cell r="R220">
            <v>0.17</v>
          </cell>
          <cell r="S220">
            <v>0.17</v>
          </cell>
        </row>
        <row r="221">
          <cell r="C221">
            <v>43405</v>
          </cell>
          <cell r="D221">
            <v>0.0596982167349394</v>
          </cell>
          <cell r="E221">
            <v>5.3</v>
          </cell>
          <cell r="F221">
            <v>0.17</v>
          </cell>
          <cell r="G221">
            <v>0.019</v>
          </cell>
          <cell r="H221">
            <v>0.0075</v>
          </cell>
          <cell r="I221">
            <v>0.004</v>
          </cell>
          <cell r="J221">
            <v>0.0025</v>
          </cell>
          <cell r="K221">
            <v>0.45</v>
          </cell>
        </row>
        <row r="221">
          <cell r="M221">
            <v>0.23</v>
          </cell>
          <cell r="N221">
            <v>0</v>
          </cell>
        </row>
        <row r="221">
          <cell r="R221">
            <v>0.17</v>
          </cell>
          <cell r="S221">
            <v>0.17</v>
          </cell>
        </row>
        <row r="222">
          <cell r="C222">
            <v>43435</v>
          </cell>
          <cell r="D222">
            <v>0.0597545516950468</v>
          </cell>
          <cell r="E222">
            <v>5.452</v>
          </cell>
          <cell r="F222">
            <v>0.17</v>
          </cell>
          <cell r="G222">
            <v>0.019</v>
          </cell>
          <cell r="H222">
            <v>0.0075</v>
          </cell>
          <cell r="I222">
            <v>0.004</v>
          </cell>
          <cell r="J222">
            <v>0.0025</v>
          </cell>
          <cell r="K222">
            <v>0.4</v>
          </cell>
        </row>
        <row r="222">
          <cell r="M222">
            <v>0.26</v>
          </cell>
          <cell r="N222">
            <v>0</v>
          </cell>
        </row>
        <row r="222">
          <cell r="R222">
            <v>0.17</v>
          </cell>
          <cell r="S222">
            <v>0.17</v>
          </cell>
        </row>
        <row r="223">
          <cell r="C223">
            <v>43466</v>
          </cell>
          <cell r="D223">
            <v>0.0598127644882656</v>
          </cell>
          <cell r="E223">
            <v>5.5295</v>
          </cell>
          <cell r="F223">
            <v>0.17</v>
          </cell>
          <cell r="G223">
            <v>0.019</v>
          </cell>
          <cell r="H223">
            <v>0.0075</v>
          </cell>
          <cell r="I223">
            <v>0.004</v>
          </cell>
          <cell r="J223">
            <v>0.0025</v>
          </cell>
          <cell r="K223">
            <v>0.35</v>
          </cell>
        </row>
        <row r="223">
          <cell r="M223">
            <v>0.085</v>
          </cell>
          <cell r="N223">
            <v>0</v>
          </cell>
        </row>
        <row r="223">
          <cell r="R223">
            <v>0.17</v>
          </cell>
          <cell r="S223">
            <v>0.17</v>
          </cell>
        </row>
        <row r="224">
          <cell r="C224">
            <v>43497</v>
          </cell>
          <cell r="D224">
            <v>0.0598709772826109</v>
          </cell>
          <cell r="E224">
            <v>5.4425</v>
          </cell>
          <cell r="F224">
            <v>0.17</v>
          </cell>
          <cell r="G224">
            <v>0.019</v>
          </cell>
          <cell r="H224">
            <v>0.0075</v>
          </cell>
          <cell r="I224">
            <v>0.004</v>
          </cell>
          <cell r="J224">
            <v>0.0025</v>
          </cell>
          <cell r="K224">
            <v>0.35</v>
          </cell>
        </row>
        <row r="224">
          <cell r="M224">
            <v>0.075</v>
          </cell>
          <cell r="N224">
            <v>0</v>
          </cell>
        </row>
        <row r="224">
          <cell r="R224">
            <v>0.17</v>
          </cell>
          <cell r="S224">
            <v>0.17</v>
          </cell>
        </row>
        <row r="225">
          <cell r="C225">
            <v>43525</v>
          </cell>
          <cell r="D225">
            <v>0.0599235565816967</v>
          </cell>
          <cell r="E225">
            <v>5.3035</v>
          </cell>
          <cell r="F225">
            <v>0.17</v>
          </cell>
          <cell r="G225">
            <v>0.023</v>
          </cell>
          <cell r="H225">
            <v>0.0075</v>
          </cell>
          <cell r="I225">
            <v>0.008</v>
          </cell>
          <cell r="J225">
            <v>0.0025</v>
          </cell>
          <cell r="K225">
            <v>0.4</v>
          </cell>
        </row>
        <row r="225">
          <cell r="M225">
            <v>0.115</v>
          </cell>
          <cell r="N225">
            <v>0</v>
          </cell>
        </row>
        <row r="225">
          <cell r="R225">
            <v>0.17</v>
          </cell>
          <cell r="S225">
            <v>0.17</v>
          </cell>
        </row>
        <row r="226">
          <cell r="C226">
            <v>43556</v>
          </cell>
          <cell r="D226">
            <v>0.0599817693781848</v>
          </cell>
          <cell r="E226">
            <v>5.1495</v>
          </cell>
          <cell r="F226">
            <v>0.17</v>
          </cell>
          <cell r="G226">
            <v>0.023</v>
          </cell>
          <cell r="H226">
            <v>0.01</v>
          </cell>
          <cell r="I226">
            <v>0.008</v>
          </cell>
          <cell r="J226">
            <v>0.0075</v>
          </cell>
          <cell r="K226">
            <v>0.6</v>
          </cell>
        </row>
        <row r="226">
          <cell r="M226">
            <v>0.55</v>
          </cell>
          <cell r="N226">
            <v>0</v>
          </cell>
        </row>
        <row r="226">
          <cell r="R226">
            <v>0.17</v>
          </cell>
          <cell r="S226">
            <v>0.17</v>
          </cell>
        </row>
        <row r="227">
          <cell r="C227">
            <v>43586</v>
          </cell>
          <cell r="D227">
            <v>0.0600381043436</v>
          </cell>
          <cell r="E227">
            <v>5.1545</v>
          </cell>
          <cell r="F227">
            <v>0.17</v>
          </cell>
          <cell r="G227">
            <v>0.0255</v>
          </cell>
          <cell r="H227">
            <v>0.01</v>
          </cell>
          <cell r="I227">
            <v>0.0105</v>
          </cell>
          <cell r="J227">
            <v>0.0075</v>
          </cell>
          <cell r="K227">
            <v>0.75</v>
          </cell>
        </row>
        <row r="227">
          <cell r="M227">
            <v>0.7</v>
          </cell>
          <cell r="N227">
            <v>0</v>
          </cell>
        </row>
        <row r="227">
          <cell r="R227">
            <v>0.34</v>
          </cell>
          <cell r="S227">
            <v>0.255</v>
          </cell>
        </row>
        <row r="228">
          <cell r="C228">
            <v>43617</v>
          </cell>
          <cell r="D228">
            <v>0.0600963171423037</v>
          </cell>
          <cell r="E228">
            <v>5.1925</v>
          </cell>
          <cell r="F228">
            <v>0.17</v>
          </cell>
          <cell r="G228">
            <v>0.023</v>
          </cell>
          <cell r="H228">
            <v>0.01</v>
          </cell>
          <cell r="I228">
            <v>0.008</v>
          </cell>
          <cell r="J228">
            <v>0.0075</v>
          </cell>
          <cell r="K228">
            <v>0.85</v>
          </cell>
        </row>
        <row r="228">
          <cell r="M228">
            <v>0.8</v>
          </cell>
          <cell r="N228">
            <v>0</v>
          </cell>
        </row>
        <row r="228">
          <cell r="R228">
            <v>0.34</v>
          </cell>
          <cell r="S228">
            <v>0.255</v>
          </cell>
        </row>
        <row r="229">
          <cell r="C229">
            <v>43647</v>
          </cell>
          <cell r="D229">
            <v>0.0601526521098625</v>
          </cell>
          <cell r="E229">
            <v>5.2375</v>
          </cell>
          <cell r="F229">
            <v>0.17</v>
          </cell>
          <cell r="G229">
            <v>0.0205</v>
          </cell>
          <cell r="H229">
            <v>0.01</v>
          </cell>
          <cell r="I229">
            <v>0.0055</v>
          </cell>
          <cell r="J229">
            <v>0.0075</v>
          </cell>
          <cell r="K229">
            <v>1.05</v>
          </cell>
        </row>
        <row r="229">
          <cell r="M229">
            <v>1</v>
          </cell>
          <cell r="N229">
            <v>0</v>
          </cell>
        </row>
        <row r="229">
          <cell r="R229">
            <v>0.34</v>
          </cell>
          <cell r="S229">
            <v>0.255</v>
          </cell>
        </row>
        <row r="230">
          <cell r="C230">
            <v>43678</v>
          </cell>
          <cell r="D230">
            <v>0.0602108649107818</v>
          </cell>
          <cell r="E230">
            <v>5.2755</v>
          </cell>
          <cell r="F230">
            <v>0.17</v>
          </cell>
          <cell r="G230">
            <v>0.0205</v>
          </cell>
          <cell r="H230">
            <v>0.01</v>
          </cell>
          <cell r="I230">
            <v>0.0055</v>
          </cell>
          <cell r="J230">
            <v>0.0075</v>
          </cell>
          <cell r="K230">
            <v>1.05</v>
          </cell>
        </row>
        <row r="230">
          <cell r="M230">
            <v>1</v>
          </cell>
          <cell r="N230">
            <v>0</v>
          </cell>
        </row>
        <row r="230">
          <cell r="R230">
            <v>0.34</v>
          </cell>
          <cell r="S230">
            <v>0.255</v>
          </cell>
        </row>
        <row r="231">
          <cell r="C231">
            <v>43709</v>
          </cell>
          <cell r="D231">
            <v>0.0602690777128263</v>
          </cell>
          <cell r="E231">
            <v>5.2695</v>
          </cell>
          <cell r="F231">
            <v>0.17</v>
          </cell>
          <cell r="G231">
            <v>0.0205</v>
          </cell>
          <cell r="H231">
            <v>0.01</v>
          </cell>
          <cell r="I231">
            <v>0.0055</v>
          </cell>
          <cell r="J231">
            <v>0.0075</v>
          </cell>
          <cell r="K231">
            <v>0.75</v>
          </cell>
        </row>
        <row r="231">
          <cell r="M231">
            <v>0.6</v>
          </cell>
          <cell r="N231">
            <v>0</v>
          </cell>
        </row>
        <row r="231">
          <cell r="R231">
            <v>0.34</v>
          </cell>
          <cell r="S231">
            <v>0.255</v>
          </cell>
        </row>
        <row r="232">
          <cell r="C232">
            <v>43739</v>
          </cell>
          <cell r="D232">
            <v>0.060325412683619</v>
          </cell>
          <cell r="E232">
            <v>5.2695</v>
          </cell>
          <cell r="F232">
            <v>0.17</v>
          </cell>
          <cell r="G232">
            <v>0.019</v>
          </cell>
          <cell r="H232">
            <v>0.01</v>
          </cell>
          <cell r="I232">
            <v>0.004</v>
          </cell>
          <cell r="J232">
            <v>0.0075</v>
          </cell>
          <cell r="K232">
            <v>0.45</v>
          </cell>
        </row>
        <row r="232">
          <cell r="M232">
            <v>0.3</v>
          </cell>
          <cell r="N232">
            <v>0</v>
          </cell>
        </row>
        <row r="232">
          <cell r="R232">
            <v>0.17</v>
          </cell>
          <cell r="S232">
            <v>0.17</v>
          </cell>
        </row>
        <row r="233">
          <cell r="C233">
            <v>43770</v>
          </cell>
          <cell r="D233">
            <v>0.0603836254878791</v>
          </cell>
          <cell r="E233">
            <v>5.4175</v>
          </cell>
          <cell r="F233">
            <v>0.17</v>
          </cell>
          <cell r="G233">
            <v>0.02</v>
          </cell>
          <cell r="H233">
            <v>0.0075</v>
          </cell>
          <cell r="I233">
            <v>0.005</v>
          </cell>
          <cell r="J233">
            <v>0.0025</v>
          </cell>
          <cell r="K233">
            <v>0.45</v>
          </cell>
        </row>
        <row r="233">
          <cell r="M233">
            <v>0.23</v>
          </cell>
          <cell r="N233">
            <v>0</v>
          </cell>
        </row>
        <row r="233">
          <cell r="R233">
            <v>0.17</v>
          </cell>
          <cell r="S233">
            <v>0.17</v>
          </cell>
        </row>
        <row r="234">
          <cell r="C234">
            <v>43800</v>
          </cell>
          <cell r="D234">
            <v>0.0604399604608159</v>
          </cell>
          <cell r="E234">
            <v>5.5695</v>
          </cell>
          <cell r="F234">
            <v>0.17</v>
          </cell>
          <cell r="G234">
            <v>0.02</v>
          </cell>
          <cell r="H234">
            <v>0.0075</v>
          </cell>
          <cell r="I234">
            <v>0.005</v>
          </cell>
          <cell r="J234">
            <v>0.0025</v>
          </cell>
          <cell r="K234">
            <v>0.4</v>
          </cell>
        </row>
        <row r="234">
          <cell r="M234">
            <v>0.26</v>
          </cell>
          <cell r="N234">
            <v>0</v>
          </cell>
        </row>
        <row r="234">
          <cell r="R234">
            <v>0.17</v>
          </cell>
          <cell r="S234">
            <v>0.17</v>
          </cell>
        </row>
        <row r="235">
          <cell r="C235">
            <v>43831</v>
          </cell>
          <cell r="D235">
            <v>0.0604981732672911</v>
          </cell>
          <cell r="E235">
            <v>5.647</v>
          </cell>
          <cell r="F235">
            <v>0.17</v>
          </cell>
          <cell r="G235">
            <v>0.02</v>
          </cell>
          <cell r="H235">
            <v>0.0075</v>
          </cell>
          <cell r="I235">
            <v>0.005</v>
          </cell>
          <cell r="J235">
            <v>0.0025</v>
          </cell>
          <cell r="K235">
            <v>0.35</v>
          </cell>
        </row>
        <row r="235">
          <cell r="M235">
            <v>0.085</v>
          </cell>
          <cell r="N235">
            <v>0</v>
          </cell>
        </row>
        <row r="235">
          <cell r="R235">
            <v>0.17</v>
          </cell>
          <cell r="S235">
            <v>0.17</v>
          </cell>
        </row>
        <row r="236">
          <cell r="C236">
            <v>43862</v>
          </cell>
          <cell r="D236">
            <v>0.0605563860748921</v>
          </cell>
          <cell r="E236">
            <v>5.56</v>
          </cell>
          <cell r="F236">
            <v>0.17</v>
          </cell>
          <cell r="G236">
            <v>0.02</v>
          </cell>
          <cell r="H236">
            <v>0.0075</v>
          </cell>
          <cell r="I236">
            <v>0.005</v>
          </cell>
          <cell r="J236">
            <v>0.0025</v>
          </cell>
          <cell r="K236">
            <v>0.35</v>
          </cell>
        </row>
        <row r="236">
          <cell r="M236">
            <v>0.075</v>
          </cell>
          <cell r="N236">
            <v>0</v>
          </cell>
        </row>
        <row r="236">
          <cell r="R236">
            <v>0.17</v>
          </cell>
          <cell r="S236">
            <v>0.17</v>
          </cell>
        </row>
        <row r="237">
          <cell r="C237">
            <v>43891</v>
          </cell>
          <cell r="D237">
            <v>0.0606108432185057</v>
          </cell>
          <cell r="E237">
            <v>5.421</v>
          </cell>
          <cell r="F237">
            <v>0.17</v>
          </cell>
          <cell r="G237">
            <v>0.024</v>
          </cell>
          <cell r="H237">
            <v>0.0075</v>
          </cell>
          <cell r="I237">
            <v>0.009</v>
          </cell>
          <cell r="J237">
            <v>0.0025</v>
          </cell>
          <cell r="K237">
            <v>0.4</v>
          </cell>
        </row>
        <row r="237">
          <cell r="M237">
            <v>0.115</v>
          </cell>
          <cell r="N237">
            <v>0</v>
          </cell>
        </row>
        <row r="237">
          <cell r="R237">
            <v>0.17</v>
          </cell>
          <cell r="S237">
            <v>0.17</v>
          </cell>
        </row>
        <row r="238">
          <cell r="C238">
            <v>43922</v>
          </cell>
          <cell r="D238">
            <v>0.060669056028285</v>
          </cell>
          <cell r="E238">
            <v>5.267</v>
          </cell>
          <cell r="F238">
            <v>0.17</v>
          </cell>
          <cell r="G238">
            <v>0.024</v>
          </cell>
          <cell r="H238">
            <v>0.01</v>
          </cell>
          <cell r="I238">
            <v>0.009</v>
          </cell>
          <cell r="J238">
            <v>0.0075</v>
          </cell>
          <cell r="K238">
            <v>0.6</v>
          </cell>
        </row>
        <row r="238">
          <cell r="M238">
            <v>0.55</v>
          </cell>
          <cell r="N238">
            <v>0</v>
          </cell>
        </row>
        <row r="238">
          <cell r="R238">
            <v>0.17</v>
          </cell>
          <cell r="S238">
            <v>0.17</v>
          </cell>
        </row>
        <row r="239">
          <cell r="C239">
            <v>43952</v>
          </cell>
          <cell r="D239">
            <v>0.0607253910065628</v>
          </cell>
          <cell r="E239">
            <v>5.272</v>
          </cell>
          <cell r="F239">
            <v>0.17</v>
          </cell>
          <cell r="G239">
            <v>0.0265</v>
          </cell>
          <cell r="H239">
            <v>0.01</v>
          </cell>
          <cell r="I239">
            <v>0.0115</v>
          </cell>
          <cell r="J239">
            <v>0.0075</v>
          </cell>
          <cell r="K239">
            <v>0.75</v>
          </cell>
        </row>
        <row r="239">
          <cell r="M239">
            <v>0.7</v>
          </cell>
          <cell r="N239">
            <v>0</v>
          </cell>
        </row>
        <row r="239">
          <cell r="R239">
            <v>0.34</v>
          </cell>
          <cell r="S239">
            <v>0.255</v>
          </cell>
        </row>
        <row r="240">
          <cell r="C240">
            <v>43983</v>
          </cell>
          <cell r="D240">
            <v>0.0607836038185572</v>
          </cell>
          <cell r="E240">
            <v>5.31</v>
          </cell>
          <cell r="F240">
            <v>0.17</v>
          </cell>
          <cell r="G240">
            <v>0.024</v>
          </cell>
          <cell r="H240">
            <v>0.01</v>
          </cell>
          <cell r="I240">
            <v>0.009</v>
          </cell>
          <cell r="J240">
            <v>0.0075</v>
          </cell>
          <cell r="K240">
            <v>0.85</v>
          </cell>
        </row>
        <row r="240">
          <cell r="M240">
            <v>0.8</v>
          </cell>
          <cell r="N240">
            <v>0</v>
          </cell>
        </row>
        <row r="240">
          <cell r="R240">
            <v>0.34</v>
          </cell>
          <cell r="S240">
            <v>0.255</v>
          </cell>
        </row>
        <row r="241">
          <cell r="C241">
            <v>44013</v>
          </cell>
          <cell r="D241">
            <v>0.0608399387989786</v>
          </cell>
          <cell r="E241">
            <v>5.355</v>
          </cell>
          <cell r="F241">
            <v>0.17</v>
          </cell>
          <cell r="G241">
            <v>0.0215</v>
          </cell>
          <cell r="H241">
            <v>0.01</v>
          </cell>
          <cell r="I241">
            <v>0.0065</v>
          </cell>
          <cell r="J241">
            <v>0.0075</v>
          </cell>
          <cell r="K241">
            <v>1.05</v>
          </cell>
        </row>
        <row r="241">
          <cell r="M241">
            <v>1</v>
          </cell>
          <cell r="N241">
            <v>0</v>
          </cell>
        </row>
        <row r="241">
          <cell r="R241">
            <v>0.34</v>
          </cell>
          <cell r="S241">
            <v>0.255</v>
          </cell>
        </row>
        <row r="242">
          <cell r="C242">
            <v>44044</v>
          </cell>
          <cell r="D242">
            <v>0.0608981516131877</v>
          </cell>
          <cell r="E242">
            <v>5.393</v>
          </cell>
          <cell r="F242">
            <v>0.17</v>
          </cell>
          <cell r="G242">
            <v>0.0215</v>
          </cell>
          <cell r="H242">
            <v>0.01</v>
          </cell>
          <cell r="I242">
            <v>0.0065</v>
          </cell>
          <cell r="J242">
            <v>0.0075</v>
          </cell>
          <cell r="K242">
            <v>1.05</v>
          </cell>
        </row>
        <row r="242">
          <cell r="M242">
            <v>1</v>
          </cell>
          <cell r="N242">
            <v>0</v>
          </cell>
        </row>
        <row r="242">
          <cell r="R242">
            <v>0.34</v>
          </cell>
          <cell r="S242">
            <v>0.255</v>
          </cell>
        </row>
        <row r="243">
          <cell r="C243">
            <v>44075</v>
          </cell>
          <cell r="D243">
            <v>0.0609563644285216</v>
          </cell>
          <cell r="E243">
            <v>5.387</v>
          </cell>
          <cell r="F243">
            <v>0.17</v>
          </cell>
          <cell r="G243">
            <v>0.0215</v>
          </cell>
          <cell r="H243">
            <v>0.01</v>
          </cell>
          <cell r="I243">
            <v>0.0065</v>
          </cell>
          <cell r="J243">
            <v>0.0075</v>
          </cell>
          <cell r="K243">
            <v>0.75</v>
          </cell>
        </row>
        <row r="243">
          <cell r="M243">
            <v>0.6</v>
          </cell>
          <cell r="N243">
            <v>0</v>
          </cell>
        </row>
        <row r="243">
          <cell r="R243">
            <v>0.34</v>
          </cell>
          <cell r="S243">
            <v>0.255</v>
          </cell>
        </row>
        <row r="244">
          <cell r="C244">
            <v>44105</v>
          </cell>
          <cell r="D244">
            <v>0.0610126994121751</v>
          </cell>
          <cell r="E244">
            <v>5.387</v>
          </cell>
          <cell r="F244">
            <v>0.17</v>
          </cell>
          <cell r="G244">
            <v>0.02</v>
          </cell>
          <cell r="H244">
            <v>0.01</v>
          </cell>
          <cell r="I244">
            <v>0.005</v>
          </cell>
          <cell r="J244">
            <v>0.0075</v>
          </cell>
          <cell r="K244">
            <v>0.45</v>
          </cell>
        </row>
        <row r="244">
          <cell r="M244">
            <v>0.3</v>
          </cell>
          <cell r="N244">
            <v>0</v>
          </cell>
        </row>
        <row r="244">
          <cell r="R244">
            <v>0.17</v>
          </cell>
          <cell r="S244">
            <v>0.17</v>
          </cell>
        </row>
        <row r="245">
          <cell r="C245">
            <v>44136</v>
          </cell>
          <cell r="D245">
            <v>0.0610709122297242</v>
          </cell>
          <cell r="E245">
            <v>5.535</v>
          </cell>
          <cell r="F245">
            <v>0.17</v>
          </cell>
          <cell r="G245">
            <v>0.021</v>
          </cell>
          <cell r="H245">
            <v>0.0075</v>
          </cell>
          <cell r="I245">
            <v>0.006</v>
          </cell>
          <cell r="J245">
            <v>0.0025</v>
          </cell>
          <cell r="K245">
            <v>0.45</v>
          </cell>
        </row>
        <row r="245">
          <cell r="M245">
            <v>0.23</v>
          </cell>
          <cell r="N245">
            <v>0</v>
          </cell>
        </row>
        <row r="245">
          <cell r="R245">
            <v>0.17</v>
          </cell>
          <cell r="S245">
            <v>0.17</v>
          </cell>
        </row>
        <row r="246">
          <cell r="C246">
            <v>44166</v>
          </cell>
          <cell r="D246">
            <v>0.0611272472155209</v>
          </cell>
          <cell r="E246">
            <v>5.687</v>
          </cell>
          <cell r="F246">
            <v>0.17</v>
          </cell>
          <cell r="G246">
            <v>0.021</v>
          </cell>
          <cell r="H246">
            <v>0.0075</v>
          </cell>
          <cell r="I246">
            <v>0.006</v>
          </cell>
          <cell r="J246">
            <v>0.0025</v>
          </cell>
          <cell r="K246">
            <v>0.4</v>
          </cell>
        </row>
        <row r="246">
          <cell r="M246">
            <v>0.26</v>
          </cell>
          <cell r="N246">
            <v>0</v>
          </cell>
        </row>
        <row r="246">
          <cell r="R246">
            <v>0.17</v>
          </cell>
          <cell r="S246">
            <v>0.17</v>
          </cell>
        </row>
        <row r="247">
          <cell r="C247">
            <v>44197</v>
          </cell>
          <cell r="D247">
            <v>0.0611854600352841</v>
          </cell>
          <cell r="E247">
            <v>5.7645</v>
          </cell>
          <cell r="F247">
            <v>0.17</v>
          </cell>
          <cell r="G247">
            <v>0.021</v>
          </cell>
          <cell r="H247">
            <v>0.0075</v>
          </cell>
          <cell r="I247">
            <v>0.006</v>
          </cell>
          <cell r="J247">
            <v>0.0025</v>
          </cell>
          <cell r="K247">
            <v>0.35</v>
          </cell>
        </row>
        <row r="247">
          <cell r="M247">
            <v>0.085</v>
          </cell>
          <cell r="N247">
            <v>0</v>
          </cell>
        </row>
        <row r="247">
          <cell r="R247">
            <v>0.17</v>
          </cell>
          <cell r="S247">
            <v>0.17</v>
          </cell>
        </row>
        <row r="248">
          <cell r="C248">
            <v>44228</v>
          </cell>
          <cell r="D248">
            <v>0.0612436728561732</v>
          </cell>
          <cell r="E248">
            <v>5.6775</v>
          </cell>
          <cell r="F248">
            <v>0.17</v>
          </cell>
          <cell r="G248">
            <v>0.021</v>
          </cell>
          <cell r="H248">
            <v>0.0075</v>
          </cell>
          <cell r="I248">
            <v>0.006</v>
          </cell>
          <cell r="J248">
            <v>0.0025</v>
          </cell>
          <cell r="K248">
            <v>0.35</v>
          </cell>
        </row>
        <row r="248">
          <cell r="M248">
            <v>0.075</v>
          </cell>
          <cell r="N248">
            <v>0</v>
          </cell>
        </row>
        <row r="248">
          <cell r="R248">
            <v>0.17</v>
          </cell>
          <cell r="S248">
            <v>0.17</v>
          </cell>
        </row>
        <row r="249">
          <cell r="C249">
            <v>44256</v>
          </cell>
          <cell r="D249">
            <v>0.0612962521792335</v>
          </cell>
          <cell r="E249">
            <v>5.5385</v>
          </cell>
          <cell r="F249">
            <v>0.17</v>
          </cell>
          <cell r="G249">
            <v>0.025</v>
          </cell>
          <cell r="H249">
            <v>0.0075</v>
          </cell>
          <cell r="I249">
            <v>0.01</v>
          </cell>
          <cell r="J249">
            <v>0.0025</v>
          </cell>
          <cell r="K249">
            <v>0.4</v>
          </cell>
        </row>
        <row r="249">
          <cell r="M249">
            <v>0.115</v>
          </cell>
          <cell r="N249">
            <v>0</v>
          </cell>
        </row>
        <row r="249">
          <cell r="R249">
            <v>0.17</v>
          </cell>
          <cell r="S249">
            <v>0.17</v>
          </cell>
        </row>
        <row r="250">
          <cell r="C250">
            <v>44287</v>
          </cell>
          <cell r="D250">
            <v>0.0613544650022639</v>
          </cell>
          <cell r="E250">
            <v>5.3845</v>
          </cell>
          <cell r="F250">
            <v>0.17</v>
          </cell>
          <cell r="G250">
            <v>0.025</v>
          </cell>
          <cell r="H250">
            <v>0.01</v>
          </cell>
          <cell r="I250">
            <v>0.01</v>
          </cell>
          <cell r="J250">
            <v>0.0075</v>
          </cell>
          <cell r="K250">
            <v>0.6</v>
          </cell>
        </row>
        <row r="250">
          <cell r="M250">
            <v>0.55</v>
          </cell>
          <cell r="N250">
            <v>0</v>
          </cell>
        </row>
        <row r="250">
          <cell r="R250">
            <v>0.17</v>
          </cell>
          <cell r="S250">
            <v>0.17</v>
          </cell>
        </row>
        <row r="251">
          <cell r="C251">
            <v>44317</v>
          </cell>
          <cell r="D251">
            <v>0.0614107999933648</v>
          </cell>
          <cell r="E251">
            <v>5.3895</v>
          </cell>
          <cell r="F251">
            <v>0.17</v>
          </cell>
          <cell r="G251">
            <v>0.0275</v>
          </cell>
          <cell r="H251">
            <v>0.01</v>
          </cell>
          <cell r="I251">
            <v>0.0125</v>
          </cell>
          <cell r="J251">
            <v>0.0075</v>
          </cell>
          <cell r="K251">
            <v>0.75</v>
          </cell>
        </row>
        <row r="251">
          <cell r="M251">
            <v>0.7</v>
          </cell>
          <cell r="N251">
            <v>0</v>
          </cell>
        </row>
        <row r="251">
          <cell r="R251">
            <v>0.34</v>
          </cell>
          <cell r="S251">
            <v>0.255</v>
          </cell>
        </row>
        <row r="252">
          <cell r="C252">
            <v>44348</v>
          </cell>
          <cell r="D252">
            <v>0.0614690128186095</v>
          </cell>
          <cell r="E252">
            <v>5.4275</v>
          </cell>
          <cell r="F252">
            <v>0.17</v>
          </cell>
          <cell r="G252">
            <v>0.025</v>
          </cell>
          <cell r="H252">
            <v>0.01</v>
          </cell>
          <cell r="I252">
            <v>0.01</v>
          </cell>
          <cell r="J252">
            <v>0.0075</v>
          </cell>
          <cell r="K252">
            <v>0.85</v>
          </cell>
        </row>
        <row r="252">
          <cell r="M252">
            <v>0.8</v>
          </cell>
          <cell r="N252">
            <v>0</v>
          </cell>
        </row>
        <row r="252">
          <cell r="R252">
            <v>0.34</v>
          </cell>
          <cell r="S252">
            <v>0.255</v>
          </cell>
        </row>
        <row r="253">
          <cell r="C253">
            <v>44378</v>
          </cell>
          <cell r="D253">
            <v>0.0615253478118527</v>
          </cell>
          <cell r="E253">
            <v>5.4725</v>
          </cell>
          <cell r="F253">
            <v>0.17</v>
          </cell>
          <cell r="G253">
            <v>0.0225</v>
          </cell>
          <cell r="H253">
            <v>0.01</v>
          </cell>
          <cell r="I253">
            <v>0.0075</v>
          </cell>
          <cell r="J253">
            <v>0.0075</v>
          </cell>
          <cell r="K253">
            <v>1.05</v>
          </cell>
        </row>
        <row r="253">
          <cell r="M253">
            <v>1</v>
          </cell>
          <cell r="N253">
            <v>0</v>
          </cell>
        </row>
        <row r="253">
          <cell r="R253">
            <v>0.34</v>
          </cell>
          <cell r="S253">
            <v>0.255</v>
          </cell>
        </row>
        <row r="254">
          <cell r="C254">
            <v>44409</v>
          </cell>
          <cell r="D254">
            <v>0.0615835606393111</v>
          </cell>
          <cell r="E254">
            <v>5.5105</v>
          </cell>
          <cell r="F254">
            <v>0.17</v>
          </cell>
          <cell r="G254">
            <v>0.0225</v>
          </cell>
          <cell r="H254">
            <v>0.01</v>
          </cell>
          <cell r="I254">
            <v>0.0075</v>
          </cell>
          <cell r="J254">
            <v>0.0075</v>
          </cell>
          <cell r="K254">
            <v>1.05</v>
          </cell>
        </row>
        <row r="254">
          <cell r="M254">
            <v>1</v>
          </cell>
          <cell r="N254">
            <v>0</v>
          </cell>
        </row>
        <row r="254">
          <cell r="R254">
            <v>0.34</v>
          </cell>
          <cell r="S254">
            <v>0.255</v>
          </cell>
        </row>
        <row r="255">
          <cell r="C255">
            <v>44440</v>
          </cell>
          <cell r="D255">
            <v>0.0616417734678949</v>
          </cell>
          <cell r="E255">
            <v>5.5045</v>
          </cell>
          <cell r="F255">
            <v>0.17</v>
          </cell>
          <cell r="G255">
            <v>0.0225</v>
          </cell>
          <cell r="H255">
            <v>0.01</v>
          </cell>
          <cell r="I255">
            <v>0.0075</v>
          </cell>
          <cell r="J255">
            <v>0.0075</v>
          </cell>
          <cell r="K255">
            <v>0.75</v>
          </cell>
        </row>
        <row r="255">
          <cell r="M255">
            <v>0.6</v>
          </cell>
          <cell r="N255">
            <v>0</v>
          </cell>
        </row>
        <row r="255">
          <cell r="R255">
            <v>0.34</v>
          </cell>
          <cell r="S255">
            <v>0.255</v>
          </cell>
        </row>
        <row r="256">
          <cell r="C256">
            <v>44470</v>
          </cell>
          <cell r="D256">
            <v>0.0616981084643693</v>
          </cell>
          <cell r="E256">
            <v>5.5045</v>
          </cell>
          <cell r="F256">
            <v>0.17</v>
          </cell>
          <cell r="G256">
            <v>0.021</v>
          </cell>
          <cell r="H256">
            <v>0.01</v>
          </cell>
          <cell r="I256">
            <v>0.006</v>
          </cell>
          <cell r="J256">
            <v>0.0075</v>
          </cell>
          <cell r="K256">
            <v>0.45</v>
          </cell>
        </row>
        <row r="256">
          <cell r="M256">
            <v>0.3</v>
          </cell>
          <cell r="N256">
            <v>0</v>
          </cell>
        </row>
        <row r="256">
          <cell r="R256">
            <v>0.17</v>
          </cell>
          <cell r="S256">
            <v>0.17</v>
          </cell>
        </row>
        <row r="257">
          <cell r="C257">
            <v>44501</v>
          </cell>
          <cell r="D257">
            <v>0.0617439337754582</v>
          </cell>
          <cell r="E257">
            <v>5.6525</v>
          </cell>
          <cell r="F257">
            <v>0.17</v>
          </cell>
          <cell r="G257">
            <v>0.022</v>
          </cell>
          <cell r="H257">
            <v>0.0075</v>
          </cell>
          <cell r="I257">
            <v>0.007</v>
          </cell>
          <cell r="J257">
            <v>0.0025</v>
          </cell>
          <cell r="K257">
            <v>0.45</v>
          </cell>
        </row>
        <row r="257">
          <cell r="M257">
            <v>0.23</v>
          </cell>
          <cell r="N257">
            <v>0</v>
          </cell>
        </row>
        <row r="257">
          <cell r="R257">
            <v>0.17</v>
          </cell>
          <cell r="S257">
            <v>0.17</v>
          </cell>
        </row>
        <row r="258">
          <cell r="C258">
            <v>44531</v>
          </cell>
          <cell r="D258">
            <v>0.0617471794032487</v>
          </cell>
          <cell r="E258">
            <v>5.8045</v>
          </cell>
          <cell r="F258">
            <v>0.17</v>
          </cell>
          <cell r="G258">
            <v>0.022</v>
          </cell>
          <cell r="H258">
            <v>0.0075</v>
          </cell>
          <cell r="I258">
            <v>0.007</v>
          </cell>
          <cell r="J258">
            <v>0.0025</v>
          </cell>
          <cell r="K258">
            <v>0.4</v>
          </cell>
        </row>
        <row r="258">
          <cell r="M258">
            <v>0.26</v>
          </cell>
          <cell r="N258">
            <v>0</v>
          </cell>
        </row>
        <row r="258">
          <cell r="R258">
            <v>0.17</v>
          </cell>
          <cell r="S258">
            <v>0.17</v>
          </cell>
        </row>
        <row r="259">
          <cell r="C259">
            <v>44562</v>
          </cell>
          <cell r="D259">
            <v>0.0617505332186354</v>
          </cell>
          <cell r="E259">
            <v>5.882</v>
          </cell>
          <cell r="F259">
            <v>0.17</v>
          </cell>
          <cell r="G259">
            <v>0.022</v>
          </cell>
          <cell r="H259">
            <v>0.0075</v>
          </cell>
          <cell r="I259">
            <v>0.007</v>
          </cell>
          <cell r="J259">
            <v>0.0025</v>
          </cell>
          <cell r="K259">
            <v>0.35</v>
          </cell>
        </row>
        <row r="259">
          <cell r="M259">
            <v>0.085</v>
          </cell>
          <cell r="N259">
            <v>0</v>
          </cell>
        </row>
        <row r="259">
          <cell r="R259">
            <v>0.17</v>
          </cell>
          <cell r="S259">
            <v>0.17</v>
          </cell>
        </row>
        <row r="260">
          <cell r="C260">
            <v>44593</v>
          </cell>
          <cell r="D260">
            <v>0.0617538870340257</v>
          </cell>
          <cell r="E260">
            <v>5.795</v>
          </cell>
          <cell r="F260">
            <v>0.17</v>
          </cell>
          <cell r="G260">
            <v>0.022</v>
          </cell>
          <cell r="H260">
            <v>0.0075</v>
          </cell>
          <cell r="I260">
            <v>0.007</v>
          </cell>
          <cell r="J260">
            <v>0.0025</v>
          </cell>
          <cell r="K260">
            <v>0.35</v>
          </cell>
        </row>
        <row r="260">
          <cell r="M260">
            <v>0.075</v>
          </cell>
          <cell r="N260">
            <v>0</v>
          </cell>
        </row>
        <row r="260">
          <cell r="R260">
            <v>0.17</v>
          </cell>
          <cell r="S260">
            <v>0.17</v>
          </cell>
        </row>
        <row r="261">
          <cell r="C261">
            <v>44621</v>
          </cell>
          <cell r="D261">
            <v>0.0617569162866398</v>
          </cell>
          <cell r="E261">
            <v>5.656</v>
          </cell>
          <cell r="F261">
            <v>0.17</v>
          </cell>
          <cell r="G261">
            <v>0.026</v>
          </cell>
          <cell r="H261">
            <v>0.0075</v>
          </cell>
          <cell r="I261">
            <v>0.011</v>
          </cell>
          <cell r="J261">
            <v>0.0025</v>
          </cell>
          <cell r="K261">
            <v>0.4</v>
          </cell>
        </row>
        <row r="261">
          <cell r="M261">
            <v>0.115</v>
          </cell>
          <cell r="N261">
            <v>0</v>
          </cell>
        </row>
        <row r="261">
          <cell r="R261">
            <v>0.17</v>
          </cell>
          <cell r="S261">
            <v>0.17</v>
          </cell>
        </row>
        <row r="262">
          <cell r="C262">
            <v>44652</v>
          </cell>
          <cell r="D262">
            <v>0.0617602701020372</v>
          </cell>
          <cell r="E262">
            <v>5.502</v>
          </cell>
          <cell r="F262">
            <v>0.17</v>
          </cell>
          <cell r="G262">
            <v>0.026</v>
          </cell>
          <cell r="H262">
            <v>0.01</v>
          </cell>
          <cell r="I262">
            <v>0.011</v>
          </cell>
          <cell r="J262">
            <v>0.0075</v>
          </cell>
          <cell r="K262">
            <v>0.6</v>
          </cell>
        </row>
        <row r="262">
          <cell r="M262">
            <v>0.55</v>
          </cell>
          <cell r="N262">
            <v>0</v>
          </cell>
        </row>
        <row r="262">
          <cell r="R262">
            <v>0.17</v>
          </cell>
          <cell r="S262">
            <v>0.17</v>
          </cell>
        </row>
        <row r="263">
          <cell r="C263">
            <v>44682</v>
          </cell>
          <cell r="D263">
            <v>0.0617635157298451</v>
          </cell>
          <cell r="E263">
            <v>5.507</v>
          </cell>
          <cell r="F263">
            <v>0.17</v>
          </cell>
          <cell r="G263">
            <v>0.0285</v>
          </cell>
          <cell r="H263">
            <v>0.01</v>
          </cell>
          <cell r="I263">
            <v>0.0135</v>
          </cell>
          <cell r="J263">
            <v>0.0075</v>
          </cell>
          <cell r="K263">
            <v>0.75</v>
          </cell>
        </row>
        <row r="263">
          <cell r="M263">
            <v>0.7</v>
          </cell>
          <cell r="N263">
            <v>0</v>
          </cell>
        </row>
        <row r="263">
          <cell r="R263">
            <v>0.34</v>
          </cell>
          <cell r="S263">
            <v>0.255</v>
          </cell>
        </row>
        <row r="264">
          <cell r="C264">
            <v>44713</v>
          </cell>
          <cell r="D264">
            <v>0.0617668695452505</v>
          </cell>
          <cell r="E264">
            <v>5.545</v>
          </cell>
          <cell r="F264">
            <v>0.17</v>
          </cell>
          <cell r="G264">
            <v>0.026</v>
          </cell>
          <cell r="H264">
            <v>0.01</v>
          </cell>
          <cell r="I264">
            <v>0.011</v>
          </cell>
          <cell r="J264">
            <v>0.0075</v>
          </cell>
          <cell r="K264">
            <v>0.85</v>
          </cell>
        </row>
        <row r="264">
          <cell r="M264">
            <v>0.8</v>
          </cell>
          <cell r="N264">
            <v>0</v>
          </cell>
        </row>
        <row r="264">
          <cell r="R264">
            <v>0.34</v>
          </cell>
          <cell r="S264">
            <v>0.255</v>
          </cell>
        </row>
        <row r="265">
          <cell r="C265">
            <v>44743</v>
          </cell>
          <cell r="D265">
            <v>0.061770115173065</v>
          </cell>
          <cell r="E265">
            <v>5.59</v>
          </cell>
          <cell r="F265">
            <v>0.17</v>
          </cell>
          <cell r="G265">
            <v>0.0235</v>
          </cell>
          <cell r="H265">
            <v>0.01</v>
          </cell>
          <cell r="I265">
            <v>0.0085</v>
          </cell>
          <cell r="J265">
            <v>0.0075</v>
          </cell>
          <cell r="K265">
            <v>1.05</v>
          </cell>
        </row>
        <row r="265">
          <cell r="M265">
            <v>1</v>
          </cell>
          <cell r="N265">
            <v>0</v>
          </cell>
        </row>
        <row r="265">
          <cell r="R265">
            <v>0.34</v>
          </cell>
          <cell r="S265">
            <v>0.255</v>
          </cell>
        </row>
        <row r="266">
          <cell r="C266">
            <v>44774</v>
          </cell>
          <cell r="D266">
            <v>0.061773468988477</v>
          </cell>
          <cell r="E266">
            <v>5.628</v>
          </cell>
          <cell r="F266">
            <v>0.17</v>
          </cell>
          <cell r="G266">
            <v>0.0235</v>
          </cell>
          <cell r="H266">
            <v>0.01</v>
          </cell>
          <cell r="I266">
            <v>0.0085</v>
          </cell>
          <cell r="J266">
            <v>0.0075</v>
          </cell>
          <cell r="K266">
            <v>1.05</v>
          </cell>
        </row>
        <row r="266">
          <cell r="M266">
            <v>1</v>
          </cell>
          <cell r="N266">
            <v>0</v>
          </cell>
        </row>
        <row r="266">
          <cell r="R266">
            <v>0.34</v>
          </cell>
          <cell r="S266">
            <v>0.255</v>
          </cell>
        </row>
        <row r="267">
          <cell r="C267">
            <v>44805</v>
          </cell>
          <cell r="D267">
            <v>0.0617768228038931</v>
          </cell>
          <cell r="E267">
            <v>5.622</v>
          </cell>
          <cell r="F267">
            <v>0.17</v>
          </cell>
          <cell r="G267">
            <v>0.0235</v>
          </cell>
          <cell r="H267">
            <v>0.01</v>
          </cell>
          <cell r="I267">
            <v>0.0085</v>
          </cell>
          <cell r="J267">
            <v>0.0075</v>
          </cell>
          <cell r="K267">
            <v>0.75</v>
          </cell>
        </row>
        <row r="267">
          <cell r="M267">
            <v>0.6</v>
          </cell>
          <cell r="N267">
            <v>0</v>
          </cell>
        </row>
        <row r="267">
          <cell r="R267">
            <v>0.34</v>
          </cell>
          <cell r="S267">
            <v>0.255</v>
          </cell>
        </row>
        <row r="268">
          <cell r="C268">
            <v>44835</v>
          </cell>
          <cell r="D268">
            <v>0.0617800684317191</v>
          </cell>
          <cell r="E268">
            <v>5.622</v>
          </cell>
          <cell r="F268">
            <v>0.17</v>
          </cell>
          <cell r="G268">
            <v>0.022</v>
          </cell>
          <cell r="H268">
            <v>0.01</v>
          </cell>
          <cell r="I268">
            <v>0.007</v>
          </cell>
          <cell r="J268">
            <v>0.0075</v>
          </cell>
          <cell r="K268">
            <v>0.45</v>
          </cell>
        </row>
        <row r="268">
          <cell r="M268">
            <v>0.3</v>
          </cell>
          <cell r="N268">
            <v>0</v>
          </cell>
        </row>
        <row r="268">
          <cell r="R268">
            <v>0.17</v>
          </cell>
          <cell r="S268">
            <v>0.17</v>
          </cell>
        </row>
        <row r="269">
          <cell r="C269">
            <v>44866</v>
          </cell>
          <cell r="D269">
            <v>0.0617834222471423</v>
          </cell>
          <cell r="E269">
            <v>5.77</v>
          </cell>
          <cell r="F269">
            <v>0.17</v>
          </cell>
          <cell r="G269">
            <v>0.023</v>
          </cell>
          <cell r="H269">
            <v>0.0075</v>
          </cell>
          <cell r="I269">
            <v>0.008</v>
          </cell>
          <cell r="J269">
            <v>0.0025</v>
          </cell>
          <cell r="K269">
            <v>0.45</v>
          </cell>
        </row>
        <row r="269">
          <cell r="M269">
            <v>0.23</v>
          </cell>
          <cell r="N269">
            <v>0</v>
          </cell>
        </row>
        <row r="269">
          <cell r="R269">
            <v>0.17</v>
          </cell>
          <cell r="S269">
            <v>0.17</v>
          </cell>
        </row>
        <row r="270">
          <cell r="C270">
            <v>44896</v>
          </cell>
          <cell r="D270">
            <v>0.061786667874975</v>
          </cell>
          <cell r="E270">
            <v>5.922</v>
          </cell>
          <cell r="F270">
            <v>0.17</v>
          </cell>
          <cell r="G270">
            <v>0.023</v>
          </cell>
          <cell r="H270">
            <v>0.0075</v>
          </cell>
          <cell r="I270">
            <v>0.008</v>
          </cell>
          <cell r="J270">
            <v>0.0025</v>
          </cell>
          <cell r="K270">
            <v>0.4</v>
          </cell>
        </row>
        <row r="270">
          <cell r="M270">
            <v>0.26</v>
          </cell>
          <cell r="N270">
            <v>0</v>
          </cell>
        </row>
        <row r="270">
          <cell r="R270">
            <v>0.17</v>
          </cell>
          <cell r="S270">
            <v>0.17</v>
          </cell>
        </row>
        <row r="271">
          <cell r="C271">
            <v>44927</v>
          </cell>
          <cell r="D271">
            <v>0.0617900216904057</v>
          </cell>
          <cell r="E271">
            <v>5.9995</v>
          </cell>
          <cell r="F271">
            <v>0.17</v>
          </cell>
        </row>
        <row r="271">
          <cell r="K271">
            <v>0.35</v>
          </cell>
        </row>
        <row r="271">
          <cell r="M271">
            <v>0.085</v>
          </cell>
          <cell r="N271">
            <v>0</v>
          </cell>
        </row>
        <row r="271">
          <cell r="R271">
            <v>0.17</v>
          </cell>
          <cell r="S271">
            <v>0.17</v>
          </cell>
        </row>
        <row r="272">
          <cell r="C272">
            <v>44958</v>
          </cell>
          <cell r="D272">
            <v>0.06179337550584</v>
          </cell>
          <cell r="E272">
            <v>5.9125</v>
          </cell>
          <cell r="F272">
            <v>0.17</v>
          </cell>
        </row>
        <row r="272">
          <cell r="K272">
            <v>0.35</v>
          </cell>
        </row>
        <row r="272">
          <cell r="M272">
            <v>0.075</v>
          </cell>
          <cell r="N272">
            <v>0</v>
          </cell>
        </row>
        <row r="272">
          <cell r="R272">
            <v>0.17</v>
          </cell>
          <cell r="S272">
            <v>0.17</v>
          </cell>
        </row>
        <row r="273">
          <cell r="C273">
            <v>44986</v>
          </cell>
          <cell r="D273">
            <v>0.0617964047584936</v>
          </cell>
          <cell r="E273">
            <v>5.7735</v>
          </cell>
          <cell r="F273">
            <v>0.17</v>
          </cell>
        </row>
        <row r="273">
          <cell r="K273">
            <v>0.4</v>
          </cell>
        </row>
        <row r="273">
          <cell r="M273">
            <v>0.115</v>
          </cell>
          <cell r="N273">
            <v>0</v>
          </cell>
        </row>
        <row r="273">
          <cell r="R273">
            <v>0.17</v>
          </cell>
          <cell r="S273">
            <v>0.17</v>
          </cell>
        </row>
        <row r="274">
          <cell r="C274">
            <v>45017</v>
          </cell>
          <cell r="D274">
            <v>0.0617997585739354</v>
          </cell>
          <cell r="E274">
            <v>5.6195</v>
          </cell>
          <cell r="F274">
            <v>0.17</v>
          </cell>
        </row>
        <row r="274">
          <cell r="K274">
            <v>0.6</v>
          </cell>
        </row>
        <row r="274">
          <cell r="M274">
            <v>0</v>
          </cell>
          <cell r="N274">
            <v>0</v>
          </cell>
        </row>
        <row r="274">
          <cell r="R274">
            <v>0.17</v>
          </cell>
          <cell r="S274">
            <v>0.17</v>
          </cell>
        </row>
        <row r="275">
          <cell r="C275">
            <v>45047</v>
          </cell>
          <cell r="D275">
            <v>0.0618030042017859</v>
          </cell>
          <cell r="E275">
            <v>5.6245</v>
          </cell>
          <cell r="F275">
            <v>0.17</v>
          </cell>
        </row>
        <row r="275">
          <cell r="K275">
            <v>0.75</v>
          </cell>
        </row>
        <row r="275">
          <cell r="M275">
            <v>0</v>
          </cell>
          <cell r="N275">
            <v>0</v>
          </cell>
        </row>
        <row r="275">
          <cell r="R275">
            <v>0.34</v>
          </cell>
          <cell r="S275">
            <v>0.255</v>
          </cell>
        </row>
        <row r="276">
          <cell r="C276">
            <v>45078</v>
          </cell>
          <cell r="D276">
            <v>0.0618063580172348</v>
          </cell>
          <cell r="E276">
            <v>5.6625</v>
          </cell>
          <cell r="F276">
            <v>0.17</v>
          </cell>
        </row>
        <row r="276">
          <cell r="K276">
            <v>0.85</v>
          </cell>
        </row>
        <row r="276">
          <cell r="M276">
            <v>0</v>
          </cell>
          <cell r="N276">
            <v>0</v>
          </cell>
        </row>
        <row r="276">
          <cell r="R276">
            <v>0.34</v>
          </cell>
          <cell r="S276">
            <v>0.255</v>
          </cell>
        </row>
        <row r="277">
          <cell r="C277">
            <v>45108</v>
          </cell>
          <cell r="D277">
            <v>0.0618096036450919</v>
          </cell>
          <cell r="E277">
            <v>5.7075</v>
          </cell>
          <cell r="F277">
            <v>0.17</v>
          </cell>
        </row>
        <row r="277">
          <cell r="K277">
            <v>1.05</v>
          </cell>
        </row>
        <row r="277">
          <cell r="M277">
            <v>0</v>
          </cell>
          <cell r="N277">
            <v>0</v>
          </cell>
        </row>
        <row r="277">
          <cell r="R277">
            <v>0.34</v>
          </cell>
          <cell r="S277">
            <v>0.255</v>
          </cell>
        </row>
        <row r="278">
          <cell r="C278">
            <v>45139</v>
          </cell>
          <cell r="D278">
            <v>0.0618129574605484</v>
          </cell>
          <cell r="E278">
            <v>5.7455</v>
          </cell>
          <cell r="F278">
            <v>0.17</v>
          </cell>
        </row>
        <row r="278">
          <cell r="K278">
            <v>1.05</v>
          </cell>
        </row>
        <row r="278">
          <cell r="M278">
            <v>0</v>
          </cell>
          <cell r="N278">
            <v>0</v>
          </cell>
        </row>
        <row r="278">
          <cell r="R278">
            <v>0.34</v>
          </cell>
          <cell r="S278">
            <v>0.255</v>
          </cell>
        </row>
        <row r="279">
          <cell r="C279">
            <v>45170</v>
          </cell>
          <cell r="D279">
            <v>0.0618163112760084</v>
          </cell>
          <cell r="E279">
            <v>5.7395</v>
          </cell>
          <cell r="F279">
            <v>0.17</v>
          </cell>
        </row>
        <row r="279">
          <cell r="K279">
            <v>0.75</v>
          </cell>
        </row>
        <row r="279">
          <cell r="M279">
            <v>0</v>
          </cell>
          <cell r="N279">
            <v>0</v>
          </cell>
        </row>
        <row r="279">
          <cell r="R279">
            <v>0.34</v>
          </cell>
          <cell r="S279">
            <v>0.255</v>
          </cell>
        </row>
        <row r="280">
          <cell r="C280">
            <v>45200</v>
          </cell>
          <cell r="D280">
            <v>0.0618195569038766</v>
          </cell>
          <cell r="E280">
            <v>5.7395</v>
          </cell>
          <cell r="F280">
            <v>0.17</v>
          </cell>
        </row>
        <row r="280">
          <cell r="K280">
            <v>0.45</v>
          </cell>
        </row>
        <row r="280">
          <cell r="M280">
            <v>0</v>
          </cell>
          <cell r="N280">
            <v>0</v>
          </cell>
        </row>
        <row r="280">
          <cell r="R280">
            <v>0.17</v>
          </cell>
          <cell r="S280">
            <v>0.17</v>
          </cell>
        </row>
        <row r="281">
          <cell r="C281">
            <v>45231</v>
          </cell>
          <cell r="D281">
            <v>0.0618229107193438</v>
          </cell>
          <cell r="E281">
            <v>5.8875</v>
          </cell>
          <cell r="F281">
            <v>0.17</v>
          </cell>
        </row>
        <row r="281">
          <cell r="K281">
            <v>0.45</v>
          </cell>
        </row>
        <row r="281">
          <cell r="M281">
            <v>0</v>
          </cell>
          <cell r="N281">
            <v>0</v>
          </cell>
        </row>
        <row r="281">
          <cell r="R281">
            <v>0.17</v>
          </cell>
          <cell r="S281">
            <v>0.17</v>
          </cell>
        </row>
        <row r="282">
          <cell r="C282">
            <v>45261</v>
          </cell>
          <cell r="D282">
            <v>0.0618261563472191</v>
          </cell>
          <cell r="E282">
            <v>6.0395</v>
          </cell>
          <cell r="F282">
            <v>0.17</v>
          </cell>
        </row>
        <row r="282">
          <cell r="K282">
            <v>0.4</v>
          </cell>
        </row>
        <row r="282">
          <cell r="M282">
            <v>0</v>
          </cell>
          <cell r="N282">
            <v>0</v>
          </cell>
        </row>
        <row r="282">
          <cell r="R282">
            <v>0.17</v>
          </cell>
          <cell r="S282">
            <v>0.17</v>
          </cell>
        </row>
        <row r="283">
          <cell r="C283">
            <v>45292</v>
          </cell>
          <cell r="D283">
            <v>0.0618295101626938</v>
          </cell>
          <cell r="E283">
            <v>6.117</v>
          </cell>
          <cell r="F283">
            <v>0.17</v>
          </cell>
        </row>
        <row r="283">
          <cell r="K283">
            <v>0</v>
          </cell>
        </row>
        <row r="283">
          <cell r="M283">
            <v>0</v>
          </cell>
          <cell r="N283">
            <v>0</v>
          </cell>
        </row>
        <row r="283">
          <cell r="R283">
            <v>0.17</v>
          </cell>
          <cell r="S283">
            <v>0.17</v>
          </cell>
        </row>
        <row r="284">
          <cell r="C284">
            <v>45323</v>
          </cell>
          <cell r="D284">
            <v>0.061832863978172</v>
          </cell>
          <cell r="E284">
            <v>6.03</v>
          </cell>
          <cell r="F284">
            <v>0.17</v>
          </cell>
        </row>
        <row r="284">
          <cell r="K284">
            <v>0</v>
          </cell>
        </row>
        <row r="284">
          <cell r="M284">
            <v>0</v>
          </cell>
          <cell r="N284">
            <v>0</v>
          </cell>
        </row>
        <row r="284">
          <cell r="R284">
            <v>0.17</v>
          </cell>
          <cell r="S284">
            <v>0.17</v>
          </cell>
        </row>
        <row r="285">
          <cell r="C285">
            <v>45352</v>
          </cell>
          <cell r="D285">
            <v>0.0618360014184618</v>
          </cell>
          <cell r="E285">
            <v>5.891</v>
          </cell>
          <cell r="F285">
            <v>0.17</v>
          </cell>
        </row>
        <row r="285">
          <cell r="K285">
            <v>0</v>
          </cell>
        </row>
        <row r="285">
          <cell r="M285">
            <v>0</v>
          </cell>
          <cell r="N285">
            <v>0</v>
          </cell>
        </row>
        <row r="285">
          <cell r="R285">
            <v>0.17</v>
          </cell>
          <cell r="S285">
            <v>0.17</v>
          </cell>
        </row>
        <row r="286">
          <cell r="C286">
            <v>45383</v>
          </cell>
          <cell r="D286">
            <v>0.0618393552339476</v>
          </cell>
          <cell r="E286">
            <v>5.737</v>
          </cell>
          <cell r="F286">
            <v>0.17</v>
          </cell>
        </row>
        <row r="286">
          <cell r="K286">
            <v>0</v>
          </cell>
        </row>
        <row r="286">
          <cell r="M286">
            <v>0</v>
          </cell>
          <cell r="N286">
            <v>0</v>
          </cell>
        </row>
        <row r="286">
          <cell r="R286">
            <v>0.17</v>
          </cell>
          <cell r="S286">
            <v>0.17</v>
          </cell>
        </row>
        <row r="287">
          <cell r="C287">
            <v>45413</v>
          </cell>
          <cell r="D287">
            <v>0.0618426008618407</v>
          </cell>
          <cell r="E287">
            <v>5.742</v>
          </cell>
          <cell r="F287">
            <v>0.17</v>
          </cell>
        </row>
        <row r="287">
          <cell r="K287">
            <v>0</v>
          </cell>
        </row>
        <row r="287">
          <cell r="M287">
            <v>0</v>
          </cell>
          <cell r="N287">
            <v>0</v>
          </cell>
        </row>
        <row r="287">
          <cell r="R287">
            <v>0.34</v>
          </cell>
          <cell r="S287">
            <v>0.255</v>
          </cell>
        </row>
        <row r="288">
          <cell r="C288">
            <v>45444</v>
          </cell>
          <cell r="D288">
            <v>0.0618459546773336</v>
          </cell>
          <cell r="E288">
            <v>5.78</v>
          </cell>
          <cell r="F288">
            <v>0.17</v>
          </cell>
        </row>
        <row r="288">
          <cell r="K288">
            <v>0</v>
          </cell>
        </row>
        <row r="288">
          <cell r="M288">
            <v>0</v>
          </cell>
          <cell r="N288">
            <v>0</v>
          </cell>
        </row>
        <row r="288">
          <cell r="R288">
            <v>0.34</v>
          </cell>
          <cell r="S288">
            <v>0.255</v>
          </cell>
        </row>
        <row r="289">
          <cell r="C289">
            <v>45474</v>
          </cell>
          <cell r="D289">
            <v>0.0618492003052333</v>
          </cell>
          <cell r="E289">
            <v>5.825</v>
          </cell>
          <cell r="F289">
            <v>0.17</v>
          </cell>
        </row>
        <row r="289">
          <cell r="K289">
            <v>0</v>
          </cell>
        </row>
        <row r="289">
          <cell r="M289">
            <v>0</v>
          </cell>
          <cell r="N289">
            <v>0</v>
          </cell>
        </row>
        <row r="289">
          <cell r="R289">
            <v>0.34</v>
          </cell>
          <cell r="S289">
            <v>0.255</v>
          </cell>
        </row>
        <row r="290">
          <cell r="C290">
            <v>45505</v>
          </cell>
          <cell r="D290">
            <v>0.0618525541207338</v>
          </cell>
          <cell r="E290">
            <v>5.863</v>
          </cell>
          <cell r="F290">
            <v>0.17</v>
          </cell>
        </row>
        <row r="290">
          <cell r="K290">
            <v>0</v>
          </cell>
        </row>
        <row r="290">
          <cell r="M290">
            <v>0</v>
          </cell>
          <cell r="N290">
            <v>0</v>
          </cell>
        </row>
        <row r="290">
          <cell r="R290">
            <v>0.34</v>
          </cell>
          <cell r="S290">
            <v>0.255</v>
          </cell>
        </row>
        <row r="291">
          <cell r="C291">
            <v>45536</v>
          </cell>
          <cell r="D291">
            <v>0.0618559079362377</v>
          </cell>
          <cell r="E291">
            <v>5.857</v>
          </cell>
          <cell r="F291">
            <v>0.17</v>
          </cell>
        </row>
        <row r="291">
          <cell r="K291">
            <v>0</v>
          </cell>
        </row>
        <row r="291">
          <cell r="R291">
            <v>0.34</v>
          </cell>
          <cell r="S291">
            <v>0.255</v>
          </cell>
        </row>
        <row r="292">
          <cell r="C292">
            <v>45566</v>
          </cell>
          <cell r="D292">
            <v>0.0618591535641491</v>
          </cell>
          <cell r="E292">
            <v>5.857</v>
          </cell>
          <cell r="F292">
            <v>0.17</v>
          </cell>
        </row>
        <row r="292">
          <cell r="K292">
            <v>0</v>
          </cell>
        </row>
        <row r="292">
          <cell r="R292">
            <v>0.17</v>
          </cell>
          <cell r="S292">
            <v>0.17</v>
          </cell>
        </row>
        <row r="293">
          <cell r="C293">
            <v>45597</v>
          </cell>
          <cell r="D293">
            <v>0.0618625073796606</v>
          </cell>
          <cell r="E293">
            <v>6.005</v>
          </cell>
          <cell r="F293">
            <v>0.17</v>
          </cell>
        </row>
        <row r="293">
          <cell r="K293">
            <v>0</v>
          </cell>
        </row>
        <row r="293">
          <cell r="R293">
            <v>0.17</v>
          </cell>
          <cell r="S293">
            <v>0.17</v>
          </cell>
        </row>
        <row r="294">
          <cell r="C294">
            <v>45627</v>
          </cell>
          <cell r="D294">
            <v>0.0618657530075781</v>
          </cell>
          <cell r="E294">
            <v>6.157</v>
          </cell>
          <cell r="F294">
            <v>0.17</v>
          </cell>
        </row>
        <row r="294">
          <cell r="K294">
            <v>0</v>
          </cell>
        </row>
        <row r="294">
          <cell r="R294">
            <v>0.17</v>
          </cell>
          <cell r="S294">
            <v>0.17</v>
          </cell>
        </row>
        <row r="295">
          <cell r="C295">
            <v>45658</v>
          </cell>
          <cell r="D295">
            <v>0.0618691068230968</v>
          </cell>
        </row>
        <row r="295">
          <cell r="K295">
            <v>0</v>
          </cell>
        </row>
        <row r="295">
          <cell r="R295">
            <v>0</v>
          </cell>
          <cell r="S295">
            <v>0</v>
          </cell>
        </row>
        <row r="296">
          <cell r="C296">
            <v>45689</v>
          </cell>
          <cell r="D296">
            <v>0.0618724606386194</v>
          </cell>
        </row>
        <row r="296">
          <cell r="K296">
            <v>0</v>
          </cell>
        </row>
        <row r="296">
          <cell r="R296">
            <v>0</v>
          </cell>
          <cell r="S296">
            <v>0</v>
          </cell>
        </row>
        <row r="297">
          <cell r="C297">
            <v>45717</v>
          </cell>
          <cell r="D297">
            <v>0.0618754898913525</v>
          </cell>
        </row>
        <row r="297">
          <cell r="K297">
            <v>0</v>
          </cell>
        </row>
        <row r="297">
          <cell r="R297">
            <v>0</v>
          </cell>
          <cell r="S297">
            <v>0</v>
          </cell>
        </row>
        <row r="298">
          <cell r="C298">
            <v>45748</v>
          </cell>
          <cell r="D298">
            <v>0.0618788437068822</v>
          </cell>
        </row>
        <row r="298">
          <cell r="K298">
            <v>0</v>
          </cell>
        </row>
        <row r="298">
          <cell r="R298">
            <v>0</v>
          </cell>
          <cell r="S298">
            <v>0</v>
          </cell>
        </row>
        <row r="299">
          <cell r="C299">
            <v>45778</v>
          </cell>
          <cell r="D299">
            <v>0.061882089334818</v>
          </cell>
        </row>
        <row r="299">
          <cell r="K299">
            <v>0</v>
          </cell>
        </row>
        <row r="300">
          <cell r="C300">
            <v>45809</v>
          </cell>
          <cell r="D300">
            <v>0.0618854431503548</v>
          </cell>
        </row>
        <row r="300">
          <cell r="K300">
            <v>0</v>
          </cell>
        </row>
        <row r="301">
          <cell r="C301">
            <v>45839</v>
          </cell>
          <cell r="D301">
            <v>0.0618886887782972</v>
          </cell>
        </row>
        <row r="301">
          <cell r="K301">
            <v>0</v>
          </cell>
        </row>
        <row r="302">
          <cell r="C302">
            <v>45870</v>
          </cell>
          <cell r="D302">
            <v>0.0618920425938416</v>
          </cell>
        </row>
        <row r="302">
          <cell r="K302">
            <v>0</v>
          </cell>
        </row>
        <row r="303">
          <cell r="C303">
            <v>45901</v>
          </cell>
          <cell r="D303">
            <v>0.0618953964093896</v>
          </cell>
        </row>
        <row r="303">
          <cell r="K303">
            <v>0</v>
          </cell>
        </row>
        <row r="304">
          <cell r="C304">
            <v>45931</v>
          </cell>
          <cell r="D304">
            <v>0.0618986420373431</v>
          </cell>
        </row>
        <row r="304">
          <cell r="K304">
            <v>0</v>
          </cell>
        </row>
        <row r="305">
          <cell r="C305">
            <v>45962</v>
          </cell>
          <cell r="D305">
            <v>0.0619019958528986</v>
          </cell>
        </row>
        <row r="305">
          <cell r="K305">
            <v>0</v>
          </cell>
        </row>
        <row r="306">
          <cell r="C306">
            <v>45992</v>
          </cell>
          <cell r="D306">
            <v>0.0619052414808587</v>
          </cell>
        </row>
        <row r="306">
          <cell r="K306">
            <v>0</v>
          </cell>
        </row>
        <row r="307">
          <cell r="C307">
            <v>46023</v>
          </cell>
          <cell r="D307">
            <v>0.0619085952964213</v>
          </cell>
        </row>
        <row r="307">
          <cell r="K307">
            <v>0</v>
          </cell>
        </row>
        <row r="308">
          <cell r="C308">
            <v>46054</v>
          </cell>
          <cell r="D308">
            <v>0.0619119491119879</v>
          </cell>
        </row>
        <row r="308">
          <cell r="K308">
            <v>0</v>
          </cell>
        </row>
        <row r="309">
          <cell r="C309">
            <v>46082</v>
          </cell>
          <cell r="D309">
            <v>0.0619149783647614</v>
          </cell>
        </row>
        <row r="309">
          <cell r="K309">
            <v>0</v>
          </cell>
        </row>
        <row r="310">
          <cell r="C310">
            <v>46113</v>
          </cell>
          <cell r="D310">
            <v>0.0619183321803347</v>
          </cell>
        </row>
        <row r="310">
          <cell r="K310">
            <v>0</v>
          </cell>
        </row>
        <row r="311">
          <cell r="C311">
            <v>46143</v>
          </cell>
          <cell r="D311">
            <v>0.0619215778083126</v>
          </cell>
        </row>
        <row r="311">
          <cell r="K311">
            <v>0</v>
          </cell>
        </row>
        <row r="312">
          <cell r="C312">
            <v>46174</v>
          </cell>
          <cell r="D312">
            <v>0.0619249316238939</v>
          </cell>
        </row>
        <row r="312">
          <cell r="K312">
            <v>0</v>
          </cell>
        </row>
        <row r="313">
          <cell r="C313">
            <v>46204</v>
          </cell>
          <cell r="D313">
            <v>0.0619281772518789</v>
          </cell>
        </row>
        <row r="313">
          <cell r="K313">
            <v>0</v>
          </cell>
        </row>
        <row r="314">
          <cell r="C314">
            <v>46235</v>
          </cell>
          <cell r="D314">
            <v>0.0619315310674673</v>
          </cell>
        </row>
        <row r="314">
          <cell r="K314">
            <v>0</v>
          </cell>
        </row>
        <row r="315">
          <cell r="C315">
            <v>46266</v>
          </cell>
          <cell r="D315">
            <v>0.0619348848830592</v>
          </cell>
        </row>
        <row r="315">
          <cell r="K315">
            <v>0</v>
          </cell>
        </row>
        <row r="316">
          <cell r="C316">
            <v>46296</v>
          </cell>
          <cell r="D316">
            <v>0.0619381305110549</v>
          </cell>
        </row>
        <row r="316">
          <cell r="K316">
            <v>0</v>
          </cell>
        </row>
        <row r="317">
          <cell r="C317">
            <v>46327</v>
          </cell>
          <cell r="D317">
            <v>0.0619414843266544</v>
          </cell>
        </row>
        <row r="317">
          <cell r="K317">
            <v>0</v>
          </cell>
        </row>
        <row r="318">
          <cell r="C318">
            <v>46357</v>
          </cell>
          <cell r="D318">
            <v>0.0619447299546576</v>
          </cell>
        </row>
        <row r="318">
          <cell r="K318">
            <v>0</v>
          </cell>
        </row>
        <row r="319">
          <cell r="C319">
            <v>46388</v>
          </cell>
          <cell r="D319">
            <v>0.0619480837702642</v>
          </cell>
        </row>
        <row r="319">
          <cell r="K319">
            <v>0</v>
          </cell>
        </row>
        <row r="320">
          <cell r="C320">
            <v>46419</v>
          </cell>
          <cell r="D320">
            <v>0.0619514375858747</v>
          </cell>
        </row>
        <row r="320">
          <cell r="K320">
            <v>0</v>
          </cell>
        </row>
        <row r="321">
          <cell r="C321">
            <v>46447</v>
          </cell>
          <cell r="D321">
            <v>0.0619544668386873</v>
          </cell>
        </row>
        <row r="321">
          <cell r="K321">
            <v>0</v>
          </cell>
        </row>
        <row r="322">
          <cell r="C322">
            <v>46478</v>
          </cell>
          <cell r="D322">
            <v>0.061957820654305</v>
          </cell>
        </row>
        <row r="322">
          <cell r="K322">
            <v>0</v>
          </cell>
        </row>
        <row r="323">
          <cell r="C323">
            <v>46508</v>
          </cell>
          <cell r="D323">
            <v>0.0619610662823251</v>
          </cell>
        </row>
        <row r="323">
          <cell r="K323">
            <v>0</v>
          </cell>
        </row>
        <row r="324">
          <cell r="C324">
            <v>46539</v>
          </cell>
          <cell r="D324">
            <v>0.0619644200979503</v>
          </cell>
        </row>
        <row r="324">
          <cell r="K324">
            <v>0</v>
          </cell>
        </row>
        <row r="325">
          <cell r="C325">
            <v>46569</v>
          </cell>
          <cell r="D325">
            <v>0.061967665725978</v>
          </cell>
        </row>
        <row r="325">
          <cell r="K325">
            <v>0</v>
          </cell>
        </row>
        <row r="326">
          <cell r="C326">
            <v>46600</v>
          </cell>
          <cell r="D326">
            <v>0.0619710195416103</v>
          </cell>
        </row>
        <row r="326">
          <cell r="K326">
            <v>0</v>
          </cell>
        </row>
        <row r="327">
          <cell r="C327">
            <v>46631</v>
          </cell>
          <cell r="D327">
            <v>0.0619743733572462</v>
          </cell>
        </row>
        <row r="327">
          <cell r="K327">
            <v>0</v>
          </cell>
        </row>
        <row r="328">
          <cell r="C328">
            <v>46661</v>
          </cell>
          <cell r="D328">
            <v>0.0619776189852845</v>
          </cell>
        </row>
        <row r="328">
          <cell r="K328">
            <v>0</v>
          </cell>
        </row>
        <row r="329">
          <cell r="C329">
            <v>46692</v>
          </cell>
          <cell r="D329">
            <v>0.061980972800928</v>
          </cell>
        </row>
        <row r="329">
          <cell r="K329">
            <v>0</v>
          </cell>
        </row>
        <row r="330">
          <cell r="C330">
            <v>46722</v>
          </cell>
          <cell r="D330">
            <v>0.0619842184289734</v>
          </cell>
        </row>
        <row r="330">
          <cell r="K330">
            <v>0</v>
          </cell>
        </row>
        <row r="331">
          <cell r="C331">
            <v>46753</v>
          </cell>
          <cell r="D331">
            <v>0.0619875722446244</v>
          </cell>
        </row>
        <row r="331">
          <cell r="K331">
            <v>0</v>
          </cell>
        </row>
        <row r="332">
          <cell r="C332">
            <v>46784</v>
          </cell>
          <cell r="D332">
            <v>0.0619909260602789</v>
          </cell>
        </row>
        <row r="332">
          <cell r="K332">
            <v>0</v>
          </cell>
        </row>
        <row r="333">
          <cell r="C333">
            <v>46813</v>
          </cell>
          <cell r="D333">
            <v>0.061994063500733</v>
          </cell>
        </row>
        <row r="333">
          <cell r="K333">
            <v>0</v>
          </cell>
        </row>
        <row r="334">
          <cell r="C334">
            <v>46844</v>
          </cell>
          <cell r="D334">
            <v>0.0619974173163946</v>
          </cell>
        </row>
        <row r="334">
          <cell r="K334">
            <v>0</v>
          </cell>
        </row>
        <row r="335">
          <cell r="C335">
            <v>46874</v>
          </cell>
          <cell r="D335">
            <v>0.0620006629444578</v>
          </cell>
        </row>
        <row r="335">
          <cell r="K335">
            <v>0</v>
          </cell>
        </row>
        <row r="336">
          <cell r="C336">
            <v>46905</v>
          </cell>
          <cell r="D336">
            <v>0.0620040167601266</v>
          </cell>
        </row>
        <row r="336">
          <cell r="K336">
            <v>0</v>
          </cell>
        </row>
        <row r="337">
          <cell r="C337">
            <v>46935</v>
          </cell>
          <cell r="D337">
            <v>0.0620072623881973</v>
          </cell>
        </row>
        <row r="337">
          <cell r="K337">
            <v>0</v>
          </cell>
        </row>
        <row r="338">
          <cell r="C338">
            <v>46966</v>
          </cell>
          <cell r="D338">
            <v>0.0620106162038736</v>
          </cell>
        </row>
        <row r="338">
          <cell r="K338">
            <v>0</v>
          </cell>
        </row>
        <row r="339">
          <cell r="C339">
            <v>46997</v>
          </cell>
          <cell r="D339">
            <v>0.0620139700195539</v>
          </cell>
        </row>
        <row r="339">
          <cell r="K339">
            <v>0</v>
          </cell>
        </row>
        <row r="340">
          <cell r="C340">
            <v>47027</v>
          </cell>
          <cell r="D340">
            <v>0.0620172156476344</v>
          </cell>
        </row>
        <row r="340">
          <cell r="K340">
            <v>0</v>
          </cell>
        </row>
        <row r="341">
          <cell r="C341">
            <v>47058</v>
          </cell>
          <cell r="D341">
            <v>0.0620205694633218</v>
          </cell>
        </row>
        <row r="341">
          <cell r="K341">
            <v>0</v>
          </cell>
        </row>
        <row r="342">
          <cell r="C342">
            <v>47088</v>
          </cell>
          <cell r="D342">
            <v>0.0620238150914103</v>
          </cell>
        </row>
        <row r="342">
          <cell r="K342">
            <v>0</v>
          </cell>
        </row>
        <row r="343">
          <cell r="C343">
            <v>47119</v>
          </cell>
          <cell r="D343">
            <v>0.0620271689071052</v>
          </cell>
        </row>
        <row r="343">
          <cell r="K343">
            <v>0</v>
          </cell>
        </row>
        <row r="344">
          <cell r="C344">
            <v>47150</v>
          </cell>
          <cell r="D344">
            <v>0.0620305227228037</v>
          </cell>
        </row>
        <row r="344">
          <cell r="K344">
            <v>0</v>
          </cell>
        </row>
        <row r="345">
          <cell r="C345">
            <v>47178</v>
          </cell>
          <cell r="D345">
            <v>0.0620335519756958</v>
          </cell>
        </row>
        <row r="345">
          <cell r="K345">
            <v>0</v>
          </cell>
        </row>
        <row r="346">
          <cell r="C346">
            <v>47209</v>
          </cell>
          <cell r="D346">
            <v>0.0620369057914014</v>
          </cell>
        </row>
        <row r="346">
          <cell r="K346">
            <v>0</v>
          </cell>
        </row>
        <row r="347">
          <cell r="C347">
            <v>47239</v>
          </cell>
          <cell r="D347">
            <v>0.0620401514195072</v>
          </cell>
        </row>
        <row r="347">
          <cell r="K347">
            <v>0</v>
          </cell>
        </row>
        <row r="348">
          <cell r="C348">
            <v>47270</v>
          </cell>
          <cell r="D348">
            <v>0.0620435052352204</v>
          </cell>
        </row>
        <row r="348">
          <cell r="K348">
            <v>0</v>
          </cell>
        </row>
        <row r="349">
          <cell r="C349">
            <v>47300</v>
          </cell>
          <cell r="D349">
            <v>0.0620467508633329</v>
          </cell>
        </row>
        <row r="349">
          <cell r="K349">
            <v>0</v>
          </cell>
        </row>
        <row r="350">
          <cell r="C350">
            <v>47331</v>
          </cell>
          <cell r="D350">
            <v>0.0620501046790531</v>
          </cell>
        </row>
        <row r="350">
          <cell r="K350">
            <v>0</v>
          </cell>
        </row>
        <row r="351">
          <cell r="C351">
            <v>47362</v>
          </cell>
          <cell r="D351">
            <v>0.0620534584947774</v>
          </cell>
        </row>
        <row r="351">
          <cell r="K351">
            <v>0</v>
          </cell>
        </row>
        <row r="352">
          <cell r="C352">
            <v>47392</v>
          </cell>
          <cell r="D352">
            <v>0.062056704122901</v>
          </cell>
        </row>
        <row r="352">
          <cell r="K352">
            <v>0</v>
          </cell>
        </row>
        <row r="353">
          <cell r="C353">
            <v>47423</v>
          </cell>
          <cell r="D353">
            <v>0.0620600579386323</v>
          </cell>
        </row>
        <row r="353">
          <cell r="K353">
            <v>0</v>
          </cell>
        </row>
        <row r="354">
          <cell r="C354">
            <v>47453</v>
          </cell>
          <cell r="D354">
            <v>0.062063303566763</v>
          </cell>
        </row>
        <row r="354">
          <cell r="K354">
            <v>0</v>
          </cell>
        </row>
        <row r="355">
          <cell r="C355">
            <v>47484</v>
          </cell>
          <cell r="D355">
            <v>0.0620666573825015</v>
          </cell>
        </row>
        <row r="356">
          <cell r="C356">
            <v>47515</v>
          </cell>
          <cell r="D356">
            <v>0.062070011198244</v>
          </cell>
        </row>
        <row r="357">
          <cell r="C357">
            <v>47543</v>
          </cell>
          <cell r="D357">
            <v>0.062073040451176</v>
          </cell>
        </row>
        <row r="358">
          <cell r="C358">
            <v>47574</v>
          </cell>
          <cell r="D358">
            <v>0.0620763942669256</v>
          </cell>
        </row>
        <row r="359">
          <cell r="C359">
            <v>47604</v>
          </cell>
          <cell r="D359">
            <v>0.062079639895074</v>
          </cell>
        </row>
        <row r="360">
          <cell r="C360">
            <v>47635</v>
          </cell>
          <cell r="D360">
            <v>0.0620829937108312</v>
          </cell>
        </row>
        <row r="361">
          <cell r="C361">
            <v>47665</v>
          </cell>
          <cell r="D361">
            <v>0.0620862393389863</v>
          </cell>
        </row>
        <row r="362">
          <cell r="C362">
            <v>47696</v>
          </cell>
          <cell r="D362">
            <v>0.0620895931547505</v>
          </cell>
        </row>
        <row r="363">
          <cell r="C363">
            <v>47727</v>
          </cell>
          <cell r="D363">
            <v>0.0620929469705183</v>
          </cell>
        </row>
        <row r="364">
          <cell r="C364">
            <v>47757</v>
          </cell>
          <cell r="D364">
            <v>0.0620961925986849</v>
          </cell>
        </row>
        <row r="365">
          <cell r="C365">
            <v>47788</v>
          </cell>
          <cell r="D365">
            <v>0.0620995464144602</v>
          </cell>
        </row>
        <row r="366">
          <cell r="C366">
            <v>47818</v>
          </cell>
          <cell r="D366">
            <v>0.0621027920426331</v>
          </cell>
        </row>
        <row r="367">
          <cell r="C367">
            <v>47849</v>
          </cell>
          <cell r="D367">
            <v>0.062106145858416</v>
          </cell>
        </row>
        <row r="368">
          <cell r="C368">
            <v>47880</v>
          </cell>
          <cell r="D368">
            <v>0.0621094996742024</v>
          </cell>
        </row>
        <row r="369">
          <cell r="C369">
            <v>47908</v>
          </cell>
          <cell r="D369">
            <v>0.0621125289271744</v>
          </cell>
        </row>
        <row r="370">
          <cell r="C370">
            <v>47939</v>
          </cell>
          <cell r="D370">
            <v>0.0621158827429675</v>
          </cell>
        </row>
        <row r="371">
          <cell r="C371">
            <v>47969</v>
          </cell>
          <cell r="D371">
            <v>0.0621191283711586</v>
          </cell>
        </row>
        <row r="372">
          <cell r="C372">
            <v>48000</v>
          </cell>
          <cell r="D372">
            <v>0.0621224821869593</v>
          </cell>
        </row>
        <row r="373">
          <cell r="C373">
            <v>48030</v>
          </cell>
          <cell r="D373">
            <v>0.062125727815157</v>
          </cell>
        </row>
        <row r="374">
          <cell r="C374">
            <v>48061</v>
          </cell>
          <cell r="D374">
            <v>0.0621290816309656</v>
          </cell>
        </row>
        <row r="375">
          <cell r="C375">
            <v>48092</v>
          </cell>
          <cell r="D375">
            <v>0.0621324354467778</v>
          </cell>
        </row>
        <row r="376">
          <cell r="C376">
            <v>48122</v>
          </cell>
          <cell r="D376">
            <v>0.0621356810749862</v>
          </cell>
        </row>
        <row r="377">
          <cell r="C377">
            <v>48153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9.56"/>
    <col collapsed="false" customWidth="true" hidden="false" outlineLevel="0" max="3" min="3" style="0" width="10.71"/>
    <col collapsed="false" customWidth="true" hidden="false" outlineLevel="0" max="4" min="4" style="0" width="9.99"/>
    <col collapsed="false" customWidth="true" hidden="false" outlineLevel="0" max="5" min="5" style="0" width="32.56"/>
    <col collapsed="false" customWidth="true" hidden="false" outlineLevel="0" max="6" min="6" style="0" width="19.7"/>
    <col collapsed="false" customWidth="true" hidden="false" outlineLevel="0" max="7" min="7" style="0" width="26.13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1" t="s">
        <v>0</v>
      </c>
      <c r="C1" s="1" t="s">
        <v>1</v>
      </c>
      <c r="E1" s="1" t="s">
        <v>2</v>
      </c>
      <c r="F1" s="1" t="s">
        <v>3</v>
      </c>
    </row>
    <row r="2" customFormat="false" ht="12.75" hidden="false" customHeight="false" outlineLevel="0" collapsed="false">
      <c r="A2" s="0" t="s">
        <v>4</v>
      </c>
      <c r="C2" s="0" t="s">
        <v>5</v>
      </c>
      <c r="E2" s="0" t="s">
        <v>6</v>
      </c>
      <c r="F2" s="0" t="s">
        <v>7</v>
      </c>
    </row>
    <row r="4" customFormat="false" ht="12.75" hidden="false" customHeight="false" outlineLevel="0" collapsed="false">
      <c r="A4" s="0" t="s">
        <v>8</v>
      </c>
    </row>
    <row r="5" customFormat="false" ht="12.75" hidden="false" customHeight="false" outlineLevel="0" collapsed="false">
      <c r="A5" s="0" t="s">
        <v>9</v>
      </c>
    </row>
    <row r="8" customFormat="false" ht="12.75" hidden="false" customHeight="false" outlineLevel="0" collapsed="false">
      <c r="A8" s="2" t="s">
        <v>10</v>
      </c>
      <c r="B8" s="2" t="s">
        <v>11</v>
      </c>
      <c r="C8" s="2"/>
      <c r="D8" s="2" t="s">
        <v>12</v>
      </c>
      <c r="E8" s="2"/>
      <c r="F8" s="2"/>
      <c r="G8" s="2"/>
      <c r="H8" s="2"/>
    </row>
    <row r="9" customFormat="false" ht="12.75" hidden="false" customHeight="false" outlineLevel="0" collapsed="false">
      <c r="A9" s="3" t="s">
        <v>13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18</v>
      </c>
      <c r="H9" s="3" t="s">
        <v>19</v>
      </c>
    </row>
    <row r="10" customFormat="false" ht="25.5" hidden="false" customHeight="false" outlineLevel="0" collapsed="false">
      <c r="A10" s="4" t="n">
        <v>37196</v>
      </c>
      <c r="B10" s="4" t="n">
        <v>37346</v>
      </c>
      <c r="C10" s="5" t="s">
        <v>20</v>
      </c>
      <c r="D10" s="6" t="n">
        <v>10000</v>
      </c>
      <c r="E10" s="7" t="s">
        <v>21</v>
      </c>
      <c r="F10" s="7" t="s">
        <v>22</v>
      </c>
      <c r="G10" s="8" t="n">
        <v>0.8</v>
      </c>
      <c r="H10" s="9" t="n">
        <v>0.45</v>
      </c>
    </row>
    <row r="11" customFormat="false" ht="12.75" hidden="false" customHeight="false" outlineLevel="0" collapsed="false">
      <c r="A11" s="10"/>
      <c r="B11" s="10"/>
    </row>
  </sheetData>
  <printOptions headings="false" gridLines="false" gridLinesSet="true" horizontalCentered="false" verticalCentered="false"/>
  <pageMargins left="0.209722222222222" right="0.3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&amp;L&amp;D,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5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18.56"/>
    <col collapsed="false" customWidth="true" hidden="false" outlineLevel="0" max="3" min="3" style="0" width="14.7"/>
    <col collapsed="false" customWidth="true" hidden="false" outlineLevel="0" max="4" min="4" style="0" width="16.42"/>
    <col collapsed="false" customWidth="true" hidden="false" outlineLevel="0" max="5" min="5" style="0" width="17.99"/>
    <col collapsed="false" customWidth="true" hidden="false" outlineLevel="0" max="6" min="6" style="0" width="11.99"/>
    <col collapsed="false" customWidth="true" hidden="false" outlineLevel="0" max="7" min="7" style="0" width="8.28"/>
    <col collapsed="false" customWidth="true" hidden="false" outlineLevel="0" max="9" min="8" style="0" width="14.56"/>
    <col collapsed="false" customWidth="true" hidden="false" outlineLevel="0" max="10" min="10" style="0" width="17.42"/>
  </cols>
  <sheetData>
    <row r="1" customFormat="false" ht="15.75" hidden="false" customHeight="false" outlineLevel="0" collapsed="false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3" customFormat="false" ht="12.75" hidden="false" customHeight="false" outlineLevel="0" collapsed="false">
      <c r="A3" s="13" t="s">
        <v>24</v>
      </c>
      <c r="B3" s="14" t="n">
        <v>38139</v>
      </c>
    </row>
    <row r="4" customFormat="false" ht="12.75" hidden="false" customHeight="false" outlineLevel="0" collapsed="false">
      <c r="A4" s="13" t="s">
        <v>25</v>
      </c>
      <c r="B4" s="14" t="n">
        <v>41760</v>
      </c>
    </row>
    <row r="5" customFormat="false" ht="12.75" hidden="false" customHeight="false" outlineLevel="0" collapsed="false">
      <c r="A5" s="13" t="s">
        <v>14</v>
      </c>
      <c r="B5" s="5" t="str">
        <f aca="false">'Spread Option'!E3</f>
        <v>10 Y - 0 M</v>
      </c>
    </row>
    <row r="6" customFormat="false" ht="12.75" hidden="false" customHeight="false" outlineLevel="0" collapsed="false">
      <c r="A6" s="13" t="s">
        <v>26</v>
      </c>
      <c r="B6" s="15" t="n">
        <f aca="false">[1]!today</f>
        <v>37187</v>
      </c>
    </row>
    <row r="7" customFormat="false" ht="12.75" hidden="false" customHeight="false" outlineLevel="0" collapsed="false">
      <c r="A7" s="13"/>
    </row>
    <row r="8" customFormat="false" ht="12.75" hidden="false" customHeight="false" outlineLevel="0" collapsed="false">
      <c r="A8" s="13" t="s">
        <v>27</v>
      </c>
      <c r="B8" s="16" t="n">
        <v>50000</v>
      </c>
    </row>
    <row r="9" customFormat="false" ht="12.75" hidden="false" customHeight="false" outlineLevel="0" collapsed="false">
      <c r="A9" s="13" t="s">
        <v>28</v>
      </c>
      <c r="B9" s="17" t="n">
        <v>1</v>
      </c>
    </row>
    <row r="10" customFormat="false" ht="12.75" hidden="false" customHeight="false" outlineLevel="0" collapsed="false">
      <c r="A10" s="13" t="s">
        <v>29</v>
      </c>
      <c r="B10" s="17" t="n">
        <v>1</v>
      </c>
    </row>
    <row r="11" customFormat="false" ht="12.75" hidden="false" customHeight="false" outlineLevel="0" collapsed="false">
      <c r="A11" s="18" t="s">
        <v>30</v>
      </c>
      <c r="B11" s="17"/>
    </row>
    <row r="12" customFormat="false" ht="12.75" hidden="false" customHeight="false" outlineLevel="0" collapsed="false">
      <c r="A12" s="18" t="s">
        <v>31</v>
      </c>
      <c r="B12" s="17"/>
    </row>
    <row r="13" customFormat="false" ht="12.75" hidden="false" customHeight="false" outlineLevel="0" collapsed="false">
      <c r="A13" s="13" t="s">
        <v>32</v>
      </c>
      <c r="B13" s="17" t="n">
        <v>2</v>
      </c>
    </row>
    <row r="14" customFormat="false" ht="12.75" hidden="false" customHeight="false" outlineLevel="0" collapsed="false">
      <c r="A14" s="13" t="s">
        <v>33</v>
      </c>
      <c r="B14" s="17" t="n">
        <v>0</v>
      </c>
    </row>
    <row r="15" customFormat="false" ht="12.75" hidden="false" customHeight="false" outlineLevel="0" collapsed="false">
      <c r="A15" s="19" t="s">
        <v>34</v>
      </c>
      <c r="B15" s="20" t="n">
        <v>0.06</v>
      </c>
      <c r="C15" s="14"/>
      <c r="E15" s="17"/>
    </row>
    <row r="16" customFormat="false" ht="12.75" hidden="false" customHeight="false" outlineLevel="0" collapsed="false">
      <c r="A16" s="19" t="s">
        <v>35</v>
      </c>
      <c r="B16" s="20" t="n">
        <v>-0.055</v>
      </c>
      <c r="C16" s="14"/>
      <c r="E16" s="17"/>
    </row>
    <row r="17" customFormat="false" ht="12.75" hidden="false" customHeight="false" outlineLevel="0" collapsed="false">
      <c r="A17" s="14"/>
      <c r="B17" s="14"/>
      <c r="C17" s="14"/>
    </row>
    <row r="18" customFormat="false" ht="12.75" hidden="false" customHeight="false" outlineLevel="0" collapsed="false">
      <c r="A18" s="1" t="s">
        <v>36</v>
      </c>
      <c r="B18" s="21"/>
      <c r="C18" s="14"/>
      <c r="D18" s="1" t="s">
        <v>37</v>
      </c>
      <c r="F18" s="22" t="s">
        <v>38</v>
      </c>
    </row>
    <row r="19" customFormat="false" ht="12.75" hidden="false" customHeight="false" outlineLevel="0" collapsed="false">
      <c r="A19" s="0" t="s">
        <v>39</v>
      </c>
      <c r="B19" s="17" t="s">
        <v>40</v>
      </c>
      <c r="C19" s="14"/>
      <c r="D19" s="0" t="s">
        <v>39</v>
      </c>
      <c r="E19" s="17" t="s">
        <v>41</v>
      </c>
      <c r="F19" s="23" t="n">
        <v>0.75</v>
      </c>
      <c r="G19" s="24" t="s">
        <v>42</v>
      </c>
    </row>
    <row r="20" customFormat="false" ht="12.75" hidden="false" customHeight="false" outlineLevel="0" collapsed="false">
      <c r="A20" s="0" t="s">
        <v>43</v>
      </c>
      <c r="B20" s="17" t="s">
        <v>44</v>
      </c>
      <c r="C20" s="14"/>
      <c r="D20" s="0" t="s">
        <v>43</v>
      </c>
      <c r="E20" s="17" t="s">
        <v>45</v>
      </c>
      <c r="F20" s="23" t="n">
        <v>0.75</v>
      </c>
      <c r="G20" s="24" t="s">
        <v>46</v>
      </c>
    </row>
    <row r="21" customFormat="false" ht="12.75" hidden="false" customHeight="false" outlineLevel="0" collapsed="false">
      <c r="A21" s="0" t="s">
        <v>47</v>
      </c>
      <c r="B21" s="17"/>
      <c r="C21" s="14"/>
      <c r="D21" s="0" t="s">
        <v>47</v>
      </c>
      <c r="E21" s="17"/>
    </row>
    <row r="22" customFormat="false" ht="12.75" hidden="false" customHeight="false" outlineLevel="0" collapsed="false">
      <c r="A22" s="25" t="s">
        <v>48</v>
      </c>
      <c r="B22" s="17" t="n">
        <v>0</v>
      </c>
      <c r="C22" s="14"/>
      <c r="D22" s="26" t="s">
        <v>48</v>
      </c>
      <c r="E22" s="17" t="n">
        <v>0</v>
      </c>
    </row>
    <row r="23" customFormat="false" ht="12.75" hidden="false" customHeight="false" outlineLevel="0" collapsed="false">
      <c r="A23" s="25" t="s">
        <v>49</v>
      </c>
      <c r="B23" s="17" t="n">
        <v>0</v>
      </c>
      <c r="C23" s="14"/>
      <c r="D23" s="25" t="s">
        <v>49</v>
      </c>
      <c r="E23" s="17" t="n">
        <v>0</v>
      </c>
    </row>
    <row r="24" customFormat="false" ht="12.75" hidden="false" customHeight="false" outlineLevel="0" collapsed="false">
      <c r="A24" s="25"/>
      <c r="B24" s="17"/>
      <c r="C24" s="14"/>
      <c r="D24" s="25"/>
    </row>
    <row r="25" customFormat="false" ht="13.5" hidden="false" customHeight="false" outlineLevel="0" collapsed="false"/>
    <row r="26" customFormat="false" ht="16.5" hidden="false" customHeight="false" outlineLevel="0" collapsed="false">
      <c r="A26" s="27" t="s">
        <v>50</v>
      </c>
      <c r="B26" s="27"/>
      <c r="C26" s="27"/>
      <c r="D26" s="28"/>
    </row>
    <row r="27" customFormat="false" ht="12.75" hidden="false" customHeight="false" outlineLevel="0" collapsed="false">
      <c r="A27" s="2" t="s">
        <v>51</v>
      </c>
      <c r="B27" s="2" t="s">
        <v>52</v>
      </c>
      <c r="C27" s="29" t="s">
        <v>53</v>
      </c>
    </row>
    <row r="28" customFormat="false" ht="12.75" hidden="false" customHeight="false" outlineLevel="0" collapsed="false">
      <c r="A28" s="2" t="s">
        <v>54</v>
      </c>
      <c r="B28" s="2" t="s">
        <v>55</v>
      </c>
      <c r="C28" s="29" t="s">
        <v>52</v>
      </c>
      <c r="E28" s="24"/>
    </row>
    <row r="29" customFormat="false" ht="12.75" hidden="false" customHeight="false" outlineLevel="0" collapsed="false">
      <c r="A29" s="30" t="s">
        <v>56</v>
      </c>
      <c r="B29" s="30" t="s">
        <v>57</v>
      </c>
      <c r="C29" s="31" t="s">
        <v>57</v>
      </c>
      <c r="E29" s="22"/>
      <c r="G29" s="32"/>
      <c r="H29" s="32"/>
      <c r="I29" s="32"/>
    </row>
    <row r="30" customFormat="false" ht="12.75" hidden="false" customHeight="false" outlineLevel="0" collapsed="false">
      <c r="A30" s="33" t="e">
        <f aca="false">'Spread Option'!AK8*'Spread Option'!D8</f>
        <v>#VALUE!</v>
      </c>
      <c r="B30" s="33" t="e">
        <f aca="false">C30-A30</f>
        <v>#VALUE!</v>
      </c>
      <c r="C30" s="34" t="e">
        <f aca="false">'Spread Option'!AR8</f>
        <v>#NAME?</v>
      </c>
      <c r="E30" s="35"/>
      <c r="G30" s="32"/>
      <c r="H30" s="32"/>
      <c r="I30" s="32"/>
    </row>
    <row r="31" customFormat="false" ht="12.75" hidden="false" customHeight="false" outlineLevel="0" collapsed="false">
      <c r="A31" s="36"/>
      <c r="B31" s="32"/>
      <c r="C31" s="37"/>
      <c r="E31" s="38"/>
      <c r="G31" s="32"/>
      <c r="H31" s="32"/>
      <c r="I31" s="32"/>
    </row>
    <row r="32" customFormat="false" ht="13.5" hidden="false" customHeight="false" outlineLevel="0" collapsed="false">
      <c r="A32" s="39" t="e">
        <f aca="false">A30/'Spread Option'!C8</f>
        <v>#VALUE!</v>
      </c>
      <c r="B32" s="39" t="e">
        <f aca="false">B30/'Spread Option'!C8</f>
        <v>#VALUE!</v>
      </c>
      <c r="C32" s="40" t="e">
        <f aca="false">C30/'Spread Option'!C8</f>
        <v>#NAME?</v>
      </c>
      <c r="E32" s="41"/>
      <c r="G32" s="32"/>
      <c r="H32" s="32"/>
      <c r="I32" s="32"/>
    </row>
    <row r="33" customFormat="false" ht="12.75" hidden="false" customHeight="false" outlineLevel="0" collapsed="false">
      <c r="C33" s="21"/>
    </row>
    <row r="34" customFormat="false" ht="12.75" hidden="false" customHeight="false" outlineLevel="0" collapsed="false">
      <c r="C34" s="21"/>
    </row>
    <row r="35" customFormat="false" ht="12.75" hidden="false" customHeight="false" outlineLevel="0" collapsed="false">
      <c r="C35" s="21"/>
    </row>
  </sheetData>
  <mergeCells count="1">
    <mergeCell ref="A26:C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&amp;RExisting Deal in Transport Model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6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Q8" activeCellId="0" sqref="AQ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12.99"/>
    <col collapsed="false" customWidth="true" hidden="false" outlineLevel="0" max="2" min="2" style="42" width="12.7"/>
    <col collapsed="false" customWidth="true" hidden="false" outlineLevel="0" max="3" min="3" style="42" width="13.99"/>
    <col collapsed="false" customWidth="true" hidden="false" outlineLevel="0" max="4" min="4" style="42" width="11.99"/>
    <col collapsed="false" customWidth="true" hidden="false" outlineLevel="0" max="5" min="5" style="42" width="10.71"/>
    <col collapsed="false" customWidth="true" hidden="false" outlineLevel="0" max="6" min="6" style="42" width="13.41"/>
    <col collapsed="false" customWidth="true" hidden="false" outlineLevel="0" max="7" min="7" style="42" width="15.85"/>
    <col collapsed="false" customWidth="true" hidden="false" outlineLevel="0" max="8" min="8" style="42" width="18.85"/>
    <col collapsed="false" customWidth="true" hidden="false" outlineLevel="0" max="10" min="9" style="42" width="16.7"/>
    <col collapsed="false" customWidth="true" hidden="false" outlineLevel="0" max="11" min="11" style="42" width="17.99"/>
    <col collapsed="false" customWidth="true" hidden="false" outlineLevel="0" max="12" min="12" style="42" width="13.56"/>
    <col collapsed="false" customWidth="true" hidden="false" outlineLevel="0" max="13" min="13" style="42" width="12.85"/>
    <col collapsed="false" customWidth="true" hidden="false" outlineLevel="0" max="14" min="14" style="42" width="16.7"/>
    <col collapsed="false" customWidth="true" hidden="false" outlineLevel="0" max="15" min="15" style="42" width="14.56"/>
    <col collapsed="false" customWidth="true" hidden="false" outlineLevel="0" max="16" min="16" style="42" width="15.41"/>
    <col collapsed="false" customWidth="true" hidden="false" outlineLevel="0" max="17" min="17" style="42" width="15.7"/>
    <col collapsed="false" customWidth="true" hidden="false" outlineLevel="0" max="18" min="18" style="42" width="12.14"/>
    <col collapsed="false" customWidth="true" hidden="false" outlineLevel="0" max="19" min="19" style="42" width="13.28"/>
    <col collapsed="false" customWidth="true" hidden="false" outlineLevel="0" max="20" min="20" style="43" width="2.84"/>
    <col collapsed="false" customWidth="true" hidden="false" outlineLevel="0" max="21" min="21" style="43" width="15.56"/>
    <col collapsed="false" customWidth="true" hidden="false" outlineLevel="0" max="22" min="22" style="43" width="2.84"/>
    <col collapsed="false" customWidth="true" hidden="false" outlineLevel="0" max="23" min="23" style="43" width="21.13"/>
    <col collapsed="false" customWidth="true" hidden="false" outlineLevel="0" max="24" min="24" style="43" width="23.14"/>
    <col collapsed="false" customWidth="true" hidden="false" outlineLevel="0" max="25" min="25" style="43" width="16.56"/>
    <col collapsed="false" customWidth="true" hidden="false" outlineLevel="0" max="26" min="26" style="43" width="2.84"/>
    <col collapsed="false" customWidth="true" hidden="false" outlineLevel="0" max="27" min="27" style="43" width="13.7"/>
    <col collapsed="false" customWidth="true" hidden="false" outlineLevel="0" max="28" min="28" style="43" width="2.84"/>
    <col collapsed="false" customWidth="true" hidden="false" outlineLevel="0" max="29" min="29" style="43" width="17.56"/>
    <col collapsed="false" customWidth="true" hidden="false" outlineLevel="0" max="30" min="30" style="43" width="17.85"/>
    <col collapsed="false" customWidth="true" hidden="false" outlineLevel="0" max="31" min="31" style="43" width="13.85"/>
    <col collapsed="false" customWidth="true" hidden="false" outlineLevel="0" max="32" min="32" style="43" width="2.84"/>
    <col collapsed="false" customWidth="true" hidden="false" outlineLevel="0" max="33" min="33" style="43" width="14.28"/>
    <col collapsed="false" customWidth="true" hidden="false" outlineLevel="0" max="34" min="34" style="43" width="2.84"/>
    <col collapsed="false" customWidth="true" hidden="false" outlineLevel="0" max="35" min="35" style="43" width="10.71"/>
    <col collapsed="false" customWidth="true" hidden="false" outlineLevel="0" max="36" min="36" style="44" width="3.42"/>
    <col collapsed="false" customWidth="true" hidden="false" outlineLevel="0" max="37" min="37" style="43" width="13.99"/>
    <col collapsed="false" customWidth="true" hidden="false" outlineLevel="0" max="38" min="38" style="44" width="3.42"/>
    <col collapsed="false" customWidth="true" hidden="false" outlineLevel="0" max="39" min="39" style="42" width="10.71"/>
    <col collapsed="false" customWidth="true" hidden="false" outlineLevel="0" max="40" min="40" style="42" width="11.13"/>
    <col collapsed="false" customWidth="true" hidden="false" outlineLevel="0" max="41" min="41" style="42" width="6.56"/>
    <col collapsed="false" customWidth="true" hidden="false" outlineLevel="0" max="42" min="42" style="42" width="3.85"/>
    <col collapsed="false" customWidth="true" hidden="false" outlineLevel="0" max="43" min="43" style="42" width="9.28"/>
    <col collapsed="false" customWidth="true" hidden="false" outlineLevel="0" max="45" min="44" style="43" width="15.85"/>
    <col collapsed="false" customWidth="true" hidden="false" outlineLevel="0" max="46" min="46" style="43" width="2.28"/>
    <col collapsed="false" customWidth="true" hidden="false" outlineLevel="0" max="47" min="47" style="43" width="8.28"/>
    <col collapsed="false" customWidth="true" hidden="false" outlineLevel="0" max="49" min="48" style="42" width="8.56"/>
    <col collapsed="false" customWidth="true" hidden="false" outlineLevel="0" max="50" min="50" style="42" width="11.7"/>
    <col collapsed="false" customWidth="true" hidden="false" outlineLevel="0" max="51" min="51" style="42" width="10.41"/>
    <col collapsed="false" customWidth="true" hidden="false" outlineLevel="0" max="52" min="52" style="42" width="7.56"/>
    <col collapsed="false" customWidth="true" hidden="false" outlineLevel="0" max="53" min="53" style="42" width="6.41"/>
    <col collapsed="false" customWidth="true" hidden="false" outlineLevel="0" max="54" min="54" style="42" width="3.7"/>
    <col collapsed="false" customWidth="true" hidden="false" outlineLevel="0" max="57" min="55" style="42" width="11.7"/>
    <col collapsed="false" customWidth="true" hidden="false" outlineLevel="0" max="58" min="58" style="42" width="16.13"/>
    <col collapsed="false" customWidth="true" hidden="false" outlineLevel="0" max="59" min="59" style="42" width="16.7"/>
    <col collapsed="false" customWidth="true" hidden="false" outlineLevel="0" max="60" min="60" style="42" width="12.7"/>
    <col collapsed="false" customWidth="true" hidden="false" outlineLevel="0" max="61" min="61" style="42" width="13.7"/>
    <col collapsed="false" customWidth="true" hidden="false" outlineLevel="0" max="63" min="62" style="42" width="16.7"/>
    <col collapsed="false" customWidth="true" hidden="false" outlineLevel="0" max="64" min="64" style="42" width="15.41"/>
    <col collapsed="false" customWidth="true" hidden="false" outlineLevel="0" max="66" min="65" style="42" width="13.14"/>
    <col collapsed="false" customWidth="true" hidden="false" outlineLevel="0" max="67" min="67" style="42" width="14.41"/>
    <col collapsed="false" customWidth="true" hidden="false" outlineLevel="0" max="69" min="68" style="42" width="13.14"/>
    <col collapsed="false" customWidth="true" hidden="false" outlineLevel="0" max="71" min="70" style="42" width="14.85"/>
    <col collapsed="false" customWidth="true" hidden="false" outlineLevel="0" max="72" min="72" style="42" width="10.13"/>
    <col collapsed="false" customWidth="true" hidden="false" outlineLevel="0" max="73" min="73" style="42" width="11.99"/>
    <col collapsed="false" customWidth="false" hidden="false" outlineLevel="0" max="257" min="74" style="42" width="9.14"/>
  </cols>
  <sheetData>
    <row r="1" customFormat="false" ht="12.75" hidden="false" customHeight="false" outlineLevel="0" collapsed="false">
      <c r="A1" s="45"/>
      <c r="B1" s="46"/>
      <c r="C1" s="47"/>
      <c r="D1" s="47"/>
      <c r="E1" s="47"/>
      <c r="F1" s="47"/>
      <c r="G1" s="48"/>
      <c r="H1" s="49"/>
      <c r="I1" s="49"/>
      <c r="J1" s="49"/>
      <c r="K1" s="50"/>
      <c r="L1" s="51"/>
      <c r="N1" s="47"/>
      <c r="Q1" s="47"/>
      <c r="X1" s="52"/>
      <c r="AM1" s="47"/>
      <c r="AR1" s="42"/>
      <c r="AS1" s="42"/>
      <c r="AT1" s="42"/>
      <c r="AW1" s="53"/>
      <c r="AX1" s="54"/>
      <c r="AY1" s="53"/>
      <c r="AZ1" s="53"/>
      <c r="BA1" s="54"/>
      <c r="BB1" s="53"/>
    </row>
    <row r="2" customFormat="false" ht="13.5" hidden="false" customHeight="false" outlineLevel="0" collapsed="false">
      <c r="A2" s="49" t="s">
        <v>24</v>
      </c>
      <c r="B2" s="49" t="s">
        <v>25</v>
      </c>
      <c r="C2" s="49" t="s">
        <v>58</v>
      </c>
      <c r="D2" s="53" t="s">
        <v>26</v>
      </c>
      <c r="E2" s="49" t="s">
        <v>14</v>
      </c>
      <c r="F2" s="49" t="s">
        <v>59</v>
      </c>
      <c r="G2" s="49" t="s">
        <v>60</v>
      </c>
      <c r="H2" s="49" t="s">
        <v>28</v>
      </c>
      <c r="I2" s="55"/>
      <c r="J2" s="55"/>
      <c r="K2" s="56"/>
      <c r="L2" s="56"/>
      <c r="AQ2" s="53"/>
      <c r="AR2" s="53"/>
      <c r="AS2" s="53"/>
      <c r="AT2" s="42"/>
      <c r="AW2" s="53"/>
      <c r="AX2" s="53"/>
      <c r="AY2" s="53"/>
      <c r="AZ2" s="53"/>
      <c r="BA2" s="53"/>
      <c r="BB2" s="53"/>
      <c r="BR2" s="57" t="s">
        <v>36</v>
      </c>
      <c r="BS2" s="57" t="s">
        <v>37</v>
      </c>
    </row>
    <row r="3" customFormat="false" ht="13.5" hidden="false" customHeight="false" outlineLevel="0" collapsed="false">
      <c r="A3" s="58" t="n">
        <f aca="false">Inputs!B3</f>
        <v>38139</v>
      </c>
      <c r="B3" s="58" t="n">
        <f aca="false">Inputs!B4</f>
        <v>41760</v>
      </c>
      <c r="C3" s="59" t="n">
        <f aca="true">TODAY()</f>
        <v>45926</v>
      </c>
      <c r="D3" s="60" t="n">
        <f aca="false">Inputs!B6</f>
        <v>37187</v>
      </c>
      <c r="E3" s="61" t="str">
        <f aca="false">CONCATENATE(INT(AZ8/12)," Y - ",AZ8-INT(AZ8/12)*12," M")</f>
        <v>10 Y - 0 M</v>
      </c>
      <c r="F3" s="62" t="n">
        <f aca="false">Inputs!B13</f>
        <v>2</v>
      </c>
      <c r="G3" s="62" t="n">
        <f aca="false">Inputs!B10</f>
        <v>1</v>
      </c>
      <c r="H3" s="63" t="n">
        <f aca="false">Inputs!B9</f>
        <v>1</v>
      </c>
      <c r="I3" s="64"/>
      <c r="J3" s="64"/>
      <c r="K3" s="65"/>
      <c r="L3" s="66"/>
      <c r="U3" s="67" t="s">
        <v>36</v>
      </c>
      <c r="V3" s="67"/>
      <c r="W3" s="67"/>
      <c r="X3" s="67"/>
      <c r="Y3" s="67"/>
      <c r="AA3" s="67" t="s">
        <v>37</v>
      </c>
      <c r="AB3" s="67"/>
      <c r="AC3" s="67"/>
      <c r="AD3" s="67"/>
      <c r="AE3" s="67"/>
      <c r="AQ3" s="53"/>
      <c r="AR3" s="53"/>
      <c r="AS3" s="53"/>
      <c r="AT3" s="42"/>
      <c r="AW3" s="53"/>
      <c r="AZ3" s="53"/>
      <c r="BR3" s="43"/>
      <c r="BS3" s="43"/>
    </row>
    <row r="4" customFormat="false" ht="12.75" hidden="false" customHeight="false" outlineLevel="0" collapsed="false">
      <c r="A4" s="68"/>
      <c r="B4" s="68"/>
      <c r="C4" s="68" t="s">
        <v>61</v>
      </c>
      <c r="D4" s="68" t="s">
        <v>62</v>
      </c>
      <c r="E4" s="69" t="s">
        <v>63</v>
      </c>
      <c r="F4" s="70"/>
      <c r="G4" s="70"/>
      <c r="H4" s="69" t="str">
        <f aca="false">CONCATENATE(Inputs!B19,"-D")</f>
        <v>IF-FGT/MKTAREA-D</v>
      </c>
      <c r="I4" s="70" t="str">
        <f aca="false">Inputs!B19</f>
        <v>IF-FGT/MKTAREA</v>
      </c>
      <c r="J4" s="70" t="str">
        <f aca="false">$I$4</f>
        <v>IF-FGT/MKTAREA</v>
      </c>
      <c r="K4" s="69" t="str">
        <f aca="false">CONCATENATE(Inputs!B19,"-I")</f>
        <v>IF-FGT/MKTAREA-I</v>
      </c>
      <c r="L4" s="70" t="str">
        <f aca="false">J4</f>
        <v>IF-FGT/MKTAREA</v>
      </c>
      <c r="M4" s="70" t="str">
        <f aca="false">L4</f>
        <v>IF-FGT/MKTAREA</v>
      </c>
      <c r="N4" s="69" t="str">
        <f aca="false">CONCATENATE(Inputs!E19,"-D")</f>
        <v>IF-FGT/Z2-D</v>
      </c>
      <c r="O4" s="70" t="str">
        <f aca="false">Inputs!E19</f>
        <v>IF-FGT/Z2</v>
      </c>
      <c r="P4" s="70" t="str">
        <f aca="false">O4</f>
        <v>IF-FGT/Z2</v>
      </c>
      <c r="Q4" s="69" t="str">
        <f aca="false">CONCATENATE(Inputs!E19,"-I")</f>
        <v>IF-FGT/Z2-I</v>
      </c>
      <c r="R4" s="70" t="str">
        <f aca="false">P4</f>
        <v>IF-FGT/Z2</v>
      </c>
      <c r="S4" s="70" t="str">
        <f aca="false">R4</f>
        <v>IF-FGT/Z2</v>
      </c>
      <c r="T4" s="71"/>
      <c r="U4" s="72" t="str">
        <f aca="false">M4</f>
        <v>IF-FGT/MKTAREA</v>
      </c>
      <c r="V4" s="73"/>
      <c r="W4" s="69" t="str">
        <f aca="false">X4</f>
        <v>IF-FGT/MKT-P2X-P</v>
      </c>
      <c r="X4" s="69" t="str">
        <f aca="false">CONCATENATE(Inputs!B20,"-P")</f>
        <v>IF-FGT/MKT-P2X-P</v>
      </c>
      <c r="Y4" s="74" t="str">
        <f aca="false">U4</f>
        <v>IF-FGT/MKTAREA</v>
      </c>
      <c r="Z4" s="75"/>
      <c r="AA4" s="72" t="str">
        <f aca="false">S4</f>
        <v>IF-FGT/Z2</v>
      </c>
      <c r="AB4" s="73"/>
      <c r="AC4" s="69" t="s">
        <v>64</v>
      </c>
      <c r="AD4" s="69" t="str">
        <f aca="false">CONCATENATE(Inputs!E20,"-P")</f>
        <v>VO-P</v>
      </c>
      <c r="AE4" s="74" t="str">
        <f aca="false">AA4</f>
        <v>IF-FGT/Z2</v>
      </c>
      <c r="AF4" s="76"/>
      <c r="AG4" s="70" t="str">
        <f aca="false">U4</f>
        <v>IF-FGT/MKTAREA</v>
      </c>
      <c r="AH4" s="73"/>
      <c r="AI4" s="70" t="s">
        <v>65</v>
      </c>
      <c r="AJ4" s="70"/>
      <c r="AK4" s="70"/>
      <c r="AL4" s="70"/>
      <c r="AM4" s="70"/>
      <c r="AN4" s="70"/>
      <c r="AO4" s="70"/>
      <c r="AP4" s="48"/>
      <c r="AQ4" s="77" t="s">
        <v>52</v>
      </c>
      <c r="AR4" s="78" t="s">
        <v>53</v>
      </c>
      <c r="AS4" s="79"/>
      <c r="AT4" s="80"/>
      <c r="AU4" s="81"/>
      <c r="AV4" s="82"/>
      <c r="AW4" s="82" t="s">
        <v>66</v>
      </c>
      <c r="AX4" s="83" t="s">
        <v>67</v>
      </c>
      <c r="AY4" s="82"/>
      <c r="AZ4" s="82"/>
      <c r="BA4" s="84"/>
      <c r="BC4" s="85" t="str">
        <f aca="false">E4</f>
        <v>NG-P</v>
      </c>
      <c r="BD4" s="85"/>
      <c r="BE4" s="85"/>
      <c r="BF4" s="85" t="str">
        <f aca="false">H4</f>
        <v>IF-FGT/MKTAREA-D</v>
      </c>
      <c r="BG4" s="85" t="str">
        <f aca="false">I4</f>
        <v>IF-FGT/MKTAREA</v>
      </c>
      <c r="BH4" s="85" t="str">
        <f aca="false">J4</f>
        <v>IF-FGT/MKTAREA</v>
      </c>
      <c r="BI4" s="85" t="str">
        <f aca="false">K4</f>
        <v>IF-FGT/MKTAREA-I</v>
      </c>
      <c r="BJ4" s="85" t="str">
        <f aca="false">L4</f>
        <v>IF-FGT/MKTAREA</v>
      </c>
      <c r="BK4" s="85" t="str">
        <f aca="false">M4</f>
        <v>IF-FGT/MKTAREA</v>
      </c>
      <c r="BL4" s="85" t="str">
        <f aca="false">N4</f>
        <v>IF-FGT/Z2-D</v>
      </c>
      <c r="BM4" s="85" t="str">
        <f aca="false">O4</f>
        <v>IF-FGT/Z2</v>
      </c>
      <c r="BN4" s="85" t="str">
        <f aca="false">P4</f>
        <v>IF-FGT/Z2</v>
      </c>
      <c r="BO4" s="85" t="str">
        <f aca="false">Q4</f>
        <v>IF-FGT/Z2-I</v>
      </c>
      <c r="BP4" s="85" t="str">
        <f aca="false">R4</f>
        <v>IF-FGT/Z2</v>
      </c>
      <c r="BQ4" s="85" t="str">
        <f aca="false">S4</f>
        <v>IF-FGT/Z2</v>
      </c>
      <c r="BR4" s="85" t="str">
        <f aca="false">U4</f>
        <v>IF-FGT/MKTAREA</v>
      </c>
      <c r="BS4" s="85" t="str">
        <f aca="false">AA4</f>
        <v>IF-FGT/Z2</v>
      </c>
      <c r="BT4" s="85" t="str">
        <f aca="false">AI4</f>
        <v> </v>
      </c>
      <c r="BU4" s="85" t="n">
        <f aca="false">AK4</f>
        <v>0</v>
      </c>
    </row>
    <row r="5" customFormat="false" ht="12.75" hidden="false" customHeight="false" outlineLevel="0" collapsed="false">
      <c r="A5" s="68" t="s">
        <v>68</v>
      </c>
      <c r="B5" s="68" t="s">
        <v>12</v>
      </c>
      <c r="C5" s="68" t="s">
        <v>69</v>
      </c>
      <c r="D5" s="68" t="s">
        <v>69</v>
      </c>
      <c r="E5" s="68" t="s">
        <v>70</v>
      </c>
      <c r="F5" s="68" t="s">
        <v>70</v>
      </c>
      <c r="G5" s="68" t="s">
        <v>70</v>
      </c>
      <c r="H5" s="68" t="s">
        <v>71</v>
      </c>
      <c r="I5" s="68" t="s">
        <v>71</v>
      </c>
      <c r="J5" s="68" t="s">
        <v>71</v>
      </c>
      <c r="K5" s="68" t="s">
        <v>72</v>
      </c>
      <c r="L5" s="68" t="s">
        <v>72</v>
      </c>
      <c r="M5" s="68" t="s">
        <v>72</v>
      </c>
      <c r="N5" s="68" t="s">
        <v>71</v>
      </c>
      <c r="O5" s="68" t="s">
        <v>71</v>
      </c>
      <c r="P5" s="68" t="s">
        <v>72</v>
      </c>
      <c r="Q5" s="68" t="s">
        <v>72</v>
      </c>
      <c r="R5" s="68" t="s">
        <v>72</v>
      </c>
      <c r="S5" s="68" t="s">
        <v>72</v>
      </c>
      <c r="T5" s="71"/>
      <c r="U5" s="86" t="s">
        <v>73</v>
      </c>
      <c r="V5" s="87"/>
      <c r="W5" s="68" t="s">
        <v>74</v>
      </c>
      <c r="X5" s="68" t="s">
        <v>75</v>
      </c>
      <c r="Y5" s="88" t="s">
        <v>76</v>
      </c>
      <c r="Z5" s="75"/>
      <c r="AA5" s="86" t="s">
        <v>73</v>
      </c>
      <c r="AB5" s="87"/>
      <c r="AC5" s="68" t="s">
        <v>74</v>
      </c>
      <c r="AD5" s="68" t="s">
        <v>77</v>
      </c>
      <c r="AE5" s="88" t="s">
        <v>76</v>
      </c>
      <c r="AF5" s="76"/>
      <c r="AG5" s="68" t="str">
        <f aca="false">AA4</f>
        <v>IF-FGT/Z2</v>
      </c>
      <c r="AH5" s="87"/>
      <c r="AI5" s="68" t="s">
        <v>53</v>
      </c>
      <c r="AJ5" s="68"/>
      <c r="AK5" s="68" t="s">
        <v>78</v>
      </c>
      <c r="AL5" s="68"/>
      <c r="AM5" s="68" t="s">
        <v>52</v>
      </c>
      <c r="AN5" s="68" t="s">
        <v>52</v>
      </c>
      <c r="AO5" s="68" t="s">
        <v>52</v>
      </c>
      <c r="AP5" s="48"/>
      <c r="AQ5" s="86" t="s">
        <v>79</v>
      </c>
      <c r="AR5" s="89" t="s">
        <v>52</v>
      </c>
      <c r="AS5" s="90" t="s">
        <v>55</v>
      </c>
      <c r="AT5" s="80"/>
      <c r="AU5" s="91" t="s">
        <v>80</v>
      </c>
      <c r="AV5" s="92" t="s">
        <v>81</v>
      </c>
      <c r="AW5" s="92" t="s">
        <v>81</v>
      </c>
      <c r="AX5" s="93" t="s">
        <v>82</v>
      </c>
      <c r="AY5" s="92" t="s">
        <v>81</v>
      </c>
      <c r="AZ5" s="92" t="s">
        <v>83</v>
      </c>
      <c r="BA5" s="94" t="s">
        <v>83</v>
      </c>
      <c r="BC5" s="95" t="str">
        <f aca="false">E5</f>
        <v>Nymex</v>
      </c>
      <c r="BD5" s="95" t="str">
        <f aca="false">F5</f>
        <v>Nymex</v>
      </c>
      <c r="BE5" s="95" t="str">
        <f aca="false">G5</f>
        <v>Nymex</v>
      </c>
      <c r="BF5" s="95" t="str">
        <f aca="false">H5</f>
        <v>Basis</v>
      </c>
      <c r="BG5" s="95" t="str">
        <f aca="false">I5</f>
        <v>Basis</v>
      </c>
      <c r="BH5" s="95" t="str">
        <f aca="false">J5</f>
        <v>Basis</v>
      </c>
      <c r="BI5" s="95" t="str">
        <f aca="false">K5</f>
        <v>Index</v>
      </c>
      <c r="BJ5" s="95" t="str">
        <f aca="false">L5</f>
        <v>Index</v>
      </c>
      <c r="BK5" s="95" t="str">
        <f aca="false">M5</f>
        <v>Index</v>
      </c>
      <c r="BL5" s="95" t="str">
        <f aca="false">N5</f>
        <v>Basis</v>
      </c>
      <c r="BM5" s="95" t="str">
        <f aca="false">O5</f>
        <v>Basis</v>
      </c>
      <c r="BN5" s="95" t="str">
        <f aca="false">P5</f>
        <v>Index</v>
      </c>
      <c r="BO5" s="95" t="str">
        <f aca="false">Q5</f>
        <v>Index</v>
      </c>
      <c r="BP5" s="95" t="str">
        <f aca="false">R5</f>
        <v>Index</v>
      </c>
      <c r="BQ5" s="95" t="str">
        <f aca="false">S5</f>
        <v>Index</v>
      </c>
      <c r="BR5" s="95" t="str">
        <f aca="false">U5</f>
        <v>Total Price</v>
      </c>
      <c r="BS5" s="95" t="str">
        <f aca="false">AA5</f>
        <v>Total Price</v>
      </c>
      <c r="BT5" s="95" t="str">
        <f aca="false">AI5</f>
        <v>Total</v>
      </c>
      <c r="BU5" s="95" t="str">
        <f aca="false">AK5</f>
        <v>Intrinsic</v>
      </c>
    </row>
    <row r="6" customFormat="false" ht="12.75" hidden="false" customHeight="false" outlineLevel="0" collapsed="false">
      <c r="A6" s="96" t="s">
        <v>84</v>
      </c>
      <c r="B6" s="96" t="s">
        <v>85</v>
      </c>
      <c r="C6" s="96" t="s">
        <v>15</v>
      </c>
      <c r="D6" s="96" t="s">
        <v>15</v>
      </c>
      <c r="E6" s="96" t="s">
        <v>86</v>
      </c>
      <c r="F6" s="96" t="s">
        <v>87</v>
      </c>
      <c r="G6" s="96" t="s">
        <v>88</v>
      </c>
      <c r="H6" s="96" t="s">
        <v>86</v>
      </c>
      <c r="I6" s="96" t="s">
        <v>89</v>
      </c>
      <c r="J6" s="96" t="s">
        <v>88</v>
      </c>
      <c r="K6" s="96" t="s">
        <v>86</v>
      </c>
      <c r="L6" s="96" t="s">
        <v>89</v>
      </c>
      <c r="M6" s="96" t="s">
        <v>88</v>
      </c>
      <c r="N6" s="96" t="s">
        <v>86</v>
      </c>
      <c r="O6" s="96" t="s">
        <v>90</v>
      </c>
      <c r="P6" s="96" t="s">
        <v>88</v>
      </c>
      <c r="Q6" s="96" t="s">
        <v>86</v>
      </c>
      <c r="R6" s="96" t="str">
        <f aca="false">O6</f>
        <v>Bid</v>
      </c>
      <c r="S6" s="96" t="s">
        <v>88</v>
      </c>
      <c r="T6" s="71"/>
      <c r="U6" s="97" t="s">
        <v>88</v>
      </c>
      <c r="V6" s="98"/>
      <c r="W6" s="96" t="s">
        <v>86</v>
      </c>
      <c r="X6" s="96" t="s">
        <v>86</v>
      </c>
      <c r="Y6" s="99" t="s">
        <v>91</v>
      </c>
      <c r="Z6" s="75"/>
      <c r="AA6" s="97" t="s">
        <v>88</v>
      </c>
      <c r="AB6" s="98"/>
      <c r="AC6" s="96" t="s">
        <v>86</v>
      </c>
      <c r="AD6" s="96" t="s">
        <v>86</v>
      </c>
      <c r="AE6" s="99" t="s">
        <v>91</v>
      </c>
      <c r="AF6" s="76"/>
      <c r="AG6" s="96" t="s">
        <v>38</v>
      </c>
      <c r="AH6" s="98"/>
      <c r="AI6" s="96" t="s">
        <v>18</v>
      </c>
      <c r="AJ6" s="96"/>
      <c r="AK6" s="96" t="s">
        <v>57</v>
      </c>
      <c r="AL6" s="96"/>
      <c r="AM6" s="96" t="s">
        <v>92</v>
      </c>
      <c r="AN6" s="96" t="s">
        <v>93</v>
      </c>
      <c r="AO6" s="96" t="s">
        <v>94</v>
      </c>
      <c r="AP6" s="48"/>
      <c r="AQ6" s="97" t="s">
        <v>95</v>
      </c>
      <c r="AR6" s="100" t="s">
        <v>79</v>
      </c>
      <c r="AS6" s="101" t="s">
        <v>57</v>
      </c>
      <c r="AT6" s="80"/>
      <c r="AU6" s="102" t="s">
        <v>96</v>
      </c>
      <c r="AV6" s="103" t="s">
        <v>13</v>
      </c>
      <c r="AW6" s="103" t="s">
        <v>96</v>
      </c>
      <c r="AX6" s="104" t="s">
        <v>97</v>
      </c>
      <c r="AY6" s="103" t="s">
        <v>98</v>
      </c>
      <c r="AZ6" s="103" t="s">
        <v>99</v>
      </c>
      <c r="BA6" s="105" t="s">
        <v>96</v>
      </c>
      <c r="BC6" s="106" t="str">
        <f aca="false">E6</f>
        <v>Mid</v>
      </c>
      <c r="BD6" s="106" t="str">
        <f aca="false">F6</f>
        <v>Bid/Offer</v>
      </c>
      <c r="BE6" s="106" t="str">
        <f aca="false">G6</f>
        <v>Contract</v>
      </c>
      <c r="BF6" s="106" t="str">
        <f aca="false">H6</f>
        <v>Mid</v>
      </c>
      <c r="BG6" s="106" t="str">
        <f aca="false">I6</f>
        <v>Offer</v>
      </c>
      <c r="BH6" s="106" t="str">
        <f aca="false">J6</f>
        <v>Contract</v>
      </c>
      <c r="BI6" s="106" t="str">
        <f aca="false">K6</f>
        <v>Mid</v>
      </c>
      <c r="BJ6" s="106" t="str">
        <f aca="false">L6</f>
        <v>Offer</v>
      </c>
      <c r="BK6" s="106" t="str">
        <f aca="false">M6</f>
        <v>Contract</v>
      </c>
      <c r="BL6" s="106" t="str">
        <f aca="false">N6</f>
        <v>Mid</v>
      </c>
      <c r="BM6" s="106" t="str">
        <f aca="false">O6</f>
        <v>Bid</v>
      </c>
      <c r="BN6" s="106" t="str">
        <f aca="false">P6</f>
        <v>Contract</v>
      </c>
      <c r="BO6" s="106" t="str">
        <f aca="false">Q6</f>
        <v>Mid</v>
      </c>
      <c r="BP6" s="106" t="str">
        <f aca="false">R6</f>
        <v>Bid</v>
      </c>
      <c r="BQ6" s="106" t="str">
        <f aca="false">S6</f>
        <v>Contract</v>
      </c>
      <c r="BR6" s="106" t="str">
        <f aca="false">U6</f>
        <v>Contract</v>
      </c>
      <c r="BS6" s="106" t="str">
        <f aca="false">AA6</f>
        <v>Contract</v>
      </c>
      <c r="BT6" s="106" t="str">
        <f aca="false">AI6</f>
        <v>Strike</v>
      </c>
      <c r="BU6" s="106" t="str">
        <f aca="false">AK6</f>
        <v>Value</v>
      </c>
    </row>
    <row r="7" customFormat="false" ht="12.75" hidden="false" customHeight="false" outlineLevel="0" collapsed="false">
      <c r="A7" s="107"/>
      <c r="B7" s="107"/>
      <c r="T7" s="71"/>
      <c r="U7" s="108"/>
      <c r="V7" s="53"/>
      <c r="W7" s="53"/>
      <c r="X7" s="53"/>
      <c r="Y7" s="109"/>
      <c r="Z7" s="75"/>
      <c r="AA7" s="108"/>
      <c r="AB7" s="53"/>
      <c r="AC7" s="53"/>
      <c r="AD7" s="53"/>
      <c r="AE7" s="109"/>
      <c r="AF7" s="76"/>
      <c r="AG7" s="42"/>
      <c r="AH7" s="42"/>
      <c r="AI7" s="42"/>
      <c r="AJ7" s="110"/>
      <c r="AK7" s="42"/>
      <c r="AL7" s="110"/>
      <c r="AP7" s="48"/>
      <c r="AQ7" s="108"/>
      <c r="AR7" s="49"/>
      <c r="AS7" s="111"/>
      <c r="AU7" s="112"/>
      <c r="AV7" s="49"/>
      <c r="AW7" s="113"/>
      <c r="AX7" s="49"/>
      <c r="AY7" s="49"/>
      <c r="AZ7" s="49"/>
      <c r="BA7" s="111"/>
    </row>
    <row r="8" customFormat="false" ht="12.75" hidden="false" customHeight="false" outlineLevel="0" collapsed="false">
      <c r="A8" s="114" t="s">
        <v>100</v>
      </c>
      <c r="B8" s="115"/>
      <c r="C8" s="115" t="n">
        <f aca="false">SUM(C10:C4910)</f>
        <v>182600000</v>
      </c>
      <c r="D8" s="115" t="n">
        <f aca="false">SUM(D10:D4910)</f>
        <v>404833479.440171</v>
      </c>
      <c r="E8" s="116" t="n">
        <f aca="false">BC8/$D$8</f>
        <v>4.13256575992203</v>
      </c>
      <c r="F8" s="116" t="n">
        <f aca="false">BD8/$D$8</f>
        <v>4.18756575992203</v>
      </c>
      <c r="G8" s="116" t="n">
        <f aca="false">BE8/$D$8</f>
        <v>4.18756575992203</v>
      </c>
      <c r="H8" s="116" t="e">
        <f aca="false">BF8/$D$8</f>
        <v>#VALUE!</v>
      </c>
      <c r="I8" s="116" t="e">
        <f aca="false">BG8/$D$8</f>
        <v>#VALUE!</v>
      </c>
      <c r="J8" s="116" t="e">
        <f aca="false">BH8/$D$8</f>
        <v>#VALUE!</v>
      </c>
      <c r="K8" s="116" t="e">
        <f aca="false">BI8/$D$8</f>
        <v>#VALUE!</v>
      </c>
      <c r="L8" s="116" t="n">
        <f aca="false">BJ8/$D$8</f>
        <v>0</v>
      </c>
      <c r="M8" s="116" t="n">
        <f aca="false">BK8/$D$8</f>
        <v>0</v>
      </c>
      <c r="N8" s="116" t="e">
        <f aca="false">BL8/$D$8</f>
        <v>#VALUE!</v>
      </c>
      <c r="O8" s="116" t="e">
        <f aca="false">BM8/$D$8</f>
        <v>#VALUE!</v>
      </c>
      <c r="P8" s="116" t="e">
        <f aca="false">BN8/$D$8</f>
        <v>#VALUE!</v>
      </c>
      <c r="Q8" s="116" t="e">
        <f aca="false">BO8/$D$8</f>
        <v>#VALUE!</v>
      </c>
      <c r="R8" s="116" t="n">
        <f aca="false">BP8/$D$8</f>
        <v>0</v>
      </c>
      <c r="S8" s="116" t="n">
        <f aca="false">BQ8/$D$8</f>
        <v>0</v>
      </c>
      <c r="T8" s="117"/>
      <c r="U8" s="118" t="e">
        <f aca="false">BR8/D8</f>
        <v>#VALUE!</v>
      </c>
      <c r="V8" s="114"/>
      <c r="W8" s="119"/>
      <c r="X8" s="120"/>
      <c r="Y8" s="121"/>
      <c r="Z8" s="122"/>
      <c r="AA8" s="118" t="e">
        <f aca="false">BS8/D8</f>
        <v>#VALUE!</v>
      </c>
      <c r="AB8" s="114"/>
      <c r="AC8" s="119"/>
      <c r="AD8" s="120"/>
      <c r="AE8" s="121"/>
      <c r="AF8" s="123"/>
      <c r="AG8" s="116"/>
      <c r="AH8" s="114"/>
      <c r="AI8" s="116" t="n">
        <f aca="false">BT8/$D$8</f>
        <v>0.06</v>
      </c>
      <c r="AJ8" s="116"/>
      <c r="AK8" s="116" t="e">
        <f aca="false">BU8/D8</f>
        <v>#VALUE!</v>
      </c>
      <c r="AL8" s="116"/>
      <c r="AM8" s="116"/>
      <c r="AN8" s="116"/>
      <c r="AO8" s="116"/>
      <c r="AP8" s="124"/>
      <c r="AQ8" s="118" t="e">
        <f aca="false">AR8/C8</f>
        <v>#NAME?</v>
      </c>
      <c r="AR8" s="125" t="e">
        <f aca="false">SUM(AR10:AR281)</f>
        <v>#NAME?</v>
      </c>
      <c r="AS8" s="126" t="e">
        <f aca="false">SUM(AS10:AS280)</f>
        <v>#NAME?</v>
      </c>
      <c r="AT8" s="127"/>
      <c r="AU8" s="128"/>
      <c r="AV8" s="129"/>
      <c r="AW8" s="129"/>
      <c r="AX8" s="130"/>
      <c r="AY8" s="129"/>
      <c r="AZ8" s="131" t="n">
        <f aca="false">SUM(AZ10:AZ4910)</f>
        <v>120</v>
      </c>
      <c r="BA8" s="132" t="n">
        <f aca="false">SUM(BA10:BA4910)</f>
        <v>3652</v>
      </c>
      <c r="BB8" s="114"/>
      <c r="BC8" s="133" t="n">
        <f aca="false">SUM(BC10:BC4910)</f>
        <v>1673000975.60455</v>
      </c>
      <c r="BD8" s="133" t="n">
        <f aca="false">SUM(BD10:BD4910)</f>
        <v>1695266816.97376</v>
      </c>
      <c r="BE8" s="133" t="n">
        <f aca="false">SUM(BE10:BE4910)</f>
        <v>1695266816.97376</v>
      </c>
      <c r="BF8" s="133" t="e">
        <f aca="false">SUM(BF10:BF4910)</f>
        <v>#VALUE!</v>
      </c>
      <c r="BG8" s="133" t="e">
        <f aca="false">SUM(BG10:BG4910)</f>
        <v>#VALUE!</v>
      </c>
      <c r="BH8" s="133" t="e">
        <f aca="false">SUM(BH10:BH4910)</f>
        <v>#VALUE!</v>
      </c>
      <c r="BI8" s="133" t="e">
        <f aca="false">SUM(BI10:BI4910)</f>
        <v>#VALUE!</v>
      </c>
      <c r="BJ8" s="133" t="n">
        <f aca="false">SUM(BJ10:BJ4910)</f>
        <v>0</v>
      </c>
      <c r="BK8" s="133" t="n">
        <f aca="false">SUM(BK10:BK4910)</f>
        <v>0</v>
      </c>
      <c r="BL8" s="133" t="e">
        <f aca="false">SUM(BL10:BL4910)</f>
        <v>#VALUE!</v>
      </c>
      <c r="BM8" s="133" t="e">
        <f aca="false">SUM(BM10:BM4910)</f>
        <v>#VALUE!</v>
      </c>
      <c r="BN8" s="133" t="e">
        <f aca="false">SUM(BN10:BN4910)</f>
        <v>#VALUE!</v>
      </c>
      <c r="BO8" s="133" t="e">
        <f aca="false">SUM(BO10:BO4910)</f>
        <v>#VALUE!</v>
      </c>
      <c r="BP8" s="133" t="n">
        <f aca="false">SUM(BP10:BP4910)</f>
        <v>0</v>
      </c>
      <c r="BQ8" s="133" t="n">
        <f aca="false">SUM(BQ10:BQ4910)</f>
        <v>0</v>
      </c>
      <c r="BR8" s="133" t="e">
        <f aca="false">SUM(BR10:BR4910)</f>
        <v>#VALUE!</v>
      </c>
      <c r="BS8" s="133" t="e">
        <f aca="false">SUM(BS10:BS4910)</f>
        <v>#VALUE!</v>
      </c>
      <c r="BT8" s="133" t="n">
        <f aca="false">SUM(BT10:BT4910)</f>
        <v>24290008.7664103</v>
      </c>
      <c r="BU8" s="133" t="e">
        <f aca="false">SUM(BU10:BU4910)</f>
        <v>#VALUE!</v>
      </c>
    </row>
    <row r="9" customFormat="false" ht="12.75" hidden="false" customHeight="false" outlineLevel="0" collapsed="false">
      <c r="B9" s="134"/>
      <c r="C9" s="134"/>
      <c r="D9" s="134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42"/>
      <c r="U9" s="136"/>
      <c r="V9" s="53"/>
      <c r="W9" s="137"/>
      <c r="X9" s="138" t="n">
        <v>0.005</v>
      </c>
      <c r="Y9" s="139"/>
      <c r="Z9" s="42"/>
      <c r="AA9" s="136"/>
      <c r="AB9" s="53"/>
      <c r="AC9" s="137"/>
      <c r="AD9" s="138" t="n">
        <v>0.005</v>
      </c>
      <c r="AE9" s="139"/>
      <c r="AF9" s="42"/>
      <c r="AG9" s="135"/>
      <c r="AH9" s="42"/>
      <c r="AI9" s="140"/>
      <c r="AJ9" s="141"/>
      <c r="AK9" s="140"/>
      <c r="AL9" s="141"/>
      <c r="AM9" s="135"/>
      <c r="AN9" s="135"/>
      <c r="AO9" s="135"/>
      <c r="AQ9" s="136"/>
      <c r="AR9" s="49"/>
      <c r="AS9" s="111"/>
      <c r="AU9" s="112"/>
      <c r="AV9" s="49"/>
      <c r="AW9" s="49"/>
      <c r="AX9" s="49"/>
      <c r="AY9" s="49"/>
      <c r="AZ9" s="49"/>
      <c r="BA9" s="111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W9" s="143"/>
    </row>
    <row r="10" customFormat="false" ht="12.75" hidden="false" customHeight="false" outlineLevel="0" collapsed="false">
      <c r="A10" s="144" t="n">
        <f aca="false">mthbeg</f>
        <v>38139</v>
      </c>
      <c r="B10" s="145" t="n">
        <f aca="false">Inputs!$B$8</f>
        <v>50000</v>
      </c>
      <c r="C10" s="146" t="n">
        <f aca="false">IF(AZ10=0,0,IF(AND(AZ10=1,$H$3=1),B10*AU10,IF($H$3=2,B10,"N/A")))</f>
        <v>1500000</v>
      </c>
      <c r="D10" s="146" t="n">
        <f aca="false">C10*AY10</f>
        <v>3239030.280503</v>
      </c>
      <c r="E10" s="147" t="n">
        <f aca="false">VLOOKUP($A10,[1]!CurveTable,MATCH($E$4,[1]!CurveType,0))</f>
        <v>3.5</v>
      </c>
      <c r="F10" s="148" t="n">
        <f aca="false">E10-Inputs!$B$16</f>
        <v>3.555</v>
      </c>
      <c r="G10" s="149" t="n">
        <f aca="false">F10</f>
        <v>3.555</v>
      </c>
      <c r="H10" s="147" t="n">
        <f aca="false">VLOOKUP($A10,[1]!CurveTable,MATCH($H$4,[1]!CurveType,0))</f>
        <v>0.8</v>
      </c>
      <c r="I10" s="148" t="n">
        <f aca="false">H10+Inputs!$B$22</f>
        <v>0.8</v>
      </c>
      <c r="J10" s="150" t="n">
        <f aca="false">I10</f>
        <v>0.8</v>
      </c>
      <c r="K10" s="147" t="n">
        <f aca="false">VLOOKUP($A10,[1]!CurveTable,MATCH($K$4,[1]!CurveType,0))</f>
        <v>0</v>
      </c>
      <c r="L10" s="148" t="n">
        <v>0</v>
      </c>
      <c r="M10" s="151" t="n">
        <f aca="false">L10</f>
        <v>0</v>
      </c>
      <c r="N10" s="147" t="n">
        <f aca="false">VLOOKUP($A10,[1]!CurveTable,MATCH($N$4,[1]!CurveType,0))</f>
        <v>0.0115</v>
      </c>
      <c r="O10" s="148" t="n">
        <f aca="false">N10+Inputs!$E$22</f>
        <v>0.0115</v>
      </c>
      <c r="P10" s="151" t="n">
        <f aca="false">O10</f>
        <v>0.0115</v>
      </c>
      <c r="Q10" s="147" t="n">
        <f aca="false">VLOOKUP($A10,[1]!CurveTable,MATCH($Q$4,[1]!CurveType,0))</f>
        <v>0.005</v>
      </c>
      <c r="R10" s="148" t="n">
        <v>0</v>
      </c>
      <c r="S10" s="151" t="n">
        <f aca="false">R10</f>
        <v>0</v>
      </c>
      <c r="T10" s="152"/>
      <c r="U10" s="153" t="n">
        <f aca="false">G10+J10</f>
        <v>4.355</v>
      </c>
      <c r="V10" s="154"/>
      <c r="W10" s="155" t="n">
        <f aca="false">VLOOKUP($A10,[1]!CurveTable,MATCH($W$4,[1]!CurveType,0))+$W$9</f>
        <v>0.605</v>
      </c>
      <c r="X10" s="155" t="n">
        <f aca="false">VLOOKUP($A10,[1]!CurveTable,MATCH($X$4,[1]!CurveType,0))+$X$9</f>
        <v>0.61</v>
      </c>
      <c r="Y10" s="139" t="n">
        <f aca="false">SQRT((X10^2*($A10-$C$3)+W10^2*(DAY(EOMONTH(A10,0))/2))/$AN10)</f>
        <v>0.608173463439439</v>
      </c>
      <c r="Z10" s="152"/>
      <c r="AA10" s="153" t="n">
        <f aca="false">G10+P10+S10</f>
        <v>3.5665</v>
      </c>
      <c r="AB10" s="154"/>
      <c r="AC10" s="155" t="n">
        <f aca="false">VLOOKUP($A10,[1]!CurveTable,MATCH($AC$4,[1]!CurveType,0))+$AC$9</f>
        <v>0.3025</v>
      </c>
      <c r="AD10" s="155" t="n">
        <f aca="false">VLOOKUP($A10,[1]!CurveTable,MATCH($AD$4,[1]!CurveType,0))+$AD$9</f>
        <v>0.3075</v>
      </c>
      <c r="AE10" s="139" t="n">
        <f aca="false">SQRT((AD10^2*($A10-$C$3)+AC10^2*(DAY(EOMONTH(A10,0))/2))/$AN10)</f>
        <v>0.30658395852025</v>
      </c>
      <c r="AF10" s="152"/>
      <c r="AG10" s="156" t="n">
        <f aca="false">((Inputs!$F$20*(X10*AD10)*(A10-$C$3))+(Inputs!$F$19*W10*AC10*(DAY(EOMONTH(A10,0))/2)))/(AN10*Y10*AE10)</f>
        <v>0.750000047144088</v>
      </c>
      <c r="AH10" s="152"/>
      <c r="AI10" s="140" t="n">
        <f aca="false">Inputs!$B$15</f>
        <v>0.06</v>
      </c>
      <c r="AJ10" s="157"/>
      <c r="AK10" s="140" t="n">
        <f aca="false">IF((U10-AA10-AI10)&lt;0,0,(U10-AA10-AI10))</f>
        <v>0.7285</v>
      </c>
      <c r="AL10" s="157"/>
      <c r="AM10" s="158" t="n">
        <f aca="false">WORKDAY(EOMONTH(A10-1,-1),0)</f>
        <v>38107</v>
      </c>
      <c r="AN10" s="159" t="n">
        <f aca="false">AM10-$C$3</f>
        <v>-7819</v>
      </c>
      <c r="AO10" s="159" t="n">
        <v>1</v>
      </c>
      <c r="AP10" s="160"/>
      <c r="AQ10" s="161" t="e">
        <f aca="false">SPRDOPT(U10,AA10,AI10,AX10,X10,AD10,AG10,AN10,AO10,0)</f>
        <v>#NAME?</v>
      </c>
      <c r="AR10" s="162" t="e">
        <f aca="false">AQ10*C10</f>
        <v>#NAME?</v>
      </c>
      <c r="AS10" s="163" t="e">
        <f aca="false">AQ10-AK10</f>
        <v>#NAME?</v>
      </c>
      <c r="AU10" s="112" t="n">
        <f aca="false">A11-A10</f>
        <v>30</v>
      </c>
      <c r="AV10" s="164" t="n">
        <f aca="false">CHOOSE(F$3,A11+24,A10+14)</f>
        <v>38153</v>
      </c>
      <c r="AW10" s="49" t="n">
        <f aca="false">AV10-C$3</f>
        <v>-7773</v>
      </c>
      <c r="AX10" s="155" t="n">
        <f aca="false">VLOOKUP($A10,[1]!CurveTable,MATCH(AX$4,[1]!CurveType,0))</f>
        <v>0.0365020979681674</v>
      </c>
      <c r="AY10" s="165" t="n">
        <f aca="false">1/(1+CHOOSE(F$3,(AX11+(Inputs!$B$14/10000))/2,(AX10+(Inputs!$B$14/10000))/2))^(2*AW10/365.25)</f>
        <v>2.15935352033534</v>
      </c>
      <c r="AZ10" s="49" t="n">
        <f aca="false">IF(AND(mthbeg&lt;=A10,mthend&gt;=A10),1,0)</f>
        <v>1</v>
      </c>
      <c r="BA10" s="111" t="n">
        <f aca="false">AU10*AZ10</f>
        <v>30</v>
      </c>
      <c r="BC10" s="142" t="n">
        <f aca="false">E10*$D10</f>
        <v>11336605.9817605</v>
      </c>
      <c r="BD10" s="142" t="n">
        <f aca="false">F10*$D10</f>
        <v>11514752.6471882</v>
      </c>
      <c r="BE10" s="142" t="n">
        <f aca="false">G10*$D10</f>
        <v>11514752.6471882</v>
      </c>
      <c r="BF10" s="142" t="n">
        <f aca="false">H10*$D10</f>
        <v>2591224.2244024</v>
      </c>
      <c r="BG10" s="142" t="n">
        <f aca="false">I10*$D10</f>
        <v>2591224.2244024</v>
      </c>
      <c r="BH10" s="142" t="n">
        <f aca="false">J10*$D10</f>
        <v>2591224.2244024</v>
      </c>
      <c r="BI10" s="142" t="n">
        <f aca="false">K10*$D10</f>
        <v>0</v>
      </c>
      <c r="BJ10" s="142" t="n">
        <f aca="false">L10*$D10</f>
        <v>0</v>
      </c>
      <c r="BK10" s="142" t="n">
        <f aca="false">M10*$D10</f>
        <v>0</v>
      </c>
      <c r="BL10" s="142" t="n">
        <f aca="false">N10*$D10</f>
        <v>37248.8482257845</v>
      </c>
      <c r="BM10" s="142" t="n">
        <f aca="false">O10*$D10</f>
        <v>37248.8482257845</v>
      </c>
      <c r="BN10" s="142" t="n">
        <f aca="false">P10*$D10</f>
        <v>37248.8482257845</v>
      </c>
      <c r="BO10" s="142" t="n">
        <f aca="false">Q10*$D10</f>
        <v>16195.151402515</v>
      </c>
      <c r="BP10" s="142" t="n">
        <f aca="false">R10*$D10</f>
        <v>0</v>
      </c>
      <c r="BQ10" s="142" t="n">
        <f aca="false">S10*$D10</f>
        <v>0</v>
      </c>
      <c r="BR10" s="142" t="n">
        <f aca="false">U10*$D10</f>
        <v>14105976.8715906</v>
      </c>
      <c r="BS10" s="142" t="n">
        <f aca="false">AA10*$D10</f>
        <v>11552001.495414</v>
      </c>
      <c r="BT10" s="142" t="n">
        <f aca="false">AI10*$D10</f>
        <v>194341.81683018</v>
      </c>
      <c r="BU10" s="142" t="n">
        <f aca="false">AK10*D10</f>
        <v>2359633.55934644</v>
      </c>
    </row>
    <row r="11" customFormat="false" ht="12.75" hidden="false" customHeight="false" outlineLevel="0" collapsed="false">
      <c r="A11" s="144" t="n">
        <f aca="false">EDATE(A10,1)</f>
        <v>38169</v>
      </c>
      <c r="B11" s="145" t="n">
        <f aca="false">Inputs!$B$8</f>
        <v>50000</v>
      </c>
      <c r="C11" s="146" t="n">
        <f aca="false">IF(AZ11=0,0,IF(AND(AZ11=1,$H$3=1),B11*AU11,IF($H$3=2,B11,"N/A")))</f>
        <v>1550000</v>
      </c>
      <c r="D11" s="146" t="n">
        <f aca="false">C11*AY11</f>
        <v>3371308.45551245</v>
      </c>
      <c r="E11" s="147" t="n">
        <f aca="false">VLOOKUP($A11,[1]!CurveTable,MATCH($E$4,[1]!CurveType,0))</f>
        <v>3.545</v>
      </c>
      <c r="F11" s="148" t="n">
        <f aca="false">E11-Inputs!$B$16</f>
        <v>3.6</v>
      </c>
      <c r="G11" s="149" t="n">
        <f aca="false">F11</f>
        <v>3.6</v>
      </c>
      <c r="H11" s="147" t="n">
        <f aca="false">VLOOKUP($A11,[1]!CurveTable,MATCH($H$4,[1]!CurveType,0))</f>
        <v>1</v>
      </c>
      <c r="I11" s="148" t="n">
        <f aca="false">H11+Inputs!$B$22</f>
        <v>1</v>
      </c>
      <c r="J11" s="150" t="n">
        <f aca="false">I11</f>
        <v>1</v>
      </c>
      <c r="K11" s="147" t="n">
        <f aca="false">VLOOKUP($A11,[1]!CurveTable,MATCH($K$4,[1]!CurveType,0))</f>
        <v>0</v>
      </c>
      <c r="L11" s="148" t="n">
        <v>0</v>
      </c>
      <c r="M11" s="151" t="n">
        <f aca="false">L11</f>
        <v>0</v>
      </c>
      <c r="N11" s="147" t="n">
        <f aca="false">VLOOKUP($A11,[1]!CurveTable,MATCH($N$4,[1]!CurveType,0))</f>
        <v>0.009</v>
      </c>
      <c r="O11" s="148" t="n">
        <f aca="false">N11+Inputs!$E$22</f>
        <v>0.009</v>
      </c>
      <c r="P11" s="151" t="n">
        <f aca="false">O11</f>
        <v>0.009</v>
      </c>
      <c r="Q11" s="147" t="n">
        <f aca="false">VLOOKUP($A11,[1]!CurveTable,MATCH($Q$4,[1]!CurveType,0))</f>
        <v>0.005</v>
      </c>
      <c r="R11" s="148" t="n">
        <v>0</v>
      </c>
      <c r="S11" s="151" t="n">
        <f aca="false">R11</f>
        <v>0</v>
      </c>
      <c r="T11" s="152"/>
      <c r="U11" s="153" t="n">
        <f aca="false">G11+J11</f>
        <v>4.6</v>
      </c>
      <c r="V11" s="154"/>
      <c r="W11" s="155" t="n">
        <f aca="false">VLOOKUP($A11,[1]!CurveTable,MATCH($W$4,[1]!CurveType,0))+$W$9</f>
        <v>0.605</v>
      </c>
      <c r="X11" s="155" t="n">
        <f aca="false">VLOOKUP($A11,[1]!CurveTable,MATCH($X$4,[1]!CurveType,0))+$X$9</f>
        <v>0.61</v>
      </c>
      <c r="Y11" s="139" t="n">
        <f aca="false">SQRT((X11^2*($A11-$C$3)+W11^2*(DAY(EOMONTH(A11,0))/2))/$AN11)</f>
        <v>0.608186142759758</v>
      </c>
      <c r="Z11" s="152"/>
      <c r="AA11" s="153" t="n">
        <f aca="false">G11+P11+S11</f>
        <v>3.609</v>
      </c>
      <c r="AB11" s="154"/>
      <c r="AC11" s="155" t="n">
        <f aca="false">VLOOKUP($A11,[1]!CurveTable,MATCH($AC$4,[1]!CurveType,0))+$AC$9</f>
        <v>0.3025</v>
      </c>
      <c r="AD11" s="155" t="n">
        <f aca="false">VLOOKUP($A11,[1]!CurveTable,MATCH($AD$4,[1]!CurveType,0))+$AD$9</f>
        <v>0.3075</v>
      </c>
      <c r="AE11" s="139" t="n">
        <f aca="false">SQRT((AD11^2*($A11-$C$3)+AC11^2*(DAY(EOMONTH(A11,0))/2))/$AN11)</f>
        <v>0.306590526512105</v>
      </c>
      <c r="AF11" s="152"/>
      <c r="AG11" s="156" t="n">
        <f aca="false">((Inputs!$F$20*(X11*AD11)*(A11-$C$3))+(Inputs!$F$19*W11*AC11*(DAY(EOMONTH(A11,0))/2)))/(AN11*Y11*AE11)</f>
        <v>0.75000004891084</v>
      </c>
      <c r="AH11" s="152"/>
      <c r="AI11" s="140" t="n">
        <f aca="false">Inputs!$B$15</f>
        <v>0.06</v>
      </c>
      <c r="AJ11" s="157"/>
      <c r="AK11" s="140" t="n">
        <f aca="false">IF((U11-AA11-AI11)&lt;0,0,(U11-AA11-AI11))</f>
        <v>0.931</v>
      </c>
      <c r="AL11" s="157"/>
      <c r="AM11" s="158" t="n">
        <f aca="false">WORKDAY(EOMONTH(A11-1,-1),0)</f>
        <v>38138</v>
      </c>
      <c r="AN11" s="159" t="n">
        <f aca="false">AM11-$C$3</f>
        <v>-7788</v>
      </c>
      <c r="AO11" s="159" t="n">
        <f aca="false">AO10</f>
        <v>1</v>
      </c>
      <c r="AP11" s="160"/>
      <c r="AQ11" s="161" t="e">
        <f aca="false">SPRDOPT(U11,AA11,AI11,AX11,X11,AD11,AG11,AN11,AO11,0)</f>
        <v>#NAME?</v>
      </c>
      <c r="AR11" s="162" t="e">
        <f aca="false">AQ11*C11</f>
        <v>#NAME?</v>
      </c>
      <c r="AS11" s="163" t="e">
        <f aca="false">AQ11-AK11</f>
        <v>#NAME?</v>
      </c>
      <c r="AU11" s="112" t="n">
        <f aca="false">A12-A11</f>
        <v>31</v>
      </c>
      <c r="AV11" s="164" t="n">
        <f aca="false">CHOOSE(F$3,A12+24,A11+14)</f>
        <v>38183</v>
      </c>
      <c r="AW11" s="49" t="n">
        <f aca="false">AV11-C$3</f>
        <v>-7743</v>
      </c>
      <c r="AX11" s="155" t="n">
        <f aca="false">VLOOKUP($A11,[1]!CurveTable,MATCH(AX$4,[1]!CurveType,0))</f>
        <v>0.0369924836168933</v>
      </c>
      <c r="AY11" s="165" t="n">
        <f aca="false">1/(1+CHOOSE(F$3,(AX12+(Inputs!$B$14/10000))/2,(AX11+(Inputs!$B$14/10000))/2))^(2*AW11/365.25)</f>
        <v>2.17503771323384</v>
      </c>
      <c r="AZ11" s="49" t="n">
        <f aca="false">IF(AND(mthbeg&lt;=A11,mthend&gt;=A11),1,0)</f>
        <v>1</v>
      </c>
      <c r="BA11" s="111" t="n">
        <f aca="false">AU11*AZ11</f>
        <v>31</v>
      </c>
      <c r="BC11" s="142" t="n">
        <f aca="false">E11*$D11</f>
        <v>11951288.4747916</v>
      </c>
      <c r="BD11" s="142" t="n">
        <f aca="false">F11*$D11</f>
        <v>12136710.4398448</v>
      </c>
      <c r="BE11" s="142" t="n">
        <f aca="false">G11*$D11</f>
        <v>12136710.4398448</v>
      </c>
      <c r="BF11" s="142" t="n">
        <f aca="false">H11*$D11</f>
        <v>3371308.45551245</v>
      </c>
      <c r="BG11" s="142" t="n">
        <f aca="false">I11*$D11</f>
        <v>3371308.45551245</v>
      </c>
      <c r="BH11" s="142" t="n">
        <f aca="false">J11*$D11</f>
        <v>3371308.45551245</v>
      </c>
      <c r="BI11" s="142" t="n">
        <f aca="false">K11*$D11</f>
        <v>0</v>
      </c>
      <c r="BJ11" s="142" t="n">
        <f aca="false">L11*$D11</f>
        <v>0</v>
      </c>
      <c r="BK11" s="142" t="n">
        <f aca="false">M11*$D11</f>
        <v>0</v>
      </c>
      <c r="BL11" s="142" t="n">
        <f aca="false">N11*$D11</f>
        <v>30341.7760996121</v>
      </c>
      <c r="BM11" s="142" t="n">
        <f aca="false">O11*$D11</f>
        <v>30341.7760996121</v>
      </c>
      <c r="BN11" s="142" t="n">
        <f aca="false">P11*$D11</f>
        <v>30341.7760996121</v>
      </c>
      <c r="BO11" s="142" t="n">
        <f aca="false">Q11*$D11</f>
        <v>16856.5422775623</v>
      </c>
      <c r="BP11" s="142" t="n">
        <f aca="false">R11*$D11</f>
        <v>0</v>
      </c>
      <c r="BQ11" s="142" t="n">
        <f aca="false">S11*$D11</f>
        <v>0</v>
      </c>
      <c r="BR11" s="142" t="n">
        <f aca="false">U11*$D11</f>
        <v>15508018.8953573</v>
      </c>
      <c r="BS11" s="142" t="n">
        <f aca="false">AA11*$D11</f>
        <v>12167052.2159444</v>
      </c>
      <c r="BT11" s="142" t="n">
        <f aca="false">AI11*$D11</f>
        <v>202278.507330747</v>
      </c>
      <c r="BU11" s="142" t="n">
        <f aca="false">AK11*D11</f>
        <v>3138688.17208209</v>
      </c>
    </row>
    <row r="12" customFormat="false" ht="12.75" hidden="false" customHeight="false" outlineLevel="0" collapsed="false">
      <c r="A12" s="144" t="n">
        <f aca="false">EDATE(A11,1)</f>
        <v>38200</v>
      </c>
      <c r="B12" s="145" t="n">
        <f aca="false">Inputs!$B$8</f>
        <v>50000</v>
      </c>
      <c r="C12" s="146" t="n">
        <f aca="false">IF(AZ12=0,0,IF(AND(AZ12=1,$H$3=1),B12*AU12,IF($H$3=2,B12,"N/A")))</f>
        <v>1550000</v>
      </c>
      <c r="D12" s="146" t="n">
        <f aca="false">C12*AY12</f>
        <v>3394869.0357902</v>
      </c>
      <c r="E12" s="147" t="n">
        <f aca="false">VLOOKUP($A12,[1]!CurveTable,MATCH($E$4,[1]!CurveType,0))</f>
        <v>3.583</v>
      </c>
      <c r="F12" s="148" t="n">
        <f aca="false">E12-Inputs!$B$16</f>
        <v>3.638</v>
      </c>
      <c r="G12" s="149" t="n">
        <f aca="false">F12</f>
        <v>3.638</v>
      </c>
      <c r="H12" s="147" t="n">
        <f aca="false">VLOOKUP($A12,[1]!CurveTable,MATCH($H$4,[1]!CurveType,0))</f>
        <v>1</v>
      </c>
      <c r="I12" s="148" t="n">
        <f aca="false">H12+Inputs!$B$22</f>
        <v>1</v>
      </c>
      <c r="J12" s="150" t="n">
        <f aca="false">I12</f>
        <v>1</v>
      </c>
      <c r="K12" s="147" t="n">
        <f aca="false">VLOOKUP($A12,[1]!CurveTable,MATCH($K$4,[1]!CurveType,0))</f>
        <v>0</v>
      </c>
      <c r="L12" s="148" t="n">
        <v>0</v>
      </c>
      <c r="M12" s="151" t="n">
        <f aca="false">L12</f>
        <v>0</v>
      </c>
      <c r="N12" s="147" t="n">
        <f aca="false">VLOOKUP($A12,[1]!CurveTable,MATCH($N$4,[1]!CurveType,0))</f>
        <v>0.0065</v>
      </c>
      <c r="O12" s="148" t="n">
        <f aca="false">N12+Inputs!$E$22</f>
        <v>0.0065</v>
      </c>
      <c r="P12" s="151" t="n">
        <f aca="false">O12</f>
        <v>0.0065</v>
      </c>
      <c r="Q12" s="147" t="n">
        <f aca="false">VLOOKUP($A12,[1]!CurveTable,MATCH($Q$4,[1]!CurveType,0))</f>
        <v>0.005</v>
      </c>
      <c r="R12" s="148" t="n">
        <v>0</v>
      </c>
      <c r="S12" s="151" t="n">
        <f aca="false">R12</f>
        <v>0</v>
      </c>
      <c r="T12" s="152"/>
      <c r="U12" s="153" t="n">
        <f aca="false">G12+J12</f>
        <v>4.638</v>
      </c>
      <c r="V12" s="154"/>
      <c r="W12" s="155" t="n">
        <f aca="false">VLOOKUP($A12,[1]!CurveTable,MATCH($W$4,[1]!CurveType,0))+$W$9</f>
        <v>0.605</v>
      </c>
      <c r="X12" s="155" t="n">
        <f aca="false">VLOOKUP($A12,[1]!CurveTable,MATCH($X$4,[1]!CurveType,0))+$X$9</f>
        <v>0.61</v>
      </c>
      <c r="Y12" s="139" t="n">
        <f aca="false">SQRT((X12^2*($A12-$C$3)+W12^2*(DAY(EOMONTH(A12,0))/2))/$AN12)</f>
        <v>0.608139684876112</v>
      </c>
      <c r="Z12" s="152"/>
      <c r="AA12" s="153" t="n">
        <f aca="false">G12+P12+S12</f>
        <v>3.6445</v>
      </c>
      <c r="AB12" s="154"/>
      <c r="AC12" s="155" t="n">
        <f aca="false">VLOOKUP($A12,[1]!CurveTable,MATCH($AC$4,[1]!CurveType,0))+$AC$9</f>
        <v>0.3025</v>
      </c>
      <c r="AD12" s="155" t="n">
        <f aca="false">VLOOKUP($A12,[1]!CurveTable,MATCH($AD$4,[1]!CurveType,0))+$AD$9</f>
        <v>0.3075</v>
      </c>
      <c r="AE12" s="139" t="n">
        <f aca="false">SQRT((AD12^2*($A12-$C$3)+AC12^2*(DAY(EOMONTH(A12,0))/2))/$AN12)</f>
        <v>0.306567126449435</v>
      </c>
      <c r="AF12" s="152"/>
      <c r="AG12" s="156" t="n">
        <f aca="false">((Inputs!$F$20*(X12*AD12)*(A12-$C$3))+(Inputs!$F$19*W12*AC12*(DAY(EOMONTH(A12,0))/2)))/(AN12*Y12*AE12)</f>
        <v>0.750000049107861</v>
      </c>
      <c r="AH12" s="152"/>
      <c r="AI12" s="140" t="n">
        <f aca="false">Inputs!$B$15</f>
        <v>0.06</v>
      </c>
      <c r="AJ12" s="157"/>
      <c r="AK12" s="140" t="n">
        <f aca="false">IF((U12-AA12-AI12)&lt;0,0,(U12-AA12-AI12))</f>
        <v>0.9335</v>
      </c>
      <c r="AL12" s="157"/>
      <c r="AM12" s="158" t="n">
        <f aca="false">WORKDAY(EOMONTH(A12-1,-1),0)</f>
        <v>38168</v>
      </c>
      <c r="AN12" s="159" t="n">
        <f aca="false">AM12-$C$3</f>
        <v>-7758</v>
      </c>
      <c r="AO12" s="159" t="n">
        <f aca="false">AO11</f>
        <v>1</v>
      </c>
      <c r="AP12" s="160"/>
      <c r="AQ12" s="161" t="e">
        <f aca="false">SPRDOPT(U12,AA12,AI12,AX12,X12,AD12,AG12,AN12,AO12,0)</f>
        <v>#NAME?</v>
      </c>
      <c r="AR12" s="162" t="e">
        <f aca="false">AQ12*C12</f>
        <v>#NAME?</v>
      </c>
      <c r="AS12" s="163" t="e">
        <f aca="false">AQ12-AK12</f>
        <v>#NAME?</v>
      </c>
      <c r="AU12" s="112" t="n">
        <f aca="false">A13-A12</f>
        <v>31</v>
      </c>
      <c r="AV12" s="164" t="n">
        <f aca="false">CHOOSE(F$3,A13+24,A12+14)</f>
        <v>38214</v>
      </c>
      <c r="AW12" s="49" t="n">
        <f aca="false">AV12-C$3</f>
        <v>-7712</v>
      </c>
      <c r="AX12" s="155" t="n">
        <f aca="false">VLOOKUP($A12,[1]!CurveTable,MATCH(AX$4,[1]!CurveType,0))</f>
        <v>0.0374785437604142</v>
      </c>
      <c r="AY12" s="165" t="n">
        <f aca="false">1/(1+CHOOSE(F$3,(AX13+(Inputs!$B$14/10000))/2,(AX12+(Inputs!$B$14/10000))/2))^(2*AW12/365.25)</f>
        <v>2.19023808760658</v>
      </c>
      <c r="AZ12" s="49" t="n">
        <f aca="false">IF(AND(mthbeg&lt;=A12,mthend&gt;=A12),1,0)</f>
        <v>1</v>
      </c>
      <c r="BA12" s="111" t="n">
        <f aca="false">AU12*AZ12</f>
        <v>31</v>
      </c>
      <c r="BC12" s="142" t="n">
        <f aca="false">E12*$D12</f>
        <v>12163815.7552363</v>
      </c>
      <c r="BD12" s="142" t="n">
        <f aca="false">F12*$D12</f>
        <v>12350533.5522047</v>
      </c>
      <c r="BE12" s="142" t="n">
        <f aca="false">G12*$D12</f>
        <v>12350533.5522047</v>
      </c>
      <c r="BF12" s="142" t="n">
        <f aca="false">H12*$D12</f>
        <v>3394869.0357902</v>
      </c>
      <c r="BG12" s="142" t="n">
        <f aca="false">I12*$D12</f>
        <v>3394869.0357902</v>
      </c>
      <c r="BH12" s="142" t="n">
        <f aca="false">J12*$D12</f>
        <v>3394869.0357902</v>
      </c>
      <c r="BI12" s="142" t="n">
        <f aca="false">K12*$D12</f>
        <v>0</v>
      </c>
      <c r="BJ12" s="142" t="n">
        <f aca="false">L12*$D12</f>
        <v>0</v>
      </c>
      <c r="BK12" s="142" t="n">
        <f aca="false">M12*$D12</f>
        <v>0</v>
      </c>
      <c r="BL12" s="142" t="n">
        <f aca="false">N12*$D12</f>
        <v>22066.6487326363</v>
      </c>
      <c r="BM12" s="142" t="n">
        <f aca="false">O12*$D12</f>
        <v>22066.6487326363</v>
      </c>
      <c r="BN12" s="142" t="n">
        <f aca="false">P12*$D12</f>
        <v>22066.6487326363</v>
      </c>
      <c r="BO12" s="142" t="n">
        <f aca="false">Q12*$D12</f>
        <v>16974.345178951</v>
      </c>
      <c r="BP12" s="142" t="n">
        <f aca="false">R12*$D12</f>
        <v>0</v>
      </c>
      <c r="BQ12" s="142" t="n">
        <f aca="false">S12*$D12</f>
        <v>0</v>
      </c>
      <c r="BR12" s="142" t="n">
        <f aca="false">U12*$D12</f>
        <v>15745402.5879949</v>
      </c>
      <c r="BS12" s="142" t="n">
        <f aca="false">AA12*$D12</f>
        <v>12372600.2009374</v>
      </c>
      <c r="BT12" s="142" t="n">
        <f aca="false">AI12*$D12</f>
        <v>203692.142147412</v>
      </c>
      <c r="BU12" s="142" t="n">
        <f aca="false">AK12*D12</f>
        <v>3169110.24491015</v>
      </c>
    </row>
    <row r="13" customFormat="false" ht="12.75" hidden="false" customHeight="false" outlineLevel="0" collapsed="false">
      <c r="A13" s="144" t="n">
        <f aca="false">EDATE(A12,1)</f>
        <v>38231</v>
      </c>
      <c r="B13" s="145" t="n">
        <f aca="false">Inputs!$B$8</f>
        <v>50000</v>
      </c>
      <c r="C13" s="146" t="n">
        <f aca="false">IF(AZ13=0,0,IF(AND(AZ13=1,$H$3=1),B13*AU13,IF($H$3=2,B13,"N/A")))</f>
        <v>1500000</v>
      </c>
      <c r="D13" s="146" t="n">
        <f aca="false">C13*AY13</f>
        <v>3308041.16339359</v>
      </c>
      <c r="E13" s="147" t="n">
        <f aca="false">VLOOKUP($A13,[1]!CurveTable,MATCH($E$4,[1]!CurveType,0))</f>
        <v>3.577</v>
      </c>
      <c r="F13" s="148" t="n">
        <f aca="false">E13-Inputs!$B$16</f>
        <v>3.632</v>
      </c>
      <c r="G13" s="149" t="n">
        <f aca="false">F13</f>
        <v>3.632</v>
      </c>
      <c r="H13" s="147" t="n">
        <f aca="false">VLOOKUP($A13,[1]!CurveTable,MATCH($H$4,[1]!CurveType,0))</f>
        <v>0.65</v>
      </c>
      <c r="I13" s="148" t="n">
        <f aca="false">H13+Inputs!$B$22</f>
        <v>0.65</v>
      </c>
      <c r="J13" s="150" t="n">
        <f aca="false">I13</f>
        <v>0.65</v>
      </c>
      <c r="K13" s="147" t="n">
        <f aca="false">VLOOKUP($A13,[1]!CurveTable,MATCH($K$4,[1]!CurveType,0))</f>
        <v>0</v>
      </c>
      <c r="L13" s="148" t="n">
        <v>0</v>
      </c>
      <c r="M13" s="151" t="n">
        <f aca="false">L13</f>
        <v>0</v>
      </c>
      <c r="N13" s="147" t="n">
        <f aca="false">VLOOKUP($A13,[1]!CurveTable,MATCH($N$4,[1]!CurveType,0))</f>
        <v>0.0065</v>
      </c>
      <c r="O13" s="148" t="n">
        <f aca="false">N13+Inputs!$E$22</f>
        <v>0.0065</v>
      </c>
      <c r="P13" s="151" t="n">
        <f aca="false">O13</f>
        <v>0.0065</v>
      </c>
      <c r="Q13" s="147" t="n">
        <f aca="false">VLOOKUP($A13,[1]!CurveTable,MATCH($Q$4,[1]!CurveType,0))</f>
        <v>0.005</v>
      </c>
      <c r="R13" s="148" t="n">
        <v>0</v>
      </c>
      <c r="S13" s="151" t="n">
        <f aca="false">R13</f>
        <v>0</v>
      </c>
      <c r="T13" s="152"/>
      <c r="U13" s="153" t="n">
        <f aca="false">G13+J13</f>
        <v>4.282</v>
      </c>
      <c r="V13" s="154"/>
      <c r="W13" s="155" t="n">
        <f aca="false">VLOOKUP($A13,[1]!CurveTable,MATCH($W$4,[1]!CurveType,0))+$W$9</f>
        <v>0.605</v>
      </c>
      <c r="X13" s="155" t="n">
        <f aca="false">VLOOKUP($A13,[1]!CurveTable,MATCH($X$4,[1]!CurveType,0))+$X$9</f>
        <v>0.61</v>
      </c>
      <c r="Y13" s="139" t="n">
        <f aca="false">SQRT((X13^2*($A13-$C$3)+W13^2*(DAY(EOMONTH(A13,0))/2))/$AN13)</f>
        <v>0.608151683095484</v>
      </c>
      <c r="Z13" s="152"/>
      <c r="AA13" s="153" t="n">
        <f aca="false">G13+P13+S13</f>
        <v>3.6385</v>
      </c>
      <c r="AB13" s="154"/>
      <c r="AC13" s="155" t="n">
        <f aca="false">VLOOKUP($A13,[1]!CurveTable,MATCH($AC$4,[1]!CurveType,0))+$AC$9</f>
        <v>0.3025</v>
      </c>
      <c r="AD13" s="155" t="n">
        <f aca="false">VLOOKUP($A13,[1]!CurveTable,MATCH($AD$4,[1]!CurveType,0))+$AD$9</f>
        <v>0.3075</v>
      </c>
      <c r="AE13" s="139" t="n">
        <f aca="false">SQRT((AD13^2*($A13-$C$3)+AC13^2*(DAY(EOMONTH(A13,0))/2))/$AN13)</f>
        <v>0.30657303536463</v>
      </c>
      <c r="AF13" s="152"/>
      <c r="AG13" s="156" t="n">
        <f aca="false">((Inputs!$F$20*(X13*AD13)*(A13-$C$3))+(Inputs!$F$19*W13*AC13*(DAY(EOMONTH(A13,0))/2)))/(AN13*Y13*AE13)</f>
        <v>0.750000047709882</v>
      </c>
      <c r="AH13" s="152"/>
      <c r="AI13" s="140" t="n">
        <f aca="false">Inputs!$B$15</f>
        <v>0.06</v>
      </c>
      <c r="AJ13" s="157"/>
      <c r="AK13" s="140" t="n">
        <f aca="false">IF((U13-AA13-AI13)&lt;0,0,(U13-AA13-AI13))</f>
        <v>0.5835</v>
      </c>
      <c r="AL13" s="157"/>
      <c r="AM13" s="158" t="n">
        <f aca="false">WORKDAY(EOMONTH(A13-1,-1),0)</f>
        <v>38199</v>
      </c>
      <c r="AN13" s="159" t="n">
        <f aca="false">AM13-$C$3</f>
        <v>-7727</v>
      </c>
      <c r="AO13" s="159" t="n">
        <f aca="false">AO12</f>
        <v>1</v>
      </c>
      <c r="AP13" s="160"/>
      <c r="AQ13" s="161" t="e">
        <f aca="false">SPRDOPT(U13,AA13,AI13,AX13,X13,AD13,AG13,AN13,AO13,0)</f>
        <v>#NAME?</v>
      </c>
      <c r="AR13" s="162" t="e">
        <f aca="false">AQ13*C13</f>
        <v>#NAME?</v>
      </c>
      <c r="AS13" s="163" t="e">
        <f aca="false">AQ13-AK13</f>
        <v>#NAME?</v>
      </c>
      <c r="AU13" s="112" t="n">
        <f aca="false">A14-A13</f>
        <v>30</v>
      </c>
      <c r="AV13" s="164" t="n">
        <f aca="false">CHOOSE(F$3,A14+24,A13+14)</f>
        <v>38245</v>
      </c>
      <c r="AW13" s="49" t="n">
        <f aca="false">AV13-C$3</f>
        <v>-7681</v>
      </c>
      <c r="AX13" s="155" t="n">
        <f aca="false">VLOOKUP($A13,[1]!CurveTable,MATCH(AX$4,[1]!CurveType,0))</f>
        <v>0.0379646039833008</v>
      </c>
      <c r="AY13" s="165" t="n">
        <f aca="false">1/(1+CHOOSE(F$3,(AX14+(Inputs!$B$14/10000))/2,(AX13+(Inputs!$B$14/10000))/2))^(2*AW13/365.25)</f>
        <v>2.20536077559573</v>
      </c>
      <c r="AZ13" s="49" t="n">
        <f aca="false">IF(AND(mthbeg&lt;=A13,mthend&gt;=A13),1,0)</f>
        <v>1</v>
      </c>
      <c r="BA13" s="111" t="n">
        <f aca="false">AU13*AZ13</f>
        <v>30</v>
      </c>
      <c r="BC13" s="142" t="n">
        <f aca="false">E13*$D13</f>
        <v>11832863.2414589</v>
      </c>
      <c r="BD13" s="142" t="n">
        <f aca="false">F13*$D13</f>
        <v>12014805.5054455</v>
      </c>
      <c r="BE13" s="142" t="n">
        <f aca="false">G13*$D13</f>
        <v>12014805.5054455</v>
      </c>
      <c r="BF13" s="142" t="n">
        <f aca="false">H13*$D13</f>
        <v>2150226.75620583</v>
      </c>
      <c r="BG13" s="142" t="n">
        <f aca="false">I13*$D13</f>
        <v>2150226.75620583</v>
      </c>
      <c r="BH13" s="142" t="n">
        <f aca="false">J13*$D13</f>
        <v>2150226.75620583</v>
      </c>
      <c r="BI13" s="142" t="n">
        <f aca="false">K13*$D13</f>
        <v>0</v>
      </c>
      <c r="BJ13" s="142" t="n">
        <f aca="false">L13*$D13</f>
        <v>0</v>
      </c>
      <c r="BK13" s="142" t="n">
        <f aca="false">M13*$D13</f>
        <v>0</v>
      </c>
      <c r="BL13" s="142" t="n">
        <f aca="false">N13*$D13</f>
        <v>21502.2675620583</v>
      </c>
      <c r="BM13" s="142" t="n">
        <f aca="false">O13*$D13</f>
        <v>21502.2675620583</v>
      </c>
      <c r="BN13" s="142" t="n">
        <f aca="false">P13*$D13</f>
        <v>21502.2675620583</v>
      </c>
      <c r="BO13" s="142" t="n">
        <f aca="false">Q13*$D13</f>
        <v>16540.2058169679</v>
      </c>
      <c r="BP13" s="142" t="n">
        <f aca="false">R13*$D13</f>
        <v>0</v>
      </c>
      <c r="BQ13" s="142" t="n">
        <f aca="false">S13*$D13</f>
        <v>0</v>
      </c>
      <c r="BR13" s="142" t="n">
        <f aca="false">U13*$D13</f>
        <v>14165032.2616513</v>
      </c>
      <c r="BS13" s="142" t="n">
        <f aca="false">AA13*$D13</f>
        <v>12036307.7730076</v>
      </c>
      <c r="BT13" s="142" t="n">
        <f aca="false">AI13*$D13</f>
        <v>198482.469803615</v>
      </c>
      <c r="BU13" s="142" t="n">
        <f aca="false">AK13*D13</f>
        <v>1930242.01884016</v>
      </c>
    </row>
    <row r="14" customFormat="false" ht="12.75" hidden="false" customHeight="false" outlineLevel="0" collapsed="false">
      <c r="A14" s="144" t="n">
        <f aca="false">EDATE(A13,1)</f>
        <v>38261</v>
      </c>
      <c r="B14" s="145" t="n">
        <f aca="false">Inputs!$B$8</f>
        <v>50000</v>
      </c>
      <c r="C14" s="146" t="n">
        <f aca="false">IF(AZ14=0,0,IF(AND(AZ14=1,$H$3=1),B14*AU14,IF($H$3=2,B14,"N/A")))</f>
        <v>1550000</v>
      </c>
      <c r="D14" s="146" t="n">
        <f aca="false">C14*AY14</f>
        <v>3439551.41921618</v>
      </c>
      <c r="E14" s="147" t="n">
        <f aca="false">VLOOKUP($A14,[1]!CurveTable,MATCH($E$4,[1]!CurveType,0))</f>
        <v>3.577</v>
      </c>
      <c r="F14" s="148" t="n">
        <f aca="false">E14-Inputs!$B$16</f>
        <v>3.632</v>
      </c>
      <c r="G14" s="149" t="n">
        <f aca="false">F14</f>
        <v>3.632</v>
      </c>
      <c r="H14" s="147" t="n">
        <f aca="false">VLOOKUP($A14,[1]!CurveTable,MATCH($H$4,[1]!CurveType,0))</f>
        <v>0.35</v>
      </c>
      <c r="I14" s="148" t="n">
        <f aca="false">H14+Inputs!$B$22</f>
        <v>0.35</v>
      </c>
      <c r="J14" s="150" t="n">
        <f aca="false">I14</f>
        <v>0.35</v>
      </c>
      <c r="K14" s="147" t="n">
        <f aca="false">VLOOKUP($A14,[1]!CurveTable,MATCH($K$4,[1]!CurveType,0))</f>
        <v>0</v>
      </c>
      <c r="L14" s="148" t="n">
        <v>0</v>
      </c>
      <c r="M14" s="151" t="n">
        <f aca="false">L14</f>
        <v>0</v>
      </c>
      <c r="N14" s="147" t="n">
        <f aca="false">VLOOKUP($A14,[1]!CurveTable,MATCH($N$4,[1]!CurveType,0))</f>
        <v>0.0065</v>
      </c>
      <c r="O14" s="148" t="n">
        <f aca="false">N14+Inputs!$E$22</f>
        <v>0.0065</v>
      </c>
      <c r="P14" s="151" t="n">
        <f aca="false">O14</f>
        <v>0.0065</v>
      </c>
      <c r="Q14" s="147" t="n">
        <f aca="false">VLOOKUP($A14,[1]!CurveTable,MATCH($Q$4,[1]!CurveType,0))</f>
        <v>0.005</v>
      </c>
      <c r="R14" s="148" t="n">
        <v>0</v>
      </c>
      <c r="S14" s="151" t="n">
        <f aca="false">R14</f>
        <v>0</v>
      </c>
      <c r="T14" s="152"/>
      <c r="U14" s="153" t="n">
        <f aca="false">G14+J14</f>
        <v>3.982</v>
      </c>
      <c r="V14" s="154"/>
      <c r="W14" s="155" t="n">
        <f aca="false">VLOOKUP($A14,[1]!CurveTable,MATCH($W$4,[1]!CurveType,0))+$W$9</f>
        <v>0.3025</v>
      </c>
      <c r="X14" s="155" t="n">
        <f aca="false">VLOOKUP($A14,[1]!CurveTable,MATCH($X$4,[1]!CurveType,0))+$X$9</f>
        <v>0.3075</v>
      </c>
      <c r="Y14" s="139" t="n">
        <f aca="false">SQRT((X14^2*($A14-$C$3)+W14^2*(DAY(EOMONTH(A14,0))/2))/$AN14)</f>
        <v>0.306579638108907</v>
      </c>
      <c r="Z14" s="152"/>
      <c r="AA14" s="153" t="n">
        <f aca="false">G14+P14+S14</f>
        <v>3.6385</v>
      </c>
      <c r="AB14" s="154"/>
      <c r="AC14" s="155" t="n">
        <f aca="false">VLOOKUP($A14,[1]!CurveTable,MATCH($AC$4,[1]!CurveType,0))+$AC$9</f>
        <v>0.3025</v>
      </c>
      <c r="AD14" s="155" t="n">
        <f aca="false">VLOOKUP($A14,[1]!CurveTable,MATCH($AD$4,[1]!CurveType,0))+$AD$9</f>
        <v>0.3075</v>
      </c>
      <c r="AE14" s="139" t="n">
        <f aca="false">SQRT((AD14^2*($A14-$C$3)+AC14^2*(DAY(EOMONTH(A14,0))/2))/$AN14)</f>
        <v>0.306579638108907</v>
      </c>
      <c r="AF14" s="152"/>
      <c r="AG14" s="156" t="n">
        <f aca="false">((Inputs!$F$20*(X14*AD14)*(A14-$C$3))+(Inputs!$F$19*W14*AC14*(DAY(EOMONTH(A14,0))/2)))/(AN14*Y14*AE14)</f>
        <v>0.75</v>
      </c>
      <c r="AH14" s="152"/>
      <c r="AI14" s="140" t="n">
        <f aca="false">Inputs!$B$15</f>
        <v>0.06</v>
      </c>
      <c r="AJ14" s="157"/>
      <c r="AK14" s="140" t="n">
        <f aca="false">IF((U14-AA14-AI14)&lt;0,0,(U14-AA14-AI14))</f>
        <v>0.2835</v>
      </c>
      <c r="AL14" s="157"/>
      <c r="AM14" s="158" t="n">
        <f aca="false">WORKDAY(EOMONTH(A14-1,-1),0)</f>
        <v>38230</v>
      </c>
      <c r="AN14" s="159" t="n">
        <f aca="false">AM14-$C$3</f>
        <v>-7696</v>
      </c>
      <c r="AO14" s="159" t="n">
        <f aca="false">AO13</f>
        <v>1</v>
      </c>
      <c r="AP14" s="160"/>
      <c r="AQ14" s="161" t="e">
        <f aca="false">SPRDOPT(U14,AA14,AI14,AX14,X14,AD14,AG14,AN14,AO14,0)</f>
        <v>#NAME?</v>
      </c>
      <c r="AR14" s="162" t="e">
        <f aca="false">AQ14*C14</f>
        <v>#NAME?</v>
      </c>
      <c r="AS14" s="163" t="e">
        <f aca="false">AQ14-AK14</f>
        <v>#NAME?</v>
      </c>
      <c r="AU14" s="112" t="n">
        <f aca="false">A15-A14</f>
        <v>31</v>
      </c>
      <c r="AV14" s="164" t="n">
        <f aca="false">CHOOSE(F$3,A15+24,A14+14)</f>
        <v>38275</v>
      </c>
      <c r="AW14" s="49" t="n">
        <f aca="false">AV14-C$3</f>
        <v>-7651</v>
      </c>
      <c r="AX14" s="155" t="n">
        <f aca="false">VLOOKUP($A14,[1]!CurveTable,MATCH(AX$4,[1]!CurveType,0))</f>
        <v>0.038416276345083</v>
      </c>
      <c r="AY14" s="165" t="n">
        <f aca="false">1/(1+CHOOSE(F$3,(AX15+(Inputs!$B$14/10000))/2,(AX14+(Inputs!$B$14/10000))/2))^(2*AW14/365.25)</f>
        <v>2.21906543175238</v>
      </c>
      <c r="AZ14" s="49" t="n">
        <f aca="false">IF(AND(mthbeg&lt;=A14,mthend&gt;=A14),1,0)</f>
        <v>1</v>
      </c>
      <c r="BA14" s="111" t="n">
        <f aca="false">AU14*AZ14</f>
        <v>31</v>
      </c>
      <c r="BC14" s="142" t="n">
        <f aca="false">E14*$D14</f>
        <v>12303275.4265363</v>
      </c>
      <c r="BD14" s="142" t="n">
        <f aca="false">F14*$D14</f>
        <v>12492450.7545932</v>
      </c>
      <c r="BE14" s="142" t="n">
        <f aca="false">G14*$D14</f>
        <v>12492450.7545932</v>
      </c>
      <c r="BF14" s="142" t="n">
        <f aca="false">H14*$D14</f>
        <v>1203842.99672566</v>
      </c>
      <c r="BG14" s="142" t="n">
        <f aca="false">I14*$D14</f>
        <v>1203842.99672566</v>
      </c>
      <c r="BH14" s="142" t="n">
        <f aca="false">J14*$D14</f>
        <v>1203842.99672566</v>
      </c>
      <c r="BI14" s="142" t="n">
        <f aca="false">K14*$D14</f>
        <v>0</v>
      </c>
      <c r="BJ14" s="142" t="n">
        <f aca="false">L14*$D14</f>
        <v>0</v>
      </c>
      <c r="BK14" s="142" t="n">
        <f aca="false">M14*$D14</f>
        <v>0</v>
      </c>
      <c r="BL14" s="142" t="n">
        <f aca="false">N14*$D14</f>
        <v>22357.0842249052</v>
      </c>
      <c r="BM14" s="142" t="n">
        <f aca="false">O14*$D14</f>
        <v>22357.0842249052</v>
      </c>
      <c r="BN14" s="142" t="n">
        <f aca="false">P14*$D14</f>
        <v>22357.0842249052</v>
      </c>
      <c r="BO14" s="142" t="n">
        <f aca="false">Q14*$D14</f>
        <v>17197.7570960809</v>
      </c>
      <c r="BP14" s="142" t="n">
        <f aca="false">R14*$D14</f>
        <v>0</v>
      </c>
      <c r="BQ14" s="142" t="n">
        <f aca="false">S14*$D14</f>
        <v>0</v>
      </c>
      <c r="BR14" s="142" t="n">
        <f aca="false">U14*$D14</f>
        <v>13696293.7513188</v>
      </c>
      <c r="BS14" s="142" t="n">
        <f aca="false">AA14*$D14</f>
        <v>12514807.8388181</v>
      </c>
      <c r="BT14" s="142" t="n">
        <f aca="false">AI14*$D14</f>
        <v>206373.085152971</v>
      </c>
      <c r="BU14" s="142" t="n">
        <f aca="false">AK14*D14</f>
        <v>975112.827347788</v>
      </c>
    </row>
    <row r="15" customFormat="false" ht="12.75" hidden="false" customHeight="false" outlineLevel="0" collapsed="false">
      <c r="A15" s="144" t="n">
        <f aca="false">EDATE(A14,1)</f>
        <v>38292</v>
      </c>
      <c r="B15" s="145" t="n">
        <f aca="false">Inputs!$B$8</f>
        <v>50000</v>
      </c>
      <c r="C15" s="146" t="n">
        <f aca="false">IF(AZ15=0,0,IF(AND(AZ15=1,$H$3=1),B15*AU15,IF($H$3=2,B15,"N/A")))</f>
        <v>1500000</v>
      </c>
      <c r="D15" s="146" t="n">
        <f aca="false">C15*AY15</f>
        <v>3348478.70335284</v>
      </c>
      <c r="E15" s="147" t="n">
        <f aca="false">VLOOKUP($A15,[1]!CurveTable,MATCH($E$4,[1]!CurveType,0))</f>
        <v>3.725</v>
      </c>
      <c r="F15" s="148" t="n">
        <f aca="false">E15-Inputs!$B$16</f>
        <v>3.78</v>
      </c>
      <c r="G15" s="149" t="n">
        <f aca="false">F15</f>
        <v>3.78</v>
      </c>
      <c r="H15" s="147" t="n">
        <f aca="false">VLOOKUP($A15,[1]!CurveTable,MATCH($H$4,[1]!CurveType,0))</f>
        <v>0.27</v>
      </c>
      <c r="I15" s="148" t="n">
        <f aca="false">H15+Inputs!$B$22</f>
        <v>0.27</v>
      </c>
      <c r="J15" s="150" t="n">
        <f aca="false">I15</f>
        <v>0.27</v>
      </c>
      <c r="K15" s="147" t="n">
        <f aca="false">VLOOKUP($A15,[1]!CurveTable,MATCH($K$4,[1]!CurveType,0))</f>
        <v>0</v>
      </c>
      <c r="L15" s="148" t="n">
        <v>0</v>
      </c>
      <c r="M15" s="151" t="n">
        <f aca="false">L15</f>
        <v>0</v>
      </c>
      <c r="N15" s="147" t="n">
        <f aca="false">VLOOKUP($A15,[1]!CurveTable,MATCH($N$4,[1]!CurveType,0))</f>
        <v>0.006</v>
      </c>
      <c r="O15" s="148" t="n">
        <f aca="false">N15+Inputs!$E$22</f>
        <v>0.006</v>
      </c>
      <c r="P15" s="151" t="n">
        <f aca="false">O15</f>
        <v>0.006</v>
      </c>
      <c r="Q15" s="147" t="n">
        <f aca="false">VLOOKUP($A15,[1]!CurveTable,MATCH($Q$4,[1]!CurveType,0))</f>
        <v>0.0075</v>
      </c>
      <c r="R15" s="148" t="n">
        <v>0</v>
      </c>
      <c r="S15" s="151" t="n">
        <f aca="false">R15</f>
        <v>0</v>
      </c>
      <c r="T15" s="152"/>
      <c r="U15" s="153" t="n">
        <f aca="false">G15+J15</f>
        <v>4.05</v>
      </c>
      <c r="V15" s="154"/>
      <c r="W15" s="155" t="n">
        <f aca="false">VLOOKUP($A15,[1]!CurveTable,MATCH($W$4,[1]!CurveType,0))+$W$9</f>
        <v>0.3025</v>
      </c>
      <c r="X15" s="155" t="n">
        <f aca="false">VLOOKUP($A15,[1]!CurveTable,MATCH($X$4,[1]!CurveType,0))+$X$9</f>
        <v>0.3075</v>
      </c>
      <c r="Y15" s="139" t="n">
        <f aca="false">SQRT((X15^2*($A15-$C$3)+W15^2*(DAY(EOMONTH(A15,0))/2))/$AN15)</f>
        <v>0.306565648068712</v>
      </c>
      <c r="Z15" s="152"/>
      <c r="AA15" s="153" t="n">
        <f aca="false">G15+P15+S15</f>
        <v>3.786</v>
      </c>
      <c r="AB15" s="154"/>
      <c r="AC15" s="155" t="n">
        <f aca="false">VLOOKUP($A15,[1]!CurveTable,MATCH($AC$4,[1]!CurveType,0))+$AC$9</f>
        <v>0.3025</v>
      </c>
      <c r="AD15" s="155" t="n">
        <f aca="false">VLOOKUP($A15,[1]!CurveTable,MATCH($AD$4,[1]!CurveType,0))+$AD$9</f>
        <v>0.3075</v>
      </c>
      <c r="AE15" s="139" t="n">
        <f aca="false">SQRT((AD15^2*($A15-$C$3)+AC15^2*(DAY(EOMONTH(A15,0))/2))/$AN15)</f>
        <v>0.306565648068712</v>
      </c>
      <c r="AF15" s="152"/>
      <c r="AG15" s="156" t="n">
        <f aca="false">((Inputs!$F$20*(X15*AD15)*(A15-$C$3))+(Inputs!$F$19*W15*AC15*(DAY(EOMONTH(A15,0))/2)))/(AN15*Y15*AE15)</f>
        <v>0.75</v>
      </c>
      <c r="AH15" s="152"/>
      <c r="AI15" s="140" t="n">
        <f aca="false">Inputs!$B$15</f>
        <v>0.06</v>
      </c>
      <c r="AJ15" s="157"/>
      <c r="AK15" s="140" t="n">
        <f aca="false">IF((U15-AA15-AI15)&lt;0,0,(U15-AA15-AI15))</f>
        <v>0.204000000000001</v>
      </c>
      <c r="AL15" s="157"/>
      <c r="AM15" s="158" t="n">
        <f aca="false">WORKDAY(EOMONTH(A15-1,-1),0)</f>
        <v>38260</v>
      </c>
      <c r="AN15" s="159" t="n">
        <f aca="false">AM15-$C$3</f>
        <v>-7666</v>
      </c>
      <c r="AO15" s="159" t="n">
        <f aca="false">AO14</f>
        <v>1</v>
      </c>
      <c r="AP15" s="160"/>
      <c r="AQ15" s="161" t="e">
        <f aca="false">SPRDOPT(U15,AA15,AI15,AX15,X15,AD15,AG15,AN15,AO15,0)</f>
        <v>#NAME?</v>
      </c>
      <c r="AR15" s="162" t="e">
        <f aca="false">AQ15*C15</f>
        <v>#NAME?</v>
      </c>
      <c r="AS15" s="163" t="e">
        <f aca="false">AQ15-AK15</f>
        <v>#NAME?</v>
      </c>
      <c r="AU15" s="112" t="n">
        <f aca="false">A16-A15</f>
        <v>30</v>
      </c>
      <c r="AV15" s="164" t="n">
        <f aca="false">CHOOSE(F$3,A16+24,A15+14)</f>
        <v>38306</v>
      </c>
      <c r="AW15" s="49" t="n">
        <f aca="false">AV15-C$3</f>
        <v>-7620</v>
      </c>
      <c r="AX15" s="155" t="n">
        <f aca="false">VLOOKUP($A15,[1]!CurveTable,MATCH(AX$4,[1]!CurveType,0))</f>
        <v>0.038865022537725</v>
      </c>
      <c r="AY15" s="165" t="n">
        <f aca="false">1/(1+CHOOSE(F$3,(AX16+(Inputs!$B$14/10000))/2,(AX15+(Inputs!$B$14/10000))/2))^(2*AW15/365.25)</f>
        <v>2.23231913556856</v>
      </c>
      <c r="AZ15" s="49" t="n">
        <f aca="false">IF(AND(mthbeg&lt;=A15,mthend&gt;=A15),1,0)</f>
        <v>1</v>
      </c>
      <c r="BA15" s="111" t="n">
        <f aca="false">AU15*AZ15</f>
        <v>30</v>
      </c>
      <c r="BC15" s="142" t="n">
        <f aca="false">E15*$D15</f>
        <v>12473083.1699893</v>
      </c>
      <c r="BD15" s="142" t="n">
        <f aca="false">F15*$D15</f>
        <v>12657249.4986738</v>
      </c>
      <c r="BE15" s="142" t="n">
        <f aca="false">G15*$D15</f>
        <v>12657249.4986738</v>
      </c>
      <c r="BF15" s="142" t="n">
        <f aca="false">H15*$D15</f>
        <v>904089.249905268</v>
      </c>
      <c r="BG15" s="142" t="n">
        <f aca="false">I15*$D15</f>
        <v>904089.249905268</v>
      </c>
      <c r="BH15" s="142" t="n">
        <f aca="false">J15*$D15</f>
        <v>904089.249905268</v>
      </c>
      <c r="BI15" s="142" t="n">
        <f aca="false">K15*$D15</f>
        <v>0</v>
      </c>
      <c r="BJ15" s="142" t="n">
        <f aca="false">L15*$D15</f>
        <v>0</v>
      </c>
      <c r="BK15" s="142" t="n">
        <f aca="false">M15*$D15</f>
        <v>0</v>
      </c>
      <c r="BL15" s="142" t="n">
        <f aca="false">N15*$D15</f>
        <v>20090.8722201171</v>
      </c>
      <c r="BM15" s="142" t="n">
        <f aca="false">O15*$D15</f>
        <v>20090.8722201171</v>
      </c>
      <c r="BN15" s="142" t="n">
        <f aca="false">P15*$D15</f>
        <v>20090.8722201171</v>
      </c>
      <c r="BO15" s="142" t="n">
        <f aca="false">Q15*$D15</f>
        <v>25113.5902751463</v>
      </c>
      <c r="BP15" s="142" t="n">
        <f aca="false">R15*$D15</f>
        <v>0</v>
      </c>
      <c r="BQ15" s="142" t="n">
        <f aca="false">S15*$D15</f>
        <v>0</v>
      </c>
      <c r="BR15" s="142" t="n">
        <f aca="false">U15*$D15</f>
        <v>13561338.748579</v>
      </c>
      <c r="BS15" s="142" t="n">
        <f aca="false">AA15*$D15</f>
        <v>12677340.3708939</v>
      </c>
      <c r="BT15" s="142" t="n">
        <f aca="false">AI15*$D15</f>
        <v>200908.722201171</v>
      </c>
      <c r="BU15" s="142" t="n">
        <f aca="false">AK15*D15</f>
        <v>683089.655483982</v>
      </c>
    </row>
    <row r="16" customFormat="false" ht="12.75" hidden="false" customHeight="false" outlineLevel="0" collapsed="false">
      <c r="A16" s="144" t="n">
        <f aca="false">EDATE(A15,1)</f>
        <v>38322</v>
      </c>
      <c r="B16" s="145" t="n">
        <f aca="false">Inputs!$B$8</f>
        <v>50000</v>
      </c>
      <c r="C16" s="146" t="n">
        <f aca="false">IF(AZ16=0,0,IF(AND(AZ16=1,$H$3=1),B16*AU16,IF($H$3=2,B16,"N/A")))</f>
        <v>1550000</v>
      </c>
      <c r="D16" s="146" t="n">
        <f aca="false">C16*AY16</f>
        <v>3479837.75886492</v>
      </c>
      <c r="E16" s="147" t="n">
        <f aca="false">VLOOKUP($A16,[1]!CurveTable,MATCH($E$4,[1]!CurveType,0))</f>
        <v>3.877</v>
      </c>
      <c r="F16" s="148" t="n">
        <f aca="false">E16-Inputs!$B$16</f>
        <v>3.932</v>
      </c>
      <c r="G16" s="149" t="n">
        <f aca="false">F16</f>
        <v>3.932</v>
      </c>
      <c r="H16" s="147" t="n">
        <f aca="false">VLOOKUP($A16,[1]!CurveTable,MATCH($H$4,[1]!CurveType,0))</f>
        <v>0.25</v>
      </c>
      <c r="I16" s="148" t="n">
        <f aca="false">H16+Inputs!$B$22</f>
        <v>0.25</v>
      </c>
      <c r="J16" s="150" t="n">
        <f aca="false">I16</f>
        <v>0.25</v>
      </c>
      <c r="K16" s="147" t="n">
        <f aca="false">VLOOKUP($A16,[1]!CurveTable,MATCH($K$4,[1]!CurveType,0))</f>
        <v>0</v>
      </c>
      <c r="L16" s="148" t="n">
        <v>0</v>
      </c>
      <c r="M16" s="151" t="n">
        <f aca="false">L16</f>
        <v>0</v>
      </c>
      <c r="N16" s="147" t="n">
        <f aca="false">VLOOKUP($A16,[1]!CurveTable,MATCH($N$4,[1]!CurveType,0))</f>
        <v>0.006</v>
      </c>
      <c r="O16" s="148" t="n">
        <f aca="false">N16+Inputs!$E$22</f>
        <v>0.006</v>
      </c>
      <c r="P16" s="151" t="n">
        <f aca="false">O16</f>
        <v>0.006</v>
      </c>
      <c r="Q16" s="147" t="n">
        <f aca="false">VLOOKUP($A16,[1]!CurveTable,MATCH($Q$4,[1]!CurveType,0))</f>
        <v>0.0075</v>
      </c>
      <c r="R16" s="148" t="n">
        <v>0</v>
      </c>
      <c r="S16" s="151" t="n">
        <f aca="false">R16</f>
        <v>0</v>
      </c>
      <c r="T16" s="152"/>
      <c r="U16" s="153" t="n">
        <f aca="false">G16+J16</f>
        <v>4.182</v>
      </c>
      <c r="V16" s="154"/>
      <c r="W16" s="155" t="n">
        <f aca="false">VLOOKUP($A16,[1]!CurveTable,MATCH($W$4,[1]!CurveType,0))+$W$9</f>
        <v>0.3</v>
      </c>
      <c r="X16" s="155" t="n">
        <f aca="false">VLOOKUP($A16,[1]!CurveTable,MATCH($X$4,[1]!CurveType,0))+$X$9</f>
        <v>0.305</v>
      </c>
      <c r="Y16" s="139" t="n">
        <f aca="false">SQRT((X16^2*($A16-$C$3)+W16^2*(DAY(EOMONTH(A16,0))/2))/$AN16)</f>
        <v>0.304079897645227</v>
      </c>
      <c r="Z16" s="152"/>
      <c r="AA16" s="153" t="n">
        <f aca="false">G16+P16+S16</f>
        <v>3.938</v>
      </c>
      <c r="AB16" s="154"/>
      <c r="AC16" s="155" t="n">
        <f aca="false">VLOOKUP($A16,[1]!CurveTable,MATCH($AC$4,[1]!CurveType,0))+$AC$9</f>
        <v>0.3</v>
      </c>
      <c r="AD16" s="155" t="n">
        <f aca="false">VLOOKUP($A16,[1]!CurveTable,MATCH($AD$4,[1]!CurveType,0))+$AD$9</f>
        <v>0.305</v>
      </c>
      <c r="AE16" s="139" t="n">
        <f aca="false">SQRT((AD16^2*($A16-$C$3)+AC16^2*(DAY(EOMONTH(A16,0))/2))/$AN16)</f>
        <v>0.304079897645227</v>
      </c>
      <c r="AF16" s="152"/>
      <c r="AG16" s="156" t="n">
        <f aca="false">((Inputs!$F$20*(X16*AD16)*(A16-$C$3))+(Inputs!$F$19*W16*AC16*(DAY(EOMONTH(A16,0))/2)))/(AN16*Y16*AE16)</f>
        <v>0.75</v>
      </c>
      <c r="AH16" s="152"/>
      <c r="AI16" s="140" t="n">
        <f aca="false">Inputs!$B$15</f>
        <v>0.06</v>
      </c>
      <c r="AJ16" s="157"/>
      <c r="AK16" s="140" t="n">
        <f aca="false">IF((U16-AA16-AI16)&lt;0,0,(U16-AA16-AI16))</f>
        <v>0.184</v>
      </c>
      <c r="AL16" s="157"/>
      <c r="AM16" s="158" t="n">
        <f aca="false">WORKDAY(EOMONTH(A16-1,-1),0)</f>
        <v>38291</v>
      </c>
      <c r="AN16" s="159" t="n">
        <f aca="false">AM16-$C$3</f>
        <v>-7635</v>
      </c>
      <c r="AO16" s="159" t="n">
        <f aca="false">AO15</f>
        <v>1</v>
      </c>
      <c r="AP16" s="160"/>
      <c r="AQ16" s="161" t="e">
        <f aca="false">SPRDOPT(U16,AA16,AI16,AX16,X16,AD16,AG16,AN16,AO16,0)</f>
        <v>#NAME?</v>
      </c>
      <c r="AR16" s="162" t="e">
        <f aca="false">AQ16*C16</f>
        <v>#NAME?</v>
      </c>
      <c r="AS16" s="163" t="e">
        <f aca="false">AQ16-AK16</f>
        <v>#NAME?</v>
      </c>
      <c r="AU16" s="112" t="n">
        <f aca="false">A17-A16</f>
        <v>31</v>
      </c>
      <c r="AV16" s="164" t="n">
        <f aca="false">CHOOSE(F$3,A17+24,A16+14)</f>
        <v>38336</v>
      </c>
      <c r="AW16" s="49" t="n">
        <f aca="false">AV16-C$3</f>
        <v>-7590</v>
      </c>
      <c r="AX16" s="155" t="n">
        <f aca="false">VLOOKUP($A16,[1]!CurveTable,MATCH(AX$4,[1]!CurveType,0))</f>
        <v>0.0392992931110996</v>
      </c>
      <c r="AY16" s="165" t="n">
        <f aca="false">1/(1+CHOOSE(F$3,(AX17+(Inputs!$B$14/10000))/2,(AX16+(Inputs!$B$14/10000))/2))^(2*AW16/365.25)</f>
        <v>2.24505661862253</v>
      </c>
      <c r="AZ16" s="49" t="n">
        <f aca="false">IF(AND(mthbeg&lt;=A16,mthend&gt;=A16),1,0)</f>
        <v>1</v>
      </c>
      <c r="BA16" s="111" t="n">
        <f aca="false">AU16*AZ16</f>
        <v>31</v>
      </c>
      <c r="BC16" s="142" t="n">
        <f aca="false">E16*$D16</f>
        <v>13491330.9911193</v>
      </c>
      <c r="BD16" s="142" t="n">
        <f aca="false">F16*$D16</f>
        <v>13682722.0678569</v>
      </c>
      <c r="BE16" s="142" t="n">
        <f aca="false">G16*$D16</f>
        <v>13682722.0678569</v>
      </c>
      <c r="BF16" s="142" t="n">
        <f aca="false">H16*$D16</f>
        <v>869959.439716231</v>
      </c>
      <c r="BG16" s="142" t="n">
        <f aca="false">I16*$D16</f>
        <v>869959.439716231</v>
      </c>
      <c r="BH16" s="142" t="n">
        <f aca="false">J16*$D16</f>
        <v>869959.439716231</v>
      </c>
      <c r="BI16" s="142" t="n">
        <f aca="false">K16*$D16</f>
        <v>0</v>
      </c>
      <c r="BJ16" s="142" t="n">
        <f aca="false">L16*$D16</f>
        <v>0</v>
      </c>
      <c r="BK16" s="142" t="n">
        <f aca="false">M16*$D16</f>
        <v>0</v>
      </c>
      <c r="BL16" s="142" t="n">
        <f aca="false">N16*$D16</f>
        <v>20879.0265531895</v>
      </c>
      <c r="BM16" s="142" t="n">
        <f aca="false">O16*$D16</f>
        <v>20879.0265531895</v>
      </c>
      <c r="BN16" s="142" t="n">
        <f aca="false">P16*$D16</f>
        <v>20879.0265531895</v>
      </c>
      <c r="BO16" s="142" t="n">
        <f aca="false">Q16*$D16</f>
        <v>26098.7831914869</v>
      </c>
      <c r="BP16" s="142" t="n">
        <f aca="false">R16*$D16</f>
        <v>0</v>
      </c>
      <c r="BQ16" s="142" t="n">
        <f aca="false">S16*$D16</f>
        <v>0</v>
      </c>
      <c r="BR16" s="142" t="n">
        <f aca="false">U16*$D16</f>
        <v>14552681.5075731</v>
      </c>
      <c r="BS16" s="142" t="n">
        <f aca="false">AA16*$D16</f>
        <v>13703601.0944101</v>
      </c>
      <c r="BT16" s="142" t="n">
        <f aca="false">AI16*$D16</f>
        <v>208790.265531895</v>
      </c>
      <c r="BU16" s="142" t="n">
        <f aca="false">AK16*D16</f>
        <v>640290.147631147</v>
      </c>
    </row>
    <row r="17" customFormat="false" ht="12.75" hidden="false" customHeight="false" outlineLevel="0" collapsed="false">
      <c r="A17" s="144" t="n">
        <f aca="false">EDATE(A16,1)</f>
        <v>38353</v>
      </c>
      <c r="B17" s="145" t="n">
        <f aca="false">Inputs!$B$8</f>
        <v>50000</v>
      </c>
      <c r="C17" s="146" t="n">
        <f aca="false">IF(AZ17=0,0,IF(AND(AZ17=1,$H$3=1),B17*AU17,IF($H$3=2,B17,"N/A")))</f>
        <v>1550000</v>
      </c>
      <c r="D17" s="146" t="n">
        <f aca="false">C17*AY17</f>
        <v>3499270.84212514</v>
      </c>
      <c r="E17" s="147" t="n">
        <f aca="false">VLOOKUP($A17,[1]!CurveTable,MATCH($E$4,[1]!CurveType,0))</f>
        <v>3.937</v>
      </c>
      <c r="F17" s="148" t="n">
        <f aca="false">E17-Inputs!$B$16</f>
        <v>3.992</v>
      </c>
      <c r="G17" s="149" t="n">
        <f aca="false">F17</f>
        <v>3.992</v>
      </c>
      <c r="H17" s="147" t="n">
        <f aca="false">VLOOKUP($A17,[1]!CurveTable,MATCH($H$4,[1]!CurveType,0))</f>
        <v>0.075</v>
      </c>
      <c r="I17" s="148" t="n">
        <f aca="false">H17+Inputs!$B$22</f>
        <v>0.075</v>
      </c>
      <c r="J17" s="150" t="n">
        <f aca="false">I17</f>
        <v>0.075</v>
      </c>
      <c r="K17" s="147" t="n">
        <f aca="false">VLOOKUP($A17,[1]!CurveTable,MATCH($K$4,[1]!CurveType,0))</f>
        <v>0</v>
      </c>
      <c r="L17" s="148" t="n">
        <v>0</v>
      </c>
      <c r="M17" s="151" t="n">
        <f aca="false">L17</f>
        <v>0</v>
      </c>
      <c r="N17" s="147" t="n">
        <f aca="false">VLOOKUP($A17,[1]!CurveTable,MATCH($N$4,[1]!CurveType,0))</f>
        <v>0.006</v>
      </c>
      <c r="O17" s="148" t="n">
        <f aca="false">N17+Inputs!$E$22</f>
        <v>0.006</v>
      </c>
      <c r="P17" s="151" t="n">
        <f aca="false">O17</f>
        <v>0.006</v>
      </c>
      <c r="Q17" s="147" t="n">
        <f aca="false">VLOOKUP($A17,[1]!CurveTable,MATCH($Q$4,[1]!CurveType,0))</f>
        <v>0.0075</v>
      </c>
      <c r="R17" s="148" t="n">
        <v>0</v>
      </c>
      <c r="S17" s="151" t="n">
        <f aca="false">R17</f>
        <v>0</v>
      </c>
      <c r="T17" s="152"/>
      <c r="U17" s="153" t="n">
        <f aca="false">G17+J17</f>
        <v>4.067</v>
      </c>
      <c r="V17" s="154"/>
      <c r="W17" s="155" t="n">
        <f aca="false">VLOOKUP($A17,[1]!CurveTable,MATCH($W$4,[1]!CurveType,0))+$W$9</f>
        <v>0.3</v>
      </c>
      <c r="X17" s="155" t="n">
        <f aca="false">VLOOKUP($A17,[1]!CurveTable,MATCH($X$4,[1]!CurveType,0))+$X$9</f>
        <v>0.305</v>
      </c>
      <c r="Y17" s="139" t="n">
        <f aca="false">SQRT((X17^2*($A17-$C$3)+W17^2*(DAY(EOMONTH(A17,0))/2))/$AN17)</f>
        <v>0.304056148358115</v>
      </c>
      <c r="Z17" s="152"/>
      <c r="AA17" s="153" t="n">
        <f aca="false">G17+P17+S17</f>
        <v>3.998</v>
      </c>
      <c r="AB17" s="154"/>
      <c r="AC17" s="155" t="n">
        <f aca="false">VLOOKUP($A17,[1]!CurveTable,MATCH($AC$4,[1]!CurveType,0))+$AC$9</f>
        <v>0.3</v>
      </c>
      <c r="AD17" s="155" t="n">
        <f aca="false">VLOOKUP($A17,[1]!CurveTable,MATCH($AD$4,[1]!CurveType,0))+$AD$9</f>
        <v>0.305</v>
      </c>
      <c r="AE17" s="139" t="n">
        <f aca="false">SQRT((AD17^2*($A17-$C$3)+AC17^2*(DAY(EOMONTH(A17,0))/2))/$AN17)</f>
        <v>0.304056148358115</v>
      </c>
      <c r="AF17" s="152"/>
      <c r="AG17" s="156" t="n">
        <f aca="false">((Inputs!$F$20*(X17*AD17)*(A17-$C$3))+(Inputs!$F$19*W17*AC17*(DAY(EOMONTH(A17,0))/2)))/(AN17*Y17*AE17)</f>
        <v>0.75</v>
      </c>
      <c r="AH17" s="152"/>
      <c r="AI17" s="140" t="n">
        <f aca="false">Inputs!$B$15</f>
        <v>0.06</v>
      </c>
      <c r="AJ17" s="157"/>
      <c r="AK17" s="140" t="n">
        <f aca="false">IF((U17-AA17-AI17)&lt;0,0,(U17-AA17-AI17))</f>
        <v>0.00899999999999995</v>
      </c>
      <c r="AL17" s="157"/>
      <c r="AM17" s="158" t="n">
        <f aca="false">WORKDAY(EOMONTH(A17-1,-1),0)</f>
        <v>38321</v>
      </c>
      <c r="AN17" s="159" t="n">
        <f aca="false">AM17-$C$3</f>
        <v>-7605</v>
      </c>
      <c r="AO17" s="159" t="n">
        <f aca="false">AO16</f>
        <v>1</v>
      </c>
      <c r="AP17" s="160"/>
      <c r="AQ17" s="161" t="e">
        <f aca="false">SPRDOPT(U17,AA17,AI17,AX17,X17,AD17,AG17,AN17,AO17,0)</f>
        <v>#NAME?</v>
      </c>
      <c r="AR17" s="162" t="e">
        <f aca="false">AQ17*C17</f>
        <v>#NAME?</v>
      </c>
      <c r="AS17" s="163" t="e">
        <f aca="false">AQ17-AK17</f>
        <v>#NAME?</v>
      </c>
      <c r="AU17" s="112" t="n">
        <f aca="false">A18-A17</f>
        <v>31</v>
      </c>
      <c r="AV17" s="164" t="n">
        <f aca="false">CHOOSE(F$3,A18+24,A17+14)</f>
        <v>38367</v>
      </c>
      <c r="AW17" s="49" t="n">
        <f aca="false">AV17-C$3</f>
        <v>-7559</v>
      </c>
      <c r="AX17" s="155" t="n">
        <f aca="false">VLOOKUP($A17,[1]!CurveTable,MATCH(AX$4,[1]!CurveType,0))</f>
        <v>0.0397364606420343</v>
      </c>
      <c r="AY17" s="165" t="n">
        <f aca="false">1/(1+CHOOSE(F$3,(AX18+(Inputs!$B$14/10000))/2,(AX17+(Inputs!$B$14/10000))/2))^(2*AW17/365.25)</f>
        <v>2.25759409169364</v>
      </c>
      <c r="AZ17" s="49" t="n">
        <f aca="false">IF(AND(mthbeg&lt;=A17,mthend&gt;=A17),1,0)</f>
        <v>1</v>
      </c>
      <c r="BA17" s="111" t="n">
        <f aca="false">AU17*AZ17</f>
        <v>31</v>
      </c>
      <c r="BC17" s="142" t="n">
        <f aca="false">E17*$D17</f>
        <v>13776629.3054467</v>
      </c>
      <c r="BD17" s="142" t="n">
        <f aca="false">F17*$D17</f>
        <v>13969089.2017636</v>
      </c>
      <c r="BE17" s="142" t="n">
        <f aca="false">G17*$D17</f>
        <v>13969089.2017636</v>
      </c>
      <c r="BF17" s="142" t="n">
        <f aca="false">H17*$D17</f>
        <v>262445.313159385</v>
      </c>
      <c r="BG17" s="142" t="n">
        <f aca="false">I17*$D17</f>
        <v>262445.313159385</v>
      </c>
      <c r="BH17" s="142" t="n">
        <f aca="false">J17*$D17</f>
        <v>262445.313159385</v>
      </c>
      <c r="BI17" s="142" t="n">
        <f aca="false">K17*$D17</f>
        <v>0</v>
      </c>
      <c r="BJ17" s="142" t="n">
        <f aca="false">L17*$D17</f>
        <v>0</v>
      </c>
      <c r="BK17" s="142" t="n">
        <f aca="false">M17*$D17</f>
        <v>0</v>
      </c>
      <c r="BL17" s="142" t="n">
        <f aca="false">N17*$D17</f>
        <v>20995.6250527508</v>
      </c>
      <c r="BM17" s="142" t="n">
        <f aca="false">O17*$D17</f>
        <v>20995.6250527508</v>
      </c>
      <c r="BN17" s="142" t="n">
        <f aca="false">P17*$D17</f>
        <v>20995.6250527508</v>
      </c>
      <c r="BO17" s="142" t="n">
        <f aca="false">Q17*$D17</f>
        <v>26244.5313159385</v>
      </c>
      <c r="BP17" s="142" t="n">
        <f aca="false">R17*$D17</f>
        <v>0</v>
      </c>
      <c r="BQ17" s="142" t="n">
        <f aca="false">S17*$D17</f>
        <v>0</v>
      </c>
      <c r="BR17" s="142" t="n">
        <f aca="false">U17*$D17</f>
        <v>14231534.5149229</v>
      </c>
      <c r="BS17" s="142" t="n">
        <f aca="false">AA17*$D17</f>
        <v>13990084.8268163</v>
      </c>
      <c r="BT17" s="142" t="n">
        <f aca="false">AI17*$D17</f>
        <v>209956.250527508</v>
      </c>
      <c r="BU17" s="142" t="n">
        <f aca="false">AK17*D17</f>
        <v>31493.4375791261</v>
      </c>
    </row>
    <row r="18" customFormat="false" ht="12.75" hidden="false" customHeight="false" outlineLevel="0" collapsed="false">
      <c r="A18" s="144" t="n">
        <f aca="false">EDATE(A17,1)</f>
        <v>38384</v>
      </c>
      <c r="B18" s="145" t="n">
        <f aca="false">Inputs!$B$8</f>
        <v>50000</v>
      </c>
      <c r="C18" s="146" t="n">
        <f aca="false">IF(AZ18=0,0,IF(AND(AZ18=1,$H$3=1),B18*AU18,IF($H$3=2,B18,"N/A")))</f>
        <v>1400000</v>
      </c>
      <c r="D18" s="146" t="n">
        <f aca="false">C18*AY18</f>
        <v>3177432.6944637</v>
      </c>
      <c r="E18" s="147" t="n">
        <f aca="false">VLOOKUP($A18,[1]!CurveTable,MATCH($E$4,[1]!CurveType,0))</f>
        <v>3.85</v>
      </c>
      <c r="F18" s="148" t="n">
        <f aca="false">E18-Inputs!$B$16</f>
        <v>3.905</v>
      </c>
      <c r="G18" s="149" t="n">
        <f aca="false">F18</f>
        <v>3.905</v>
      </c>
      <c r="H18" s="147" t="n">
        <f aca="false">VLOOKUP($A18,[1]!CurveTable,MATCH($H$4,[1]!CurveType,0))</f>
        <v>0.075</v>
      </c>
      <c r="I18" s="148" t="n">
        <f aca="false">H18+Inputs!$B$22</f>
        <v>0.075</v>
      </c>
      <c r="J18" s="150" t="n">
        <f aca="false">I18</f>
        <v>0.075</v>
      </c>
      <c r="K18" s="147" t="n">
        <f aca="false">VLOOKUP($A18,[1]!CurveTable,MATCH($K$4,[1]!CurveType,0))</f>
        <v>0</v>
      </c>
      <c r="L18" s="148" t="n">
        <v>0</v>
      </c>
      <c r="M18" s="151" t="n">
        <f aca="false">L18</f>
        <v>0</v>
      </c>
      <c r="N18" s="147" t="n">
        <f aca="false">VLOOKUP($A18,[1]!CurveTable,MATCH($N$4,[1]!CurveType,0))</f>
        <v>0.006</v>
      </c>
      <c r="O18" s="148" t="n">
        <f aca="false">N18+Inputs!$E$22</f>
        <v>0.006</v>
      </c>
      <c r="P18" s="151" t="n">
        <f aca="false">O18</f>
        <v>0.006</v>
      </c>
      <c r="Q18" s="147" t="n">
        <f aca="false">VLOOKUP($A18,[1]!CurveTable,MATCH($Q$4,[1]!CurveType,0))</f>
        <v>0.0075</v>
      </c>
      <c r="R18" s="148" t="n">
        <v>0</v>
      </c>
      <c r="S18" s="151" t="n">
        <f aca="false">R18</f>
        <v>0</v>
      </c>
      <c r="T18" s="152"/>
      <c r="U18" s="153" t="n">
        <f aca="false">G18+J18</f>
        <v>3.98</v>
      </c>
      <c r="V18" s="154"/>
      <c r="W18" s="155" t="n">
        <f aca="false">VLOOKUP($A18,[1]!CurveTable,MATCH($W$4,[1]!CurveType,0))+$W$9</f>
        <v>0.2975</v>
      </c>
      <c r="X18" s="155" t="n">
        <f aca="false">VLOOKUP($A18,[1]!CurveTable,MATCH($X$4,[1]!CurveType,0))+$X$9</f>
        <v>0.3025</v>
      </c>
      <c r="Y18" s="139" t="n">
        <f aca="false">SQRT((X18^2*($A18-$C$3)+W18^2*(DAY(EOMONTH(A18,0))/2))/$AN18)</f>
        <v>0.301589191453164</v>
      </c>
      <c r="Z18" s="152"/>
      <c r="AA18" s="153" t="n">
        <f aca="false">G18+P18+S18</f>
        <v>3.911</v>
      </c>
      <c r="AB18" s="154"/>
      <c r="AC18" s="155" t="n">
        <f aca="false">VLOOKUP($A18,[1]!CurveTable,MATCH($AC$4,[1]!CurveType,0))+$AC$9</f>
        <v>0.2975</v>
      </c>
      <c r="AD18" s="155" t="n">
        <f aca="false">VLOOKUP($A18,[1]!CurveTable,MATCH($AD$4,[1]!CurveType,0))+$AD$9</f>
        <v>0.3025</v>
      </c>
      <c r="AE18" s="139" t="n">
        <f aca="false">SQRT((AD18^2*($A18-$C$3)+AC18^2*(DAY(EOMONTH(A18,0))/2))/$AN18)</f>
        <v>0.301589191453164</v>
      </c>
      <c r="AF18" s="152"/>
      <c r="AG18" s="156" t="n">
        <f aca="false">((Inputs!$F$20*(X18*AD18)*(A18-$C$3))+(Inputs!$F$19*W18*AC18*(DAY(EOMONTH(A18,0))/2)))/(AN18*Y18*AE18)</f>
        <v>0.75</v>
      </c>
      <c r="AH18" s="152"/>
      <c r="AI18" s="140" t="n">
        <f aca="false">Inputs!$B$15</f>
        <v>0.06</v>
      </c>
      <c r="AJ18" s="157"/>
      <c r="AK18" s="140" t="n">
        <f aca="false">IF((U18-AA18-AI18)&lt;0,0,(U18-AA18-AI18))</f>
        <v>0.0090000000000004</v>
      </c>
      <c r="AL18" s="157"/>
      <c r="AM18" s="158" t="n">
        <f aca="false">WORKDAY(EOMONTH(A18-1,-1),0)</f>
        <v>38352</v>
      </c>
      <c r="AN18" s="159" t="n">
        <f aca="false">AM18-$C$3</f>
        <v>-7574</v>
      </c>
      <c r="AO18" s="159" t="n">
        <f aca="false">AO17</f>
        <v>1</v>
      </c>
      <c r="AP18" s="160"/>
      <c r="AQ18" s="161" t="e">
        <f aca="false">SPRDOPT(U18,AA18,AI18,AX18,X18,AD18,AG18,AN18,AO18,0)</f>
        <v>#NAME?</v>
      </c>
      <c r="AR18" s="162" t="e">
        <f aca="false">AQ18*C18</f>
        <v>#NAME?</v>
      </c>
      <c r="AS18" s="163" t="e">
        <f aca="false">AQ18-AK18</f>
        <v>#NAME?</v>
      </c>
      <c r="AU18" s="112" t="n">
        <f aca="false">A19-A18</f>
        <v>28</v>
      </c>
      <c r="AV18" s="164" t="n">
        <f aca="false">CHOOSE(F$3,A19+24,A18+14)</f>
        <v>38398</v>
      </c>
      <c r="AW18" s="49" t="n">
        <f aca="false">AV18-C$3</f>
        <v>-7528</v>
      </c>
      <c r="AX18" s="155" t="n">
        <f aca="false">VLOOKUP($A18,[1]!CurveTable,MATCH(AX$4,[1]!CurveType,0))</f>
        <v>0.0401640927577325</v>
      </c>
      <c r="AY18" s="165" t="n">
        <f aca="false">1/(1+CHOOSE(F$3,(AX19+(Inputs!$B$14/10000))/2,(AX18+(Inputs!$B$14/10000))/2))^(2*AW18/365.25)</f>
        <v>2.26959478175979</v>
      </c>
      <c r="AZ18" s="49" t="n">
        <f aca="false">IF(AND(mthbeg&lt;=A18,mthend&gt;=A18),1,0)</f>
        <v>1</v>
      </c>
      <c r="BA18" s="111" t="n">
        <f aca="false">AU18*AZ18</f>
        <v>28</v>
      </c>
      <c r="BC18" s="142" t="n">
        <f aca="false">E18*$D18</f>
        <v>12233115.8736852</v>
      </c>
      <c r="BD18" s="142" t="n">
        <f aca="false">F18*$D18</f>
        <v>12407874.6718808</v>
      </c>
      <c r="BE18" s="142" t="n">
        <f aca="false">G18*$D18</f>
        <v>12407874.6718808</v>
      </c>
      <c r="BF18" s="142" t="n">
        <f aca="false">H18*$D18</f>
        <v>238307.452084778</v>
      </c>
      <c r="BG18" s="142" t="n">
        <f aca="false">I18*$D18</f>
        <v>238307.452084778</v>
      </c>
      <c r="BH18" s="142" t="n">
        <f aca="false">J18*$D18</f>
        <v>238307.452084778</v>
      </c>
      <c r="BI18" s="142" t="n">
        <f aca="false">K18*$D18</f>
        <v>0</v>
      </c>
      <c r="BJ18" s="142" t="n">
        <f aca="false">L18*$D18</f>
        <v>0</v>
      </c>
      <c r="BK18" s="142" t="n">
        <f aca="false">M18*$D18</f>
        <v>0</v>
      </c>
      <c r="BL18" s="142" t="n">
        <f aca="false">N18*$D18</f>
        <v>19064.5961667822</v>
      </c>
      <c r="BM18" s="142" t="n">
        <f aca="false">O18*$D18</f>
        <v>19064.5961667822</v>
      </c>
      <c r="BN18" s="142" t="n">
        <f aca="false">P18*$D18</f>
        <v>19064.5961667822</v>
      </c>
      <c r="BO18" s="142" t="n">
        <f aca="false">Q18*$D18</f>
        <v>23830.7452084778</v>
      </c>
      <c r="BP18" s="142" t="n">
        <f aca="false">R18*$D18</f>
        <v>0</v>
      </c>
      <c r="BQ18" s="142" t="n">
        <f aca="false">S18*$D18</f>
        <v>0</v>
      </c>
      <c r="BR18" s="142" t="n">
        <f aca="false">U18*$D18</f>
        <v>12646182.1239655</v>
      </c>
      <c r="BS18" s="142" t="n">
        <f aca="false">AA18*$D18</f>
        <v>12426939.2680475</v>
      </c>
      <c r="BT18" s="142" t="n">
        <f aca="false">AI18*$D18</f>
        <v>190645.961667822</v>
      </c>
      <c r="BU18" s="142" t="n">
        <f aca="false">AK18*D18</f>
        <v>28596.8942501746</v>
      </c>
    </row>
    <row r="19" customFormat="false" ht="12.75" hidden="false" customHeight="false" outlineLevel="0" collapsed="false">
      <c r="A19" s="144" t="n">
        <f aca="false">EDATE(A18,1)</f>
        <v>38412</v>
      </c>
      <c r="B19" s="145" t="n">
        <f aca="false">Inputs!$B$8</f>
        <v>50000</v>
      </c>
      <c r="C19" s="146" t="n">
        <f aca="false">IF(AZ19=0,0,IF(AND(AZ19=1,$H$3=1),B19*AU19,IF($H$3=2,B19,"N/A")))</f>
        <v>1550000</v>
      </c>
      <c r="D19" s="146" t="n">
        <f aca="false">C19*AY19</f>
        <v>3534536.15819323</v>
      </c>
      <c r="E19" s="147" t="n">
        <f aca="false">VLOOKUP($A19,[1]!CurveTable,MATCH($E$4,[1]!CurveType,0))</f>
        <v>3.711</v>
      </c>
      <c r="F19" s="148" t="n">
        <f aca="false">E19-Inputs!$B$16</f>
        <v>3.766</v>
      </c>
      <c r="G19" s="149" t="n">
        <f aca="false">F19</f>
        <v>3.766</v>
      </c>
      <c r="H19" s="147" t="n">
        <f aca="false">VLOOKUP($A19,[1]!CurveTable,MATCH($H$4,[1]!CurveType,0))</f>
        <v>0.25</v>
      </c>
      <c r="I19" s="148" t="n">
        <f aca="false">H19+Inputs!$B$22</f>
        <v>0.25</v>
      </c>
      <c r="J19" s="150" t="n">
        <f aca="false">I19</f>
        <v>0.25</v>
      </c>
      <c r="K19" s="147" t="n">
        <f aca="false">VLOOKUP($A19,[1]!CurveTable,MATCH($K$4,[1]!CurveType,0))</f>
        <v>0</v>
      </c>
      <c r="L19" s="148" t="n">
        <v>0</v>
      </c>
      <c r="M19" s="151" t="n">
        <f aca="false">L19</f>
        <v>0</v>
      </c>
      <c r="N19" s="147" t="n">
        <f aca="false">VLOOKUP($A19,[1]!CurveTable,MATCH($N$4,[1]!CurveType,0))</f>
        <v>0.006</v>
      </c>
      <c r="O19" s="148" t="n">
        <f aca="false">N19+Inputs!$E$22</f>
        <v>0.006</v>
      </c>
      <c r="P19" s="151" t="n">
        <f aca="false">O19</f>
        <v>0.006</v>
      </c>
      <c r="Q19" s="147" t="n">
        <f aca="false">VLOOKUP($A19,[1]!CurveTable,MATCH($Q$4,[1]!CurveType,0))</f>
        <v>0.0075</v>
      </c>
      <c r="R19" s="148" t="n">
        <v>0</v>
      </c>
      <c r="S19" s="151" t="n">
        <f aca="false">R19</f>
        <v>0</v>
      </c>
      <c r="T19" s="152"/>
      <c r="U19" s="153" t="n">
        <f aca="false">G19+J19</f>
        <v>4.016</v>
      </c>
      <c r="V19" s="154"/>
      <c r="W19" s="155" t="n">
        <f aca="false">VLOOKUP($A19,[1]!CurveTable,MATCH($W$4,[1]!CurveType,0))+$W$9</f>
        <v>0.2825</v>
      </c>
      <c r="X19" s="155" t="n">
        <f aca="false">VLOOKUP($A19,[1]!CurveTable,MATCH($X$4,[1]!CurveType,0))+$X$9</f>
        <v>0.2875</v>
      </c>
      <c r="Y19" s="139" t="n">
        <f aca="false">SQRT((X19^2*($A19-$C$3)+W19^2*(DAY(EOMONTH(A19,0))/2))/$AN19)</f>
        <v>0.286660906111736</v>
      </c>
      <c r="Z19" s="152"/>
      <c r="AA19" s="153" t="n">
        <f aca="false">G19+P19+S19</f>
        <v>3.772</v>
      </c>
      <c r="AB19" s="154"/>
      <c r="AC19" s="155" t="n">
        <f aca="false">VLOOKUP($A19,[1]!CurveTable,MATCH($AC$4,[1]!CurveType,0))+$AC$9</f>
        <v>0.2825</v>
      </c>
      <c r="AD19" s="155" t="n">
        <f aca="false">VLOOKUP($A19,[1]!CurveTable,MATCH($AD$4,[1]!CurveType,0))+$AD$9</f>
        <v>0.2875</v>
      </c>
      <c r="AE19" s="139" t="n">
        <f aca="false">SQRT((AD19^2*($A19-$C$3)+AC19^2*(DAY(EOMONTH(A19,0))/2))/$AN19)</f>
        <v>0.286660906111736</v>
      </c>
      <c r="AF19" s="152"/>
      <c r="AG19" s="156" t="n">
        <f aca="false">((Inputs!$F$20*(X19*AD19)*(A19-$C$3))+(Inputs!$F$19*W19*AC19*(DAY(EOMONTH(A19,0))/2)))/(AN19*Y19*AE19)</f>
        <v>0.75</v>
      </c>
      <c r="AH19" s="152"/>
      <c r="AI19" s="140" t="n">
        <f aca="false">Inputs!$B$15</f>
        <v>0.06</v>
      </c>
      <c r="AJ19" s="157"/>
      <c r="AK19" s="140" t="n">
        <f aca="false">IF((U19-AA19-AI19)&lt;0,0,(U19-AA19-AI19))</f>
        <v>0.184</v>
      </c>
      <c r="AL19" s="157"/>
      <c r="AM19" s="158" t="n">
        <f aca="false">WORKDAY(EOMONTH(A19-1,-1),0)</f>
        <v>38383</v>
      </c>
      <c r="AN19" s="159" t="n">
        <f aca="false">AM19-$C$3</f>
        <v>-7543</v>
      </c>
      <c r="AO19" s="159" t="n">
        <f aca="false">AO18</f>
        <v>1</v>
      </c>
      <c r="AP19" s="160"/>
      <c r="AQ19" s="161" t="e">
        <f aca="false">SPRDOPT(U19,AA19,AI19,AX19,X19,AD19,AG19,AN19,AO19,0)</f>
        <v>#NAME?</v>
      </c>
      <c r="AR19" s="162" t="e">
        <f aca="false">AQ19*C19</f>
        <v>#NAME?</v>
      </c>
      <c r="AS19" s="163" t="e">
        <f aca="false">AQ19-AK19</f>
        <v>#NAME?</v>
      </c>
      <c r="AU19" s="112" t="n">
        <f aca="false">A20-A19</f>
        <v>31</v>
      </c>
      <c r="AV19" s="164" t="n">
        <f aca="false">CHOOSE(F$3,A20+24,A19+14)</f>
        <v>38426</v>
      </c>
      <c r="AW19" s="49" t="n">
        <f aca="false">AV19-C$3</f>
        <v>-7500</v>
      </c>
      <c r="AX19" s="155" t="n">
        <f aca="false">VLOOKUP($A19,[1]!CurveTable,MATCH(AX$4,[1]!CurveType,0))</f>
        <v>0.0405503411730317</v>
      </c>
      <c r="AY19" s="165" t="n">
        <f aca="false">1/(1+CHOOSE(F$3,(AX20+(Inputs!$B$14/10000))/2,(AX19+(Inputs!$B$14/10000))/2))^(2*AW19/365.25)</f>
        <v>2.28034590851176</v>
      </c>
      <c r="AZ19" s="49" t="n">
        <f aca="false">IF(AND(mthbeg&lt;=A19,mthend&gt;=A19),1,0)</f>
        <v>1</v>
      </c>
      <c r="BA19" s="111" t="n">
        <f aca="false">AU19*AZ19</f>
        <v>31</v>
      </c>
      <c r="BC19" s="142" t="n">
        <f aca="false">E19*$D19</f>
        <v>13116663.6830551</v>
      </c>
      <c r="BD19" s="142" t="n">
        <f aca="false">F19*$D19</f>
        <v>13311063.1717557</v>
      </c>
      <c r="BE19" s="142" t="n">
        <f aca="false">G19*$D19</f>
        <v>13311063.1717557</v>
      </c>
      <c r="BF19" s="142" t="n">
        <f aca="false">H19*$D19</f>
        <v>883634.039548309</v>
      </c>
      <c r="BG19" s="142" t="n">
        <f aca="false">I19*$D19</f>
        <v>883634.039548309</v>
      </c>
      <c r="BH19" s="142" t="n">
        <f aca="false">J19*$D19</f>
        <v>883634.039548309</v>
      </c>
      <c r="BI19" s="142" t="n">
        <f aca="false">K19*$D19</f>
        <v>0</v>
      </c>
      <c r="BJ19" s="142" t="n">
        <f aca="false">L19*$D19</f>
        <v>0</v>
      </c>
      <c r="BK19" s="142" t="n">
        <f aca="false">M19*$D19</f>
        <v>0</v>
      </c>
      <c r="BL19" s="142" t="n">
        <f aca="false">N19*$D19</f>
        <v>21207.2169491594</v>
      </c>
      <c r="BM19" s="142" t="n">
        <f aca="false">O19*$D19</f>
        <v>21207.2169491594</v>
      </c>
      <c r="BN19" s="142" t="n">
        <f aca="false">P19*$D19</f>
        <v>21207.2169491594</v>
      </c>
      <c r="BO19" s="142" t="n">
        <f aca="false">Q19*$D19</f>
        <v>26509.0211864493</v>
      </c>
      <c r="BP19" s="142" t="n">
        <f aca="false">R19*$D19</f>
        <v>0</v>
      </c>
      <c r="BQ19" s="142" t="n">
        <f aca="false">S19*$D19</f>
        <v>0</v>
      </c>
      <c r="BR19" s="142" t="n">
        <f aca="false">U19*$D19</f>
        <v>14194697.211304</v>
      </c>
      <c r="BS19" s="142" t="n">
        <f aca="false">AA19*$D19</f>
        <v>13332270.3887049</v>
      </c>
      <c r="BT19" s="142" t="n">
        <f aca="false">AI19*$D19</f>
        <v>212072.169491594</v>
      </c>
      <c r="BU19" s="142" t="n">
        <f aca="false">AK19*D19</f>
        <v>650354.653107554</v>
      </c>
    </row>
    <row r="20" customFormat="false" ht="12.75" hidden="false" customHeight="false" outlineLevel="0" collapsed="false">
      <c r="A20" s="144" t="n">
        <f aca="false">EDATE(A19,1)</f>
        <v>38443</v>
      </c>
      <c r="B20" s="145" t="n">
        <f aca="false">Inputs!$B$8</f>
        <v>50000</v>
      </c>
      <c r="C20" s="146" t="n">
        <f aca="false">IF(AZ20=0,0,IF(AND(AZ20=1,$H$3=1),B20*AU20,IF($H$3=2,B20,"N/A")))</f>
        <v>1500000</v>
      </c>
      <c r="D20" s="146" t="n">
        <f aca="false">C20*AY20</f>
        <v>3436226.47466074</v>
      </c>
      <c r="E20" s="147" t="n">
        <f aca="false">VLOOKUP($A20,[1]!CurveTable,MATCH($E$4,[1]!CurveType,0))</f>
        <v>3.557</v>
      </c>
      <c r="F20" s="148" t="n">
        <f aca="false">E20-Inputs!$B$16</f>
        <v>3.612</v>
      </c>
      <c r="G20" s="149" t="n">
        <f aca="false">F20</f>
        <v>3.612</v>
      </c>
      <c r="H20" s="147" t="n">
        <f aca="false">VLOOKUP($A20,[1]!CurveTable,MATCH($H$4,[1]!CurveType,0))</f>
        <v>0.6</v>
      </c>
      <c r="I20" s="148" t="n">
        <f aca="false">H20+Inputs!$B$22</f>
        <v>0.6</v>
      </c>
      <c r="J20" s="150" t="n">
        <f aca="false">I20</f>
        <v>0.6</v>
      </c>
      <c r="K20" s="147" t="n">
        <f aca="false">VLOOKUP($A20,[1]!CurveTable,MATCH($K$4,[1]!CurveType,0))</f>
        <v>0</v>
      </c>
      <c r="L20" s="148" t="n">
        <v>0</v>
      </c>
      <c r="M20" s="151" t="n">
        <f aca="false">L20</f>
        <v>0</v>
      </c>
      <c r="N20" s="147" t="n">
        <f aca="false">VLOOKUP($A20,[1]!CurveTable,MATCH($N$4,[1]!CurveType,0))</f>
        <v>0.01</v>
      </c>
      <c r="O20" s="148" t="n">
        <f aca="false">N20+Inputs!$E$22</f>
        <v>0.01</v>
      </c>
      <c r="P20" s="151" t="n">
        <f aca="false">O20</f>
        <v>0.01</v>
      </c>
      <c r="Q20" s="147" t="n">
        <f aca="false">VLOOKUP($A20,[1]!CurveTable,MATCH($Q$4,[1]!CurveType,0))</f>
        <v>0.0075</v>
      </c>
      <c r="R20" s="148" t="n">
        <v>0</v>
      </c>
      <c r="S20" s="151" t="n">
        <f aca="false">R20</f>
        <v>0</v>
      </c>
      <c r="T20" s="152"/>
      <c r="U20" s="153" t="n">
        <f aca="false">G20+J20</f>
        <v>4.212</v>
      </c>
      <c r="V20" s="154"/>
      <c r="W20" s="155" t="n">
        <f aca="false">VLOOKUP($A20,[1]!CurveTable,MATCH($W$4,[1]!CurveType,0))+$W$9</f>
        <v>0.27</v>
      </c>
      <c r="X20" s="155" t="n">
        <f aca="false">VLOOKUP($A20,[1]!CurveTable,MATCH($X$4,[1]!CurveType,0))+$X$9</f>
        <v>0.275</v>
      </c>
      <c r="Y20" s="139" t="n">
        <f aca="false">SQRT((X20^2*($A20-$C$3)+W20^2*(DAY(EOMONTH(A20,0))/2))/$AN20)</f>
        <v>0.274148624648274</v>
      </c>
      <c r="Z20" s="152"/>
      <c r="AA20" s="153" t="n">
        <f aca="false">G20+P20+S20</f>
        <v>3.622</v>
      </c>
      <c r="AB20" s="154"/>
      <c r="AC20" s="155" t="n">
        <f aca="false">VLOOKUP($A20,[1]!CurveTable,MATCH($AC$4,[1]!CurveType,0))+$AC$9</f>
        <v>0.27</v>
      </c>
      <c r="AD20" s="155" t="n">
        <f aca="false">VLOOKUP($A20,[1]!CurveTable,MATCH($AD$4,[1]!CurveType,0))+$AD$9</f>
        <v>0.275</v>
      </c>
      <c r="AE20" s="139" t="n">
        <f aca="false">SQRT((AD20^2*($A20-$C$3)+AC20^2*(DAY(EOMONTH(A20,0))/2))/$AN20)</f>
        <v>0.274148624648274</v>
      </c>
      <c r="AF20" s="152"/>
      <c r="AG20" s="156" t="n">
        <f aca="false">((Inputs!$F$20*(X20*AD20)*(A20-$C$3))+(Inputs!$F$19*W20*AC20*(DAY(EOMONTH(A20,0))/2)))/(AN20*Y20*AE20)</f>
        <v>0.75</v>
      </c>
      <c r="AH20" s="152"/>
      <c r="AI20" s="140" t="n">
        <f aca="false">Inputs!$B$15</f>
        <v>0.06</v>
      </c>
      <c r="AJ20" s="157"/>
      <c r="AK20" s="140" t="n">
        <f aca="false">IF((U20-AA20-AI20)&lt;0,0,(U20-AA20-AI20))</f>
        <v>0.53</v>
      </c>
      <c r="AL20" s="157"/>
      <c r="AM20" s="158" t="n">
        <f aca="false">WORKDAY(EOMONTH(A20-1,-1),0)</f>
        <v>38411</v>
      </c>
      <c r="AN20" s="159" t="n">
        <f aca="false">AM20-$C$3</f>
        <v>-7515</v>
      </c>
      <c r="AO20" s="159" t="n">
        <f aca="false">AO19</f>
        <v>1</v>
      </c>
      <c r="AP20" s="160"/>
      <c r="AQ20" s="161" t="e">
        <f aca="false">SPRDOPT(U20,AA20,AI20,AX20,X20,AD20,AG20,AN20,AO20,0)</f>
        <v>#NAME?</v>
      </c>
      <c r="AR20" s="162" t="e">
        <f aca="false">AQ20*C20</f>
        <v>#NAME?</v>
      </c>
      <c r="AS20" s="163" t="e">
        <f aca="false">AQ20-AK20</f>
        <v>#NAME?</v>
      </c>
      <c r="AU20" s="112" t="n">
        <f aca="false">A21-A20</f>
        <v>30</v>
      </c>
      <c r="AV20" s="164" t="n">
        <f aca="false">CHOOSE(F$3,A21+24,A20+14)</f>
        <v>38457</v>
      </c>
      <c r="AW20" s="49" t="n">
        <f aca="false">AV20-C$3</f>
        <v>-7469</v>
      </c>
      <c r="AX20" s="155" t="n">
        <f aca="false">VLOOKUP($A20,[1]!CurveTable,MATCH(AX$4,[1]!CurveType,0))</f>
        <v>0.0409489742755182</v>
      </c>
      <c r="AY20" s="165" t="n">
        <f aca="false">1/(1+CHOOSE(F$3,(AX21+(Inputs!$B$14/10000))/2,(AX20+(Inputs!$B$14/10000))/2))^(2*AW20/365.25)</f>
        <v>2.29081764977383</v>
      </c>
      <c r="AZ20" s="49" t="n">
        <f aca="false">IF(AND(mthbeg&lt;=A20,mthend&gt;=A20),1,0)</f>
        <v>1</v>
      </c>
      <c r="BA20" s="111" t="n">
        <f aca="false">AU20*AZ20</f>
        <v>30</v>
      </c>
      <c r="BC20" s="142" t="n">
        <f aca="false">E20*$D20</f>
        <v>12222657.5703683</v>
      </c>
      <c r="BD20" s="142" t="n">
        <f aca="false">F20*$D20</f>
        <v>12411650.0264746</v>
      </c>
      <c r="BE20" s="142" t="n">
        <f aca="false">G20*$D20</f>
        <v>12411650.0264746</v>
      </c>
      <c r="BF20" s="142" t="n">
        <f aca="false">H20*$D20</f>
        <v>2061735.88479644</v>
      </c>
      <c r="BG20" s="142" t="n">
        <f aca="false">I20*$D20</f>
        <v>2061735.88479644</v>
      </c>
      <c r="BH20" s="142" t="n">
        <f aca="false">J20*$D20</f>
        <v>2061735.88479644</v>
      </c>
      <c r="BI20" s="142" t="n">
        <f aca="false">K20*$D20</f>
        <v>0</v>
      </c>
      <c r="BJ20" s="142" t="n">
        <f aca="false">L20*$D20</f>
        <v>0</v>
      </c>
      <c r="BK20" s="142" t="n">
        <f aca="false">M20*$D20</f>
        <v>0</v>
      </c>
      <c r="BL20" s="142" t="n">
        <f aca="false">N20*$D20</f>
        <v>34362.2647466074</v>
      </c>
      <c r="BM20" s="142" t="n">
        <f aca="false">O20*$D20</f>
        <v>34362.2647466074</v>
      </c>
      <c r="BN20" s="142" t="n">
        <f aca="false">P20*$D20</f>
        <v>34362.2647466074</v>
      </c>
      <c r="BO20" s="142" t="n">
        <f aca="false">Q20*$D20</f>
        <v>25771.6985599556</v>
      </c>
      <c r="BP20" s="142" t="n">
        <f aca="false">R20*$D20</f>
        <v>0</v>
      </c>
      <c r="BQ20" s="142" t="n">
        <f aca="false">S20*$D20</f>
        <v>0</v>
      </c>
      <c r="BR20" s="142" t="n">
        <f aca="false">U20*$D20</f>
        <v>14473385.911271</v>
      </c>
      <c r="BS20" s="142" t="n">
        <f aca="false">AA20*$D20</f>
        <v>12446012.2912212</v>
      </c>
      <c r="BT20" s="142" t="n">
        <f aca="false">AI20*$D20</f>
        <v>206173.588479644</v>
      </c>
      <c r="BU20" s="142" t="n">
        <f aca="false">AK20*D20</f>
        <v>1821200.03157019</v>
      </c>
    </row>
    <row r="21" customFormat="false" ht="12.75" hidden="false" customHeight="false" outlineLevel="0" collapsed="false">
      <c r="A21" s="144" t="n">
        <f aca="false">EDATE(A20,1)</f>
        <v>38473</v>
      </c>
      <c r="B21" s="145" t="n">
        <f aca="false">Inputs!$B$8</f>
        <v>50000</v>
      </c>
      <c r="C21" s="146" t="n">
        <f aca="false">IF(AZ21=0,0,IF(AND(AZ21=1,$H$3=1),B21*AU21,IF($H$3=2,B21,"N/A")))</f>
        <v>1550000</v>
      </c>
      <c r="D21" s="146" t="n">
        <f aca="false">C21*AY21</f>
        <v>3564519.43122356</v>
      </c>
      <c r="E21" s="147" t="n">
        <f aca="false">VLOOKUP($A21,[1]!CurveTable,MATCH($E$4,[1]!CurveType,0))</f>
        <v>3.562</v>
      </c>
      <c r="F21" s="148" t="n">
        <f aca="false">E21-Inputs!$B$16</f>
        <v>3.617</v>
      </c>
      <c r="G21" s="149" t="n">
        <f aca="false">F21</f>
        <v>3.617</v>
      </c>
      <c r="H21" s="147" t="n">
        <f aca="false">VLOOKUP($A21,[1]!CurveTable,MATCH($H$4,[1]!CurveType,0))</f>
        <v>0.75</v>
      </c>
      <c r="I21" s="148" t="n">
        <f aca="false">H21+Inputs!$B$22</f>
        <v>0.75</v>
      </c>
      <c r="J21" s="150" t="n">
        <f aca="false">I21</f>
        <v>0.75</v>
      </c>
      <c r="K21" s="147" t="n">
        <f aca="false">VLOOKUP($A21,[1]!CurveTable,MATCH($K$4,[1]!CurveType,0))</f>
        <v>0</v>
      </c>
      <c r="L21" s="148" t="n">
        <v>0</v>
      </c>
      <c r="M21" s="151" t="n">
        <f aca="false">L21</f>
        <v>0</v>
      </c>
      <c r="N21" s="147" t="n">
        <f aca="false">VLOOKUP($A21,[1]!CurveTable,MATCH($N$4,[1]!CurveType,0))</f>
        <v>0.01</v>
      </c>
      <c r="O21" s="148" t="n">
        <f aca="false">N21+Inputs!$E$22</f>
        <v>0.01</v>
      </c>
      <c r="P21" s="151" t="n">
        <f aca="false">O21</f>
        <v>0.01</v>
      </c>
      <c r="Q21" s="147" t="n">
        <f aca="false">VLOOKUP($A21,[1]!CurveTable,MATCH($Q$4,[1]!CurveType,0))</f>
        <v>0.0075</v>
      </c>
      <c r="R21" s="148" t="n">
        <v>0</v>
      </c>
      <c r="S21" s="151" t="n">
        <f aca="false">R21</f>
        <v>0</v>
      </c>
      <c r="T21" s="152"/>
      <c r="U21" s="153" t="n">
        <f aca="false">G21+J21</f>
        <v>4.367</v>
      </c>
      <c r="V21" s="154"/>
      <c r="W21" s="155" t="n">
        <f aca="false">VLOOKUP($A21,[1]!CurveTable,MATCH($W$4,[1]!CurveType,0))+$W$9</f>
        <v>0.525</v>
      </c>
      <c r="X21" s="155" t="n">
        <f aca="false">VLOOKUP($A21,[1]!CurveTable,MATCH($X$4,[1]!CurveType,0))+$X$9</f>
        <v>0.53</v>
      </c>
      <c r="Y21" s="139" t="n">
        <f aca="false">SQRT((X21^2*($A21-$C$3)+W21^2*(DAY(EOMONTH(A21,0))/2))/$AN21)</f>
        <v>0.528361260559042</v>
      </c>
      <c r="Z21" s="152"/>
      <c r="AA21" s="153" t="n">
        <f aca="false">G21+P21+S21</f>
        <v>3.627</v>
      </c>
      <c r="AB21" s="154"/>
      <c r="AC21" s="155" t="n">
        <f aca="false">VLOOKUP($A21,[1]!CurveTable,MATCH($AC$4,[1]!CurveType,0))+$AC$9</f>
        <v>0.2625</v>
      </c>
      <c r="AD21" s="155" t="n">
        <f aca="false">VLOOKUP($A21,[1]!CurveTable,MATCH($AD$4,[1]!CurveType,0))+$AD$9</f>
        <v>0.2675</v>
      </c>
      <c r="AE21" s="139" t="n">
        <f aca="false">SQRT((AD21^2*($A21-$C$3)+AC21^2*(DAY(EOMONTH(A21,0))/2))/$AN21)</f>
        <v>0.266677972752011</v>
      </c>
      <c r="AF21" s="152"/>
      <c r="AG21" s="156" t="n">
        <f aca="false">((Inputs!$F$20*(X21*AD21)*(A21-$C$3))+(Inputs!$F$19*W21*AC21*(DAY(EOMONTH(A21,0))/2)))/(AN21*Y21*AE21)</f>
        <v>0.750000067110258</v>
      </c>
      <c r="AH21" s="152"/>
      <c r="AI21" s="140" t="n">
        <f aca="false">Inputs!$B$15</f>
        <v>0.06</v>
      </c>
      <c r="AJ21" s="157"/>
      <c r="AK21" s="140" t="n">
        <f aca="false">IF((U21-AA21-AI21)&lt;0,0,(U21-AA21-AI21))</f>
        <v>0.680000000000001</v>
      </c>
      <c r="AL21" s="157"/>
      <c r="AM21" s="158" t="n">
        <f aca="false">WORKDAY(EOMONTH(A21-1,-1),0)</f>
        <v>38442</v>
      </c>
      <c r="AN21" s="159" t="n">
        <f aca="false">AM21-$C$3</f>
        <v>-7484</v>
      </c>
      <c r="AO21" s="159" t="n">
        <f aca="false">AO20</f>
        <v>1</v>
      </c>
      <c r="AP21" s="160"/>
      <c r="AQ21" s="161" t="e">
        <f aca="false">SPRDOPT(U21,AA21,AI21,AX21,X21,AD21,AG21,AN21,AO21,0)</f>
        <v>#NAME?</v>
      </c>
      <c r="AR21" s="162" t="e">
        <f aca="false">AQ21*C21</f>
        <v>#NAME?</v>
      </c>
      <c r="AS21" s="163" t="e">
        <f aca="false">AQ21-AK21</f>
        <v>#NAME?</v>
      </c>
      <c r="AU21" s="112" t="n">
        <f aca="false">A22-A21</f>
        <v>31</v>
      </c>
      <c r="AV21" s="164" t="n">
        <f aca="false">CHOOSE(F$3,A22+24,A21+14)</f>
        <v>38487</v>
      </c>
      <c r="AW21" s="49" t="n">
        <f aca="false">AV21-C$3</f>
        <v>-7439</v>
      </c>
      <c r="AX21" s="155" t="n">
        <f aca="false">VLOOKUP($A21,[1]!CurveTable,MATCH(AX$4,[1]!CurveType,0))</f>
        <v>0.0413095040097891</v>
      </c>
      <c r="AY21" s="165" t="n">
        <f aca="false">1/(1+CHOOSE(F$3,(AX22+(Inputs!$B$14/10000))/2,(AX21+(Inputs!$B$14/10000))/2))^(2*AW21/365.25)</f>
        <v>2.2996899556281</v>
      </c>
      <c r="AZ21" s="49" t="n">
        <f aca="false">IF(AND(mthbeg&lt;=A21,mthend&gt;=A21),1,0)</f>
        <v>1</v>
      </c>
      <c r="BA21" s="111" t="n">
        <f aca="false">AU21*AZ21</f>
        <v>31</v>
      </c>
      <c r="BC21" s="142" t="n">
        <f aca="false">E21*$D21</f>
        <v>12696818.2140183</v>
      </c>
      <c r="BD21" s="142" t="n">
        <f aca="false">F21*$D21</f>
        <v>12892866.7827356</v>
      </c>
      <c r="BE21" s="142" t="n">
        <f aca="false">G21*$D21</f>
        <v>12892866.7827356</v>
      </c>
      <c r="BF21" s="142" t="n">
        <f aca="false">H21*$D21</f>
        <v>2673389.57341767</v>
      </c>
      <c r="BG21" s="142" t="n">
        <f aca="false">I21*$D21</f>
        <v>2673389.57341767</v>
      </c>
      <c r="BH21" s="142" t="n">
        <f aca="false">J21*$D21</f>
        <v>2673389.57341767</v>
      </c>
      <c r="BI21" s="142" t="n">
        <f aca="false">K21*$D21</f>
        <v>0</v>
      </c>
      <c r="BJ21" s="142" t="n">
        <f aca="false">L21*$D21</f>
        <v>0</v>
      </c>
      <c r="BK21" s="142" t="n">
        <f aca="false">M21*$D21</f>
        <v>0</v>
      </c>
      <c r="BL21" s="142" t="n">
        <f aca="false">N21*$D21</f>
        <v>35645.1943122356</v>
      </c>
      <c r="BM21" s="142" t="n">
        <f aca="false">O21*$D21</f>
        <v>35645.1943122356</v>
      </c>
      <c r="BN21" s="142" t="n">
        <f aca="false">P21*$D21</f>
        <v>35645.1943122356</v>
      </c>
      <c r="BO21" s="142" t="n">
        <f aca="false">Q21*$D21</f>
        <v>26733.8957341767</v>
      </c>
      <c r="BP21" s="142" t="n">
        <f aca="false">R21*$D21</f>
        <v>0</v>
      </c>
      <c r="BQ21" s="142" t="n">
        <f aca="false">S21*$D21</f>
        <v>0</v>
      </c>
      <c r="BR21" s="142" t="n">
        <f aca="false">U21*$D21</f>
        <v>15566256.3561533</v>
      </c>
      <c r="BS21" s="142" t="n">
        <f aca="false">AA21*$D21</f>
        <v>12928511.9770478</v>
      </c>
      <c r="BT21" s="142" t="n">
        <f aca="false">AI21*$D21</f>
        <v>213871.165873414</v>
      </c>
      <c r="BU21" s="142" t="n">
        <f aca="false">AK21*D21</f>
        <v>2423873.21323202</v>
      </c>
    </row>
    <row r="22" customFormat="false" ht="12.75" hidden="false" customHeight="false" outlineLevel="0" collapsed="false">
      <c r="A22" s="144" t="n">
        <f aca="false">EDATE(A21,1)</f>
        <v>38504</v>
      </c>
      <c r="B22" s="145" t="n">
        <f aca="false">Inputs!$B$8</f>
        <v>50000</v>
      </c>
      <c r="C22" s="146" t="n">
        <f aca="false">IF(AZ22=0,0,IF(AND(AZ22=1,$H$3=1),B22*AU22,IF($H$3=2,B22,"N/A")))</f>
        <v>1500000</v>
      </c>
      <c r="D22" s="146" t="n">
        <f aca="false">C22*AY22</f>
        <v>3463125.42257137</v>
      </c>
      <c r="E22" s="147" t="n">
        <f aca="false">VLOOKUP($A22,[1]!CurveTable,MATCH($E$4,[1]!CurveType,0))</f>
        <v>3.6</v>
      </c>
      <c r="F22" s="148" t="n">
        <f aca="false">E22-Inputs!$B$16</f>
        <v>3.655</v>
      </c>
      <c r="G22" s="149" t="n">
        <f aca="false">F22</f>
        <v>3.655</v>
      </c>
      <c r="H22" s="147" t="n">
        <f aca="false">VLOOKUP($A22,[1]!CurveTable,MATCH($H$4,[1]!CurveType,0))</f>
        <v>0.85</v>
      </c>
      <c r="I22" s="148" t="n">
        <f aca="false">H22+Inputs!$B$22</f>
        <v>0.85</v>
      </c>
      <c r="J22" s="150" t="n">
        <f aca="false">I22</f>
        <v>0.85</v>
      </c>
      <c r="K22" s="147" t="n">
        <f aca="false">VLOOKUP($A22,[1]!CurveTable,MATCH($K$4,[1]!CurveType,0))</f>
        <v>0</v>
      </c>
      <c r="L22" s="148" t="n">
        <v>0</v>
      </c>
      <c r="M22" s="151" t="n">
        <f aca="false">L22</f>
        <v>0</v>
      </c>
      <c r="N22" s="147" t="n">
        <f aca="false">VLOOKUP($A22,[1]!CurveTable,MATCH($N$4,[1]!CurveType,0))</f>
        <v>0.0125</v>
      </c>
      <c r="O22" s="148" t="n">
        <f aca="false">N22+Inputs!$E$22</f>
        <v>0.0125</v>
      </c>
      <c r="P22" s="151" t="n">
        <f aca="false">O22</f>
        <v>0.0125</v>
      </c>
      <c r="Q22" s="147" t="n">
        <f aca="false">VLOOKUP($A22,[1]!CurveTable,MATCH($Q$4,[1]!CurveType,0))</f>
        <v>0.0075</v>
      </c>
      <c r="R22" s="148" t="n">
        <v>0</v>
      </c>
      <c r="S22" s="151" t="n">
        <f aca="false">R22</f>
        <v>0</v>
      </c>
      <c r="T22" s="152"/>
      <c r="U22" s="153" t="n">
        <f aca="false">G22+J22</f>
        <v>4.505</v>
      </c>
      <c r="V22" s="154"/>
      <c r="W22" s="155" t="n">
        <f aca="false">VLOOKUP($A22,[1]!CurveTable,MATCH($W$4,[1]!CurveType,0))+$W$9</f>
        <v>0.515</v>
      </c>
      <c r="X22" s="155" t="n">
        <f aca="false">VLOOKUP($A22,[1]!CurveTable,MATCH($X$4,[1]!CurveType,0))+$X$9</f>
        <v>0.52</v>
      </c>
      <c r="Y22" s="139" t="n">
        <f aca="false">SQRT((X22^2*($A22-$C$3)+W22^2*(DAY(EOMONTH(A22,0))/2))/$AN22)</f>
        <v>0.518368064307505</v>
      </c>
      <c r="Z22" s="152"/>
      <c r="AA22" s="153" t="n">
        <f aca="false">G22+P22+S22</f>
        <v>3.6675</v>
      </c>
      <c r="AB22" s="154"/>
      <c r="AC22" s="155" t="n">
        <f aca="false">VLOOKUP($A22,[1]!CurveTable,MATCH($AC$4,[1]!CurveType,0))+$AC$9</f>
        <v>0.2575</v>
      </c>
      <c r="AD22" s="155" t="n">
        <f aca="false">VLOOKUP($A22,[1]!CurveTable,MATCH($AD$4,[1]!CurveType,0))+$AD$9</f>
        <v>0.2625</v>
      </c>
      <c r="AE22" s="139" t="n">
        <f aca="false">SQRT((AD22^2*($A22-$C$3)+AC22^2*(DAY(EOMONTH(A22,0))/2))/$AN22)</f>
        <v>0.261681112799687</v>
      </c>
      <c r="AF22" s="152"/>
      <c r="AG22" s="156" t="n">
        <f aca="false">((Inputs!$F$20*(X22*AD22)*(A22-$C$3))+(Inputs!$F$19*W22*AC22*(DAY(EOMONTH(A22,0))/2)))/(AN22*Y22*AE22)</f>
        <v>0.75000006769209</v>
      </c>
      <c r="AH22" s="152"/>
      <c r="AI22" s="140" t="n">
        <f aca="false">Inputs!$B$15</f>
        <v>0.06</v>
      </c>
      <c r="AJ22" s="157"/>
      <c r="AK22" s="140" t="n">
        <f aca="false">IF((U22-AA22-AI22)&lt;0,0,(U22-AA22-AI22))</f>
        <v>0.777499999999999</v>
      </c>
      <c r="AL22" s="157"/>
      <c r="AM22" s="158" t="n">
        <f aca="false">WORKDAY(EOMONTH(A22-1,-1),0)</f>
        <v>38472</v>
      </c>
      <c r="AN22" s="159" t="n">
        <f aca="false">AM22-$C$3</f>
        <v>-7454</v>
      </c>
      <c r="AO22" s="159" t="n">
        <f aca="false">AO21</f>
        <v>1</v>
      </c>
      <c r="AP22" s="160"/>
      <c r="AQ22" s="161" t="e">
        <f aca="false">SPRDOPT(U22,AA22,AI22,AX22,X22,AD22,AG22,AN22,AO22,0)</f>
        <v>#NAME?</v>
      </c>
      <c r="AR22" s="162" t="e">
        <f aca="false">AQ22*C22</f>
        <v>#NAME?</v>
      </c>
      <c r="AS22" s="163" t="e">
        <f aca="false">AQ22-AK22</f>
        <v>#NAME?</v>
      </c>
      <c r="AU22" s="112" t="n">
        <f aca="false">A23-A22</f>
        <v>30</v>
      </c>
      <c r="AV22" s="164" t="n">
        <f aca="false">CHOOSE(F$3,A23+24,A22+14)</f>
        <v>38518</v>
      </c>
      <c r="AW22" s="49" t="n">
        <f aca="false">AV22-C$3</f>
        <v>-7408</v>
      </c>
      <c r="AX22" s="155" t="n">
        <f aca="false">VLOOKUP($A22,[1]!CurveTable,MATCH(AX$4,[1]!CurveType,0))</f>
        <v>0.0416820514476561</v>
      </c>
      <c r="AY22" s="165" t="n">
        <f aca="false">1/(1+CHOOSE(F$3,(AX23+(Inputs!$B$14/10000))/2,(AX22+(Inputs!$B$14/10000))/2))^(2*AW22/365.25)</f>
        <v>2.30875028171425</v>
      </c>
      <c r="AZ22" s="49" t="n">
        <f aca="false">IF(AND(mthbeg&lt;=A22,mthend&gt;=A22),1,0)</f>
        <v>1</v>
      </c>
      <c r="BA22" s="111" t="n">
        <f aca="false">AU22*AZ22</f>
        <v>30</v>
      </c>
      <c r="BC22" s="142" t="n">
        <f aca="false">E22*$D22</f>
        <v>12467251.5212569</v>
      </c>
      <c r="BD22" s="142" t="n">
        <f aca="false">F22*$D22</f>
        <v>12657723.4194984</v>
      </c>
      <c r="BE22" s="142" t="n">
        <f aca="false">G22*$D22</f>
        <v>12657723.4194984</v>
      </c>
      <c r="BF22" s="142" t="n">
        <f aca="false">H22*$D22</f>
        <v>2943656.60918567</v>
      </c>
      <c r="BG22" s="142" t="n">
        <f aca="false">I22*$D22</f>
        <v>2943656.60918567</v>
      </c>
      <c r="BH22" s="142" t="n">
        <f aca="false">J22*$D22</f>
        <v>2943656.60918567</v>
      </c>
      <c r="BI22" s="142" t="n">
        <f aca="false">K22*$D22</f>
        <v>0</v>
      </c>
      <c r="BJ22" s="142" t="n">
        <f aca="false">L22*$D22</f>
        <v>0</v>
      </c>
      <c r="BK22" s="142" t="n">
        <f aca="false">M22*$D22</f>
        <v>0</v>
      </c>
      <c r="BL22" s="142" t="n">
        <f aca="false">N22*$D22</f>
        <v>43289.0677821422</v>
      </c>
      <c r="BM22" s="142" t="n">
        <f aca="false">O22*$D22</f>
        <v>43289.0677821422</v>
      </c>
      <c r="BN22" s="142" t="n">
        <f aca="false">P22*$D22</f>
        <v>43289.0677821422</v>
      </c>
      <c r="BO22" s="142" t="n">
        <f aca="false">Q22*$D22</f>
        <v>25973.4406692853</v>
      </c>
      <c r="BP22" s="142" t="n">
        <f aca="false">R22*$D22</f>
        <v>0</v>
      </c>
      <c r="BQ22" s="142" t="n">
        <f aca="false">S22*$D22</f>
        <v>0</v>
      </c>
      <c r="BR22" s="142" t="n">
        <f aca="false">U22*$D22</f>
        <v>15601380.028684</v>
      </c>
      <c r="BS22" s="142" t="n">
        <f aca="false">AA22*$D22</f>
        <v>12701012.4872805</v>
      </c>
      <c r="BT22" s="142" t="n">
        <f aca="false">AI22*$D22</f>
        <v>207787.525354282</v>
      </c>
      <c r="BU22" s="142" t="n">
        <f aca="false">AK22*D22</f>
        <v>2692580.01604924</v>
      </c>
    </row>
    <row r="23" customFormat="false" ht="12.75" hidden="false" customHeight="false" outlineLevel="0" collapsed="false">
      <c r="A23" s="144" t="n">
        <f aca="false">EDATE(A22,1)</f>
        <v>38534</v>
      </c>
      <c r="B23" s="145" t="n">
        <f aca="false">Inputs!$B$8</f>
        <v>50000</v>
      </c>
      <c r="C23" s="146" t="n">
        <f aca="false">IF(AZ23=0,0,IF(AND(AZ23=1,$H$3=1),B23*AU23,IF($H$3=2,B23,"N/A")))</f>
        <v>1550000</v>
      </c>
      <c r="D23" s="146" t="n">
        <f aca="false">C23*AY23</f>
        <v>3591009.72074334</v>
      </c>
      <c r="E23" s="147" t="n">
        <f aca="false">VLOOKUP($A23,[1]!CurveTable,MATCH($E$4,[1]!CurveType,0))</f>
        <v>3.645</v>
      </c>
      <c r="F23" s="148" t="n">
        <f aca="false">E23-Inputs!$B$16</f>
        <v>3.7</v>
      </c>
      <c r="G23" s="149" t="n">
        <f aca="false">F23</f>
        <v>3.7</v>
      </c>
      <c r="H23" s="147" t="n">
        <f aca="false">VLOOKUP($A23,[1]!CurveTable,MATCH($H$4,[1]!CurveType,0))</f>
        <v>1.05</v>
      </c>
      <c r="I23" s="148" t="n">
        <f aca="false">H23+Inputs!$B$22</f>
        <v>1.05</v>
      </c>
      <c r="J23" s="150" t="n">
        <f aca="false">I23</f>
        <v>1.05</v>
      </c>
      <c r="K23" s="147" t="n">
        <f aca="false">VLOOKUP($A23,[1]!CurveTable,MATCH($K$4,[1]!CurveType,0))</f>
        <v>0</v>
      </c>
      <c r="L23" s="148" t="n">
        <v>0</v>
      </c>
      <c r="M23" s="151" t="n">
        <f aca="false">L23</f>
        <v>0</v>
      </c>
      <c r="N23" s="147" t="n">
        <f aca="false">VLOOKUP($A23,[1]!CurveTable,MATCH($N$4,[1]!CurveType,0))</f>
        <v>0.01</v>
      </c>
      <c r="O23" s="148" t="n">
        <f aca="false">N23+Inputs!$E$22</f>
        <v>0.01</v>
      </c>
      <c r="P23" s="151" t="n">
        <f aca="false">O23</f>
        <v>0.01</v>
      </c>
      <c r="Q23" s="147" t="n">
        <f aca="false">VLOOKUP($A23,[1]!CurveTable,MATCH($Q$4,[1]!CurveType,0))</f>
        <v>0.0075</v>
      </c>
      <c r="R23" s="148" t="n">
        <v>0</v>
      </c>
      <c r="S23" s="151" t="n">
        <f aca="false">R23</f>
        <v>0</v>
      </c>
      <c r="T23" s="152"/>
      <c r="U23" s="153" t="n">
        <f aca="false">G23+J23</f>
        <v>4.75</v>
      </c>
      <c r="V23" s="154"/>
      <c r="W23" s="155" t="n">
        <f aca="false">VLOOKUP($A23,[1]!CurveTable,MATCH($W$4,[1]!CurveType,0))+$W$9</f>
        <v>0.515</v>
      </c>
      <c r="X23" s="155" t="n">
        <f aca="false">VLOOKUP($A23,[1]!CurveTable,MATCH($X$4,[1]!CurveType,0))+$X$9</f>
        <v>0.52</v>
      </c>
      <c r="Y23" s="139" t="n">
        <f aca="false">SQRT((X23^2*($A23-$C$3)+W23^2*(DAY(EOMONTH(A23,0))/2))/$AN23)</f>
        <v>0.518379142653514</v>
      </c>
      <c r="Z23" s="152"/>
      <c r="AA23" s="153" t="n">
        <f aca="false">G23+P23+S23</f>
        <v>3.71</v>
      </c>
      <c r="AB23" s="154"/>
      <c r="AC23" s="155" t="n">
        <f aca="false">VLOOKUP($A23,[1]!CurveTable,MATCH($AC$4,[1]!CurveType,0))+$AC$9</f>
        <v>0.2575</v>
      </c>
      <c r="AD23" s="155" t="n">
        <f aca="false">VLOOKUP($A23,[1]!CurveTable,MATCH($AD$4,[1]!CurveType,0))+$AD$9</f>
        <v>0.2625</v>
      </c>
      <c r="AE23" s="139" t="n">
        <f aca="false">SQRT((AD23^2*($A23-$C$3)+AC23^2*(DAY(EOMONTH(A23,0))/2))/$AN23)</f>
        <v>0.261686890599123</v>
      </c>
      <c r="AF23" s="152"/>
      <c r="AG23" s="156" t="n">
        <f aca="false">((Inputs!$F$20*(X23*AD23)*(A23-$C$3))+(Inputs!$F$19*W23*AC23*(DAY(EOMONTH(A23,0))/2)))/(AN23*Y23*AE23)</f>
        <v>0.750000070242747</v>
      </c>
      <c r="AH23" s="152"/>
      <c r="AI23" s="140" t="n">
        <f aca="false">Inputs!$B$15</f>
        <v>0.06</v>
      </c>
      <c r="AJ23" s="157"/>
      <c r="AK23" s="140" t="n">
        <f aca="false">IF((U23-AA23-AI23)&lt;0,0,(U23-AA23-AI23))</f>
        <v>0.98</v>
      </c>
      <c r="AL23" s="157"/>
      <c r="AM23" s="158" t="n">
        <f aca="false">WORKDAY(EOMONTH(A23-1,-1),0)</f>
        <v>38503</v>
      </c>
      <c r="AN23" s="159" t="n">
        <f aca="false">AM23-$C$3</f>
        <v>-7423</v>
      </c>
      <c r="AO23" s="159" t="n">
        <f aca="false">AO22</f>
        <v>1</v>
      </c>
      <c r="AP23" s="160"/>
      <c r="AQ23" s="161" t="e">
        <f aca="false">SPRDOPT(U23,AA23,AI23,AX23,X23,AD23,AG23,AN23,AO23,0)</f>
        <v>#NAME?</v>
      </c>
      <c r="AR23" s="162" t="e">
        <f aca="false">AQ23*C23</f>
        <v>#NAME?</v>
      </c>
      <c r="AS23" s="163" t="e">
        <f aca="false">AQ23-AK23</f>
        <v>#NAME?</v>
      </c>
      <c r="AU23" s="112" t="n">
        <f aca="false">A24-A23</f>
        <v>31</v>
      </c>
      <c r="AV23" s="164" t="n">
        <f aca="false">CHOOSE(F$3,A24+24,A23+14)</f>
        <v>38548</v>
      </c>
      <c r="AW23" s="49" t="n">
        <f aca="false">AV23-C$3</f>
        <v>-7378</v>
      </c>
      <c r="AX23" s="155" t="n">
        <f aca="false">VLOOKUP($A23,[1]!CurveTable,MATCH(AX$4,[1]!CurveType,0))</f>
        <v>0.0420287904882368</v>
      </c>
      <c r="AY23" s="165" t="n">
        <f aca="false">1/(1+CHOOSE(F$3,(AX24+(Inputs!$B$14/10000))/2,(AX23+(Inputs!$B$14/10000))/2))^(2*AW23/365.25)</f>
        <v>2.3167804649957</v>
      </c>
      <c r="AZ23" s="49" t="n">
        <f aca="false">IF(AND(mthbeg&lt;=A23,mthend&gt;=A23),1,0)</f>
        <v>1</v>
      </c>
      <c r="BA23" s="111" t="n">
        <f aca="false">AU23*AZ23</f>
        <v>31</v>
      </c>
      <c r="BC23" s="142" t="n">
        <f aca="false">E23*$D23</f>
        <v>13089230.4321095</v>
      </c>
      <c r="BD23" s="142" t="n">
        <f aca="false">F23*$D23</f>
        <v>13286735.9667504</v>
      </c>
      <c r="BE23" s="142" t="n">
        <f aca="false">G23*$D23</f>
        <v>13286735.9667504</v>
      </c>
      <c r="BF23" s="142" t="n">
        <f aca="false">H23*$D23</f>
        <v>3770560.20678051</v>
      </c>
      <c r="BG23" s="142" t="n">
        <f aca="false">I23*$D23</f>
        <v>3770560.20678051</v>
      </c>
      <c r="BH23" s="142" t="n">
        <f aca="false">J23*$D23</f>
        <v>3770560.20678051</v>
      </c>
      <c r="BI23" s="142" t="n">
        <f aca="false">K23*$D23</f>
        <v>0</v>
      </c>
      <c r="BJ23" s="142" t="n">
        <f aca="false">L23*$D23</f>
        <v>0</v>
      </c>
      <c r="BK23" s="142" t="n">
        <f aca="false">M23*$D23</f>
        <v>0</v>
      </c>
      <c r="BL23" s="142" t="n">
        <f aca="false">N23*$D23</f>
        <v>35910.0972074334</v>
      </c>
      <c r="BM23" s="142" t="n">
        <f aca="false">O23*$D23</f>
        <v>35910.0972074334</v>
      </c>
      <c r="BN23" s="142" t="n">
        <f aca="false">P23*$D23</f>
        <v>35910.0972074334</v>
      </c>
      <c r="BO23" s="142" t="n">
        <f aca="false">Q23*$D23</f>
        <v>26932.572905575</v>
      </c>
      <c r="BP23" s="142" t="n">
        <f aca="false">R23*$D23</f>
        <v>0</v>
      </c>
      <c r="BQ23" s="142" t="n">
        <f aca="false">S23*$D23</f>
        <v>0</v>
      </c>
      <c r="BR23" s="142" t="n">
        <f aca="false">U23*$D23</f>
        <v>17057296.1735309</v>
      </c>
      <c r="BS23" s="142" t="n">
        <f aca="false">AA23*$D23</f>
        <v>13322646.0639578</v>
      </c>
      <c r="BT23" s="142" t="n">
        <f aca="false">AI23*$D23</f>
        <v>215460.5832446</v>
      </c>
      <c r="BU23" s="142" t="n">
        <f aca="false">AK23*D23</f>
        <v>3519189.52632847</v>
      </c>
    </row>
    <row r="24" customFormat="false" ht="12.75" hidden="false" customHeight="false" outlineLevel="0" collapsed="false">
      <c r="A24" s="144" t="n">
        <f aca="false">EDATE(A23,1)</f>
        <v>38565</v>
      </c>
      <c r="B24" s="145" t="n">
        <f aca="false">Inputs!$B$8</f>
        <v>50000</v>
      </c>
      <c r="C24" s="146" t="n">
        <f aca="false">IF(AZ24=0,0,IF(AND(AZ24=1,$H$3=1),B24*AU24,IF($H$3=2,B24,"N/A")))</f>
        <v>1550000</v>
      </c>
      <c r="D24" s="146" t="n">
        <f aca="false">C24*AY24</f>
        <v>3602759.4171494</v>
      </c>
      <c r="E24" s="147" t="n">
        <f aca="false">VLOOKUP($A24,[1]!CurveTable,MATCH($E$4,[1]!CurveType,0))</f>
        <v>3.683</v>
      </c>
      <c r="F24" s="148" t="n">
        <f aca="false">E24-Inputs!$B$16</f>
        <v>3.738</v>
      </c>
      <c r="G24" s="149" t="n">
        <f aca="false">F24</f>
        <v>3.738</v>
      </c>
      <c r="H24" s="147" t="n">
        <f aca="false">VLOOKUP($A24,[1]!CurveTable,MATCH($H$4,[1]!CurveType,0))</f>
        <v>1.05</v>
      </c>
      <c r="I24" s="148" t="n">
        <f aca="false">H24+Inputs!$B$22</f>
        <v>1.05</v>
      </c>
      <c r="J24" s="150" t="n">
        <f aca="false">I24</f>
        <v>1.05</v>
      </c>
      <c r="K24" s="147" t="n">
        <f aca="false">VLOOKUP($A24,[1]!CurveTable,MATCH($K$4,[1]!CurveType,0))</f>
        <v>0</v>
      </c>
      <c r="L24" s="148" t="n">
        <v>0</v>
      </c>
      <c r="M24" s="151" t="n">
        <f aca="false">L24</f>
        <v>0</v>
      </c>
      <c r="N24" s="147" t="n">
        <f aca="false">VLOOKUP($A24,[1]!CurveTable,MATCH($N$4,[1]!CurveType,0))</f>
        <v>0.0075</v>
      </c>
      <c r="O24" s="148" t="n">
        <f aca="false">N24+Inputs!$E$22</f>
        <v>0.0075</v>
      </c>
      <c r="P24" s="151" t="n">
        <f aca="false">O24</f>
        <v>0.0075</v>
      </c>
      <c r="Q24" s="147" t="n">
        <f aca="false">VLOOKUP($A24,[1]!CurveTable,MATCH($Q$4,[1]!CurveType,0))</f>
        <v>0.0075</v>
      </c>
      <c r="R24" s="148" t="n">
        <v>0</v>
      </c>
      <c r="S24" s="151" t="n">
        <f aca="false">R24</f>
        <v>0</v>
      </c>
      <c r="T24" s="152"/>
      <c r="U24" s="153" t="n">
        <f aca="false">G24+J24</f>
        <v>4.788</v>
      </c>
      <c r="V24" s="154"/>
      <c r="W24" s="155" t="n">
        <f aca="false">VLOOKUP($A24,[1]!CurveTable,MATCH($W$4,[1]!CurveType,0))+$W$9</f>
        <v>0.515</v>
      </c>
      <c r="X24" s="155" t="n">
        <f aca="false">VLOOKUP($A24,[1]!CurveTable,MATCH($X$4,[1]!CurveType,0))+$X$9</f>
        <v>0.52</v>
      </c>
      <c r="Y24" s="139" t="n">
        <f aca="false">SQRT((X24^2*($A24-$C$3)+W24^2*(DAY(EOMONTH(A24,0))/2))/$AN24)</f>
        <v>0.518337275048516</v>
      </c>
      <c r="Z24" s="152"/>
      <c r="AA24" s="153" t="n">
        <f aca="false">G24+P24+S24</f>
        <v>3.7455</v>
      </c>
      <c r="AB24" s="154"/>
      <c r="AC24" s="155" t="n">
        <f aca="false">VLOOKUP($A24,[1]!CurveTable,MATCH($AC$4,[1]!CurveType,0))+$AC$9</f>
        <v>0.2575</v>
      </c>
      <c r="AD24" s="155" t="n">
        <f aca="false">VLOOKUP($A24,[1]!CurveTable,MATCH($AD$4,[1]!CurveType,0))+$AD$9</f>
        <v>0.2625</v>
      </c>
      <c r="AE24" s="139" t="n">
        <f aca="false">SQRT((AD24^2*($A24-$C$3)+AC24^2*(DAY(EOMONTH(A24,0))/2))/$AN24)</f>
        <v>0.261665776667787</v>
      </c>
      <c r="AF24" s="152"/>
      <c r="AG24" s="156" t="n">
        <f aca="false">((Inputs!$F$20*(X24*AD24)*(A24-$C$3))+(Inputs!$F$19*W24*AC24*(DAY(EOMONTH(A24,0))/2)))/(AN24*Y24*AE24)</f>
        <v>0.750000070539779</v>
      </c>
      <c r="AH24" s="152"/>
      <c r="AI24" s="140" t="n">
        <f aca="false">Inputs!$B$15</f>
        <v>0.06</v>
      </c>
      <c r="AJ24" s="157"/>
      <c r="AK24" s="140" t="n">
        <f aca="false">IF((U24-AA24-AI24)&lt;0,0,(U24-AA24-AI24))</f>
        <v>0.9825</v>
      </c>
      <c r="AL24" s="157"/>
      <c r="AM24" s="158" t="n">
        <f aca="false">WORKDAY(EOMONTH(A24-1,-1),0)</f>
        <v>38533</v>
      </c>
      <c r="AN24" s="159" t="n">
        <f aca="false">AM24-$C$3</f>
        <v>-7393</v>
      </c>
      <c r="AO24" s="159" t="n">
        <f aca="false">AO23</f>
        <v>1</v>
      </c>
      <c r="AP24" s="160"/>
      <c r="AQ24" s="161" t="e">
        <f aca="false">SPRDOPT(U24,AA24,AI24,AX24,X24,AD24,AG24,AN24,AO24,0)</f>
        <v>#NAME?</v>
      </c>
      <c r="AR24" s="162" t="e">
        <f aca="false">AQ24*C24</f>
        <v>#NAME?</v>
      </c>
      <c r="AS24" s="163" t="e">
        <f aca="false">AQ24-AK24</f>
        <v>#NAME?</v>
      </c>
      <c r="AU24" s="112" t="n">
        <f aca="false">A25-A24</f>
        <v>31</v>
      </c>
      <c r="AV24" s="164" t="n">
        <f aca="false">CHOOSE(F$3,A25+24,A24+14)</f>
        <v>38579</v>
      </c>
      <c r="AW24" s="49" t="n">
        <f aca="false">AV24-C$3</f>
        <v>-7347</v>
      </c>
      <c r="AX24" s="155" t="n">
        <f aca="false">VLOOKUP($A24,[1]!CurveTable,MATCH(AX$4,[1]!CurveType,0))</f>
        <v>0.0423738174074688</v>
      </c>
      <c r="AY24" s="165" t="n">
        <f aca="false">1/(1+CHOOSE(F$3,(AX25+(Inputs!$B$14/10000))/2,(AX24+(Inputs!$B$14/10000))/2))^(2*AW24/365.25)</f>
        <v>2.32436091428994</v>
      </c>
      <c r="AZ24" s="49" t="n">
        <f aca="false">IF(AND(mthbeg&lt;=A24,mthend&gt;=A24),1,0)</f>
        <v>1</v>
      </c>
      <c r="BA24" s="111" t="n">
        <f aca="false">AU24*AZ24</f>
        <v>31</v>
      </c>
      <c r="BC24" s="142" t="n">
        <f aca="false">E24*$D24</f>
        <v>13268962.9333613</v>
      </c>
      <c r="BD24" s="142" t="n">
        <f aca="false">F24*$D24</f>
        <v>13467114.7013045</v>
      </c>
      <c r="BE24" s="142" t="n">
        <f aca="false">G24*$D24</f>
        <v>13467114.7013045</v>
      </c>
      <c r="BF24" s="142" t="n">
        <f aca="false">H24*$D24</f>
        <v>3782897.38800687</v>
      </c>
      <c r="BG24" s="142" t="n">
        <f aca="false">I24*$D24</f>
        <v>3782897.38800687</v>
      </c>
      <c r="BH24" s="142" t="n">
        <f aca="false">J24*$D24</f>
        <v>3782897.38800687</v>
      </c>
      <c r="BI24" s="142" t="n">
        <f aca="false">K24*$D24</f>
        <v>0</v>
      </c>
      <c r="BJ24" s="142" t="n">
        <f aca="false">L24*$D24</f>
        <v>0</v>
      </c>
      <c r="BK24" s="142" t="n">
        <f aca="false">M24*$D24</f>
        <v>0</v>
      </c>
      <c r="BL24" s="142" t="n">
        <f aca="false">N24*$D24</f>
        <v>27020.6956286205</v>
      </c>
      <c r="BM24" s="142" t="n">
        <f aca="false">O24*$D24</f>
        <v>27020.6956286205</v>
      </c>
      <c r="BN24" s="142" t="n">
        <f aca="false">P24*$D24</f>
        <v>27020.6956286205</v>
      </c>
      <c r="BO24" s="142" t="n">
        <f aca="false">Q24*$D24</f>
        <v>27020.6956286205</v>
      </c>
      <c r="BP24" s="142" t="n">
        <f aca="false">R24*$D24</f>
        <v>0</v>
      </c>
      <c r="BQ24" s="142" t="n">
        <f aca="false">S24*$D24</f>
        <v>0</v>
      </c>
      <c r="BR24" s="142" t="n">
        <f aca="false">U24*$D24</f>
        <v>17250012.0893113</v>
      </c>
      <c r="BS24" s="142" t="n">
        <f aca="false">AA24*$D24</f>
        <v>13494135.3969331</v>
      </c>
      <c r="BT24" s="142" t="n">
        <f aca="false">AI24*$D24</f>
        <v>216165.565028964</v>
      </c>
      <c r="BU24" s="142" t="n">
        <f aca="false">AK24*D24</f>
        <v>3539711.12734929</v>
      </c>
    </row>
    <row r="25" customFormat="false" ht="12.75" hidden="false" customHeight="false" outlineLevel="0" collapsed="false">
      <c r="A25" s="144" t="n">
        <f aca="false">EDATE(A24,1)</f>
        <v>38596</v>
      </c>
      <c r="B25" s="145" t="n">
        <f aca="false">Inputs!$B$8</f>
        <v>50000</v>
      </c>
      <c r="C25" s="146" t="n">
        <f aca="false">IF(AZ25=0,0,IF(AND(AZ25=1,$H$3=1),B25*AU25,IF($H$3=2,B25,"N/A")))</f>
        <v>1500000</v>
      </c>
      <c r="D25" s="146" t="n">
        <f aca="false">C25*AY25</f>
        <v>3497744.62793684</v>
      </c>
      <c r="E25" s="147" t="n">
        <f aca="false">VLOOKUP($A25,[1]!CurveTable,MATCH($E$4,[1]!CurveType,0))</f>
        <v>3.677</v>
      </c>
      <c r="F25" s="148" t="n">
        <f aca="false">E25-Inputs!$B$16</f>
        <v>3.732</v>
      </c>
      <c r="G25" s="149" t="n">
        <f aca="false">F25</f>
        <v>3.732</v>
      </c>
      <c r="H25" s="147" t="n">
        <f aca="false">VLOOKUP($A25,[1]!CurveTable,MATCH($H$4,[1]!CurveType,0))</f>
        <v>0.65</v>
      </c>
      <c r="I25" s="148" t="n">
        <f aca="false">H25+Inputs!$B$22</f>
        <v>0.65</v>
      </c>
      <c r="J25" s="150" t="n">
        <f aca="false">I25</f>
        <v>0.65</v>
      </c>
      <c r="K25" s="147" t="n">
        <f aca="false">VLOOKUP($A25,[1]!CurveTable,MATCH($K$4,[1]!CurveType,0))</f>
        <v>0</v>
      </c>
      <c r="L25" s="148" t="n">
        <v>0</v>
      </c>
      <c r="M25" s="151" t="n">
        <f aca="false">L25</f>
        <v>0</v>
      </c>
      <c r="N25" s="147" t="n">
        <f aca="false">VLOOKUP($A25,[1]!CurveTable,MATCH($N$4,[1]!CurveType,0))</f>
        <v>0.0075</v>
      </c>
      <c r="O25" s="148" t="n">
        <f aca="false">N25+Inputs!$E$22</f>
        <v>0.0075</v>
      </c>
      <c r="P25" s="151" t="n">
        <f aca="false">O25</f>
        <v>0.0075</v>
      </c>
      <c r="Q25" s="147" t="n">
        <f aca="false">VLOOKUP($A25,[1]!CurveTable,MATCH($Q$4,[1]!CurveType,0))</f>
        <v>0.0075</v>
      </c>
      <c r="R25" s="148" t="n">
        <v>0</v>
      </c>
      <c r="S25" s="151" t="n">
        <f aca="false">R25</f>
        <v>0</v>
      </c>
      <c r="T25" s="152"/>
      <c r="U25" s="153" t="n">
        <f aca="false">G25+J25</f>
        <v>4.382</v>
      </c>
      <c r="V25" s="154"/>
      <c r="W25" s="155" t="n">
        <f aca="false">VLOOKUP($A25,[1]!CurveTable,MATCH($W$4,[1]!CurveType,0))+$W$9</f>
        <v>0.515</v>
      </c>
      <c r="X25" s="155" t="n">
        <f aca="false">VLOOKUP($A25,[1]!CurveTable,MATCH($X$4,[1]!CurveType,0))+$X$9</f>
        <v>0.52</v>
      </c>
      <c r="Y25" s="139" t="n">
        <f aca="false">SQRT((X25^2*($A25-$C$3)+W25^2*(DAY(EOMONTH(A25,0))/2))/$AN25)</f>
        <v>0.518347638148823</v>
      </c>
      <c r="Z25" s="152"/>
      <c r="AA25" s="153" t="n">
        <f aca="false">G25+P25+S25</f>
        <v>3.7395</v>
      </c>
      <c r="AB25" s="154"/>
      <c r="AC25" s="155" t="n">
        <f aca="false">VLOOKUP($A25,[1]!CurveTable,MATCH($AC$4,[1]!CurveType,0))+$AC$9</f>
        <v>0.2575</v>
      </c>
      <c r="AD25" s="155" t="n">
        <f aca="false">VLOOKUP($A25,[1]!CurveTable,MATCH($AD$4,[1]!CurveType,0))+$AD$9</f>
        <v>0.2625</v>
      </c>
      <c r="AE25" s="139" t="n">
        <f aca="false">SQRT((AD25^2*($A25-$C$3)+AC25^2*(DAY(EOMONTH(A25,0))/2))/$AN25)</f>
        <v>0.261670863278034</v>
      </c>
      <c r="AF25" s="152"/>
      <c r="AG25" s="156" t="n">
        <f aca="false">((Inputs!$F$20*(X25*AD25)*(A25-$C$3))+(Inputs!$F$19*W25*AC25*(DAY(EOMONTH(A25,0))/2)))/(AN25*Y25*AE25)</f>
        <v>0.75000006854509</v>
      </c>
      <c r="AH25" s="152"/>
      <c r="AI25" s="140" t="n">
        <f aca="false">Inputs!$B$15</f>
        <v>0.06</v>
      </c>
      <c r="AJ25" s="157"/>
      <c r="AK25" s="140" t="n">
        <f aca="false">IF((U25-AA25-AI25)&lt;0,0,(U25-AA25-AI25))</f>
        <v>0.582500000000001</v>
      </c>
      <c r="AL25" s="157"/>
      <c r="AM25" s="158" t="n">
        <f aca="false">WORKDAY(EOMONTH(A25-1,-1),0)</f>
        <v>38564</v>
      </c>
      <c r="AN25" s="159" t="n">
        <f aca="false">AM25-$C$3</f>
        <v>-7362</v>
      </c>
      <c r="AO25" s="159" t="n">
        <f aca="false">AO24</f>
        <v>1</v>
      </c>
      <c r="AP25" s="160"/>
      <c r="AQ25" s="161" t="e">
        <f aca="false">SPRDOPT(U25,AA25,AI25,AX25,X25,AD25,AG25,AN25,AO25,0)</f>
        <v>#NAME?</v>
      </c>
      <c r="AR25" s="162" t="e">
        <f aca="false">AQ25*C25</f>
        <v>#NAME?</v>
      </c>
      <c r="AS25" s="163" t="e">
        <f aca="false">AQ25-AK25</f>
        <v>#NAME?</v>
      </c>
      <c r="AU25" s="112" t="n">
        <f aca="false">A26-A25</f>
        <v>30</v>
      </c>
      <c r="AV25" s="164" t="n">
        <f aca="false">CHOOSE(F$3,A26+24,A25+14)</f>
        <v>38610</v>
      </c>
      <c r="AW25" s="49" t="n">
        <f aca="false">AV25-C$3</f>
        <v>-7316</v>
      </c>
      <c r="AX25" s="155" t="n">
        <f aca="false">VLOOKUP($A25,[1]!CurveTable,MATCH(AX$4,[1]!CurveType,0))</f>
        <v>0.0427188443665964</v>
      </c>
      <c r="AY25" s="165" t="n">
        <f aca="false">1/(1+CHOOSE(F$3,(AX26+(Inputs!$B$14/10000))/2,(AX25+(Inputs!$B$14/10000))/2))^(2*AW25/365.25)</f>
        <v>2.33182975195789</v>
      </c>
      <c r="AZ25" s="49" t="n">
        <f aca="false">IF(AND(mthbeg&lt;=A25,mthend&gt;=A25),1,0)</f>
        <v>1</v>
      </c>
      <c r="BA25" s="111" t="n">
        <f aca="false">AU25*AZ25</f>
        <v>30</v>
      </c>
      <c r="BC25" s="142" t="n">
        <f aca="false">E25*$D25</f>
        <v>12861206.9969237</v>
      </c>
      <c r="BD25" s="142" t="n">
        <f aca="false">F25*$D25</f>
        <v>13053582.9514603</v>
      </c>
      <c r="BE25" s="142" t="n">
        <f aca="false">G25*$D25</f>
        <v>13053582.9514603</v>
      </c>
      <c r="BF25" s="142" t="n">
        <f aca="false">H25*$D25</f>
        <v>2273534.00815894</v>
      </c>
      <c r="BG25" s="142" t="n">
        <f aca="false">I25*$D25</f>
        <v>2273534.00815894</v>
      </c>
      <c r="BH25" s="142" t="n">
        <f aca="false">J25*$D25</f>
        <v>2273534.00815894</v>
      </c>
      <c r="BI25" s="142" t="n">
        <f aca="false">K25*$D25</f>
        <v>0</v>
      </c>
      <c r="BJ25" s="142" t="n">
        <f aca="false">L25*$D25</f>
        <v>0</v>
      </c>
      <c r="BK25" s="142" t="n">
        <f aca="false">M25*$D25</f>
        <v>0</v>
      </c>
      <c r="BL25" s="142" t="n">
        <f aca="false">N25*$D25</f>
        <v>26233.0847095263</v>
      </c>
      <c r="BM25" s="142" t="n">
        <f aca="false">O25*$D25</f>
        <v>26233.0847095263</v>
      </c>
      <c r="BN25" s="142" t="n">
        <f aca="false">P25*$D25</f>
        <v>26233.0847095263</v>
      </c>
      <c r="BO25" s="142" t="n">
        <f aca="false">Q25*$D25</f>
        <v>26233.0847095263</v>
      </c>
      <c r="BP25" s="142" t="n">
        <f aca="false">R25*$D25</f>
        <v>0</v>
      </c>
      <c r="BQ25" s="142" t="n">
        <f aca="false">S25*$D25</f>
        <v>0</v>
      </c>
      <c r="BR25" s="142" t="n">
        <f aca="false">U25*$D25</f>
        <v>15327116.9596192</v>
      </c>
      <c r="BS25" s="142" t="n">
        <f aca="false">AA25*$D25</f>
        <v>13079816.0361698</v>
      </c>
      <c r="BT25" s="142" t="n">
        <f aca="false">AI25*$D25</f>
        <v>209864.67767621</v>
      </c>
      <c r="BU25" s="142" t="n">
        <f aca="false">AK25*D25</f>
        <v>2037436.24577321</v>
      </c>
    </row>
    <row r="26" customFormat="false" ht="12.75" hidden="false" customHeight="false" outlineLevel="0" collapsed="false">
      <c r="A26" s="144" t="n">
        <f aca="false">EDATE(A25,1)</f>
        <v>38626</v>
      </c>
      <c r="B26" s="145" t="n">
        <f aca="false">Inputs!$B$8</f>
        <v>50000</v>
      </c>
      <c r="C26" s="146" t="n">
        <f aca="false">IF(AZ26=0,0,IF(AND(AZ26=1,$H$3=1),B26*AU26,IF($H$3=2,B26,"N/A")))</f>
        <v>1550000</v>
      </c>
      <c r="D26" s="146" t="n">
        <f aca="false">C26*AY26</f>
        <v>3624761.04065097</v>
      </c>
      <c r="E26" s="147" t="n">
        <f aca="false">VLOOKUP($A26,[1]!CurveTable,MATCH($E$4,[1]!CurveType,0))</f>
        <v>3.677</v>
      </c>
      <c r="F26" s="148" t="n">
        <f aca="false">E26-Inputs!$B$16</f>
        <v>3.732</v>
      </c>
      <c r="G26" s="149" t="n">
        <f aca="false">F26</f>
        <v>3.732</v>
      </c>
      <c r="H26" s="147" t="n">
        <f aca="false">VLOOKUP($A26,[1]!CurveTable,MATCH($H$4,[1]!CurveType,0))</f>
        <v>0.35</v>
      </c>
      <c r="I26" s="148" t="n">
        <f aca="false">H26+Inputs!$B$22</f>
        <v>0.35</v>
      </c>
      <c r="J26" s="150" t="n">
        <f aca="false">I26</f>
        <v>0.35</v>
      </c>
      <c r="K26" s="147" t="n">
        <f aca="false">VLOOKUP($A26,[1]!CurveTable,MATCH($K$4,[1]!CurveType,0))</f>
        <v>0</v>
      </c>
      <c r="L26" s="148" t="n">
        <v>0</v>
      </c>
      <c r="M26" s="151" t="n">
        <f aca="false">L26</f>
        <v>0</v>
      </c>
      <c r="N26" s="147" t="n">
        <f aca="false">VLOOKUP($A26,[1]!CurveTable,MATCH($N$4,[1]!CurveType,0))</f>
        <v>0.0075</v>
      </c>
      <c r="O26" s="148" t="n">
        <f aca="false">N26+Inputs!$E$22</f>
        <v>0.0075</v>
      </c>
      <c r="P26" s="151" t="n">
        <f aca="false">O26</f>
        <v>0.0075</v>
      </c>
      <c r="Q26" s="147" t="n">
        <f aca="false">VLOOKUP($A26,[1]!CurveTable,MATCH($Q$4,[1]!CurveType,0))</f>
        <v>0.0075</v>
      </c>
      <c r="R26" s="148" t="n">
        <v>0</v>
      </c>
      <c r="S26" s="151" t="n">
        <f aca="false">R26</f>
        <v>0</v>
      </c>
      <c r="T26" s="152"/>
      <c r="U26" s="153" t="n">
        <f aca="false">G26+J26</f>
        <v>4.082</v>
      </c>
      <c r="V26" s="154"/>
      <c r="W26" s="155" t="n">
        <f aca="false">VLOOKUP($A26,[1]!CurveTable,MATCH($W$4,[1]!CurveType,0))+$W$9</f>
        <v>0.2575</v>
      </c>
      <c r="X26" s="155" t="n">
        <f aca="false">VLOOKUP($A26,[1]!CurveTable,MATCH($X$4,[1]!CurveType,0))+$X$9</f>
        <v>0.2625</v>
      </c>
      <c r="Y26" s="139" t="n">
        <f aca="false">SQRT((X26^2*($A26-$C$3)+W26^2*(DAY(EOMONTH(A26,0))/2))/$AN26)</f>
        <v>0.261676670472802</v>
      </c>
      <c r="Z26" s="152"/>
      <c r="AA26" s="153" t="n">
        <f aca="false">G26+P26+S26</f>
        <v>3.7395</v>
      </c>
      <c r="AB26" s="154"/>
      <c r="AC26" s="155" t="n">
        <f aca="false">VLOOKUP($A26,[1]!CurveTable,MATCH($AC$4,[1]!CurveType,0))+$AC$9</f>
        <v>0.2575</v>
      </c>
      <c r="AD26" s="155" t="n">
        <f aca="false">VLOOKUP($A26,[1]!CurveTable,MATCH($AD$4,[1]!CurveType,0))+$AD$9</f>
        <v>0.2625</v>
      </c>
      <c r="AE26" s="139" t="n">
        <f aca="false">SQRT((AD26^2*($A26-$C$3)+AC26^2*(DAY(EOMONTH(A26,0))/2))/$AN26)</f>
        <v>0.261676670472802</v>
      </c>
      <c r="AF26" s="152"/>
      <c r="AG26" s="156" t="n">
        <f aca="false">((Inputs!$F$20*(X26*AD26)*(A26-$C$3))+(Inputs!$F$19*W26*AC26*(DAY(EOMONTH(A26,0))/2)))/(AN26*Y26*AE26)</f>
        <v>0.75</v>
      </c>
      <c r="AH26" s="152"/>
      <c r="AI26" s="140" t="n">
        <f aca="false">Inputs!$B$15</f>
        <v>0.06</v>
      </c>
      <c r="AJ26" s="157"/>
      <c r="AK26" s="140" t="n">
        <f aca="false">IF((U26-AA26-AI26)&lt;0,0,(U26-AA26-AI26))</f>
        <v>0.2825</v>
      </c>
      <c r="AL26" s="157"/>
      <c r="AM26" s="158" t="n">
        <f aca="false">WORKDAY(EOMONTH(A26-1,-1),0)</f>
        <v>38595</v>
      </c>
      <c r="AN26" s="159" t="n">
        <f aca="false">AM26-$C$3</f>
        <v>-7331</v>
      </c>
      <c r="AO26" s="159" t="n">
        <f aca="false">AO25</f>
        <v>1</v>
      </c>
      <c r="AP26" s="160"/>
      <c r="AQ26" s="161" t="e">
        <f aca="false">SPRDOPT(U26,AA26,AI26,AX26,X26,AD26,AG26,AN26,AO26,0)</f>
        <v>#NAME?</v>
      </c>
      <c r="AR26" s="162" t="e">
        <f aca="false">AQ26*C26</f>
        <v>#NAME?</v>
      </c>
      <c r="AS26" s="163" t="e">
        <f aca="false">AQ26-AK26</f>
        <v>#NAME?</v>
      </c>
      <c r="AU26" s="112" t="n">
        <f aca="false">A27-A26</f>
        <v>31</v>
      </c>
      <c r="AV26" s="164" t="n">
        <f aca="false">CHOOSE(F$3,A27+24,A26+14)</f>
        <v>38640</v>
      </c>
      <c r="AW26" s="49" t="n">
        <f aca="false">AV26-C$3</f>
        <v>-7286</v>
      </c>
      <c r="AX26" s="155" t="n">
        <f aca="false">VLOOKUP($A26,[1]!CurveTable,MATCH(AX$4,[1]!CurveType,0))</f>
        <v>0.0430440979885494</v>
      </c>
      <c r="AY26" s="165" t="n">
        <f aca="false">1/(1+CHOOSE(F$3,(AX27+(Inputs!$B$14/10000))/2,(AX26+(Inputs!$B$14/10000))/2))^(2*AW26/365.25)</f>
        <v>2.3385555100974</v>
      </c>
      <c r="AZ26" s="49" t="n">
        <f aca="false">IF(AND(mthbeg&lt;=A26,mthend&gt;=A26),1,0)</f>
        <v>1</v>
      </c>
      <c r="BA26" s="111" t="n">
        <f aca="false">AU26*AZ26</f>
        <v>31</v>
      </c>
      <c r="BC26" s="142" t="n">
        <f aca="false">E26*$D26</f>
        <v>13328246.3464736</v>
      </c>
      <c r="BD26" s="142" t="n">
        <f aca="false">F26*$D26</f>
        <v>13527608.2037094</v>
      </c>
      <c r="BE26" s="142" t="n">
        <f aca="false">G26*$D26</f>
        <v>13527608.2037094</v>
      </c>
      <c r="BF26" s="142" t="n">
        <f aca="false">H26*$D26</f>
        <v>1268666.36422784</v>
      </c>
      <c r="BG26" s="142" t="n">
        <f aca="false">I26*$D26</f>
        <v>1268666.36422784</v>
      </c>
      <c r="BH26" s="142" t="n">
        <f aca="false">J26*$D26</f>
        <v>1268666.36422784</v>
      </c>
      <c r="BI26" s="142" t="n">
        <f aca="false">K26*$D26</f>
        <v>0</v>
      </c>
      <c r="BJ26" s="142" t="n">
        <f aca="false">L26*$D26</f>
        <v>0</v>
      </c>
      <c r="BK26" s="142" t="n">
        <f aca="false">M26*$D26</f>
        <v>0</v>
      </c>
      <c r="BL26" s="142" t="n">
        <f aca="false">N26*$D26</f>
        <v>27185.7078048823</v>
      </c>
      <c r="BM26" s="142" t="n">
        <f aca="false">O26*$D26</f>
        <v>27185.7078048823</v>
      </c>
      <c r="BN26" s="142" t="n">
        <f aca="false">P26*$D26</f>
        <v>27185.7078048823</v>
      </c>
      <c r="BO26" s="142" t="n">
        <f aca="false">Q26*$D26</f>
        <v>27185.7078048823</v>
      </c>
      <c r="BP26" s="142" t="n">
        <f aca="false">R26*$D26</f>
        <v>0</v>
      </c>
      <c r="BQ26" s="142" t="n">
        <f aca="false">S26*$D26</f>
        <v>0</v>
      </c>
      <c r="BR26" s="142" t="n">
        <f aca="false">U26*$D26</f>
        <v>14796274.5679373</v>
      </c>
      <c r="BS26" s="142" t="n">
        <f aca="false">AA26*$D26</f>
        <v>13554793.9115143</v>
      </c>
      <c r="BT26" s="142" t="n">
        <f aca="false">AI26*$D26</f>
        <v>217485.662439058</v>
      </c>
      <c r="BU26" s="142" t="n">
        <f aca="false">AK26*D26</f>
        <v>1023994.9939839</v>
      </c>
    </row>
    <row r="27" customFormat="false" ht="12.75" hidden="false" customHeight="false" outlineLevel="0" collapsed="false">
      <c r="A27" s="144" t="n">
        <f aca="false">EDATE(A26,1)</f>
        <v>38657</v>
      </c>
      <c r="B27" s="145" t="n">
        <f aca="false">Inputs!$B$8</f>
        <v>50000</v>
      </c>
      <c r="C27" s="146" t="n">
        <f aca="false">IF(AZ27=0,0,IF(AND(AZ27=1,$H$3=1),B27*AU27,IF($H$3=2,B27,"N/A")))</f>
        <v>1500000</v>
      </c>
      <c r="D27" s="146" t="n">
        <f aca="false">C27*AY27</f>
        <v>3516783.3518927</v>
      </c>
      <c r="E27" s="147" t="n">
        <f aca="false">VLOOKUP($A27,[1]!CurveTable,MATCH($E$4,[1]!CurveType,0))</f>
        <v>3.825</v>
      </c>
      <c r="F27" s="148" t="n">
        <f aca="false">E27-Inputs!$B$16</f>
        <v>3.88</v>
      </c>
      <c r="G27" s="149" t="n">
        <f aca="false">F27</f>
        <v>3.88</v>
      </c>
      <c r="H27" s="147" t="n">
        <f aca="false">VLOOKUP($A27,[1]!CurveTable,MATCH($H$4,[1]!CurveType,0))</f>
        <v>0.27</v>
      </c>
      <c r="I27" s="148" t="n">
        <f aca="false">H27+Inputs!$B$22</f>
        <v>0.27</v>
      </c>
      <c r="J27" s="150" t="n">
        <f aca="false">I27</f>
        <v>0.27</v>
      </c>
      <c r="K27" s="147" t="n">
        <f aca="false">VLOOKUP($A27,[1]!CurveTable,MATCH($K$4,[1]!CurveType,0))</f>
        <v>0</v>
      </c>
      <c r="L27" s="148" t="n">
        <v>0</v>
      </c>
      <c r="M27" s="151" t="n">
        <f aca="false">L27</f>
        <v>0</v>
      </c>
      <c r="N27" s="147" t="n">
        <f aca="false">VLOOKUP($A27,[1]!CurveTable,MATCH($N$4,[1]!CurveType,0))</f>
        <v>0.006</v>
      </c>
      <c r="O27" s="148" t="n">
        <f aca="false">N27+Inputs!$E$22</f>
        <v>0.006</v>
      </c>
      <c r="P27" s="151" t="n">
        <f aca="false">O27</f>
        <v>0.006</v>
      </c>
      <c r="Q27" s="147" t="n">
        <f aca="false">VLOOKUP($A27,[1]!CurveTable,MATCH($Q$4,[1]!CurveType,0))</f>
        <v>0.0075</v>
      </c>
      <c r="R27" s="148" t="n">
        <v>0</v>
      </c>
      <c r="S27" s="151" t="n">
        <f aca="false">R27</f>
        <v>0</v>
      </c>
      <c r="T27" s="152"/>
      <c r="U27" s="153" t="n">
        <f aca="false">G27+J27</f>
        <v>4.15</v>
      </c>
      <c r="V27" s="154"/>
      <c r="W27" s="155" t="n">
        <f aca="false">VLOOKUP($A27,[1]!CurveTable,MATCH($W$4,[1]!CurveType,0))+$W$9</f>
        <v>0.2575</v>
      </c>
      <c r="X27" s="155" t="n">
        <f aca="false">VLOOKUP($A27,[1]!CurveTable,MATCH($X$4,[1]!CurveType,0))+$X$9</f>
        <v>0.2625</v>
      </c>
      <c r="Y27" s="139" t="n">
        <f aca="false">SQRT((X27^2*($A27-$C$3)+W27^2*(DAY(EOMONTH(A27,0))/2))/$AN27)</f>
        <v>0.261663924757013</v>
      </c>
      <c r="Z27" s="152"/>
      <c r="AA27" s="153" t="n">
        <f aca="false">G27+P27+S27</f>
        <v>3.886</v>
      </c>
      <c r="AB27" s="154"/>
      <c r="AC27" s="155" t="n">
        <f aca="false">VLOOKUP($A27,[1]!CurveTable,MATCH($AC$4,[1]!CurveType,0))+$AC$9</f>
        <v>0.2575</v>
      </c>
      <c r="AD27" s="155" t="n">
        <f aca="false">VLOOKUP($A27,[1]!CurveTable,MATCH($AD$4,[1]!CurveType,0))+$AD$9</f>
        <v>0.2625</v>
      </c>
      <c r="AE27" s="139" t="n">
        <f aca="false">SQRT((AD27^2*($A27-$C$3)+AC27^2*(DAY(EOMONTH(A27,0))/2))/$AN27)</f>
        <v>0.261663924757013</v>
      </c>
      <c r="AF27" s="152"/>
      <c r="AG27" s="156" t="n">
        <f aca="false">((Inputs!$F$20*(X27*AD27)*(A27-$C$3))+(Inputs!$F$19*W27*AC27*(DAY(EOMONTH(A27,0))/2)))/(AN27*Y27*AE27)</f>
        <v>0.75</v>
      </c>
      <c r="AH27" s="152"/>
      <c r="AI27" s="140" t="n">
        <f aca="false">Inputs!$B$15</f>
        <v>0.06</v>
      </c>
      <c r="AJ27" s="157"/>
      <c r="AK27" s="140" t="n">
        <f aca="false">IF((U27-AA27-AI27)&lt;0,0,(U27-AA27-AI27))</f>
        <v>0.204</v>
      </c>
      <c r="AL27" s="157"/>
      <c r="AM27" s="158" t="n">
        <f aca="false">WORKDAY(EOMONTH(A27-1,-1),0)</f>
        <v>38625</v>
      </c>
      <c r="AN27" s="159" t="n">
        <f aca="false">AM27-$C$3</f>
        <v>-7301</v>
      </c>
      <c r="AO27" s="159" t="n">
        <f aca="false">AO26</f>
        <v>1</v>
      </c>
      <c r="AP27" s="160"/>
      <c r="AQ27" s="161" t="e">
        <f aca="false">SPRDOPT(U27,AA27,AI27,AX27,X27,AD27,AG27,AN27,AO27,0)</f>
        <v>#NAME?</v>
      </c>
      <c r="AR27" s="162" t="e">
        <f aca="false">AQ27*C27</f>
        <v>#NAME?</v>
      </c>
      <c r="AS27" s="163" t="e">
        <f aca="false">AQ27-AK27</f>
        <v>#NAME?</v>
      </c>
      <c r="AU27" s="112" t="n">
        <f aca="false">A28-A27</f>
        <v>30</v>
      </c>
      <c r="AV27" s="164" t="n">
        <f aca="false">CHOOSE(F$3,A28+24,A27+14)</f>
        <v>38671</v>
      </c>
      <c r="AW27" s="49" t="n">
        <f aca="false">AV27-C$3</f>
        <v>-7255</v>
      </c>
      <c r="AX27" s="155" t="n">
        <f aca="false">VLOOKUP($A27,[1]!CurveTable,MATCH(AX$4,[1]!CurveType,0))</f>
        <v>0.0433610610254442</v>
      </c>
      <c r="AY27" s="165" t="n">
        <f aca="false">1/(1+CHOOSE(F$3,(AX28+(Inputs!$B$14/10000))/2,(AX27+(Inputs!$B$14/10000))/2))^(2*AW27/365.25)</f>
        <v>2.34452223459514</v>
      </c>
      <c r="AZ27" s="49" t="n">
        <f aca="false">IF(AND(mthbeg&lt;=A27,mthend&gt;=A27),1,0)</f>
        <v>1</v>
      </c>
      <c r="BA27" s="111" t="n">
        <f aca="false">AU27*AZ27</f>
        <v>30</v>
      </c>
      <c r="BC27" s="142" t="n">
        <f aca="false">E27*$D27</f>
        <v>13451696.3209896</v>
      </c>
      <c r="BD27" s="142" t="n">
        <f aca="false">F27*$D27</f>
        <v>13645119.4053437</v>
      </c>
      <c r="BE27" s="142" t="n">
        <f aca="false">G27*$D27</f>
        <v>13645119.4053437</v>
      </c>
      <c r="BF27" s="142" t="n">
        <f aca="false">H27*$D27</f>
        <v>949531.50501103</v>
      </c>
      <c r="BG27" s="142" t="n">
        <f aca="false">I27*$D27</f>
        <v>949531.50501103</v>
      </c>
      <c r="BH27" s="142" t="n">
        <f aca="false">J27*$D27</f>
        <v>949531.50501103</v>
      </c>
      <c r="BI27" s="142" t="n">
        <f aca="false">K27*$D27</f>
        <v>0</v>
      </c>
      <c r="BJ27" s="142" t="n">
        <f aca="false">L27*$D27</f>
        <v>0</v>
      </c>
      <c r="BK27" s="142" t="n">
        <f aca="false">M27*$D27</f>
        <v>0</v>
      </c>
      <c r="BL27" s="142" t="n">
        <f aca="false">N27*$D27</f>
        <v>21100.7001113562</v>
      </c>
      <c r="BM27" s="142" t="n">
        <f aca="false">O27*$D27</f>
        <v>21100.7001113562</v>
      </c>
      <c r="BN27" s="142" t="n">
        <f aca="false">P27*$D27</f>
        <v>21100.7001113562</v>
      </c>
      <c r="BO27" s="142" t="n">
        <f aca="false">Q27*$D27</f>
        <v>26375.8751391953</v>
      </c>
      <c r="BP27" s="142" t="n">
        <f aca="false">R27*$D27</f>
        <v>0</v>
      </c>
      <c r="BQ27" s="142" t="n">
        <f aca="false">S27*$D27</f>
        <v>0</v>
      </c>
      <c r="BR27" s="142" t="n">
        <f aca="false">U27*$D27</f>
        <v>14594650.9103547</v>
      </c>
      <c r="BS27" s="142" t="n">
        <f aca="false">AA27*$D27</f>
        <v>13666220.105455</v>
      </c>
      <c r="BT27" s="142" t="n">
        <f aca="false">AI27*$D27</f>
        <v>211007.001113562</v>
      </c>
      <c r="BU27" s="142" t="n">
        <f aca="false">AK27*D27</f>
        <v>717423.803786112</v>
      </c>
    </row>
    <row r="28" customFormat="false" ht="12.75" hidden="false" customHeight="false" outlineLevel="0" collapsed="false">
      <c r="A28" s="144" t="n">
        <f aca="false">EDATE(A27,1)</f>
        <v>38687</v>
      </c>
      <c r="B28" s="145" t="n">
        <f aca="false">Inputs!$B$8</f>
        <v>50000</v>
      </c>
      <c r="C28" s="146" t="n">
        <f aca="false">IF(AZ28=0,0,IF(AND(AZ28=1,$H$3=1),B28*AU28,IF($H$3=2,B28,"N/A")))</f>
        <v>1550000</v>
      </c>
      <c r="D28" s="146" t="n">
        <f aca="false">C28*AY28</f>
        <v>3642796.04553235</v>
      </c>
      <c r="E28" s="147" t="n">
        <f aca="false">VLOOKUP($A28,[1]!CurveTable,MATCH($E$4,[1]!CurveType,0))</f>
        <v>3.977</v>
      </c>
      <c r="F28" s="148" t="n">
        <f aca="false">E28-Inputs!$B$16</f>
        <v>4.032</v>
      </c>
      <c r="G28" s="149" t="n">
        <f aca="false">F28</f>
        <v>4.032</v>
      </c>
      <c r="H28" s="147" t="n">
        <f aca="false">VLOOKUP($A28,[1]!CurveTable,MATCH($H$4,[1]!CurveType,0))</f>
        <v>0.25</v>
      </c>
      <c r="I28" s="148" t="n">
        <f aca="false">H28+Inputs!$B$22</f>
        <v>0.25</v>
      </c>
      <c r="J28" s="150" t="n">
        <f aca="false">I28</f>
        <v>0.25</v>
      </c>
      <c r="K28" s="147" t="n">
        <f aca="false">VLOOKUP($A28,[1]!CurveTable,MATCH($K$4,[1]!CurveType,0))</f>
        <v>0</v>
      </c>
      <c r="L28" s="148" t="n">
        <v>0</v>
      </c>
      <c r="M28" s="151" t="n">
        <f aca="false">L28</f>
        <v>0</v>
      </c>
      <c r="N28" s="147" t="n">
        <f aca="false">VLOOKUP($A28,[1]!CurveTable,MATCH($N$4,[1]!CurveType,0))</f>
        <v>0.006</v>
      </c>
      <c r="O28" s="148" t="n">
        <f aca="false">N28+Inputs!$E$22</f>
        <v>0.006</v>
      </c>
      <c r="P28" s="151" t="n">
        <f aca="false">O28</f>
        <v>0.006</v>
      </c>
      <c r="Q28" s="147" t="n">
        <f aca="false">VLOOKUP($A28,[1]!CurveTable,MATCH($Q$4,[1]!CurveType,0))</f>
        <v>0.0075</v>
      </c>
      <c r="R28" s="148" t="n">
        <v>0</v>
      </c>
      <c r="S28" s="151" t="n">
        <f aca="false">R28</f>
        <v>0</v>
      </c>
      <c r="T28" s="152"/>
      <c r="U28" s="153" t="n">
        <f aca="false">G28+J28</f>
        <v>4.282</v>
      </c>
      <c r="V28" s="154"/>
      <c r="W28" s="155" t="n">
        <f aca="false">VLOOKUP($A28,[1]!CurveTable,MATCH($W$4,[1]!CurveType,0))+$W$9</f>
        <v>0.2575</v>
      </c>
      <c r="X28" s="155" t="n">
        <f aca="false">VLOOKUP($A28,[1]!CurveTable,MATCH($X$4,[1]!CurveType,0))+$X$9</f>
        <v>0.2625</v>
      </c>
      <c r="Y28" s="139" t="n">
        <f aca="false">SQRT((X28^2*($A28-$C$3)+W28^2*(DAY(EOMONTH(A28,0))/2))/$AN28)</f>
        <v>0.261669751246359</v>
      </c>
      <c r="Z28" s="152"/>
      <c r="AA28" s="153" t="n">
        <f aca="false">G28+P28+S28</f>
        <v>4.038</v>
      </c>
      <c r="AB28" s="154"/>
      <c r="AC28" s="155" t="n">
        <f aca="false">VLOOKUP($A28,[1]!CurveTable,MATCH($AC$4,[1]!CurveType,0))+$AC$9</f>
        <v>0.2575</v>
      </c>
      <c r="AD28" s="155" t="n">
        <f aca="false">VLOOKUP($A28,[1]!CurveTable,MATCH($AD$4,[1]!CurveType,0))+$AD$9</f>
        <v>0.2625</v>
      </c>
      <c r="AE28" s="139" t="n">
        <f aca="false">SQRT((AD28^2*($A28-$C$3)+AC28^2*(DAY(EOMONTH(A28,0))/2))/$AN28)</f>
        <v>0.261669751246359</v>
      </c>
      <c r="AF28" s="152"/>
      <c r="AG28" s="156" t="n">
        <f aca="false">((Inputs!$F$20*(X28*AD28)*(A28-$C$3))+(Inputs!$F$19*W28*AC28*(DAY(EOMONTH(A28,0))/2)))/(AN28*Y28*AE28)</f>
        <v>0.75</v>
      </c>
      <c r="AH28" s="152"/>
      <c r="AI28" s="140" t="n">
        <f aca="false">Inputs!$B$15</f>
        <v>0.06</v>
      </c>
      <c r="AJ28" s="157"/>
      <c r="AK28" s="140" t="n">
        <f aca="false">IF((U28-AA28-AI28)&lt;0,0,(U28-AA28-AI28))</f>
        <v>0.184</v>
      </c>
      <c r="AL28" s="157"/>
      <c r="AM28" s="158" t="n">
        <f aca="false">WORKDAY(EOMONTH(A28-1,-1),0)</f>
        <v>38656</v>
      </c>
      <c r="AN28" s="159" t="n">
        <f aca="false">AM28-$C$3</f>
        <v>-7270</v>
      </c>
      <c r="AO28" s="159" t="n">
        <f aca="false">AO27</f>
        <v>1</v>
      </c>
      <c r="AP28" s="160"/>
      <c r="AQ28" s="161" t="e">
        <f aca="false">SPRDOPT(U28,AA28,AI28,AX28,X28,AD28,AG28,AN28,AO28,0)</f>
        <v>#NAME?</v>
      </c>
      <c r="AR28" s="162" t="e">
        <f aca="false">AQ28*C28</f>
        <v>#NAME?</v>
      </c>
      <c r="AS28" s="163" t="e">
        <f aca="false">AQ28-AK28</f>
        <v>#NAME?</v>
      </c>
      <c r="AU28" s="112" t="n">
        <f aca="false">A29-A28</f>
        <v>31</v>
      </c>
      <c r="AV28" s="164" t="n">
        <f aca="false">CHOOSE(F$3,A29+24,A28+14)</f>
        <v>38701</v>
      </c>
      <c r="AW28" s="49" t="n">
        <f aca="false">AV28-C$3</f>
        <v>-7225</v>
      </c>
      <c r="AX28" s="155" t="n">
        <f aca="false">VLOOKUP($A28,[1]!CurveTable,MATCH(AX$4,[1]!CurveType,0))</f>
        <v>0.0436677994802879</v>
      </c>
      <c r="AY28" s="165" t="n">
        <f aca="false">1/(1+CHOOSE(F$3,(AX29+(Inputs!$B$14/10000))/2,(AX28+(Inputs!$B$14/10000))/2))^(2*AW28/365.25)</f>
        <v>2.35019099711764</v>
      </c>
      <c r="AZ28" s="49" t="n">
        <f aca="false">IF(AND(mthbeg&lt;=A28,mthend&gt;=A28),1,0)</f>
        <v>1</v>
      </c>
      <c r="BA28" s="111" t="n">
        <f aca="false">AU28*AZ28</f>
        <v>31</v>
      </c>
      <c r="BC28" s="142" t="n">
        <f aca="false">E28*$D28</f>
        <v>14487399.8730821</v>
      </c>
      <c r="BD28" s="142" t="n">
        <f aca="false">F28*$D28</f>
        <v>14687753.6555864</v>
      </c>
      <c r="BE28" s="142" t="n">
        <f aca="false">G28*$D28</f>
        <v>14687753.6555864</v>
      </c>
      <c r="BF28" s="142" t="n">
        <f aca="false">H28*$D28</f>
        <v>910699.011383086</v>
      </c>
      <c r="BG28" s="142" t="n">
        <f aca="false">I28*$D28</f>
        <v>910699.011383086</v>
      </c>
      <c r="BH28" s="142" t="n">
        <f aca="false">J28*$D28</f>
        <v>910699.011383086</v>
      </c>
      <c r="BI28" s="142" t="n">
        <f aca="false">K28*$D28</f>
        <v>0</v>
      </c>
      <c r="BJ28" s="142" t="n">
        <f aca="false">L28*$D28</f>
        <v>0</v>
      </c>
      <c r="BK28" s="142" t="n">
        <f aca="false">M28*$D28</f>
        <v>0</v>
      </c>
      <c r="BL28" s="142" t="n">
        <f aca="false">N28*$D28</f>
        <v>21856.7762731941</v>
      </c>
      <c r="BM28" s="142" t="n">
        <f aca="false">O28*$D28</f>
        <v>21856.7762731941</v>
      </c>
      <c r="BN28" s="142" t="n">
        <f aca="false">P28*$D28</f>
        <v>21856.7762731941</v>
      </c>
      <c r="BO28" s="142" t="n">
        <f aca="false">Q28*$D28</f>
        <v>27320.9703414926</v>
      </c>
      <c r="BP28" s="142" t="n">
        <f aca="false">R28*$D28</f>
        <v>0</v>
      </c>
      <c r="BQ28" s="142" t="n">
        <f aca="false">S28*$D28</f>
        <v>0</v>
      </c>
      <c r="BR28" s="142" t="n">
        <f aca="false">U28*$D28</f>
        <v>15598452.6669695</v>
      </c>
      <c r="BS28" s="142" t="n">
        <f aca="false">AA28*$D28</f>
        <v>14709610.4318596</v>
      </c>
      <c r="BT28" s="142" t="n">
        <f aca="false">AI28*$D28</f>
        <v>218567.762731941</v>
      </c>
      <c r="BU28" s="142" t="n">
        <f aca="false">AK28*D28</f>
        <v>670274.472377951</v>
      </c>
    </row>
    <row r="29" customFormat="false" ht="12.75" hidden="false" customHeight="false" outlineLevel="0" collapsed="false">
      <c r="A29" s="144" t="n">
        <f aca="false">EDATE(A28,1)</f>
        <v>38718</v>
      </c>
      <c r="B29" s="145" t="n">
        <f aca="false">Inputs!$B$8</f>
        <v>50000</v>
      </c>
      <c r="C29" s="146" t="n">
        <f aca="false">IF(AZ29=0,0,IF(AND(AZ29=1,$H$3=1),B29*AU29,IF($H$3=2,B29,"N/A")))</f>
        <v>1550000</v>
      </c>
      <c r="D29" s="146" t="n">
        <f aca="false">C29*AY29</f>
        <v>3650370.80343006</v>
      </c>
      <c r="E29" s="147" t="n">
        <f aca="false">VLOOKUP($A29,[1]!CurveTable,MATCH($E$4,[1]!CurveType,0))</f>
        <v>4.0395</v>
      </c>
      <c r="F29" s="148" t="n">
        <f aca="false">E29-Inputs!$B$16</f>
        <v>4.0945</v>
      </c>
      <c r="G29" s="149" t="n">
        <f aca="false">F29</f>
        <v>4.0945</v>
      </c>
      <c r="H29" s="147" t="n">
        <f aca="false">VLOOKUP($A29,[1]!CurveTable,MATCH($H$4,[1]!CurveType,0))</f>
        <v>0.075</v>
      </c>
      <c r="I29" s="148" t="n">
        <f aca="false">H29+Inputs!$B$22</f>
        <v>0.075</v>
      </c>
      <c r="J29" s="150" t="n">
        <f aca="false">I29</f>
        <v>0.075</v>
      </c>
      <c r="K29" s="147" t="n">
        <f aca="false">VLOOKUP($A29,[1]!CurveTable,MATCH($K$4,[1]!CurveType,0))</f>
        <v>0</v>
      </c>
      <c r="L29" s="148" t="n">
        <v>0</v>
      </c>
      <c r="M29" s="151" t="n">
        <f aca="false">L29</f>
        <v>0</v>
      </c>
      <c r="N29" s="147" t="n">
        <f aca="false">VLOOKUP($A29,[1]!CurveTable,MATCH($N$4,[1]!CurveType,0))</f>
        <v>0.006</v>
      </c>
      <c r="O29" s="148" t="n">
        <f aca="false">N29+Inputs!$E$22</f>
        <v>0.006</v>
      </c>
      <c r="P29" s="151" t="n">
        <f aca="false">O29</f>
        <v>0.006</v>
      </c>
      <c r="Q29" s="147" t="n">
        <f aca="false">VLOOKUP($A29,[1]!CurveTable,MATCH($Q$4,[1]!CurveType,0))</f>
        <v>0.0075</v>
      </c>
      <c r="R29" s="148" t="n">
        <v>0</v>
      </c>
      <c r="S29" s="151" t="n">
        <f aca="false">R29</f>
        <v>0</v>
      </c>
      <c r="T29" s="152"/>
      <c r="U29" s="153" t="n">
        <f aca="false">G29+J29</f>
        <v>4.1695</v>
      </c>
      <c r="V29" s="154"/>
      <c r="W29" s="155" t="n">
        <f aca="false">VLOOKUP($A29,[1]!CurveTable,MATCH($W$4,[1]!CurveType,0))+$W$9</f>
        <v>0.2575</v>
      </c>
      <c r="X29" s="155" t="n">
        <f aca="false">VLOOKUP($A29,[1]!CurveTable,MATCH($X$4,[1]!CurveType,0))+$X$9</f>
        <v>0.2625</v>
      </c>
      <c r="Y29" s="139" t="n">
        <f aca="false">SQRT((X29^2*($A29-$C$3)+W29^2*(DAY(EOMONTH(A29,0))/2))/$AN29)</f>
        <v>0.261648118664535</v>
      </c>
      <c r="Z29" s="152"/>
      <c r="AA29" s="153" t="n">
        <f aca="false">G29+P29+S29</f>
        <v>4.1005</v>
      </c>
      <c r="AB29" s="154"/>
      <c r="AC29" s="155" t="n">
        <f aca="false">VLOOKUP($A29,[1]!CurveTable,MATCH($AC$4,[1]!CurveType,0))+$AC$9</f>
        <v>0.2575</v>
      </c>
      <c r="AD29" s="155" t="n">
        <f aca="false">VLOOKUP($A29,[1]!CurveTable,MATCH($AD$4,[1]!CurveType,0))+$AD$9</f>
        <v>0.2625</v>
      </c>
      <c r="AE29" s="139" t="n">
        <f aca="false">SQRT((AD29^2*($A29-$C$3)+AC29^2*(DAY(EOMONTH(A29,0))/2))/$AN29)</f>
        <v>0.261648118664535</v>
      </c>
      <c r="AF29" s="152"/>
      <c r="AG29" s="156" t="n">
        <f aca="false">((Inputs!$F$20*(X29*AD29)*(A29-$C$3))+(Inputs!$F$19*W29*AC29*(DAY(EOMONTH(A29,0))/2)))/(AN29*Y29*AE29)</f>
        <v>0.75</v>
      </c>
      <c r="AH29" s="152"/>
      <c r="AI29" s="140" t="n">
        <f aca="false">Inputs!$B$15</f>
        <v>0.06</v>
      </c>
      <c r="AJ29" s="157"/>
      <c r="AK29" s="140" t="n">
        <f aca="false">IF((U29-AA29-AI29)&lt;0,0,(U29-AA29-AI29))</f>
        <v>0.00899999999999995</v>
      </c>
      <c r="AL29" s="157"/>
      <c r="AM29" s="158" t="n">
        <f aca="false">WORKDAY(EOMONTH(A29-1,-1),0)</f>
        <v>38686</v>
      </c>
      <c r="AN29" s="159" t="n">
        <f aca="false">AM29-$C$3</f>
        <v>-7240</v>
      </c>
      <c r="AO29" s="159" t="n">
        <f aca="false">AO28</f>
        <v>1</v>
      </c>
      <c r="AP29" s="160"/>
      <c r="AQ29" s="161" t="e">
        <f aca="false">SPRDOPT(U29,AA29,AI29,AX29,X29,AD29,AG29,AN29,AO29,0)</f>
        <v>#NAME?</v>
      </c>
      <c r="AR29" s="162" t="e">
        <f aca="false">AQ29*C29</f>
        <v>#NAME?</v>
      </c>
      <c r="AS29" s="163" t="e">
        <f aca="false">AQ29-AK29</f>
        <v>#NAME?</v>
      </c>
      <c r="AU29" s="112" t="n">
        <f aca="false">A30-A29</f>
        <v>31</v>
      </c>
      <c r="AV29" s="164" t="n">
        <f aca="false">CHOOSE(F$3,A30+24,A29+14)</f>
        <v>38732</v>
      </c>
      <c r="AW29" s="49" t="n">
        <f aca="false">AV29-C$3</f>
        <v>-7194</v>
      </c>
      <c r="AX29" s="155" t="n">
        <f aca="false">VLOOKUP($A29,[1]!CurveTable,MATCH(AX$4,[1]!CurveType,0))</f>
        <v>0.0439657978848018</v>
      </c>
      <c r="AY29" s="165" t="n">
        <f aca="false">1/(1+CHOOSE(F$3,(AX30+(Inputs!$B$14/10000))/2,(AX29+(Inputs!$B$14/10000))/2))^(2*AW29/365.25)</f>
        <v>2.35507793769681</v>
      </c>
      <c r="AZ29" s="49" t="n">
        <f aca="false">IF(AND(mthbeg&lt;=A29,mthend&gt;=A29),1,0)</f>
        <v>1</v>
      </c>
      <c r="BA29" s="111" t="n">
        <f aca="false">AU29*AZ29</f>
        <v>31</v>
      </c>
      <c r="BC29" s="142" t="n">
        <f aca="false">E29*$D29</f>
        <v>14745672.8604557</v>
      </c>
      <c r="BD29" s="142" t="n">
        <f aca="false">F29*$D29</f>
        <v>14946443.2546444</v>
      </c>
      <c r="BE29" s="142" t="n">
        <f aca="false">G29*$D29</f>
        <v>14946443.2546444</v>
      </c>
      <c r="BF29" s="142" t="n">
        <f aca="false">H29*$D29</f>
        <v>273777.810257255</v>
      </c>
      <c r="BG29" s="142" t="n">
        <f aca="false">I29*$D29</f>
        <v>273777.810257255</v>
      </c>
      <c r="BH29" s="142" t="n">
        <f aca="false">J29*$D29</f>
        <v>273777.810257255</v>
      </c>
      <c r="BI29" s="142" t="n">
        <f aca="false">K29*$D29</f>
        <v>0</v>
      </c>
      <c r="BJ29" s="142" t="n">
        <f aca="false">L29*$D29</f>
        <v>0</v>
      </c>
      <c r="BK29" s="142" t="n">
        <f aca="false">M29*$D29</f>
        <v>0</v>
      </c>
      <c r="BL29" s="142" t="n">
        <f aca="false">N29*$D29</f>
        <v>21902.2248205804</v>
      </c>
      <c r="BM29" s="142" t="n">
        <f aca="false">O29*$D29</f>
        <v>21902.2248205804</v>
      </c>
      <c r="BN29" s="142" t="n">
        <f aca="false">P29*$D29</f>
        <v>21902.2248205804</v>
      </c>
      <c r="BO29" s="142" t="n">
        <f aca="false">Q29*$D29</f>
        <v>27377.7810257255</v>
      </c>
      <c r="BP29" s="142" t="n">
        <f aca="false">R29*$D29</f>
        <v>0</v>
      </c>
      <c r="BQ29" s="142" t="n">
        <f aca="false">S29*$D29</f>
        <v>0</v>
      </c>
      <c r="BR29" s="142" t="n">
        <f aca="false">U29*$D29</f>
        <v>15220221.0649016</v>
      </c>
      <c r="BS29" s="142" t="n">
        <f aca="false">AA29*$D29</f>
        <v>14968345.479465</v>
      </c>
      <c r="BT29" s="142" t="n">
        <f aca="false">AI29*$D29</f>
        <v>219022.248205804</v>
      </c>
      <c r="BU29" s="142" t="n">
        <f aca="false">AK29*D29</f>
        <v>32853.3372308704</v>
      </c>
    </row>
    <row r="30" customFormat="false" ht="12.75" hidden="false" customHeight="false" outlineLevel="0" collapsed="false">
      <c r="A30" s="144" t="n">
        <f aca="false">EDATE(A29,1)</f>
        <v>38749</v>
      </c>
      <c r="B30" s="145" t="n">
        <f aca="false">Inputs!$B$8</f>
        <v>50000</v>
      </c>
      <c r="C30" s="146" t="n">
        <f aca="false">IF(AZ30=0,0,IF(AND(AZ30=1,$H$3=1),B30*AU30,IF($H$3=2,B30,"N/A")))</f>
        <v>1400000</v>
      </c>
      <c r="D30" s="146" t="n">
        <f aca="false">C30*AY30</f>
        <v>3301613.74575863</v>
      </c>
      <c r="E30" s="147" t="n">
        <f aca="false">VLOOKUP($A30,[1]!CurveTable,MATCH($E$4,[1]!CurveType,0))</f>
        <v>3.9525</v>
      </c>
      <c r="F30" s="148" t="n">
        <f aca="false">E30-Inputs!$B$16</f>
        <v>4.0075</v>
      </c>
      <c r="G30" s="149" t="n">
        <f aca="false">F30</f>
        <v>4.0075</v>
      </c>
      <c r="H30" s="147" t="n">
        <f aca="false">VLOOKUP($A30,[1]!CurveTable,MATCH($H$4,[1]!CurveType,0))</f>
        <v>0.075</v>
      </c>
      <c r="I30" s="148" t="n">
        <f aca="false">H30+Inputs!$B$22</f>
        <v>0.075</v>
      </c>
      <c r="J30" s="150" t="n">
        <f aca="false">I30</f>
        <v>0.075</v>
      </c>
      <c r="K30" s="147" t="n">
        <f aca="false">VLOOKUP($A30,[1]!CurveTable,MATCH($K$4,[1]!CurveType,0))</f>
        <v>0</v>
      </c>
      <c r="L30" s="148" t="n">
        <v>0</v>
      </c>
      <c r="M30" s="151" t="n">
        <f aca="false">L30</f>
        <v>0</v>
      </c>
      <c r="N30" s="147" t="n">
        <f aca="false">VLOOKUP($A30,[1]!CurveTable,MATCH($N$4,[1]!CurveType,0))</f>
        <v>0.006</v>
      </c>
      <c r="O30" s="148" t="n">
        <f aca="false">N30+Inputs!$E$22</f>
        <v>0.006</v>
      </c>
      <c r="P30" s="151" t="n">
        <f aca="false">O30</f>
        <v>0.006</v>
      </c>
      <c r="Q30" s="147" t="n">
        <f aca="false">VLOOKUP($A30,[1]!CurveTable,MATCH($Q$4,[1]!CurveType,0))</f>
        <v>0.0075</v>
      </c>
      <c r="R30" s="148" t="n">
        <v>0</v>
      </c>
      <c r="S30" s="151" t="n">
        <f aca="false">R30</f>
        <v>0</v>
      </c>
      <c r="T30" s="152"/>
      <c r="U30" s="153" t="n">
        <f aca="false">G30+J30</f>
        <v>4.0825</v>
      </c>
      <c r="V30" s="154"/>
      <c r="W30" s="155" t="n">
        <f aca="false">VLOOKUP($A30,[1]!CurveTable,MATCH($W$4,[1]!CurveType,0))+$W$9</f>
        <v>0.25</v>
      </c>
      <c r="X30" s="155" t="n">
        <f aca="false">VLOOKUP($A30,[1]!CurveTable,MATCH($X$4,[1]!CurveType,0))+$X$9</f>
        <v>0.255</v>
      </c>
      <c r="Y30" s="139" t="n">
        <f aca="false">SQRT((X30^2*($A30-$C$3)+W30^2*(DAY(EOMONTH(A30,0))/2))/$AN30)</f>
        <v>0.254194777171553</v>
      </c>
      <c r="Z30" s="152"/>
      <c r="AA30" s="153" t="n">
        <f aca="false">G30+P30+S30</f>
        <v>4.0135</v>
      </c>
      <c r="AB30" s="154"/>
      <c r="AC30" s="155" t="n">
        <f aca="false">VLOOKUP($A30,[1]!CurveTable,MATCH($AC$4,[1]!CurveType,0))+$AC$9</f>
        <v>0.25</v>
      </c>
      <c r="AD30" s="155" t="n">
        <f aca="false">VLOOKUP($A30,[1]!CurveTable,MATCH($AD$4,[1]!CurveType,0))+$AD$9</f>
        <v>0.255</v>
      </c>
      <c r="AE30" s="139" t="n">
        <f aca="false">SQRT((AD30^2*($A30-$C$3)+AC30^2*(DAY(EOMONTH(A30,0))/2))/$AN30)</f>
        <v>0.254194777171553</v>
      </c>
      <c r="AF30" s="152"/>
      <c r="AG30" s="156" t="n">
        <f aca="false">((Inputs!$F$20*(X30*AD30)*(A30-$C$3))+(Inputs!$F$19*W30*AC30*(DAY(EOMONTH(A30,0))/2)))/(AN30*Y30*AE30)</f>
        <v>0.75</v>
      </c>
      <c r="AH30" s="152"/>
      <c r="AI30" s="140" t="n">
        <f aca="false">Inputs!$B$15</f>
        <v>0.06</v>
      </c>
      <c r="AJ30" s="157"/>
      <c r="AK30" s="140" t="n">
        <f aca="false">IF((U30-AA30-AI30)&lt;0,0,(U30-AA30-AI30))</f>
        <v>0.00899999999999995</v>
      </c>
      <c r="AL30" s="157"/>
      <c r="AM30" s="158" t="n">
        <f aca="false">WORKDAY(EOMONTH(A30-1,-1),0)</f>
        <v>38717</v>
      </c>
      <c r="AN30" s="159" t="n">
        <f aca="false">AM30-$C$3</f>
        <v>-7209</v>
      </c>
      <c r="AO30" s="159" t="n">
        <f aca="false">AO29</f>
        <v>1</v>
      </c>
      <c r="AP30" s="160"/>
      <c r="AQ30" s="161" t="e">
        <f aca="false">SPRDOPT(U30,AA30,AI30,AX30,X30,AD30,AG30,AN30,AO30,0)</f>
        <v>#NAME?</v>
      </c>
      <c r="AR30" s="162" t="e">
        <f aca="false">AQ30*C30</f>
        <v>#NAME?</v>
      </c>
      <c r="AS30" s="163" t="e">
        <f aca="false">AQ30-AK30</f>
        <v>#NAME?</v>
      </c>
      <c r="AU30" s="112" t="n">
        <f aca="false">A31-A30</f>
        <v>28</v>
      </c>
      <c r="AV30" s="164" t="n">
        <f aca="false">CHOOSE(F$3,A31+24,A30+14)</f>
        <v>38763</v>
      </c>
      <c r="AW30" s="49" t="n">
        <f aca="false">AV30-C$3</f>
        <v>-7163</v>
      </c>
      <c r="AX30" s="155" t="n">
        <f aca="false">VLOOKUP($A30,[1]!CurveTable,MATCH(AX$4,[1]!CurveType,0))</f>
        <v>0.0442293150457464</v>
      </c>
      <c r="AY30" s="165" t="n">
        <f aca="false">1/(1+CHOOSE(F$3,(AX31+(Inputs!$B$14/10000))/2,(AX30+(Inputs!$B$14/10000))/2))^(2*AW30/365.25)</f>
        <v>2.35829553268474</v>
      </c>
      <c r="AZ30" s="49" t="n">
        <f aca="false">IF(AND(mthbeg&lt;=A30,mthend&gt;=A30),1,0)</f>
        <v>1</v>
      </c>
      <c r="BA30" s="111" t="n">
        <f aca="false">AU30*AZ30</f>
        <v>28</v>
      </c>
      <c r="BC30" s="142" t="n">
        <f aca="false">E30*$D30</f>
        <v>13049628.330111</v>
      </c>
      <c r="BD30" s="142" t="n">
        <f aca="false">F30*$D30</f>
        <v>13231217.0861277</v>
      </c>
      <c r="BE30" s="142" t="n">
        <f aca="false">G30*$D30</f>
        <v>13231217.0861277</v>
      </c>
      <c r="BF30" s="142" t="n">
        <f aca="false">H30*$D30</f>
        <v>247621.030931898</v>
      </c>
      <c r="BG30" s="142" t="n">
        <f aca="false">I30*$D30</f>
        <v>247621.030931898</v>
      </c>
      <c r="BH30" s="142" t="n">
        <f aca="false">J30*$D30</f>
        <v>247621.030931898</v>
      </c>
      <c r="BI30" s="142" t="n">
        <f aca="false">K30*$D30</f>
        <v>0</v>
      </c>
      <c r="BJ30" s="142" t="n">
        <f aca="false">L30*$D30</f>
        <v>0</v>
      </c>
      <c r="BK30" s="142" t="n">
        <f aca="false">M30*$D30</f>
        <v>0</v>
      </c>
      <c r="BL30" s="142" t="n">
        <f aca="false">N30*$D30</f>
        <v>19809.6824745518</v>
      </c>
      <c r="BM30" s="142" t="n">
        <f aca="false">O30*$D30</f>
        <v>19809.6824745518</v>
      </c>
      <c r="BN30" s="142" t="n">
        <f aca="false">P30*$D30</f>
        <v>19809.6824745518</v>
      </c>
      <c r="BO30" s="142" t="n">
        <f aca="false">Q30*$D30</f>
        <v>24762.1030931898</v>
      </c>
      <c r="BP30" s="142" t="n">
        <f aca="false">R30*$D30</f>
        <v>0</v>
      </c>
      <c r="BQ30" s="142" t="n">
        <f aca="false">S30*$D30</f>
        <v>0</v>
      </c>
      <c r="BR30" s="142" t="n">
        <f aca="false">U30*$D30</f>
        <v>13478838.1170596</v>
      </c>
      <c r="BS30" s="142" t="n">
        <f aca="false">AA30*$D30</f>
        <v>13251026.7686023</v>
      </c>
      <c r="BT30" s="142" t="n">
        <f aca="false">AI30*$D30</f>
        <v>198096.824745518</v>
      </c>
      <c r="BU30" s="142" t="n">
        <f aca="false">AK30*D30</f>
        <v>29714.5237118275</v>
      </c>
    </row>
    <row r="31" customFormat="false" ht="12.75" hidden="false" customHeight="false" outlineLevel="0" collapsed="false">
      <c r="A31" s="144" t="n">
        <f aca="false">EDATE(A30,1)</f>
        <v>38777</v>
      </c>
      <c r="B31" s="145" t="n">
        <f aca="false">Inputs!$B$8</f>
        <v>50000</v>
      </c>
      <c r="C31" s="146" t="n">
        <f aca="false">IF(AZ31=0,0,IF(AND(AZ31=1,$H$3=1),B31*AU31,IF($H$3=2,B31,"N/A")))</f>
        <v>1550000</v>
      </c>
      <c r="D31" s="146" t="n">
        <f aca="false">C31*AY31</f>
        <v>3659728.84991991</v>
      </c>
      <c r="E31" s="147" t="n">
        <f aca="false">VLOOKUP($A31,[1]!CurveTable,MATCH($E$4,[1]!CurveType,0))</f>
        <v>3.8135</v>
      </c>
      <c r="F31" s="148" t="n">
        <f aca="false">E31-Inputs!$B$16</f>
        <v>3.8685</v>
      </c>
      <c r="G31" s="149" t="n">
        <f aca="false">F31</f>
        <v>3.8685</v>
      </c>
      <c r="H31" s="147" t="n">
        <f aca="false">VLOOKUP($A31,[1]!CurveTable,MATCH($H$4,[1]!CurveType,0))</f>
        <v>0.25</v>
      </c>
      <c r="I31" s="148" t="n">
        <f aca="false">H31+Inputs!$B$22</f>
        <v>0.25</v>
      </c>
      <c r="J31" s="150" t="n">
        <f aca="false">I31</f>
        <v>0.25</v>
      </c>
      <c r="K31" s="147" t="n">
        <f aca="false">VLOOKUP($A31,[1]!CurveTable,MATCH($K$4,[1]!CurveType,0))</f>
        <v>0</v>
      </c>
      <c r="L31" s="148" t="n">
        <v>0</v>
      </c>
      <c r="M31" s="151" t="n">
        <f aca="false">L31</f>
        <v>0</v>
      </c>
      <c r="N31" s="147" t="n">
        <f aca="false">VLOOKUP($A31,[1]!CurveTable,MATCH($N$4,[1]!CurveType,0))</f>
        <v>0.01</v>
      </c>
      <c r="O31" s="148" t="n">
        <f aca="false">N31+Inputs!$E$22</f>
        <v>0.01</v>
      </c>
      <c r="P31" s="151" t="n">
        <f aca="false">O31</f>
        <v>0.01</v>
      </c>
      <c r="Q31" s="147" t="n">
        <f aca="false">VLOOKUP($A31,[1]!CurveTable,MATCH($Q$4,[1]!CurveType,0))</f>
        <v>0.0075</v>
      </c>
      <c r="R31" s="148" t="n">
        <v>0</v>
      </c>
      <c r="S31" s="151" t="n">
        <f aca="false">R31</f>
        <v>0</v>
      </c>
      <c r="T31" s="152"/>
      <c r="U31" s="153" t="n">
        <f aca="false">G31+J31</f>
        <v>4.1185</v>
      </c>
      <c r="V31" s="154"/>
      <c r="W31" s="155" t="n">
        <f aca="false">VLOOKUP($A31,[1]!CurveTable,MATCH($W$4,[1]!CurveType,0))+$W$9</f>
        <v>0.2425</v>
      </c>
      <c r="X31" s="155" t="n">
        <f aca="false">VLOOKUP($A31,[1]!CurveTable,MATCH($X$4,[1]!CurveType,0))+$X$9</f>
        <v>0.2475</v>
      </c>
      <c r="Y31" s="139" t="n">
        <f aca="false">SQRT((X31^2*($A31-$C$3)+W31^2*(DAY(EOMONTH(A31,0))/2))/$AN31)</f>
        <v>0.246742340190898</v>
      </c>
      <c r="Z31" s="152"/>
      <c r="AA31" s="153" t="n">
        <f aca="false">G31+P31+S31</f>
        <v>3.8785</v>
      </c>
      <c r="AB31" s="154"/>
      <c r="AC31" s="155" t="n">
        <f aca="false">VLOOKUP($A31,[1]!CurveTable,MATCH($AC$4,[1]!CurveType,0))+$AC$9</f>
        <v>0.2425</v>
      </c>
      <c r="AD31" s="155" t="n">
        <f aca="false">VLOOKUP($A31,[1]!CurveTable,MATCH($AD$4,[1]!CurveType,0))+$AD$9</f>
        <v>0.2475</v>
      </c>
      <c r="AE31" s="139" t="n">
        <f aca="false">SQRT((AD31^2*($A31-$C$3)+AC31^2*(DAY(EOMONTH(A31,0))/2))/$AN31)</f>
        <v>0.246742340190898</v>
      </c>
      <c r="AF31" s="152"/>
      <c r="AG31" s="156" t="n">
        <f aca="false">((Inputs!$F$20*(X31*AD31)*(A31-$C$3))+(Inputs!$F$19*W31*AC31*(DAY(EOMONTH(A31,0))/2)))/(AN31*Y31*AE31)</f>
        <v>0.75</v>
      </c>
      <c r="AH31" s="152"/>
      <c r="AI31" s="140" t="n">
        <f aca="false">Inputs!$B$15</f>
        <v>0.06</v>
      </c>
      <c r="AJ31" s="157"/>
      <c r="AK31" s="140" t="n">
        <f aca="false">IF((U31-AA31-AI31)&lt;0,0,(U31-AA31-AI31))</f>
        <v>0.180000000000001</v>
      </c>
      <c r="AL31" s="157"/>
      <c r="AM31" s="158" t="n">
        <f aca="false">WORKDAY(EOMONTH(A31-1,-1),0)</f>
        <v>38748</v>
      </c>
      <c r="AN31" s="159" t="n">
        <f aca="false">AM31-$C$3</f>
        <v>-7178</v>
      </c>
      <c r="AO31" s="159" t="n">
        <f aca="false">AO30</f>
        <v>1</v>
      </c>
      <c r="AP31" s="160"/>
      <c r="AQ31" s="161" t="e">
        <f aca="false">SPRDOPT(U31,AA31,AI31,AX31,X31,AD31,AG31,AN31,AO31,0)</f>
        <v>#NAME?</v>
      </c>
      <c r="AR31" s="162" t="e">
        <f aca="false">AQ31*C31</f>
        <v>#NAME?</v>
      </c>
      <c r="AS31" s="163" t="e">
        <f aca="false">AQ31-AK31</f>
        <v>#NAME?</v>
      </c>
      <c r="AU31" s="112" t="n">
        <f aca="false">A32-A31</f>
        <v>31</v>
      </c>
      <c r="AV31" s="164" t="n">
        <f aca="false">CHOOSE(F$3,A32+24,A31+14)</f>
        <v>38791</v>
      </c>
      <c r="AW31" s="49" t="n">
        <f aca="false">AV31-C$3</f>
        <v>-7135</v>
      </c>
      <c r="AX31" s="155" t="n">
        <f aca="false">VLOOKUP($A31,[1]!CurveTable,MATCH(AX$4,[1]!CurveType,0))</f>
        <v>0.0444673305659382</v>
      </c>
      <c r="AY31" s="165" t="n">
        <f aca="false">1/(1+CHOOSE(F$3,(AX32+(Inputs!$B$14/10000))/2,(AX31+(Inputs!$B$14/10000))/2))^(2*AW31/365.25)</f>
        <v>2.3611153870451</v>
      </c>
      <c r="AZ31" s="49" t="n">
        <f aca="false">IF(AND(mthbeg&lt;=A31,mthend&gt;=A31),1,0)</f>
        <v>1</v>
      </c>
      <c r="BA31" s="111" t="n">
        <f aca="false">AU31*AZ31</f>
        <v>31</v>
      </c>
      <c r="BC31" s="142" t="n">
        <f aca="false">E31*$D31</f>
        <v>13956375.9691696</v>
      </c>
      <c r="BD31" s="142" t="n">
        <f aca="false">F31*$D31</f>
        <v>14157661.0559152</v>
      </c>
      <c r="BE31" s="142" t="n">
        <f aca="false">G31*$D31</f>
        <v>14157661.0559152</v>
      </c>
      <c r="BF31" s="142" t="n">
        <f aca="false">H31*$D31</f>
        <v>914932.212479977</v>
      </c>
      <c r="BG31" s="142" t="n">
        <f aca="false">I31*$D31</f>
        <v>914932.212479977</v>
      </c>
      <c r="BH31" s="142" t="n">
        <f aca="false">J31*$D31</f>
        <v>914932.212479977</v>
      </c>
      <c r="BI31" s="142" t="n">
        <f aca="false">K31*$D31</f>
        <v>0</v>
      </c>
      <c r="BJ31" s="142" t="n">
        <f aca="false">L31*$D31</f>
        <v>0</v>
      </c>
      <c r="BK31" s="142" t="n">
        <f aca="false">M31*$D31</f>
        <v>0</v>
      </c>
      <c r="BL31" s="142" t="n">
        <f aca="false">N31*$D31</f>
        <v>36597.2884991991</v>
      </c>
      <c r="BM31" s="142" t="n">
        <f aca="false">O31*$D31</f>
        <v>36597.2884991991</v>
      </c>
      <c r="BN31" s="142" t="n">
        <f aca="false">P31*$D31</f>
        <v>36597.2884991991</v>
      </c>
      <c r="BO31" s="142" t="n">
        <f aca="false">Q31*$D31</f>
        <v>27447.9663743993</v>
      </c>
      <c r="BP31" s="142" t="n">
        <f aca="false">R31*$D31</f>
        <v>0</v>
      </c>
      <c r="BQ31" s="142" t="n">
        <f aca="false">S31*$D31</f>
        <v>0</v>
      </c>
      <c r="BR31" s="142" t="n">
        <f aca="false">U31*$D31</f>
        <v>15072593.2683951</v>
      </c>
      <c r="BS31" s="142" t="n">
        <f aca="false">AA31*$D31</f>
        <v>14194258.3444144</v>
      </c>
      <c r="BT31" s="142" t="n">
        <f aca="false">AI31*$D31</f>
        <v>219583.730995194</v>
      </c>
      <c r="BU31" s="142" t="n">
        <f aca="false">AK31*D31</f>
        <v>658751.192985585</v>
      </c>
    </row>
    <row r="32" customFormat="false" ht="12.75" hidden="false" customHeight="false" outlineLevel="0" collapsed="false">
      <c r="A32" s="144" t="n">
        <f aca="false">EDATE(A31,1)</f>
        <v>38808</v>
      </c>
      <c r="B32" s="145" t="n">
        <f aca="false">Inputs!$B$8</f>
        <v>50000</v>
      </c>
      <c r="C32" s="146" t="n">
        <f aca="false">IF(AZ32=0,0,IF(AND(AZ32=1,$H$3=1),B32*AU32,IF($H$3=2,B32,"N/A")))</f>
        <v>1500000</v>
      </c>
      <c r="D32" s="146" t="n">
        <f aca="false">C32*AY32</f>
        <v>3546212.09401152</v>
      </c>
      <c r="E32" s="147" t="n">
        <f aca="false">VLOOKUP($A32,[1]!CurveTable,MATCH($E$4,[1]!CurveType,0))</f>
        <v>3.6595</v>
      </c>
      <c r="F32" s="148" t="n">
        <f aca="false">E32-Inputs!$B$16</f>
        <v>3.7145</v>
      </c>
      <c r="G32" s="149" t="n">
        <f aca="false">F32</f>
        <v>3.7145</v>
      </c>
      <c r="H32" s="147" t="n">
        <f aca="false">VLOOKUP($A32,[1]!CurveTable,MATCH($H$4,[1]!CurveType,0))</f>
        <v>0.65</v>
      </c>
      <c r="I32" s="148" t="n">
        <f aca="false">H32+Inputs!$B$22</f>
        <v>0.65</v>
      </c>
      <c r="J32" s="150" t="n">
        <f aca="false">I32</f>
        <v>0.65</v>
      </c>
      <c r="K32" s="147" t="n">
        <f aca="false">VLOOKUP($A32,[1]!CurveTable,MATCH($K$4,[1]!CurveType,0))</f>
        <v>0</v>
      </c>
      <c r="L32" s="148" t="n">
        <v>0</v>
      </c>
      <c r="M32" s="151" t="n">
        <f aca="false">L32</f>
        <v>0</v>
      </c>
      <c r="N32" s="147" t="n">
        <f aca="false">VLOOKUP($A32,[1]!CurveTable,MATCH($N$4,[1]!CurveType,0))</f>
        <v>0.01</v>
      </c>
      <c r="O32" s="148" t="n">
        <f aca="false">N32+Inputs!$E$22</f>
        <v>0.01</v>
      </c>
      <c r="P32" s="151" t="n">
        <f aca="false">O32</f>
        <v>0.01</v>
      </c>
      <c r="Q32" s="147" t="n">
        <f aca="false">VLOOKUP($A32,[1]!CurveTable,MATCH($Q$4,[1]!CurveType,0))</f>
        <v>0.01</v>
      </c>
      <c r="R32" s="148" t="n">
        <v>0</v>
      </c>
      <c r="S32" s="151" t="n">
        <f aca="false">R32</f>
        <v>0</v>
      </c>
      <c r="T32" s="152"/>
      <c r="U32" s="153" t="n">
        <f aca="false">G32+J32</f>
        <v>4.3645</v>
      </c>
      <c r="V32" s="154"/>
      <c r="W32" s="155" t="n">
        <f aca="false">VLOOKUP($A32,[1]!CurveTable,MATCH($W$4,[1]!CurveType,0))+$W$9</f>
        <v>0.24</v>
      </c>
      <c r="X32" s="155" t="n">
        <f aca="false">VLOOKUP($A32,[1]!CurveTable,MATCH($X$4,[1]!CurveType,0))+$X$9</f>
        <v>0.245</v>
      </c>
      <c r="Y32" s="139" t="n">
        <f aca="false">SQRT((X32^2*($A32-$C$3)+W32^2*(DAY(EOMONTH(A32,0))/2))/$AN32)</f>
        <v>0.244203844119042</v>
      </c>
      <c r="Z32" s="152"/>
      <c r="AA32" s="153" t="n">
        <f aca="false">G32+P32+S32</f>
        <v>3.7245</v>
      </c>
      <c r="AB32" s="154"/>
      <c r="AC32" s="155" t="n">
        <f aca="false">VLOOKUP($A32,[1]!CurveTable,MATCH($AC$4,[1]!CurveType,0))+$AC$9</f>
        <v>0.24</v>
      </c>
      <c r="AD32" s="155" t="n">
        <f aca="false">VLOOKUP($A32,[1]!CurveTable,MATCH($AD$4,[1]!CurveType,0))+$AD$9</f>
        <v>0.245</v>
      </c>
      <c r="AE32" s="139" t="n">
        <f aca="false">SQRT((AD32^2*($A32-$C$3)+AC32^2*(DAY(EOMONTH(A32,0))/2))/$AN32)</f>
        <v>0.244203844119042</v>
      </c>
      <c r="AF32" s="152"/>
      <c r="AG32" s="156" t="n">
        <f aca="false">((Inputs!$F$20*(X32*AD32)*(A32-$C$3))+(Inputs!$F$19*W32*AC32*(DAY(EOMONTH(A32,0))/2)))/(AN32*Y32*AE32)</f>
        <v>0.75</v>
      </c>
      <c r="AH32" s="152"/>
      <c r="AI32" s="140" t="n">
        <f aca="false">Inputs!$B$15</f>
        <v>0.06</v>
      </c>
      <c r="AJ32" s="157"/>
      <c r="AK32" s="140" t="n">
        <f aca="false">IF((U32-AA32-AI32)&lt;0,0,(U32-AA32-AI32))</f>
        <v>0.580000000000001</v>
      </c>
      <c r="AL32" s="157"/>
      <c r="AM32" s="158" t="n">
        <f aca="false">WORKDAY(EOMONTH(A32-1,-1),0)</f>
        <v>38776</v>
      </c>
      <c r="AN32" s="159" t="n">
        <f aca="false">AM32-$C$3</f>
        <v>-7150</v>
      </c>
      <c r="AO32" s="159" t="n">
        <f aca="false">AO31</f>
        <v>1</v>
      </c>
      <c r="AP32" s="160"/>
      <c r="AQ32" s="161" t="e">
        <f aca="false">SPRDOPT(U32,AA32,AI32,AX32,X32,AD32,AG32,AN32,AO32,0)</f>
        <v>#NAME?</v>
      </c>
      <c r="AR32" s="162" t="e">
        <f aca="false">AQ32*C32</f>
        <v>#NAME?</v>
      </c>
      <c r="AS32" s="163" t="e">
        <f aca="false">AQ32-AK32</f>
        <v>#NAME?</v>
      </c>
      <c r="AU32" s="112" t="n">
        <f aca="false">A33-A32</f>
        <v>30</v>
      </c>
      <c r="AV32" s="164" t="n">
        <f aca="false">CHOOSE(F$3,A33+24,A32+14)</f>
        <v>38822</v>
      </c>
      <c r="AW32" s="49" t="n">
        <f aca="false">AV32-C$3</f>
        <v>-7104</v>
      </c>
      <c r="AX32" s="155" t="n">
        <f aca="false">VLOOKUP($A32,[1]!CurveTable,MATCH(AX$4,[1]!CurveType,0))</f>
        <v>0.0447308477711319</v>
      </c>
      <c r="AY32" s="165" t="n">
        <f aca="false">1/(1+CHOOSE(F$3,(AX33+(Inputs!$B$14/10000))/2,(AX32+(Inputs!$B$14/10000))/2))^(2*AW32/365.25)</f>
        <v>2.36414139600768</v>
      </c>
      <c r="AZ32" s="49" t="n">
        <f aca="false">IF(AND(mthbeg&lt;=A32,mthend&gt;=A32),1,0)</f>
        <v>1</v>
      </c>
      <c r="BA32" s="111" t="n">
        <f aca="false">AU32*AZ32</f>
        <v>30</v>
      </c>
      <c r="BC32" s="142" t="n">
        <f aca="false">E32*$D32</f>
        <v>12977363.1580352</v>
      </c>
      <c r="BD32" s="142" t="n">
        <f aca="false">F32*$D32</f>
        <v>13172404.8232058</v>
      </c>
      <c r="BE32" s="142" t="n">
        <f aca="false">G32*$D32</f>
        <v>13172404.8232058</v>
      </c>
      <c r="BF32" s="142" t="n">
        <f aca="false">H32*$D32</f>
        <v>2305037.86110749</v>
      </c>
      <c r="BG32" s="142" t="n">
        <f aca="false">I32*$D32</f>
        <v>2305037.86110749</v>
      </c>
      <c r="BH32" s="142" t="n">
        <f aca="false">J32*$D32</f>
        <v>2305037.86110749</v>
      </c>
      <c r="BI32" s="142" t="n">
        <f aca="false">K32*$D32</f>
        <v>0</v>
      </c>
      <c r="BJ32" s="142" t="n">
        <f aca="false">L32*$D32</f>
        <v>0</v>
      </c>
      <c r="BK32" s="142" t="n">
        <f aca="false">M32*$D32</f>
        <v>0</v>
      </c>
      <c r="BL32" s="142" t="n">
        <f aca="false">N32*$D32</f>
        <v>35462.1209401152</v>
      </c>
      <c r="BM32" s="142" t="n">
        <f aca="false">O32*$D32</f>
        <v>35462.1209401152</v>
      </c>
      <c r="BN32" s="142" t="n">
        <f aca="false">P32*$D32</f>
        <v>35462.1209401152</v>
      </c>
      <c r="BO32" s="142" t="n">
        <f aca="false">Q32*$D32</f>
        <v>35462.1209401152</v>
      </c>
      <c r="BP32" s="142" t="n">
        <f aca="false">R32*$D32</f>
        <v>0</v>
      </c>
      <c r="BQ32" s="142" t="n">
        <f aca="false">S32*$D32</f>
        <v>0</v>
      </c>
      <c r="BR32" s="142" t="n">
        <f aca="false">U32*$D32</f>
        <v>15477442.6843133</v>
      </c>
      <c r="BS32" s="142" t="n">
        <f aca="false">AA32*$D32</f>
        <v>13207866.9441459</v>
      </c>
      <c r="BT32" s="142" t="n">
        <f aca="false">AI32*$D32</f>
        <v>212772.725640691</v>
      </c>
      <c r="BU32" s="142" t="n">
        <f aca="false">AK32*D32</f>
        <v>2056803.01452669</v>
      </c>
    </row>
    <row r="33" customFormat="false" ht="12.75" hidden="false" customHeight="false" outlineLevel="0" collapsed="false">
      <c r="A33" s="144" t="n">
        <f aca="false">EDATE(A32,1)</f>
        <v>38838</v>
      </c>
      <c r="B33" s="145" t="n">
        <f aca="false">Inputs!$B$8</f>
        <v>50000</v>
      </c>
      <c r="C33" s="146" t="n">
        <f aca="false">IF(AZ33=0,0,IF(AND(AZ33=1,$H$3=1),B33*AU33,IF($H$3=2,B33,"N/A")))</f>
        <v>1550000</v>
      </c>
      <c r="D33" s="146" t="n">
        <f aca="false">C33*AY33</f>
        <v>3668808.80510201</v>
      </c>
      <c r="E33" s="147" t="n">
        <f aca="false">VLOOKUP($A33,[1]!CurveTable,MATCH($E$4,[1]!CurveType,0))</f>
        <v>3.6645</v>
      </c>
      <c r="F33" s="148" t="n">
        <f aca="false">E33-Inputs!$B$16</f>
        <v>3.7195</v>
      </c>
      <c r="G33" s="149" t="n">
        <f aca="false">F33</f>
        <v>3.7195</v>
      </c>
      <c r="H33" s="147" t="n">
        <f aca="false">VLOOKUP($A33,[1]!CurveTable,MATCH($H$4,[1]!CurveType,0))</f>
        <v>0.8</v>
      </c>
      <c r="I33" s="148" t="n">
        <f aca="false">H33+Inputs!$B$22</f>
        <v>0.8</v>
      </c>
      <c r="J33" s="150" t="n">
        <f aca="false">I33</f>
        <v>0.8</v>
      </c>
      <c r="K33" s="147" t="n">
        <f aca="false">VLOOKUP($A33,[1]!CurveTable,MATCH($K$4,[1]!CurveType,0))</f>
        <v>0</v>
      </c>
      <c r="L33" s="148" t="n">
        <v>0</v>
      </c>
      <c r="M33" s="151" t="n">
        <f aca="false">L33</f>
        <v>0</v>
      </c>
      <c r="N33" s="147" t="n">
        <f aca="false">VLOOKUP($A33,[1]!CurveTable,MATCH($N$4,[1]!CurveType,0))</f>
        <v>0.0125</v>
      </c>
      <c r="O33" s="148" t="n">
        <f aca="false">N33+Inputs!$E$22</f>
        <v>0.0125</v>
      </c>
      <c r="P33" s="151" t="n">
        <f aca="false">O33</f>
        <v>0.0125</v>
      </c>
      <c r="Q33" s="147" t="n">
        <f aca="false">VLOOKUP($A33,[1]!CurveTable,MATCH($Q$4,[1]!CurveType,0))</f>
        <v>0.01</v>
      </c>
      <c r="R33" s="148" t="n">
        <v>0</v>
      </c>
      <c r="S33" s="151" t="n">
        <f aca="false">R33</f>
        <v>0</v>
      </c>
      <c r="T33" s="152"/>
      <c r="U33" s="153" t="n">
        <f aca="false">G33+J33</f>
        <v>4.5195</v>
      </c>
      <c r="V33" s="154"/>
      <c r="W33" s="155" t="n">
        <f aca="false">VLOOKUP($A33,[1]!CurveTable,MATCH($W$4,[1]!CurveType,0))+$W$9</f>
        <v>0.475</v>
      </c>
      <c r="X33" s="155" t="n">
        <f aca="false">VLOOKUP($A33,[1]!CurveTable,MATCH($X$4,[1]!CurveType,0))+$X$9</f>
        <v>0.48</v>
      </c>
      <c r="Y33" s="139" t="n">
        <f aca="false">SQRT((X33^2*($A33-$C$3)+W33^2*(DAY(EOMONTH(A33,0))/2))/$AN33)</f>
        <v>0.478440660904215</v>
      </c>
      <c r="Z33" s="152"/>
      <c r="AA33" s="153" t="n">
        <f aca="false">G33+P33+S33</f>
        <v>3.732</v>
      </c>
      <c r="AB33" s="154"/>
      <c r="AC33" s="155" t="n">
        <f aca="false">VLOOKUP($A33,[1]!CurveTable,MATCH($AC$4,[1]!CurveType,0))+$AC$9</f>
        <v>0.2375</v>
      </c>
      <c r="AD33" s="155" t="n">
        <f aca="false">VLOOKUP($A33,[1]!CurveTable,MATCH($AD$4,[1]!CurveType,0))+$AD$9</f>
        <v>0.2425</v>
      </c>
      <c r="AE33" s="139" t="n">
        <f aca="false">SQRT((AD33^2*($A33-$C$3)+AC33^2*(DAY(EOMONTH(A33,0))/2))/$AN33)</f>
        <v>0.241717529014139</v>
      </c>
      <c r="AF33" s="152"/>
      <c r="AG33" s="156" t="n">
        <f aca="false">((Inputs!$F$20*(X33*AD33)*(A33-$C$3))+(Inputs!$F$19*W33*AC33*(DAY(EOMONTH(A33,0))/2)))/(AN33*Y33*AE33)</f>
        <v>0.750000085712358</v>
      </c>
      <c r="AH33" s="152"/>
      <c r="AI33" s="140" t="n">
        <f aca="false">Inputs!$B$15</f>
        <v>0.06</v>
      </c>
      <c r="AJ33" s="157"/>
      <c r="AK33" s="140" t="n">
        <f aca="false">IF((U33-AA33-AI33)&lt;0,0,(U33-AA33-AI33))</f>
        <v>0.7275</v>
      </c>
      <c r="AL33" s="157"/>
      <c r="AM33" s="158" t="n">
        <f aca="false">WORKDAY(EOMONTH(A33-1,-1),0)</f>
        <v>38807</v>
      </c>
      <c r="AN33" s="159" t="n">
        <f aca="false">AM33-$C$3</f>
        <v>-7119</v>
      </c>
      <c r="AO33" s="159" t="n">
        <f aca="false">AO32</f>
        <v>1</v>
      </c>
      <c r="AP33" s="160"/>
      <c r="AQ33" s="161" t="e">
        <f aca="false">SPRDOPT(U33,AA33,AI33,AX33,X33,AD33,AG33,AN33,AO33,0)</f>
        <v>#NAME?</v>
      </c>
      <c r="AR33" s="162" t="e">
        <f aca="false">AQ33*C33</f>
        <v>#NAME?</v>
      </c>
      <c r="AS33" s="163" t="e">
        <f aca="false">AQ33-AK33</f>
        <v>#NAME?</v>
      </c>
      <c r="AU33" s="112" t="n">
        <f aca="false">A34-A33</f>
        <v>31</v>
      </c>
      <c r="AV33" s="164" t="n">
        <f aca="false">CHOOSE(F$3,A34+24,A33+14)</f>
        <v>38852</v>
      </c>
      <c r="AW33" s="49" t="n">
        <f aca="false">AV33-C$3</f>
        <v>-7074</v>
      </c>
      <c r="AX33" s="155" t="n">
        <f aca="false">VLOOKUP($A33,[1]!CurveTable,MATCH(AX$4,[1]!CurveType,0))</f>
        <v>0.0449858644434515</v>
      </c>
      <c r="AY33" s="165" t="n">
        <f aca="false">1/(1+CHOOSE(F$3,(AX34+(Inputs!$B$14/10000))/2,(AX33+(Inputs!$B$14/10000))/2))^(2*AW33/365.25)</f>
        <v>2.36697342264646</v>
      </c>
      <c r="AZ33" s="49" t="n">
        <f aca="false">IF(AND(mthbeg&lt;=A33,mthend&gt;=A33),1,0)</f>
        <v>1</v>
      </c>
      <c r="BA33" s="111" t="n">
        <f aca="false">AU33*AZ33</f>
        <v>31</v>
      </c>
      <c r="BC33" s="142" t="n">
        <f aca="false">E33*$D33</f>
        <v>13444349.8662963</v>
      </c>
      <c r="BD33" s="142" t="n">
        <f aca="false">F33*$D33</f>
        <v>13646134.3505769</v>
      </c>
      <c r="BE33" s="142" t="n">
        <f aca="false">G33*$D33</f>
        <v>13646134.3505769</v>
      </c>
      <c r="BF33" s="142" t="n">
        <f aca="false">H33*$D33</f>
        <v>2935047.04408161</v>
      </c>
      <c r="BG33" s="142" t="n">
        <f aca="false">I33*$D33</f>
        <v>2935047.04408161</v>
      </c>
      <c r="BH33" s="142" t="n">
        <f aca="false">J33*$D33</f>
        <v>2935047.04408161</v>
      </c>
      <c r="BI33" s="142" t="n">
        <f aca="false">K33*$D33</f>
        <v>0</v>
      </c>
      <c r="BJ33" s="142" t="n">
        <f aca="false">L33*$D33</f>
        <v>0</v>
      </c>
      <c r="BK33" s="142" t="n">
        <f aca="false">M33*$D33</f>
        <v>0</v>
      </c>
      <c r="BL33" s="142" t="n">
        <f aca="false">N33*$D33</f>
        <v>45860.1100637751</v>
      </c>
      <c r="BM33" s="142" t="n">
        <f aca="false">O33*$D33</f>
        <v>45860.1100637751</v>
      </c>
      <c r="BN33" s="142" t="n">
        <f aca="false">P33*$D33</f>
        <v>45860.1100637751</v>
      </c>
      <c r="BO33" s="142" t="n">
        <f aca="false">Q33*$D33</f>
        <v>36688.0880510201</v>
      </c>
      <c r="BP33" s="142" t="n">
        <f aca="false">R33*$D33</f>
        <v>0</v>
      </c>
      <c r="BQ33" s="142" t="n">
        <f aca="false">S33*$D33</f>
        <v>0</v>
      </c>
      <c r="BR33" s="142" t="n">
        <f aca="false">U33*$D33</f>
        <v>16581181.3946585</v>
      </c>
      <c r="BS33" s="142" t="n">
        <f aca="false">AA33*$D33</f>
        <v>13691994.4606407</v>
      </c>
      <c r="BT33" s="142" t="n">
        <f aca="false">AI33*$D33</f>
        <v>220128.528306121</v>
      </c>
      <c r="BU33" s="142" t="n">
        <f aca="false">AK33*D33</f>
        <v>2669058.40571171</v>
      </c>
    </row>
    <row r="34" customFormat="false" ht="12.75" hidden="false" customHeight="false" outlineLevel="0" collapsed="false">
      <c r="A34" s="144" t="n">
        <f aca="false">EDATE(A33,1)</f>
        <v>38869</v>
      </c>
      <c r="B34" s="145" t="n">
        <f aca="false">Inputs!$B$8</f>
        <v>50000</v>
      </c>
      <c r="C34" s="146" t="n">
        <f aca="false">IF(AZ34=0,0,IF(AND(AZ34=1,$H$3=1),B34*AU34,IF($H$3=2,B34,"N/A")))</f>
        <v>1500000</v>
      </c>
      <c r="D34" s="146" t="n">
        <f aca="false">C34*AY34</f>
        <v>3554699.8704067</v>
      </c>
      <c r="E34" s="147" t="n">
        <f aca="false">VLOOKUP($A34,[1]!CurveTable,MATCH($E$4,[1]!CurveType,0))</f>
        <v>3.7025</v>
      </c>
      <c r="F34" s="148" t="n">
        <f aca="false">E34-Inputs!$B$16</f>
        <v>3.7575</v>
      </c>
      <c r="G34" s="149" t="n">
        <f aca="false">F34</f>
        <v>3.7575</v>
      </c>
      <c r="H34" s="147" t="n">
        <f aca="false">VLOOKUP($A34,[1]!CurveTable,MATCH($H$4,[1]!CurveType,0))</f>
        <v>0.9</v>
      </c>
      <c r="I34" s="148" t="n">
        <f aca="false">H34+Inputs!$B$22</f>
        <v>0.9</v>
      </c>
      <c r="J34" s="150" t="n">
        <f aca="false">I34</f>
        <v>0.9</v>
      </c>
      <c r="K34" s="147" t="n">
        <f aca="false">VLOOKUP($A34,[1]!CurveTable,MATCH($K$4,[1]!CurveType,0))</f>
        <v>0</v>
      </c>
      <c r="L34" s="148" t="n">
        <v>0</v>
      </c>
      <c r="M34" s="151" t="n">
        <f aca="false">L34</f>
        <v>0</v>
      </c>
      <c r="N34" s="147" t="n">
        <f aca="false">VLOOKUP($A34,[1]!CurveTable,MATCH($N$4,[1]!CurveType,0))</f>
        <v>0.01</v>
      </c>
      <c r="O34" s="148" t="n">
        <f aca="false">N34+Inputs!$E$22</f>
        <v>0.01</v>
      </c>
      <c r="P34" s="151" t="n">
        <f aca="false">O34</f>
        <v>0.01</v>
      </c>
      <c r="Q34" s="147" t="n">
        <f aca="false">VLOOKUP($A34,[1]!CurveTable,MATCH($Q$4,[1]!CurveType,0))</f>
        <v>0.01</v>
      </c>
      <c r="R34" s="148" t="n">
        <v>0</v>
      </c>
      <c r="S34" s="151" t="n">
        <f aca="false">R34</f>
        <v>0</v>
      </c>
      <c r="T34" s="152"/>
      <c r="U34" s="153" t="n">
        <f aca="false">G34+J34</f>
        <v>4.6575</v>
      </c>
      <c r="V34" s="154"/>
      <c r="W34" s="155" t="n">
        <f aca="false">VLOOKUP($A34,[1]!CurveTable,MATCH($W$4,[1]!CurveType,0))+$W$9</f>
        <v>0.475</v>
      </c>
      <c r="X34" s="155" t="n">
        <f aca="false">VLOOKUP($A34,[1]!CurveTable,MATCH($X$4,[1]!CurveType,0))+$X$9</f>
        <v>0.48</v>
      </c>
      <c r="Y34" s="139" t="n">
        <f aca="false">SQRT((X34^2*($A34-$C$3)+W34^2*(DAY(EOMONTH(A34,0))/2))/$AN34)</f>
        <v>0.478416715799975</v>
      </c>
      <c r="Z34" s="152"/>
      <c r="AA34" s="153" t="n">
        <f aca="false">G34+P34+S34</f>
        <v>3.7675</v>
      </c>
      <c r="AB34" s="154"/>
      <c r="AC34" s="155" t="n">
        <f aca="false">VLOOKUP($A34,[1]!CurveTable,MATCH($AC$4,[1]!CurveType,0))+$AC$9</f>
        <v>0.2375</v>
      </c>
      <c r="AD34" s="155" t="n">
        <f aca="false">VLOOKUP($A34,[1]!CurveTable,MATCH($AD$4,[1]!CurveType,0))+$AD$9</f>
        <v>0.2425</v>
      </c>
      <c r="AE34" s="139" t="n">
        <f aca="false">SQRT((AD34^2*($A34-$C$3)+AC34^2*(DAY(EOMONTH(A34,0))/2))/$AN34)</f>
        <v>0.241705282179535</v>
      </c>
      <c r="AF34" s="152"/>
      <c r="AG34" s="156" t="n">
        <f aca="false">((Inputs!$F$20*(X34*AD34)*(A34-$C$3))+(Inputs!$F$19*W34*AC34*(DAY(EOMONTH(A34,0))/2)))/(AN34*Y34*AE34)</f>
        <v>0.750000083301905</v>
      </c>
      <c r="AH34" s="152"/>
      <c r="AI34" s="140" t="n">
        <f aca="false">Inputs!$B$15</f>
        <v>0.06</v>
      </c>
      <c r="AJ34" s="157"/>
      <c r="AK34" s="140" t="n">
        <f aca="false">IF((U34-AA34-AI34)&lt;0,0,(U34-AA34-AI34))</f>
        <v>0.830000000000001</v>
      </c>
      <c r="AL34" s="157"/>
      <c r="AM34" s="158" t="n">
        <f aca="false">WORKDAY(EOMONTH(A34-1,-1),0)</f>
        <v>38837</v>
      </c>
      <c r="AN34" s="159" t="n">
        <f aca="false">AM34-$C$3</f>
        <v>-7089</v>
      </c>
      <c r="AO34" s="159" t="n">
        <f aca="false">AO33</f>
        <v>1</v>
      </c>
      <c r="AP34" s="160"/>
      <c r="AQ34" s="161" t="e">
        <f aca="false">SPRDOPT(U34,AA34,AI34,AX34,X34,AD34,AG34,AN34,AO34,0)</f>
        <v>#NAME?</v>
      </c>
      <c r="AR34" s="162" t="e">
        <f aca="false">AQ34*C34</f>
        <v>#NAME?</v>
      </c>
      <c r="AS34" s="163" t="e">
        <f aca="false">AQ34-AK34</f>
        <v>#NAME?</v>
      </c>
      <c r="AU34" s="112" t="n">
        <f aca="false">A35-A34</f>
        <v>30</v>
      </c>
      <c r="AV34" s="164" t="n">
        <f aca="false">CHOOSE(F$3,A35+24,A34+14)</f>
        <v>38883</v>
      </c>
      <c r="AW34" s="49" t="n">
        <f aca="false">AV34-C$3</f>
        <v>-7043</v>
      </c>
      <c r="AX34" s="155" t="n">
        <f aca="false">VLOOKUP($A34,[1]!CurveTable,MATCH(AX$4,[1]!CurveType,0))</f>
        <v>0.0452493816943824</v>
      </c>
      <c r="AY34" s="165" t="n">
        <f aca="false">1/(1+CHOOSE(F$3,(AX35+(Inputs!$B$14/10000))/2,(AX34+(Inputs!$B$14/10000))/2))^(2*AW34/365.25)</f>
        <v>2.36979991360446</v>
      </c>
      <c r="AZ34" s="49" t="n">
        <f aca="false">IF(AND(mthbeg&lt;=A34,mthend&gt;=A34),1,0)</f>
        <v>1</v>
      </c>
      <c r="BA34" s="111" t="n">
        <f aca="false">AU34*AZ34</f>
        <v>30</v>
      </c>
      <c r="BC34" s="142" t="n">
        <f aca="false">E34*$D34</f>
        <v>13161276.2701808</v>
      </c>
      <c r="BD34" s="142" t="n">
        <f aca="false">F34*$D34</f>
        <v>13356784.7630532</v>
      </c>
      <c r="BE34" s="142" t="n">
        <f aca="false">G34*$D34</f>
        <v>13356784.7630532</v>
      </c>
      <c r="BF34" s="142" t="n">
        <f aca="false">H34*$D34</f>
        <v>3199229.88336603</v>
      </c>
      <c r="BG34" s="142" t="n">
        <f aca="false">I34*$D34</f>
        <v>3199229.88336603</v>
      </c>
      <c r="BH34" s="142" t="n">
        <f aca="false">J34*$D34</f>
        <v>3199229.88336603</v>
      </c>
      <c r="BI34" s="142" t="n">
        <f aca="false">K34*$D34</f>
        <v>0</v>
      </c>
      <c r="BJ34" s="142" t="n">
        <f aca="false">L34*$D34</f>
        <v>0</v>
      </c>
      <c r="BK34" s="142" t="n">
        <f aca="false">M34*$D34</f>
        <v>0</v>
      </c>
      <c r="BL34" s="142" t="n">
        <f aca="false">N34*$D34</f>
        <v>35546.998704067</v>
      </c>
      <c r="BM34" s="142" t="n">
        <f aca="false">O34*$D34</f>
        <v>35546.998704067</v>
      </c>
      <c r="BN34" s="142" t="n">
        <f aca="false">P34*$D34</f>
        <v>35546.998704067</v>
      </c>
      <c r="BO34" s="142" t="n">
        <f aca="false">Q34*$D34</f>
        <v>35546.998704067</v>
      </c>
      <c r="BP34" s="142" t="n">
        <f aca="false">R34*$D34</f>
        <v>0</v>
      </c>
      <c r="BQ34" s="142" t="n">
        <f aca="false">S34*$D34</f>
        <v>0</v>
      </c>
      <c r="BR34" s="142" t="n">
        <f aca="false">U34*$D34</f>
        <v>16556014.6464192</v>
      </c>
      <c r="BS34" s="142" t="n">
        <f aca="false">AA34*$D34</f>
        <v>13392331.7617572</v>
      </c>
      <c r="BT34" s="142" t="n">
        <f aca="false">AI34*$D34</f>
        <v>213281.992224402</v>
      </c>
      <c r="BU34" s="142" t="n">
        <f aca="false">AK34*D34</f>
        <v>2950400.89243756</v>
      </c>
    </row>
    <row r="35" customFormat="false" ht="12.75" hidden="false" customHeight="false" outlineLevel="0" collapsed="false">
      <c r="A35" s="144" t="n">
        <f aca="false">EDATE(A34,1)</f>
        <v>38899</v>
      </c>
      <c r="B35" s="145" t="n">
        <f aca="false">Inputs!$B$8</f>
        <v>50000</v>
      </c>
      <c r="C35" s="146" t="n">
        <f aca="false">IF(AZ35=0,0,IF(AND(AZ35=1,$H$3=1),B35*AU35,IF($H$3=2,B35,"N/A")))</f>
        <v>1550000</v>
      </c>
      <c r="D35" s="146" t="n">
        <f aca="false">C35*AY35</f>
        <v>3677279.18945609</v>
      </c>
      <c r="E35" s="147" t="n">
        <f aca="false">VLOOKUP($A35,[1]!CurveTable,MATCH($E$4,[1]!CurveType,0))</f>
        <v>3.7475</v>
      </c>
      <c r="F35" s="148" t="n">
        <f aca="false">E35-Inputs!$B$16</f>
        <v>3.8025</v>
      </c>
      <c r="G35" s="149" t="n">
        <f aca="false">F35</f>
        <v>3.8025</v>
      </c>
      <c r="H35" s="147" t="n">
        <f aca="false">VLOOKUP($A35,[1]!CurveTable,MATCH($H$4,[1]!CurveType,0))</f>
        <v>1.1</v>
      </c>
      <c r="I35" s="148" t="n">
        <f aca="false">H35+Inputs!$B$22</f>
        <v>1.1</v>
      </c>
      <c r="J35" s="150" t="n">
        <f aca="false">I35</f>
        <v>1.1</v>
      </c>
      <c r="K35" s="147" t="n">
        <f aca="false">VLOOKUP($A35,[1]!CurveTable,MATCH($K$4,[1]!CurveType,0))</f>
        <v>0</v>
      </c>
      <c r="L35" s="148" t="n">
        <v>0</v>
      </c>
      <c r="M35" s="151" t="n">
        <f aca="false">L35</f>
        <v>0</v>
      </c>
      <c r="N35" s="147" t="n">
        <f aca="false">VLOOKUP($A35,[1]!CurveTable,MATCH($N$4,[1]!CurveType,0))</f>
        <v>0.0075</v>
      </c>
      <c r="O35" s="148" t="n">
        <f aca="false">N35+Inputs!$E$22</f>
        <v>0.0075</v>
      </c>
      <c r="P35" s="151" t="n">
        <f aca="false">O35</f>
        <v>0.0075</v>
      </c>
      <c r="Q35" s="147" t="n">
        <f aca="false">VLOOKUP($A35,[1]!CurveTable,MATCH($Q$4,[1]!CurveType,0))</f>
        <v>0.01</v>
      </c>
      <c r="R35" s="148" t="n">
        <v>0</v>
      </c>
      <c r="S35" s="151" t="n">
        <f aca="false">R35</f>
        <v>0</v>
      </c>
      <c r="T35" s="152"/>
      <c r="U35" s="153" t="n">
        <f aca="false">G35+J35</f>
        <v>4.9025</v>
      </c>
      <c r="V35" s="154"/>
      <c r="W35" s="155" t="n">
        <f aca="false">VLOOKUP($A35,[1]!CurveTable,MATCH($W$4,[1]!CurveType,0))+$W$9</f>
        <v>0.475</v>
      </c>
      <c r="X35" s="155" t="n">
        <f aca="false">VLOOKUP($A35,[1]!CurveTable,MATCH($X$4,[1]!CurveType,0))+$X$9</f>
        <v>0.48</v>
      </c>
      <c r="Y35" s="139" t="n">
        <f aca="false">SQRT((X35^2*($A35-$C$3)+W35^2*(DAY(EOMONTH(A35,0))/2))/$AN35)</f>
        <v>0.478427161890826</v>
      </c>
      <c r="Z35" s="152"/>
      <c r="AA35" s="153" t="n">
        <f aca="false">G35+P35+S35</f>
        <v>3.81</v>
      </c>
      <c r="AB35" s="154"/>
      <c r="AC35" s="155" t="n">
        <f aca="false">VLOOKUP($A35,[1]!CurveTable,MATCH($AC$4,[1]!CurveType,0))+$AC$9</f>
        <v>0.2375</v>
      </c>
      <c r="AD35" s="155" t="n">
        <f aca="false">VLOOKUP($A35,[1]!CurveTable,MATCH($AD$4,[1]!CurveType,0))+$AD$9</f>
        <v>0.2425</v>
      </c>
      <c r="AE35" s="139" t="n">
        <f aca="false">SQRT((AD35^2*($A35-$C$3)+AC35^2*(DAY(EOMONTH(A35,0))/2))/$AN35)</f>
        <v>0.241710755331043</v>
      </c>
      <c r="AF35" s="152"/>
      <c r="AG35" s="156" t="n">
        <f aca="false">((Inputs!$F$20*(X35*AD35)*(A35-$C$3))+(Inputs!$F$19*W35*AC35*(DAY(EOMONTH(A35,0))/2)))/(AN35*Y35*AE35)</f>
        <v>0.750000086459599</v>
      </c>
      <c r="AH35" s="152"/>
      <c r="AI35" s="140" t="n">
        <f aca="false">Inputs!$B$15</f>
        <v>0.06</v>
      </c>
      <c r="AJ35" s="157"/>
      <c r="AK35" s="140" t="n">
        <f aca="false">IF((U35-AA35-AI35)&lt;0,0,(U35-AA35-AI35))</f>
        <v>1.0325</v>
      </c>
      <c r="AL35" s="157"/>
      <c r="AM35" s="158" t="n">
        <f aca="false">WORKDAY(EOMONTH(A35-1,-1),0)</f>
        <v>38868</v>
      </c>
      <c r="AN35" s="159" t="n">
        <f aca="false">AM35-$C$3</f>
        <v>-7058</v>
      </c>
      <c r="AO35" s="159" t="n">
        <f aca="false">AO34</f>
        <v>1</v>
      </c>
      <c r="AP35" s="160"/>
      <c r="AQ35" s="161" t="e">
        <f aca="false">SPRDOPT(U35,AA35,AI35,AX35,X35,AD35,AG35,AN35,AO35,0)</f>
        <v>#NAME?</v>
      </c>
      <c r="AR35" s="162" t="e">
        <f aca="false">AQ35*C35</f>
        <v>#NAME?</v>
      </c>
      <c r="AS35" s="163" t="e">
        <f aca="false">AQ35-AK35</f>
        <v>#NAME?</v>
      </c>
      <c r="AU35" s="112" t="n">
        <f aca="false">A36-A35</f>
        <v>31</v>
      </c>
      <c r="AV35" s="164" t="n">
        <f aca="false">CHOOSE(F$3,A36+24,A35+14)</f>
        <v>38913</v>
      </c>
      <c r="AW35" s="49" t="n">
        <f aca="false">AV35-C$3</f>
        <v>-7013</v>
      </c>
      <c r="AX35" s="155" t="n">
        <f aca="false">VLOOKUP($A35,[1]!CurveTable,MATCH(AX$4,[1]!CurveType,0))</f>
        <v>0.0455043984109582</v>
      </c>
      <c r="AY35" s="165" t="n">
        <f aca="false">1/(1+CHOOSE(F$3,(AX36+(Inputs!$B$14/10000))/2,(AX35+(Inputs!$B$14/10000))/2))^(2*AW35/365.25)</f>
        <v>2.37243818674587</v>
      </c>
      <c r="AZ35" s="49" t="n">
        <f aca="false">IF(AND(mthbeg&lt;=A35,mthend&gt;=A35),1,0)</f>
        <v>1</v>
      </c>
      <c r="BA35" s="111" t="n">
        <f aca="false">AU35*AZ35</f>
        <v>31</v>
      </c>
      <c r="BC35" s="142" t="n">
        <f aca="false">E35*$D35</f>
        <v>13780603.7624867</v>
      </c>
      <c r="BD35" s="142" t="n">
        <f aca="false">F35*$D35</f>
        <v>13982854.1179068</v>
      </c>
      <c r="BE35" s="142" t="n">
        <f aca="false">G35*$D35</f>
        <v>13982854.1179068</v>
      </c>
      <c r="BF35" s="142" t="n">
        <f aca="false">H35*$D35</f>
        <v>4045007.1084017</v>
      </c>
      <c r="BG35" s="142" t="n">
        <f aca="false">I35*$D35</f>
        <v>4045007.1084017</v>
      </c>
      <c r="BH35" s="142" t="n">
        <f aca="false">J35*$D35</f>
        <v>4045007.1084017</v>
      </c>
      <c r="BI35" s="142" t="n">
        <f aca="false">K35*$D35</f>
        <v>0</v>
      </c>
      <c r="BJ35" s="142" t="n">
        <f aca="false">L35*$D35</f>
        <v>0</v>
      </c>
      <c r="BK35" s="142" t="n">
        <f aca="false">M35*$D35</f>
        <v>0</v>
      </c>
      <c r="BL35" s="142" t="n">
        <f aca="false">N35*$D35</f>
        <v>27579.5939209207</v>
      </c>
      <c r="BM35" s="142" t="n">
        <f aca="false">O35*$D35</f>
        <v>27579.5939209207</v>
      </c>
      <c r="BN35" s="142" t="n">
        <f aca="false">P35*$D35</f>
        <v>27579.5939209207</v>
      </c>
      <c r="BO35" s="142" t="n">
        <f aca="false">Q35*$D35</f>
        <v>36772.7918945609</v>
      </c>
      <c r="BP35" s="142" t="n">
        <f aca="false">R35*$D35</f>
        <v>0</v>
      </c>
      <c r="BQ35" s="142" t="n">
        <f aca="false">S35*$D35</f>
        <v>0</v>
      </c>
      <c r="BR35" s="142" t="n">
        <f aca="false">U35*$D35</f>
        <v>18027861.2263085</v>
      </c>
      <c r="BS35" s="142" t="n">
        <f aca="false">AA35*$D35</f>
        <v>14010433.7118277</v>
      </c>
      <c r="BT35" s="142" t="n">
        <f aca="false">AI35*$D35</f>
        <v>220636.751367366</v>
      </c>
      <c r="BU35" s="142" t="n">
        <f aca="false">AK35*D35</f>
        <v>3796790.76311342</v>
      </c>
    </row>
    <row r="36" customFormat="false" ht="12.75" hidden="false" customHeight="false" outlineLevel="0" collapsed="false">
      <c r="A36" s="144" t="n">
        <f aca="false">EDATE(A35,1)</f>
        <v>38930</v>
      </c>
      <c r="B36" s="145" t="n">
        <f aca="false">Inputs!$B$8</f>
        <v>50000</v>
      </c>
      <c r="C36" s="146" t="n">
        <f aca="false">IF(AZ36=0,0,IF(AND(AZ36=1,$H$3=1),B36*AU36,IF($H$3=2,B36,"N/A")))</f>
        <v>1550000</v>
      </c>
      <c r="D36" s="146" t="n">
        <f aca="false">C36*AY36</f>
        <v>3681348.88547804</v>
      </c>
      <c r="E36" s="147" t="n">
        <f aca="false">VLOOKUP($A36,[1]!CurveTable,MATCH($E$4,[1]!CurveType,0))</f>
        <v>3.7855</v>
      </c>
      <c r="F36" s="148" t="n">
        <f aca="false">E36-Inputs!$B$16</f>
        <v>3.8405</v>
      </c>
      <c r="G36" s="149" t="n">
        <f aca="false">F36</f>
        <v>3.8405</v>
      </c>
      <c r="H36" s="147" t="n">
        <f aca="false">VLOOKUP($A36,[1]!CurveTable,MATCH($H$4,[1]!CurveType,0))</f>
        <v>1.1</v>
      </c>
      <c r="I36" s="148" t="n">
        <f aca="false">H36+Inputs!$B$22</f>
        <v>1.1</v>
      </c>
      <c r="J36" s="150" t="n">
        <f aca="false">I36</f>
        <v>1.1</v>
      </c>
      <c r="K36" s="147" t="n">
        <f aca="false">VLOOKUP($A36,[1]!CurveTable,MATCH($K$4,[1]!CurveType,0))</f>
        <v>0</v>
      </c>
      <c r="L36" s="148" t="n">
        <v>0</v>
      </c>
      <c r="M36" s="151" t="n">
        <f aca="false">L36</f>
        <v>0</v>
      </c>
      <c r="N36" s="147" t="n">
        <f aca="false">VLOOKUP($A36,[1]!CurveTable,MATCH($N$4,[1]!CurveType,0))</f>
        <v>0.0075</v>
      </c>
      <c r="O36" s="148" t="n">
        <f aca="false">N36+Inputs!$E$22</f>
        <v>0.0075</v>
      </c>
      <c r="P36" s="151" t="n">
        <f aca="false">O36</f>
        <v>0.0075</v>
      </c>
      <c r="Q36" s="147" t="n">
        <f aca="false">VLOOKUP($A36,[1]!CurveTable,MATCH($Q$4,[1]!CurveType,0))</f>
        <v>0.01</v>
      </c>
      <c r="R36" s="148" t="n">
        <v>0</v>
      </c>
      <c r="S36" s="151" t="n">
        <f aca="false">R36</f>
        <v>0</v>
      </c>
      <c r="T36" s="152"/>
      <c r="U36" s="153" t="n">
        <f aca="false">G36+J36</f>
        <v>4.9405</v>
      </c>
      <c r="V36" s="154"/>
      <c r="W36" s="155" t="n">
        <f aca="false">VLOOKUP($A36,[1]!CurveTable,MATCH($W$4,[1]!CurveType,0))+$W$9</f>
        <v>0.475</v>
      </c>
      <c r="X36" s="155" t="n">
        <f aca="false">VLOOKUP($A36,[1]!CurveTable,MATCH($X$4,[1]!CurveType,0))+$X$9</f>
        <v>0.48</v>
      </c>
      <c r="Y36" s="139" t="n">
        <f aca="false">SQRT((X36^2*($A36-$C$3)+W36^2*(DAY(EOMONTH(A36,0))/2))/$AN36)</f>
        <v>0.478386173836145</v>
      </c>
      <c r="Z36" s="152"/>
      <c r="AA36" s="153" t="n">
        <f aca="false">G36+P36+S36</f>
        <v>3.848</v>
      </c>
      <c r="AB36" s="154"/>
      <c r="AC36" s="155" t="n">
        <f aca="false">VLOOKUP($A36,[1]!CurveTable,MATCH($AC$4,[1]!CurveType,0))+$AC$9</f>
        <v>0.2375</v>
      </c>
      <c r="AD36" s="155" t="n">
        <f aca="false">VLOOKUP($A36,[1]!CurveTable,MATCH($AD$4,[1]!CurveType,0))+$AD$9</f>
        <v>0.2425</v>
      </c>
      <c r="AE36" s="139" t="n">
        <f aca="false">SQRT((AD36^2*($A36-$C$3)+AC36^2*(DAY(EOMONTH(A36,0))/2))/$AN36)</f>
        <v>0.241690071192319</v>
      </c>
      <c r="AF36" s="152"/>
      <c r="AG36" s="156" t="n">
        <f aca="false">((Inputs!$F$20*(X36*AD36)*(A36-$C$3))+(Inputs!$F$19*W36*AC36*(DAY(EOMONTH(A36,0))/2)))/(AN36*Y36*AE36)</f>
        <v>0.750000086844359</v>
      </c>
      <c r="AH36" s="152"/>
      <c r="AI36" s="140" t="n">
        <f aca="false">Inputs!$B$15</f>
        <v>0.06</v>
      </c>
      <c r="AJ36" s="157"/>
      <c r="AK36" s="140" t="n">
        <f aca="false">IF((U36-AA36-AI36)&lt;0,0,(U36-AA36-AI36))</f>
        <v>1.0325</v>
      </c>
      <c r="AL36" s="157"/>
      <c r="AM36" s="158" t="n">
        <f aca="false">WORKDAY(EOMONTH(A36-1,-1),0)</f>
        <v>38898</v>
      </c>
      <c r="AN36" s="159" t="n">
        <f aca="false">AM36-$C$3</f>
        <v>-7028</v>
      </c>
      <c r="AO36" s="159" t="n">
        <f aca="false">AO35</f>
        <v>1</v>
      </c>
      <c r="AP36" s="160"/>
      <c r="AQ36" s="161" t="e">
        <f aca="false">SPRDOPT(U36,AA36,AI36,AX36,X36,AD36,AG36,AN36,AO36,0)</f>
        <v>#NAME?</v>
      </c>
      <c r="AR36" s="162" t="e">
        <f aca="false">AQ36*C36</f>
        <v>#NAME?</v>
      </c>
      <c r="AS36" s="163" t="e">
        <f aca="false">AQ36-AK36</f>
        <v>#NAME?</v>
      </c>
      <c r="AU36" s="112" t="n">
        <f aca="false">A37-A36</f>
        <v>31</v>
      </c>
      <c r="AV36" s="164" t="n">
        <f aca="false">CHOOSE(F$3,A37+24,A36+14)</f>
        <v>38944</v>
      </c>
      <c r="AW36" s="49" t="n">
        <f aca="false">AV36-C$3</f>
        <v>-6982</v>
      </c>
      <c r="AX36" s="155" t="n">
        <f aca="false">VLOOKUP($A36,[1]!CurveTable,MATCH(AX$4,[1]!CurveType,0))</f>
        <v>0.0457679157076147</v>
      </c>
      <c r="AY36" s="165" t="n">
        <f aca="false">1/(1+CHOOSE(F$3,(AX37+(Inputs!$B$14/10000))/2,(AX36+(Inputs!$B$14/10000))/2))^(2*AW36/365.25)</f>
        <v>2.37506379708261</v>
      </c>
      <c r="AZ36" s="49" t="n">
        <f aca="false">IF(AND(mthbeg&lt;=A36,mthend&gt;=A36),1,0)</f>
        <v>1</v>
      </c>
      <c r="BA36" s="111" t="n">
        <f aca="false">AU36*AZ36</f>
        <v>31</v>
      </c>
      <c r="BC36" s="142" t="n">
        <f aca="false">E36*$D36</f>
        <v>13935746.2059771</v>
      </c>
      <c r="BD36" s="142" t="n">
        <f aca="false">F36*$D36</f>
        <v>14138220.3946784</v>
      </c>
      <c r="BE36" s="142" t="n">
        <f aca="false">G36*$D36</f>
        <v>14138220.3946784</v>
      </c>
      <c r="BF36" s="142" t="n">
        <f aca="false">H36*$D36</f>
        <v>4049483.77402585</v>
      </c>
      <c r="BG36" s="142" t="n">
        <f aca="false">I36*$D36</f>
        <v>4049483.77402585</v>
      </c>
      <c r="BH36" s="142" t="n">
        <f aca="false">J36*$D36</f>
        <v>4049483.77402585</v>
      </c>
      <c r="BI36" s="142" t="n">
        <f aca="false">K36*$D36</f>
        <v>0</v>
      </c>
      <c r="BJ36" s="142" t="n">
        <f aca="false">L36*$D36</f>
        <v>0</v>
      </c>
      <c r="BK36" s="142" t="n">
        <f aca="false">M36*$D36</f>
        <v>0</v>
      </c>
      <c r="BL36" s="142" t="n">
        <f aca="false">N36*$D36</f>
        <v>27610.1166410853</v>
      </c>
      <c r="BM36" s="142" t="n">
        <f aca="false">O36*$D36</f>
        <v>27610.1166410853</v>
      </c>
      <c r="BN36" s="142" t="n">
        <f aca="false">P36*$D36</f>
        <v>27610.1166410853</v>
      </c>
      <c r="BO36" s="142" t="n">
        <f aca="false">Q36*$D36</f>
        <v>36813.4888547804</v>
      </c>
      <c r="BP36" s="142" t="n">
        <f aca="false">R36*$D36</f>
        <v>0</v>
      </c>
      <c r="BQ36" s="142" t="n">
        <f aca="false">S36*$D36</f>
        <v>0</v>
      </c>
      <c r="BR36" s="142" t="n">
        <f aca="false">U36*$D36</f>
        <v>18187704.1687043</v>
      </c>
      <c r="BS36" s="142" t="n">
        <f aca="false">AA36*$D36</f>
        <v>14165830.5113195</v>
      </c>
      <c r="BT36" s="142" t="n">
        <f aca="false">AI36*$D36</f>
        <v>220880.933128683</v>
      </c>
      <c r="BU36" s="142" t="n">
        <f aca="false">AK36*D36</f>
        <v>3800992.72425608</v>
      </c>
    </row>
    <row r="37" customFormat="false" ht="12.75" hidden="false" customHeight="false" outlineLevel="0" collapsed="false">
      <c r="A37" s="144" t="n">
        <f aca="false">EDATE(A36,1)</f>
        <v>38961</v>
      </c>
      <c r="B37" s="145" t="n">
        <f aca="false">Inputs!$B$8</f>
        <v>50000</v>
      </c>
      <c r="C37" s="146" t="n">
        <f aca="false">IF(AZ37=0,0,IF(AND(AZ37=1,$H$3=1),B37*AU37,IF($H$3=2,B37,"N/A")))</f>
        <v>1500000</v>
      </c>
      <c r="D37" s="146" t="n">
        <f aca="false">C37*AY37</f>
        <v>3566380.24603283</v>
      </c>
      <c r="E37" s="147" t="n">
        <f aca="false">VLOOKUP($A37,[1]!CurveTable,MATCH($E$4,[1]!CurveType,0))</f>
        <v>3.7795</v>
      </c>
      <c r="F37" s="148" t="n">
        <f aca="false">E37-Inputs!$B$16</f>
        <v>3.8345</v>
      </c>
      <c r="G37" s="149" t="n">
        <f aca="false">F37</f>
        <v>3.8345</v>
      </c>
      <c r="H37" s="147" t="n">
        <f aca="false">VLOOKUP($A37,[1]!CurveTable,MATCH($H$4,[1]!CurveType,0))</f>
        <v>0.65</v>
      </c>
      <c r="I37" s="148" t="n">
        <f aca="false">H37+Inputs!$B$22</f>
        <v>0.65</v>
      </c>
      <c r="J37" s="150" t="n">
        <f aca="false">I37</f>
        <v>0.65</v>
      </c>
      <c r="K37" s="147" t="n">
        <f aca="false">VLOOKUP($A37,[1]!CurveTable,MATCH($K$4,[1]!CurveType,0))</f>
        <v>0</v>
      </c>
      <c r="L37" s="148" t="n">
        <v>0</v>
      </c>
      <c r="M37" s="151" t="n">
        <f aca="false">L37</f>
        <v>0</v>
      </c>
      <c r="N37" s="147" t="n">
        <f aca="false">VLOOKUP($A37,[1]!CurveTable,MATCH($N$4,[1]!CurveType,0))</f>
        <v>0.0075</v>
      </c>
      <c r="O37" s="148" t="n">
        <f aca="false">N37+Inputs!$E$22</f>
        <v>0.0075</v>
      </c>
      <c r="P37" s="151" t="n">
        <f aca="false">O37</f>
        <v>0.0075</v>
      </c>
      <c r="Q37" s="147" t="n">
        <f aca="false">VLOOKUP($A37,[1]!CurveTable,MATCH($Q$4,[1]!CurveType,0))</f>
        <v>0.01</v>
      </c>
      <c r="R37" s="148" t="n">
        <v>0</v>
      </c>
      <c r="S37" s="151" t="n">
        <f aca="false">R37</f>
        <v>0</v>
      </c>
      <c r="T37" s="152"/>
      <c r="U37" s="153" t="n">
        <f aca="false">G37+J37</f>
        <v>4.4845</v>
      </c>
      <c r="V37" s="154"/>
      <c r="W37" s="155" t="n">
        <f aca="false">VLOOKUP($A37,[1]!CurveTable,MATCH($W$4,[1]!CurveType,0))+$W$9</f>
        <v>0.475</v>
      </c>
      <c r="X37" s="155" t="n">
        <f aca="false">VLOOKUP($A37,[1]!CurveTable,MATCH($X$4,[1]!CurveType,0))+$X$9</f>
        <v>0.48</v>
      </c>
      <c r="Y37" s="139" t="n">
        <f aca="false">SQRT((X37^2*($A37-$C$3)+W37^2*(DAY(EOMONTH(A37,0))/2))/$AN37)</f>
        <v>0.478395863098078</v>
      </c>
      <c r="Z37" s="152"/>
      <c r="AA37" s="153" t="n">
        <f aca="false">G37+P37+S37</f>
        <v>3.842</v>
      </c>
      <c r="AB37" s="154"/>
      <c r="AC37" s="155" t="n">
        <f aca="false">VLOOKUP($A37,[1]!CurveTable,MATCH($AC$4,[1]!CurveType,0))+$AC$9</f>
        <v>0.2375</v>
      </c>
      <c r="AD37" s="155" t="n">
        <f aca="false">VLOOKUP($A37,[1]!CurveTable,MATCH($AD$4,[1]!CurveType,0))+$AD$9</f>
        <v>0.2425</v>
      </c>
      <c r="AE37" s="139" t="n">
        <f aca="false">SQRT((AD37^2*($A37-$C$3)+AC37^2*(DAY(EOMONTH(A37,0))/2))/$AN37)</f>
        <v>0.241694815433319</v>
      </c>
      <c r="AF37" s="152"/>
      <c r="AG37" s="156" t="n">
        <f aca="false">((Inputs!$F$20*(X37*AD37)*(A37-$C$3))+(Inputs!$F$19*W37*AC37*(DAY(EOMONTH(A37,0))/2)))/(AN37*Y37*AE37)</f>
        <v>0.750000084406834</v>
      </c>
      <c r="AH37" s="152"/>
      <c r="AI37" s="140" t="n">
        <f aca="false">Inputs!$B$15</f>
        <v>0.06</v>
      </c>
      <c r="AJ37" s="157"/>
      <c r="AK37" s="140" t="n">
        <f aca="false">IF((U37-AA37-AI37)&lt;0,0,(U37-AA37-AI37))</f>
        <v>0.582500000000001</v>
      </c>
      <c r="AL37" s="157"/>
      <c r="AM37" s="158" t="n">
        <f aca="false">WORKDAY(EOMONTH(A37-1,-1),0)</f>
        <v>38929</v>
      </c>
      <c r="AN37" s="159" t="n">
        <f aca="false">AM37-$C$3</f>
        <v>-6997</v>
      </c>
      <c r="AO37" s="159" t="n">
        <f aca="false">AO36</f>
        <v>1</v>
      </c>
      <c r="AP37" s="160"/>
      <c r="AQ37" s="161" t="e">
        <f aca="false">SPRDOPT(U37,AA37,AI37,AX37,X37,AD37,AG37,AN37,AO37,0)</f>
        <v>#NAME?</v>
      </c>
      <c r="AR37" s="162" t="e">
        <f aca="false">AQ37*C37</f>
        <v>#NAME?</v>
      </c>
      <c r="AS37" s="163" t="e">
        <f aca="false">AQ37-AK37</f>
        <v>#NAME?</v>
      </c>
      <c r="AU37" s="112" t="n">
        <f aca="false">A38-A37</f>
        <v>30</v>
      </c>
      <c r="AV37" s="164" t="n">
        <f aca="false">CHOOSE(F$3,A38+24,A37+14)</f>
        <v>38975</v>
      </c>
      <c r="AW37" s="49" t="n">
        <f aca="false">AV37-C$3</f>
        <v>-6951</v>
      </c>
      <c r="AX37" s="155" t="n">
        <f aca="false">VLOOKUP($A37,[1]!CurveTable,MATCH(AX$4,[1]!CurveType,0))</f>
        <v>0.0460314330275047</v>
      </c>
      <c r="AY37" s="165" t="n">
        <f aca="false">1/(1+CHOOSE(F$3,(AX38+(Inputs!$B$14/10000))/2,(AX37+(Inputs!$B$14/10000))/2))^(2*AW37/365.25)</f>
        <v>2.37758683068855</v>
      </c>
      <c r="AZ37" s="49" t="n">
        <f aca="false">IF(AND(mthbeg&lt;=A37,mthend&gt;=A37),1,0)</f>
        <v>1</v>
      </c>
      <c r="BA37" s="111" t="n">
        <f aca="false">AU37*AZ37</f>
        <v>30</v>
      </c>
      <c r="BC37" s="142" t="n">
        <f aca="false">E37*$D37</f>
        <v>13479134.1398811</v>
      </c>
      <c r="BD37" s="142" t="n">
        <f aca="false">F37*$D37</f>
        <v>13675285.0534129</v>
      </c>
      <c r="BE37" s="142" t="n">
        <f aca="false">G37*$D37</f>
        <v>13675285.0534129</v>
      </c>
      <c r="BF37" s="142" t="n">
        <f aca="false">H37*$D37</f>
        <v>2318147.15992134</v>
      </c>
      <c r="BG37" s="142" t="n">
        <f aca="false">I37*$D37</f>
        <v>2318147.15992134</v>
      </c>
      <c r="BH37" s="142" t="n">
        <f aca="false">J37*$D37</f>
        <v>2318147.15992134</v>
      </c>
      <c r="BI37" s="142" t="n">
        <f aca="false">K37*$D37</f>
        <v>0</v>
      </c>
      <c r="BJ37" s="142" t="n">
        <f aca="false">L37*$D37</f>
        <v>0</v>
      </c>
      <c r="BK37" s="142" t="n">
        <f aca="false">M37*$D37</f>
        <v>0</v>
      </c>
      <c r="BL37" s="142" t="n">
        <f aca="false">N37*$D37</f>
        <v>26747.8518452462</v>
      </c>
      <c r="BM37" s="142" t="n">
        <f aca="false">O37*$D37</f>
        <v>26747.8518452462</v>
      </c>
      <c r="BN37" s="142" t="n">
        <f aca="false">P37*$D37</f>
        <v>26747.8518452462</v>
      </c>
      <c r="BO37" s="142" t="n">
        <f aca="false">Q37*$D37</f>
        <v>35663.8024603283</v>
      </c>
      <c r="BP37" s="142" t="n">
        <f aca="false">R37*$D37</f>
        <v>0</v>
      </c>
      <c r="BQ37" s="142" t="n">
        <f aca="false">S37*$D37</f>
        <v>0</v>
      </c>
      <c r="BR37" s="142" t="n">
        <f aca="false">U37*$D37</f>
        <v>15993432.2133342</v>
      </c>
      <c r="BS37" s="142" t="n">
        <f aca="false">AA37*$D37</f>
        <v>13702032.9052581</v>
      </c>
      <c r="BT37" s="142" t="n">
        <f aca="false">AI37*$D37</f>
        <v>213982.81476197</v>
      </c>
      <c r="BU37" s="142" t="n">
        <f aca="false">AK37*D37</f>
        <v>2077416.49331413</v>
      </c>
    </row>
    <row r="38" customFormat="false" ht="12.75" hidden="false" customHeight="false" outlineLevel="0" collapsed="false">
      <c r="A38" s="144" t="n">
        <f aca="false">EDATE(A37,1)</f>
        <v>38991</v>
      </c>
      <c r="B38" s="145" t="n">
        <f aca="false">Inputs!$B$8</f>
        <v>50000</v>
      </c>
      <c r="C38" s="146" t="n">
        <f aca="false">IF(AZ38=0,0,IF(AND(AZ38=1,$H$3=1),B38*AU38,IF($H$3=2,B38,"N/A")))</f>
        <v>1550000</v>
      </c>
      <c r="D38" s="146" t="n">
        <f aca="false">C38*AY38</f>
        <v>3688892.29823602</v>
      </c>
      <c r="E38" s="147" t="n">
        <f aca="false">VLOOKUP($A38,[1]!CurveTable,MATCH($E$4,[1]!CurveType,0))</f>
        <v>3.7795</v>
      </c>
      <c r="F38" s="148" t="n">
        <f aca="false">E38-Inputs!$B$16</f>
        <v>3.8345</v>
      </c>
      <c r="G38" s="149" t="n">
        <f aca="false">F38</f>
        <v>3.8345</v>
      </c>
      <c r="H38" s="147" t="n">
        <f aca="false">VLOOKUP($A38,[1]!CurveTable,MATCH($H$4,[1]!CurveType,0))</f>
        <v>0.35</v>
      </c>
      <c r="I38" s="148" t="n">
        <f aca="false">H38+Inputs!$B$22</f>
        <v>0.35</v>
      </c>
      <c r="J38" s="150" t="n">
        <f aca="false">I38</f>
        <v>0.35</v>
      </c>
      <c r="K38" s="147" t="n">
        <f aca="false">VLOOKUP($A38,[1]!CurveTable,MATCH($K$4,[1]!CurveType,0))</f>
        <v>0</v>
      </c>
      <c r="L38" s="148" t="n">
        <v>0</v>
      </c>
      <c r="M38" s="151" t="n">
        <f aca="false">L38</f>
        <v>0</v>
      </c>
      <c r="N38" s="147" t="n">
        <f aca="false">VLOOKUP($A38,[1]!CurveTable,MATCH($N$4,[1]!CurveType,0))</f>
        <v>0.006</v>
      </c>
      <c r="O38" s="148" t="n">
        <f aca="false">N38+Inputs!$E$22</f>
        <v>0.006</v>
      </c>
      <c r="P38" s="151" t="n">
        <f aca="false">O38</f>
        <v>0.006</v>
      </c>
      <c r="Q38" s="147" t="n">
        <f aca="false">VLOOKUP($A38,[1]!CurveTable,MATCH($Q$4,[1]!CurveType,0))</f>
        <v>0.01</v>
      </c>
      <c r="R38" s="148" t="n">
        <v>0</v>
      </c>
      <c r="S38" s="151" t="n">
        <f aca="false">R38</f>
        <v>0</v>
      </c>
      <c r="T38" s="152"/>
      <c r="U38" s="153" t="n">
        <f aca="false">G38+J38</f>
        <v>4.1845</v>
      </c>
      <c r="V38" s="154"/>
      <c r="W38" s="155" t="n">
        <f aca="false">VLOOKUP($A38,[1]!CurveTable,MATCH($W$4,[1]!CurveType,0))+$W$9</f>
        <v>0.2375</v>
      </c>
      <c r="X38" s="155" t="n">
        <f aca="false">VLOOKUP($A38,[1]!CurveTable,MATCH($X$4,[1]!CurveType,0))+$X$9</f>
        <v>0.2425</v>
      </c>
      <c r="Y38" s="139" t="n">
        <f aca="false">SQRT((X38^2*($A38-$C$3)+W38^2*(DAY(EOMONTH(A38,0))/2))/$AN38)</f>
        <v>0.241700314529164</v>
      </c>
      <c r="Z38" s="152"/>
      <c r="AA38" s="153" t="n">
        <f aca="false">G38+P38+S38</f>
        <v>3.8405</v>
      </c>
      <c r="AB38" s="154"/>
      <c r="AC38" s="155" t="n">
        <f aca="false">VLOOKUP($A38,[1]!CurveTable,MATCH($AC$4,[1]!CurveType,0))+$AC$9</f>
        <v>0.2375</v>
      </c>
      <c r="AD38" s="155" t="n">
        <f aca="false">VLOOKUP($A38,[1]!CurveTable,MATCH($AD$4,[1]!CurveType,0))+$AD$9</f>
        <v>0.2425</v>
      </c>
      <c r="AE38" s="139" t="n">
        <f aca="false">SQRT((AD38^2*($A38-$C$3)+AC38^2*(DAY(EOMONTH(A38,0))/2))/$AN38)</f>
        <v>0.241700314529164</v>
      </c>
      <c r="AF38" s="152"/>
      <c r="AG38" s="156" t="n">
        <f aca="false">((Inputs!$F$20*(X38*AD38)*(A38-$C$3))+(Inputs!$F$19*W38*AC38*(DAY(EOMONTH(A38,0))/2)))/(AN38*Y38*AE38)</f>
        <v>0.75</v>
      </c>
      <c r="AH38" s="152"/>
      <c r="AI38" s="140" t="n">
        <f aca="false">Inputs!$B$15</f>
        <v>0.06</v>
      </c>
      <c r="AJ38" s="157"/>
      <c r="AK38" s="140" t="n">
        <f aca="false">IF((U38-AA38-AI38)&lt;0,0,(U38-AA38-AI38))</f>
        <v>0.284</v>
      </c>
      <c r="AL38" s="157"/>
      <c r="AM38" s="158" t="n">
        <f aca="false">WORKDAY(EOMONTH(A38-1,-1),0)</f>
        <v>38960</v>
      </c>
      <c r="AN38" s="159" t="n">
        <f aca="false">AM38-$C$3</f>
        <v>-6966</v>
      </c>
      <c r="AO38" s="159" t="n">
        <f aca="false">AO37</f>
        <v>1</v>
      </c>
      <c r="AP38" s="160"/>
      <c r="AQ38" s="161" t="e">
        <f aca="false">SPRDOPT(U38,AA38,AI38,AX38,X38,AD38,AG38,AN38,AO38,0)</f>
        <v>#NAME?</v>
      </c>
      <c r="AR38" s="162" t="e">
        <f aca="false">AQ38*C38</f>
        <v>#NAME?</v>
      </c>
      <c r="AS38" s="163" t="e">
        <f aca="false">AQ38-AK38</f>
        <v>#NAME?</v>
      </c>
      <c r="AU38" s="112" t="n">
        <f aca="false">A39-A38</f>
        <v>31</v>
      </c>
      <c r="AV38" s="164" t="n">
        <f aca="false">CHOOSE(F$3,A39+24,A38+14)</f>
        <v>39005</v>
      </c>
      <c r="AW38" s="49" t="n">
        <f aca="false">AV38-C$3</f>
        <v>-6921</v>
      </c>
      <c r="AX38" s="155" t="n">
        <f aca="false">VLOOKUP($A38,[1]!CurveTable,MATCH(AX$4,[1]!CurveType,0))</f>
        <v>0.0462864498108071</v>
      </c>
      <c r="AY38" s="165" t="n">
        <f aca="false">1/(1+CHOOSE(F$3,(AX39+(Inputs!$B$14/10000))/2,(AX38+(Inputs!$B$14/10000))/2))^(2*AW38/365.25)</f>
        <v>2.37993051499098</v>
      </c>
      <c r="AZ38" s="49" t="n">
        <f aca="false">IF(AND(mthbeg&lt;=A38,mthend&gt;=A38),1,0)</f>
        <v>1</v>
      </c>
      <c r="BA38" s="111" t="n">
        <f aca="false">AU38*AZ38</f>
        <v>31</v>
      </c>
      <c r="BC38" s="142" t="n">
        <f aca="false">E38*$D38</f>
        <v>13942168.4411831</v>
      </c>
      <c r="BD38" s="142" t="n">
        <f aca="false">F38*$D38</f>
        <v>14145057.517586</v>
      </c>
      <c r="BE38" s="142" t="n">
        <f aca="false">G38*$D38</f>
        <v>14145057.517586</v>
      </c>
      <c r="BF38" s="142" t="n">
        <f aca="false">H38*$D38</f>
        <v>1291112.30438261</v>
      </c>
      <c r="BG38" s="142" t="n">
        <f aca="false">I38*$D38</f>
        <v>1291112.30438261</v>
      </c>
      <c r="BH38" s="142" t="n">
        <f aca="false">J38*$D38</f>
        <v>1291112.30438261</v>
      </c>
      <c r="BI38" s="142" t="n">
        <f aca="false">K38*$D38</f>
        <v>0</v>
      </c>
      <c r="BJ38" s="142" t="n">
        <f aca="false">L38*$D38</f>
        <v>0</v>
      </c>
      <c r="BK38" s="142" t="n">
        <f aca="false">M38*$D38</f>
        <v>0</v>
      </c>
      <c r="BL38" s="142" t="n">
        <f aca="false">N38*$D38</f>
        <v>22133.3537894161</v>
      </c>
      <c r="BM38" s="142" t="n">
        <f aca="false">O38*$D38</f>
        <v>22133.3537894161</v>
      </c>
      <c r="BN38" s="142" t="n">
        <f aca="false">P38*$D38</f>
        <v>22133.3537894161</v>
      </c>
      <c r="BO38" s="142" t="n">
        <f aca="false">Q38*$D38</f>
        <v>36888.9229823602</v>
      </c>
      <c r="BP38" s="142" t="n">
        <f aca="false">R38*$D38</f>
        <v>0</v>
      </c>
      <c r="BQ38" s="142" t="n">
        <f aca="false">S38*$D38</f>
        <v>0</v>
      </c>
      <c r="BR38" s="142" t="n">
        <f aca="false">U38*$D38</f>
        <v>15436169.8219686</v>
      </c>
      <c r="BS38" s="142" t="n">
        <f aca="false">AA38*$D38</f>
        <v>14167190.8713754</v>
      </c>
      <c r="BT38" s="142" t="n">
        <f aca="false">AI38*$D38</f>
        <v>221333.537894161</v>
      </c>
      <c r="BU38" s="142" t="n">
        <f aca="false">AK38*D38</f>
        <v>1047645.41269903</v>
      </c>
    </row>
    <row r="39" customFormat="false" ht="12.75" hidden="false" customHeight="false" outlineLevel="0" collapsed="false">
      <c r="A39" s="144" t="n">
        <f aca="false">EDATE(A38,1)</f>
        <v>39022</v>
      </c>
      <c r="B39" s="145" t="n">
        <f aca="false">Inputs!$B$8</f>
        <v>50000</v>
      </c>
      <c r="C39" s="146" t="n">
        <f aca="false">IF(AZ39=0,0,IF(AND(AZ39=1,$H$3=1),B39*AU39,IF($H$3=2,B39,"N/A")))</f>
        <v>1500000</v>
      </c>
      <c r="D39" s="146" t="n">
        <f aca="false">C39*AY39</f>
        <v>3572285.44521833</v>
      </c>
      <c r="E39" s="147" t="n">
        <f aca="false">VLOOKUP($A39,[1]!CurveTable,MATCH($E$4,[1]!CurveType,0))</f>
        <v>3.9275</v>
      </c>
      <c r="F39" s="148" t="n">
        <f aca="false">E39-Inputs!$B$16</f>
        <v>3.9825</v>
      </c>
      <c r="G39" s="149" t="n">
        <f aca="false">F39</f>
        <v>3.9825</v>
      </c>
      <c r="H39" s="147" t="n">
        <f aca="false">VLOOKUP($A39,[1]!CurveTable,MATCH($H$4,[1]!CurveType,0))</f>
        <v>0.27</v>
      </c>
      <c r="I39" s="148" t="n">
        <f aca="false">H39+Inputs!$B$22</f>
        <v>0.27</v>
      </c>
      <c r="J39" s="150" t="n">
        <f aca="false">I39</f>
        <v>0.27</v>
      </c>
      <c r="K39" s="147" t="n">
        <f aca="false">VLOOKUP($A39,[1]!CurveTable,MATCH($K$4,[1]!CurveType,0))</f>
        <v>0</v>
      </c>
      <c r="L39" s="148" t="n">
        <v>0</v>
      </c>
      <c r="M39" s="151" t="n">
        <f aca="false">L39</f>
        <v>0</v>
      </c>
      <c r="N39" s="147" t="n">
        <f aca="false">VLOOKUP($A39,[1]!CurveTable,MATCH($N$4,[1]!CurveType,0))</f>
        <v>0.007</v>
      </c>
      <c r="O39" s="148" t="n">
        <f aca="false">N39+Inputs!$E$22</f>
        <v>0.007</v>
      </c>
      <c r="P39" s="151" t="n">
        <f aca="false">O39</f>
        <v>0.007</v>
      </c>
      <c r="Q39" s="147" t="n">
        <f aca="false">VLOOKUP($A39,[1]!CurveTable,MATCH($Q$4,[1]!CurveType,0))</f>
        <v>0.0075</v>
      </c>
      <c r="R39" s="148" t="n">
        <v>0</v>
      </c>
      <c r="S39" s="151" t="n">
        <f aca="false">R39</f>
        <v>0</v>
      </c>
      <c r="T39" s="152"/>
      <c r="U39" s="153" t="n">
        <f aca="false">G39+J39</f>
        <v>4.2525</v>
      </c>
      <c r="V39" s="154"/>
      <c r="W39" s="155" t="n">
        <f aca="false">VLOOKUP($A39,[1]!CurveTable,MATCH($W$4,[1]!CurveType,0))+$W$9</f>
        <v>0.2375</v>
      </c>
      <c r="X39" s="155" t="n">
        <f aca="false">VLOOKUP($A39,[1]!CurveTable,MATCH($X$4,[1]!CurveType,0))+$X$9</f>
        <v>0.2425</v>
      </c>
      <c r="Y39" s="139" t="n">
        <f aca="false">SQRT((X39^2*($A39-$C$3)+W39^2*(DAY(EOMONTH(A39,0))/2))/$AN39)</f>
        <v>0.24168772218163</v>
      </c>
      <c r="Z39" s="152"/>
      <c r="AA39" s="153" t="n">
        <f aca="false">G39+P39+S39</f>
        <v>3.9895</v>
      </c>
      <c r="AB39" s="154"/>
      <c r="AC39" s="155" t="n">
        <f aca="false">VLOOKUP($A39,[1]!CurveTable,MATCH($AC$4,[1]!CurveType,0))+$AC$9</f>
        <v>0.2375</v>
      </c>
      <c r="AD39" s="155" t="n">
        <f aca="false">VLOOKUP($A39,[1]!CurveTable,MATCH($AD$4,[1]!CurveType,0))+$AD$9</f>
        <v>0.2425</v>
      </c>
      <c r="AE39" s="139" t="n">
        <f aca="false">SQRT((AD39^2*($A39-$C$3)+AC39^2*(DAY(EOMONTH(A39,0))/2))/$AN39)</f>
        <v>0.24168772218163</v>
      </c>
      <c r="AF39" s="152"/>
      <c r="AG39" s="156" t="n">
        <f aca="false">((Inputs!$F$20*(X39*AD39)*(A39-$C$3))+(Inputs!$F$19*W39*AC39*(DAY(EOMONTH(A39,0))/2)))/(AN39*Y39*AE39)</f>
        <v>0.75</v>
      </c>
      <c r="AH39" s="152"/>
      <c r="AI39" s="140" t="n">
        <f aca="false">Inputs!$B$15</f>
        <v>0.06</v>
      </c>
      <c r="AJ39" s="157"/>
      <c r="AK39" s="140" t="n">
        <f aca="false">IF((U39-AA39-AI39)&lt;0,0,(U39-AA39-AI39))</f>
        <v>0.203</v>
      </c>
      <c r="AL39" s="157"/>
      <c r="AM39" s="158" t="n">
        <f aca="false">WORKDAY(EOMONTH(A39-1,-1),0)</f>
        <v>38990</v>
      </c>
      <c r="AN39" s="159" t="n">
        <f aca="false">AM39-$C$3</f>
        <v>-6936</v>
      </c>
      <c r="AO39" s="159" t="n">
        <f aca="false">AO38</f>
        <v>1</v>
      </c>
      <c r="AP39" s="160"/>
      <c r="AQ39" s="161" t="e">
        <f aca="false">SPRDOPT(U39,AA39,AI39,AX39,X39,AD39,AG39,AN39,AO39,0)</f>
        <v>#NAME?</v>
      </c>
      <c r="AR39" s="162" t="e">
        <f aca="false">AQ39*C39</f>
        <v>#NAME?</v>
      </c>
      <c r="AS39" s="163" t="e">
        <f aca="false">AQ39-AK39</f>
        <v>#NAME?</v>
      </c>
      <c r="AU39" s="112" t="n">
        <f aca="false">A40-A39</f>
        <v>30</v>
      </c>
      <c r="AV39" s="164" t="n">
        <f aca="false">CHOOSE(F$3,A40+24,A39+14)</f>
        <v>39036</v>
      </c>
      <c r="AW39" s="49" t="n">
        <f aca="false">AV39-C$3</f>
        <v>-6890</v>
      </c>
      <c r="AX39" s="155" t="n">
        <f aca="false">VLOOKUP($A39,[1]!CurveTable,MATCH(AX$4,[1]!CurveType,0))</f>
        <v>0.0465334064693152</v>
      </c>
      <c r="AY39" s="165" t="n">
        <f aca="false">1/(1+CHOOSE(F$3,(AX40+(Inputs!$B$14/10000))/2,(AX39+(Inputs!$B$14/10000))/2))^(2*AW39/365.25)</f>
        <v>2.38152363014556</v>
      </c>
      <c r="AZ39" s="49" t="n">
        <f aca="false">IF(AND(mthbeg&lt;=A39,mthend&gt;=A39),1,0)</f>
        <v>1</v>
      </c>
      <c r="BA39" s="111" t="n">
        <f aca="false">AU39*AZ39</f>
        <v>30</v>
      </c>
      <c r="BC39" s="142" t="n">
        <f aca="false">E39*$D39</f>
        <v>14030151.086095</v>
      </c>
      <c r="BD39" s="142" t="n">
        <f aca="false">F39*$D39</f>
        <v>14226626.785582</v>
      </c>
      <c r="BE39" s="142" t="n">
        <f aca="false">G39*$D39</f>
        <v>14226626.785582</v>
      </c>
      <c r="BF39" s="142" t="n">
        <f aca="false">H39*$D39</f>
        <v>964517.07020895</v>
      </c>
      <c r="BG39" s="142" t="n">
        <f aca="false">I39*$D39</f>
        <v>964517.07020895</v>
      </c>
      <c r="BH39" s="142" t="n">
        <f aca="false">J39*$D39</f>
        <v>964517.07020895</v>
      </c>
      <c r="BI39" s="142" t="n">
        <f aca="false">K39*$D39</f>
        <v>0</v>
      </c>
      <c r="BJ39" s="142" t="n">
        <f aca="false">L39*$D39</f>
        <v>0</v>
      </c>
      <c r="BK39" s="142" t="n">
        <f aca="false">M39*$D39</f>
        <v>0</v>
      </c>
      <c r="BL39" s="142" t="n">
        <f aca="false">N39*$D39</f>
        <v>25005.9981165283</v>
      </c>
      <c r="BM39" s="142" t="n">
        <f aca="false">O39*$D39</f>
        <v>25005.9981165283</v>
      </c>
      <c r="BN39" s="142" t="n">
        <f aca="false">P39*$D39</f>
        <v>25005.9981165283</v>
      </c>
      <c r="BO39" s="142" t="n">
        <f aca="false">Q39*$D39</f>
        <v>26792.1408391375</v>
      </c>
      <c r="BP39" s="142" t="n">
        <f aca="false">R39*$D39</f>
        <v>0</v>
      </c>
      <c r="BQ39" s="142" t="n">
        <f aca="false">S39*$D39</f>
        <v>0</v>
      </c>
      <c r="BR39" s="142" t="n">
        <f aca="false">U39*$D39</f>
        <v>15191143.855791</v>
      </c>
      <c r="BS39" s="142" t="n">
        <f aca="false">AA39*$D39</f>
        <v>14251632.7836985</v>
      </c>
      <c r="BT39" s="142" t="n">
        <f aca="false">AI39*$D39</f>
        <v>214337.1267131</v>
      </c>
      <c r="BU39" s="142" t="n">
        <f aca="false">AK39*D39</f>
        <v>725173.945379322</v>
      </c>
    </row>
    <row r="40" customFormat="false" ht="12.75" hidden="false" customHeight="false" outlineLevel="0" collapsed="false">
      <c r="A40" s="144" t="n">
        <f aca="false">EDATE(A39,1)</f>
        <v>39052</v>
      </c>
      <c r="B40" s="145" t="n">
        <f aca="false">Inputs!$B$8</f>
        <v>50000</v>
      </c>
      <c r="C40" s="146" t="n">
        <f aca="false">IF(AZ40=0,0,IF(AND(AZ40=1,$H$3=1),B40*AU40,IF($H$3=2,B40,"N/A")))</f>
        <v>1550000</v>
      </c>
      <c r="D40" s="146" t="n">
        <f aca="false">C40*AY40</f>
        <v>3689883.94810465</v>
      </c>
      <c r="E40" s="147" t="n">
        <f aca="false">VLOOKUP($A40,[1]!CurveTable,MATCH($E$4,[1]!CurveType,0))</f>
        <v>4.0795</v>
      </c>
      <c r="F40" s="148" t="n">
        <f aca="false">E40-Inputs!$B$16</f>
        <v>4.1345</v>
      </c>
      <c r="G40" s="149" t="n">
        <f aca="false">F40</f>
        <v>4.1345</v>
      </c>
      <c r="H40" s="147" t="n">
        <f aca="false">VLOOKUP($A40,[1]!CurveTable,MATCH($H$4,[1]!CurveType,0))</f>
        <v>0.25</v>
      </c>
      <c r="I40" s="148" t="n">
        <f aca="false">H40+Inputs!$B$22</f>
        <v>0.25</v>
      </c>
      <c r="J40" s="150" t="n">
        <f aca="false">I40</f>
        <v>0.25</v>
      </c>
      <c r="K40" s="147" t="n">
        <f aca="false">VLOOKUP($A40,[1]!CurveTable,MATCH($K$4,[1]!CurveType,0))</f>
        <v>0</v>
      </c>
      <c r="L40" s="148" t="n">
        <v>0</v>
      </c>
      <c r="M40" s="151" t="n">
        <f aca="false">L40</f>
        <v>0</v>
      </c>
      <c r="N40" s="147" t="n">
        <f aca="false">VLOOKUP($A40,[1]!CurveTable,MATCH($N$4,[1]!CurveType,0))</f>
        <v>0.007</v>
      </c>
      <c r="O40" s="148" t="n">
        <f aca="false">N40+Inputs!$E$22</f>
        <v>0.007</v>
      </c>
      <c r="P40" s="151" t="n">
        <f aca="false">O40</f>
        <v>0.007</v>
      </c>
      <c r="Q40" s="147" t="n">
        <f aca="false">VLOOKUP($A40,[1]!CurveTable,MATCH($Q$4,[1]!CurveType,0))</f>
        <v>0.0075</v>
      </c>
      <c r="R40" s="148" t="n">
        <v>0</v>
      </c>
      <c r="S40" s="151" t="n">
        <f aca="false">R40</f>
        <v>0</v>
      </c>
      <c r="T40" s="152"/>
      <c r="U40" s="153" t="n">
        <f aca="false">G40+J40</f>
        <v>4.3845</v>
      </c>
      <c r="V40" s="154"/>
      <c r="W40" s="155" t="n">
        <f aca="false">VLOOKUP($A40,[1]!CurveTable,MATCH($W$4,[1]!CurveType,0))+$W$9</f>
        <v>0.24</v>
      </c>
      <c r="X40" s="155" t="n">
        <f aca="false">VLOOKUP($A40,[1]!CurveTable,MATCH($X$4,[1]!CurveType,0))+$X$9</f>
        <v>0.245</v>
      </c>
      <c r="Y40" s="139" t="n">
        <f aca="false">SQRT((X40^2*($A40-$C$3)+W40^2*(DAY(EOMONTH(A40,0))/2))/$AN40)</f>
        <v>0.244184807329081</v>
      </c>
      <c r="Z40" s="152"/>
      <c r="AA40" s="153" t="n">
        <f aca="false">G40+P40+S40</f>
        <v>4.1415</v>
      </c>
      <c r="AB40" s="154"/>
      <c r="AC40" s="155" t="n">
        <f aca="false">VLOOKUP($A40,[1]!CurveTable,MATCH($AC$4,[1]!CurveType,0))+$AC$9</f>
        <v>0.24</v>
      </c>
      <c r="AD40" s="155" t="n">
        <f aca="false">VLOOKUP($A40,[1]!CurveTable,MATCH($AD$4,[1]!CurveType,0))+$AD$9</f>
        <v>0.245</v>
      </c>
      <c r="AE40" s="139" t="n">
        <f aca="false">SQRT((AD40^2*($A40-$C$3)+AC40^2*(DAY(EOMONTH(A40,0))/2))/$AN40)</f>
        <v>0.244184807329081</v>
      </c>
      <c r="AF40" s="152"/>
      <c r="AG40" s="156" t="n">
        <f aca="false">((Inputs!$F$20*(X40*AD40)*(A40-$C$3))+(Inputs!$F$19*W40*AC40*(DAY(EOMONTH(A40,0))/2)))/(AN40*Y40*AE40)</f>
        <v>0.75</v>
      </c>
      <c r="AH40" s="152"/>
      <c r="AI40" s="140" t="n">
        <f aca="false">Inputs!$B$15</f>
        <v>0.06</v>
      </c>
      <c r="AJ40" s="157"/>
      <c r="AK40" s="140" t="n">
        <f aca="false">IF((U40-AA40-AI40)&lt;0,0,(U40-AA40-AI40))</f>
        <v>0.183</v>
      </c>
      <c r="AL40" s="157"/>
      <c r="AM40" s="158" t="n">
        <f aca="false">WORKDAY(EOMONTH(A40-1,-1),0)</f>
        <v>39021</v>
      </c>
      <c r="AN40" s="159" t="n">
        <f aca="false">AM40-$C$3</f>
        <v>-6905</v>
      </c>
      <c r="AO40" s="159" t="n">
        <f aca="false">AO39</f>
        <v>1</v>
      </c>
      <c r="AP40" s="160"/>
      <c r="AQ40" s="161" t="e">
        <f aca="false">SPRDOPT(U40,AA40,AI40,AX40,X40,AD40,AG40,AN40,AO40,0)</f>
        <v>#NAME?</v>
      </c>
      <c r="AR40" s="162" t="e">
        <f aca="false">AQ40*C40</f>
        <v>#NAME?</v>
      </c>
      <c r="AS40" s="163" t="e">
        <f aca="false">AQ40-AK40</f>
        <v>#NAME?</v>
      </c>
      <c r="AU40" s="112" t="n">
        <f aca="false">A41-A40</f>
        <v>31</v>
      </c>
      <c r="AV40" s="164" t="n">
        <f aca="false">CHOOSE(F$3,A41+24,A40+14)</f>
        <v>39066</v>
      </c>
      <c r="AW40" s="49" t="n">
        <f aca="false">AV40-C$3</f>
        <v>-6860</v>
      </c>
      <c r="AX40" s="155" t="n">
        <f aca="false">VLOOKUP($A40,[1]!CurveTable,MATCH(AX$4,[1]!CurveType,0))</f>
        <v>0.0467174488314601</v>
      </c>
      <c r="AY40" s="165" t="n">
        <f aca="false">1/(1+CHOOSE(F$3,(AX41+(Inputs!$B$14/10000))/2,(AX40+(Inputs!$B$14/10000))/2))^(2*AW40/365.25)</f>
        <v>2.38057028909978</v>
      </c>
      <c r="AZ40" s="49" t="n">
        <f aca="false">IF(AND(mthbeg&lt;=A40,mthend&gt;=A40),1,0)</f>
        <v>1</v>
      </c>
      <c r="BA40" s="111" t="n">
        <f aca="false">AU40*AZ40</f>
        <v>31</v>
      </c>
      <c r="BC40" s="142" t="n">
        <f aca="false">E40*$D40</f>
        <v>15052881.5662929</v>
      </c>
      <c r="BD40" s="142" t="n">
        <f aca="false">F40*$D40</f>
        <v>15255825.1834387</v>
      </c>
      <c r="BE40" s="142" t="n">
        <f aca="false">G40*$D40</f>
        <v>15255825.1834387</v>
      </c>
      <c r="BF40" s="142" t="n">
        <f aca="false">H40*$D40</f>
        <v>922470.987026164</v>
      </c>
      <c r="BG40" s="142" t="n">
        <f aca="false">I40*$D40</f>
        <v>922470.987026164</v>
      </c>
      <c r="BH40" s="142" t="n">
        <f aca="false">J40*$D40</f>
        <v>922470.987026164</v>
      </c>
      <c r="BI40" s="142" t="n">
        <f aca="false">K40*$D40</f>
        <v>0</v>
      </c>
      <c r="BJ40" s="142" t="n">
        <f aca="false">L40*$D40</f>
        <v>0</v>
      </c>
      <c r="BK40" s="142" t="n">
        <f aca="false">M40*$D40</f>
        <v>0</v>
      </c>
      <c r="BL40" s="142" t="n">
        <f aca="false">N40*$D40</f>
        <v>25829.1876367326</v>
      </c>
      <c r="BM40" s="142" t="n">
        <f aca="false">O40*$D40</f>
        <v>25829.1876367326</v>
      </c>
      <c r="BN40" s="142" t="n">
        <f aca="false">P40*$D40</f>
        <v>25829.1876367326</v>
      </c>
      <c r="BO40" s="142" t="n">
        <f aca="false">Q40*$D40</f>
        <v>27674.1296107849</v>
      </c>
      <c r="BP40" s="142" t="n">
        <f aca="false">R40*$D40</f>
        <v>0</v>
      </c>
      <c r="BQ40" s="142" t="n">
        <f aca="false">S40*$D40</f>
        <v>0</v>
      </c>
      <c r="BR40" s="142" t="n">
        <f aca="false">U40*$D40</f>
        <v>16178296.1704649</v>
      </c>
      <c r="BS40" s="142" t="n">
        <f aca="false">AA40*$D40</f>
        <v>15281654.3710754</v>
      </c>
      <c r="BT40" s="142" t="n">
        <f aca="false">AI40*$D40</f>
        <v>221393.036886279</v>
      </c>
      <c r="BU40" s="142" t="n">
        <f aca="false">AK40*D40</f>
        <v>675248.762503153</v>
      </c>
    </row>
    <row r="41" customFormat="false" ht="12.75" hidden="false" customHeight="false" outlineLevel="0" collapsed="false">
      <c r="A41" s="144" t="n">
        <f aca="false">EDATE(A40,1)</f>
        <v>39083</v>
      </c>
      <c r="B41" s="145" t="n">
        <f aca="false">Inputs!$B$8</f>
        <v>50000</v>
      </c>
      <c r="C41" s="146" t="n">
        <f aca="false">IF(AZ41=0,0,IF(AND(AZ41=1,$H$3=1),B41*AU41,IF($H$3=2,B41,"N/A")))</f>
        <v>1550000</v>
      </c>
      <c r="D41" s="146" t="n">
        <f aca="false">C41*AY41</f>
        <v>3688241.98787909</v>
      </c>
      <c r="E41" s="147" t="n">
        <f aca="false">VLOOKUP($A41,[1]!CurveTable,MATCH($E$4,[1]!CurveType,0))</f>
        <v>4.1445</v>
      </c>
      <c r="F41" s="148" t="n">
        <f aca="false">E41-Inputs!$B$16</f>
        <v>4.1995</v>
      </c>
      <c r="G41" s="149" t="n">
        <f aca="false">F41</f>
        <v>4.1995</v>
      </c>
      <c r="H41" s="147" t="n">
        <f aca="false">VLOOKUP($A41,[1]!CurveTable,MATCH($H$4,[1]!CurveType,0))</f>
        <v>0.075</v>
      </c>
      <c r="I41" s="148" t="n">
        <f aca="false">H41+Inputs!$B$22</f>
        <v>0.075</v>
      </c>
      <c r="J41" s="150" t="n">
        <f aca="false">I41</f>
        <v>0.075</v>
      </c>
      <c r="K41" s="147" t="n">
        <f aca="false">VLOOKUP($A41,[1]!CurveTable,MATCH($K$4,[1]!CurveType,0))</f>
        <v>0</v>
      </c>
      <c r="L41" s="148" t="n">
        <v>0</v>
      </c>
      <c r="M41" s="151" t="n">
        <f aca="false">L41</f>
        <v>0</v>
      </c>
      <c r="N41" s="147" t="n">
        <f aca="false">VLOOKUP($A41,[1]!CurveTable,MATCH($N$4,[1]!CurveType,0))</f>
        <v>0.007</v>
      </c>
      <c r="O41" s="148" t="n">
        <f aca="false">N41+Inputs!$E$22</f>
        <v>0.007</v>
      </c>
      <c r="P41" s="151" t="n">
        <f aca="false">O41</f>
        <v>0.007</v>
      </c>
      <c r="Q41" s="147" t="n">
        <f aca="false">VLOOKUP($A41,[1]!CurveTable,MATCH($Q$4,[1]!CurveType,0))</f>
        <v>0.0075</v>
      </c>
      <c r="R41" s="148" t="n">
        <v>0</v>
      </c>
      <c r="S41" s="151" t="n">
        <f aca="false">R41</f>
        <v>0</v>
      </c>
      <c r="T41" s="152"/>
      <c r="U41" s="153" t="n">
        <f aca="false">G41+J41</f>
        <v>4.2745</v>
      </c>
      <c r="V41" s="154"/>
      <c r="W41" s="155" t="n">
        <f aca="false">VLOOKUP($A41,[1]!CurveTable,MATCH($W$4,[1]!CurveType,0))+$W$9</f>
        <v>0.2425</v>
      </c>
      <c r="X41" s="155" t="n">
        <f aca="false">VLOOKUP($A41,[1]!CurveTable,MATCH($X$4,[1]!CurveType,0))+$X$9</f>
        <v>0.2475</v>
      </c>
      <c r="Y41" s="139" t="n">
        <f aca="false">SQRT((X41^2*($A41-$C$3)+W41^2*(DAY(EOMONTH(A41,0))/2))/$AN41)</f>
        <v>0.246654715414816</v>
      </c>
      <c r="Z41" s="152"/>
      <c r="AA41" s="153" t="n">
        <f aca="false">G41+P41+S41</f>
        <v>4.2065</v>
      </c>
      <c r="AB41" s="154"/>
      <c r="AC41" s="155" t="n">
        <f aca="false">VLOOKUP($A41,[1]!CurveTable,MATCH($AC$4,[1]!CurveType,0))+$AC$9</f>
        <v>0.2425</v>
      </c>
      <c r="AD41" s="155" t="n">
        <f aca="false">VLOOKUP($A41,[1]!CurveTable,MATCH($AD$4,[1]!CurveType,0))+$AD$9</f>
        <v>0.2475</v>
      </c>
      <c r="AE41" s="139" t="n">
        <f aca="false">SQRT((AD41^2*($A41-$C$3)+AC41^2*(DAY(EOMONTH(A41,0))/2))/$AN41)</f>
        <v>0.246654715414816</v>
      </c>
      <c r="AF41" s="152"/>
      <c r="AG41" s="156" t="n">
        <f aca="false">((Inputs!$F$20*(X41*AD41)*(A41-$C$3))+(Inputs!$F$19*W41*AC41*(DAY(EOMONTH(A41,0))/2)))/(AN41*Y41*AE41)</f>
        <v>0.75</v>
      </c>
      <c r="AH41" s="152"/>
      <c r="AI41" s="140" t="n">
        <f aca="false">Inputs!$B$15</f>
        <v>0.06</v>
      </c>
      <c r="AJ41" s="157"/>
      <c r="AK41" s="140" t="n">
        <f aca="false">IF((U41-AA41-AI41)&lt;0,0,(U41-AA41-AI41))</f>
        <v>0.00800000000000051</v>
      </c>
      <c r="AL41" s="157"/>
      <c r="AM41" s="158" t="n">
        <f aca="false">WORKDAY(EOMONTH(A41-1,-1),0)</f>
        <v>39051</v>
      </c>
      <c r="AN41" s="159" t="n">
        <f aca="false">AM41-$C$3</f>
        <v>-6875</v>
      </c>
      <c r="AO41" s="159" t="n">
        <f aca="false">AO40</f>
        <v>1</v>
      </c>
      <c r="AP41" s="160"/>
      <c r="AQ41" s="161" t="e">
        <f aca="false">SPRDOPT(U41,AA41,AI41,AX41,X41,AD41,AG41,AN41,AO41,0)</f>
        <v>#NAME?</v>
      </c>
      <c r="AR41" s="162" t="e">
        <f aca="false">AQ41*C41</f>
        <v>#NAME?</v>
      </c>
      <c r="AS41" s="163" t="e">
        <f aca="false">AQ41-AK41</f>
        <v>#NAME?</v>
      </c>
      <c r="AU41" s="112" t="n">
        <f aca="false">A42-A41</f>
        <v>31</v>
      </c>
      <c r="AV41" s="164" t="n">
        <f aca="false">CHOOSE(F$3,A42+24,A41+14)</f>
        <v>39097</v>
      </c>
      <c r="AW41" s="49" t="n">
        <f aca="false">AV41-C$3</f>
        <v>-6829</v>
      </c>
      <c r="AX41" s="155" t="n">
        <f aca="false">VLOOKUP($A41,[1]!CurveTable,MATCH(AX$4,[1]!CurveType,0))</f>
        <v>0.0469076259509094</v>
      </c>
      <c r="AY41" s="165" t="n">
        <f aca="false">1/(1+CHOOSE(F$3,(AX42+(Inputs!$B$14/10000))/2,(AX41+(Inputs!$B$14/10000))/2))^(2*AW41/365.25)</f>
        <v>2.37951095992199</v>
      </c>
      <c r="AZ41" s="49" t="n">
        <f aca="false">IF(AND(mthbeg&lt;=A41,mthend&gt;=A41),1,0)</f>
        <v>1</v>
      </c>
      <c r="BA41" s="111" t="n">
        <f aca="false">AU41*AZ41</f>
        <v>31</v>
      </c>
      <c r="BC41" s="142" t="n">
        <f aca="false">E41*$D41</f>
        <v>15285918.9187649</v>
      </c>
      <c r="BD41" s="142" t="n">
        <f aca="false">F41*$D41</f>
        <v>15488772.2280982</v>
      </c>
      <c r="BE41" s="142" t="n">
        <f aca="false">G41*$D41</f>
        <v>15488772.2280982</v>
      </c>
      <c r="BF41" s="142" t="n">
        <f aca="false">H41*$D41</f>
        <v>276618.149090931</v>
      </c>
      <c r="BG41" s="142" t="n">
        <f aca="false">I41*$D41</f>
        <v>276618.149090931</v>
      </c>
      <c r="BH41" s="142" t="n">
        <f aca="false">J41*$D41</f>
        <v>276618.149090931</v>
      </c>
      <c r="BI41" s="142" t="n">
        <f aca="false">K41*$D41</f>
        <v>0</v>
      </c>
      <c r="BJ41" s="142" t="n">
        <f aca="false">L41*$D41</f>
        <v>0</v>
      </c>
      <c r="BK41" s="142" t="n">
        <f aca="false">M41*$D41</f>
        <v>0</v>
      </c>
      <c r="BL41" s="142" t="n">
        <f aca="false">N41*$D41</f>
        <v>25817.6939151536</v>
      </c>
      <c r="BM41" s="142" t="n">
        <f aca="false">O41*$D41</f>
        <v>25817.6939151536</v>
      </c>
      <c r="BN41" s="142" t="n">
        <f aca="false">P41*$D41</f>
        <v>25817.6939151536</v>
      </c>
      <c r="BO41" s="142" t="n">
        <f aca="false">Q41*$D41</f>
        <v>27661.8149090931</v>
      </c>
      <c r="BP41" s="142" t="n">
        <f aca="false">R41*$D41</f>
        <v>0</v>
      </c>
      <c r="BQ41" s="142" t="n">
        <f aca="false">S41*$D41</f>
        <v>0</v>
      </c>
      <c r="BR41" s="142" t="n">
        <f aca="false">U41*$D41</f>
        <v>15765390.3771891</v>
      </c>
      <c r="BS41" s="142" t="n">
        <f aca="false">AA41*$D41</f>
        <v>15514589.9220134</v>
      </c>
      <c r="BT41" s="142" t="n">
        <f aca="false">AI41*$D41</f>
        <v>221294.519272745</v>
      </c>
      <c r="BU41" s="142" t="n">
        <f aca="false">AK41*D41</f>
        <v>29505.9359030345</v>
      </c>
    </row>
    <row r="42" customFormat="false" ht="12.75" hidden="false" customHeight="false" outlineLevel="0" collapsed="false">
      <c r="A42" s="144" t="n">
        <f aca="false">EDATE(A41,1)</f>
        <v>39114</v>
      </c>
      <c r="B42" s="145" t="n">
        <f aca="false">Inputs!$B$8</f>
        <v>50000</v>
      </c>
      <c r="C42" s="146" t="n">
        <f aca="false">IF(AZ42=0,0,IF(AND(AZ42=1,$H$3=1),B42*AU42,IF($H$3=2,B42,"N/A")))</f>
        <v>1400000</v>
      </c>
      <c r="D42" s="146" t="n">
        <f aca="false">C42*AY42</f>
        <v>3329726.84044628</v>
      </c>
      <c r="E42" s="147" t="n">
        <f aca="false">VLOOKUP($A42,[1]!CurveTable,MATCH($E$4,[1]!CurveType,0))</f>
        <v>4.0575</v>
      </c>
      <c r="F42" s="148" t="n">
        <f aca="false">E42-Inputs!$B$16</f>
        <v>4.1125</v>
      </c>
      <c r="G42" s="149" t="n">
        <f aca="false">F42</f>
        <v>4.1125</v>
      </c>
      <c r="H42" s="147" t="n">
        <f aca="false">VLOOKUP($A42,[1]!CurveTable,MATCH($H$4,[1]!CurveType,0))</f>
        <v>0.075</v>
      </c>
      <c r="I42" s="148" t="n">
        <f aca="false">H42+Inputs!$B$22</f>
        <v>0.075</v>
      </c>
      <c r="J42" s="150" t="n">
        <f aca="false">I42</f>
        <v>0.075</v>
      </c>
      <c r="K42" s="147" t="n">
        <f aca="false">VLOOKUP($A42,[1]!CurveTable,MATCH($K$4,[1]!CurveType,0))</f>
        <v>0</v>
      </c>
      <c r="L42" s="148" t="n">
        <v>0</v>
      </c>
      <c r="M42" s="151" t="n">
        <f aca="false">L42</f>
        <v>0</v>
      </c>
      <c r="N42" s="147" t="n">
        <f aca="false">VLOOKUP($A42,[1]!CurveTable,MATCH($N$4,[1]!CurveType,0))</f>
        <v>0.007</v>
      </c>
      <c r="O42" s="148" t="n">
        <f aca="false">N42+Inputs!$E$22</f>
        <v>0.007</v>
      </c>
      <c r="P42" s="151" t="n">
        <f aca="false">O42</f>
        <v>0.007</v>
      </c>
      <c r="Q42" s="147" t="n">
        <f aca="false">VLOOKUP($A42,[1]!CurveTable,MATCH($Q$4,[1]!CurveType,0))</f>
        <v>0.0075</v>
      </c>
      <c r="R42" s="148" t="n">
        <v>0</v>
      </c>
      <c r="S42" s="151" t="n">
        <f aca="false">R42</f>
        <v>0</v>
      </c>
      <c r="T42" s="152"/>
      <c r="U42" s="153" t="n">
        <f aca="false">G42+J42</f>
        <v>4.1875</v>
      </c>
      <c r="V42" s="154"/>
      <c r="W42" s="155" t="n">
        <f aca="false">VLOOKUP($A42,[1]!CurveTable,MATCH($W$4,[1]!CurveType,0))+$W$9</f>
        <v>0.2375</v>
      </c>
      <c r="X42" s="155" t="n">
        <f aca="false">VLOOKUP($A42,[1]!CurveTable,MATCH($X$4,[1]!CurveType,0))+$X$9</f>
        <v>0.2425</v>
      </c>
      <c r="Y42" s="139" t="n">
        <f aca="false">SQRT((X42^2*($A42-$C$3)+W42^2*(DAY(EOMONTH(A42,0))/2))/$AN42)</f>
        <v>0.241693835091214</v>
      </c>
      <c r="Z42" s="152"/>
      <c r="AA42" s="153" t="n">
        <f aca="false">G42+P42+S42</f>
        <v>4.1195</v>
      </c>
      <c r="AB42" s="154"/>
      <c r="AC42" s="155" t="n">
        <f aca="false">VLOOKUP($A42,[1]!CurveTable,MATCH($AC$4,[1]!CurveType,0))+$AC$9</f>
        <v>0.2375</v>
      </c>
      <c r="AD42" s="155" t="n">
        <f aca="false">VLOOKUP($A42,[1]!CurveTable,MATCH($AD$4,[1]!CurveType,0))+$AD$9</f>
        <v>0.2425</v>
      </c>
      <c r="AE42" s="139" t="n">
        <f aca="false">SQRT((AD42^2*($A42-$C$3)+AC42^2*(DAY(EOMONTH(A42,0))/2))/$AN42)</f>
        <v>0.241693835091214</v>
      </c>
      <c r="AF42" s="152"/>
      <c r="AG42" s="156" t="n">
        <f aca="false">((Inputs!$F$20*(X42*AD42)*(A42-$C$3))+(Inputs!$F$19*W42*AC42*(DAY(EOMONTH(A42,0))/2)))/(AN42*Y42*AE42)</f>
        <v>0.75</v>
      </c>
      <c r="AH42" s="152"/>
      <c r="AI42" s="140" t="n">
        <f aca="false">Inputs!$B$15</f>
        <v>0.06</v>
      </c>
      <c r="AJ42" s="157"/>
      <c r="AK42" s="140" t="n">
        <f aca="false">IF((U42-AA42-AI42)&lt;0,0,(U42-AA42-AI42))</f>
        <v>0.00800000000000051</v>
      </c>
      <c r="AL42" s="157"/>
      <c r="AM42" s="158" t="n">
        <f aca="false">WORKDAY(EOMONTH(A42-1,-1),0)</f>
        <v>39082</v>
      </c>
      <c r="AN42" s="159" t="n">
        <f aca="false">AM42-$C$3</f>
        <v>-6844</v>
      </c>
      <c r="AO42" s="159" t="n">
        <f aca="false">AO41</f>
        <v>1</v>
      </c>
      <c r="AP42" s="160"/>
      <c r="AQ42" s="161" t="e">
        <f aca="false">SPRDOPT(U42,AA42,AI42,AX42,X42,AD42,AG42,AN42,AO42,0)</f>
        <v>#NAME?</v>
      </c>
      <c r="AR42" s="162" t="e">
        <f aca="false">AQ42*C42</f>
        <v>#NAME?</v>
      </c>
      <c r="AS42" s="163" t="e">
        <f aca="false">AQ42-AK42</f>
        <v>#NAME?</v>
      </c>
      <c r="AU42" s="112" t="n">
        <f aca="false">A43-A42</f>
        <v>28</v>
      </c>
      <c r="AV42" s="164" t="n">
        <f aca="false">CHOOSE(F$3,A43+24,A42+14)</f>
        <v>39128</v>
      </c>
      <c r="AW42" s="49" t="n">
        <f aca="false">AV42-C$3</f>
        <v>-6798</v>
      </c>
      <c r="AX42" s="155" t="n">
        <f aca="false">VLOOKUP($A42,[1]!CurveTable,MATCH(AX$4,[1]!CurveType,0))</f>
        <v>0.0470978030824529</v>
      </c>
      <c r="AY42" s="165" t="n">
        <f aca="false">1/(1+CHOOSE(F$3,(AX43+(Inputs!$B$14/10000))/2,(AX42+(Inputs!$B$14/10000))/2))^(2*AW42/365.25)</f>
        <v>2.37837631460449</v>
      </c>
      <c r="AZ42" s="49" t="n">
        <f aca="false">IF(AND(mthbeg&lt;=A42,mthend&gt;=A42),1,0)</f>
        <v>1</v>
      </c>
      <c r="BA42" s="111" t="n">
        <f aca="false">AU42*AZ42</f>
        <v>28</v>
      </c>
      <c r="BC42" s="142" t="n">
        <f aca="false">E42*$D42</f>
        <v>13510366.6551108</v>
      </c>
      <c r="BD42" s="142" t="n">
        <f aca="false">F42*$D42</f>
        <v>13693501.6313353</v>
      </c>
      <c r="BE42" s="142" t="n">
        <f aca="false">G42*$D42</f>
        <v>13693501.6313353</v>
      </c>
      <c r="BF42" s="142" t="n">
        <f aca="false">H42*$D42</f>
        <v>249729.513033471</v>
      </c>
      <c r="BG42" s="142" t="n">
        <f aca="false">I42*$D42</f>
        <v>249729.513033471</v>
      </c>
      <c r="BH42" s="142" t="n">
        <f aca="false">J42*$D42</f>
        <v>249729.513033471</v>
      </c>
      <c r="BI42" s="142" t="n">
        <f aca="false">K42*$D42</f>
        <v>0</v>
      </c>
      <c r="BJ42" s="142" t="n">
        <f aca="false">L42*$D42</f>
        <v>0</v>
      </c>
      <c r="BK42" s="142" t="n">
        <f aca="false">M42*$D42</f>
        <v>0</v>
      </c>
      <c r="BL42" s="142" t="n">
        <f aca="false">N42*$D42</f>
        <v>23308.087883124</v>
      </c>
      <c r="BM42" s="142" t="n">
        <f aca="false">O42*$D42</f>
        <v>23308.087883124</v>
      </c>
      <c r="BN42" s="142" t="n">
        <f aca="false">P42*$D42</f>
        <v>23308.087883124</v>
      </c>
      <c r="BO42" s="142" t="n">
        <f aca="false">Q42*$D42</f>
        <v>24972.9513033471</v>
      </c>
      <c r="BP42" s="142" t="n">
        <f aca="false">R42*$D42</f>
        <v>0</v>
      </c>
      <c r="BQ42" s="142" t="n">
        <f aca="false">S42*$D42</f>
        <v>0</v>
      </c>
      <c r="BR42" s="142" t="n">
        <f aca="false">U42*$D42</f>
        <v>13943231.1443688</v>
      </c>
      <c r="BS42" s="142" t="n">
        <f aca="false">AA42*$D42</f>
        <v>13716809.7192185</v>
      </c>
      <c r="BT42" s="142" t="n">
        <f aca="false">AI42*$D42</f>
        <v>199783.610426777</v>
      </c>
      <c r="BU42" s="142" t="n">
        <f aca="false">AK42*D42</f>
        <v>26637.8147235719</v>
      </c>
    </row>
    <row r="43" customFormat="false" ht="12.75" hidden="false" customHeight="false" outlineLevel="0" collapsed="false">
      <c r="A43" s="144" t="n">
        <f aca="false">EDATE(A42,1)</f>
        <v>39142</v>
      </c>
      <c r="B43" s="145" t="n">
        <f aca="false">Inputs!$B$8</f>
        <v>50000</v>
      </c>
      <c r="C43" s="146" t="n">
        <f aca="false">IF(AZ43=0,0,IF(AND(AZ43=1,$H$3=1),B43*AU43,IF($H$3=2,B43,"N/A")))</f>
        <v>1550000</v>
      </c>
      <c r="D43" s="146" t="n">
        <f aca="false">C43*AY43</f>
        <v>3684794.59658884</v>
      </c>
      <c r="E43" s="147" t="n">
        <f aca="false">VLOOKUP($A43,[1]!CurveTable,MATCH($E$4,[1]!CurveType,0))</f>
        <v>3.9185</v>
      </c>
      <c r="F43" s="148" t="n">
        <f aca="false">E43-Inputs!$B$16</f>
        <v>3.9735</v>
      </c>
      <c r="G43" s="149" t="n">
        <f aca="false">F43</f>
        <v>3.9735</v>
      </c>
      <c r="H43" s="147" t="n">
        <f aca="false">VLOOKUP($A43,[1]!CurveTable,MATCH($H$4,[1]!CurveType,0))</f>
        <v>0.2</v>
      </c>
      <c r="I43" s="148" t="n">
        <f aca="false">H43+Inputs!$B$22</f>
        <v>0.2</v>
      </c>
      <c r="J43" s="150" t="n">
        <f aca="false">I43</f>
        <v>0.2</v>
      </c>
      <c r="K43" s="147" t="n">
        <f aca="false">VLOOKUP($A43,[1]!CurveTable,MATCH($K$4,[1]!CurveType,0))</f>
        <v>0</v>
      </c>
      <c r="L43" s="148" t="n">
        <v>0</v>
      </c>
      <c r="M43" s="151" t="n">
        <f aca="false">L43</f>
        <v>0</v>
      </c>
      <c r="N43" s="147" t="n">
        <f aca="false">VLOOKUP($A43,[1]!CurveTable,MATCH($N$4,[1]!CurveType,0))</f>
        <v>0.011</v>
      </c>
      <c r="O43" s="148" t="n">
        <f aca="false">N43+Inputs!$E$22</f>
        <v>0.011</v>
      </c>
      <c r="P43" s="151" t="n">
        <f aca="false">O43</f>
        <v>0.011</v>
      </c>
      <c r="Q43" s="147" t="n">
        <f aca="false">VLOOKUP($A43,[1]!CurveTable,MATCH($Q$4,[1]!CurveType,0))</f>
        <v>0.0075</v>
      </c>
      <c r="R43" s="148" t="n">
        <v>0</v>
      </c>
      <c r="S43" s="151" t="n">
        <f aca="false">R43</f>
        <v>0</v>
      </c>
      <c r="T43" s="152"/>
      <c r="U43" s="153" t="n">
        <f aca="false">G43+J43</f>
        <v>4.1735</v>
      </c>
      <c r="V43" s="154"/>
      <c r="W43" s="155" t="n">
        <f aca="false">VLOOKUP($A43,[1]!CurveTable,MATCH($W$4,[1]!CurveType,0))+$W$9</f>
        <v>0.2325</v>
      </c>
      <c r="X43" s="155" t="n">
        <f aca="false">VLOOKUP($A43,[1]!CurveTable,MATCH($X$4,[1]!CurveType,0))+$X$9</f>
        <v>0.2375</v>
      </c>
      <c r="Y43" s="139" t="n">
        <f aca="false">SQRT((X43^2*($A43-$C$3)+W43^2*(DAY(EOMONTH(A43,0))/2))/$AN43)</f>
        <v>0.2367343904085</v>
      </c>
      <c r="Z43" s="152"/>
      <c r="AA43" s="153" t="n">
        <f aca="false">G43+P43+S43</f>
        <v>3.9845</v>
      </c>
      <c r="AB43" s="154"/>
      <c r="AC43" s="155" t="n">
        <f aca="false">VLOOKUP($A43,[1]!CurveTable,MATCH($AC$4,[1]!CurveType,0))+$AC$9</f>
        <v>0.2325</v>
      </c>
      <c r="AD43" s="155" t="n">
        <f aca="false">VLOOKUP($A43,[1]!CurveTable,MATCH($AD$4,[1]!CurveType,0))+$AD$9</f>
        <v>0.2375</v>
      </c>
      <c r="AE43" s="139" t="n">
        <f aca="false">SQRT((AD43^2*($A43-$C$3)+AC43^2*(DAY(EOMONTH(A43,0))/2))/$AN43)</f>
        <v>0.2367343904085</v>
      </c>
      <c r="AF43" s="152"/>
      <c r="AG43" s="156" t="n">
        <f aca="false">((Inputs!$F$20*(X43*AD43)*(A43-$C$3))+(Inputs!$F$19*W43*AC43*(DAY(EOMONTH(A43,0))/2)))/(AN43*Y43*AE43)</f>
        <v>0.75</v>
      </c>
      <c r="AH43" s="152"/>
      <c r="AI43" s="140" t="n">
        <f aca="false">Inputs!$B$15</f>
        <v>0.06</v>
      </c>
      <c r="AJ43" s="157"/>
      <c r="AK43" s="140" t="n">
        <f aca="false">IF((U43-AA43-AI43)&lt;0,0,(U43-AA43-AI43))</f>
        <v>0.129</v>
      </c>
      <c r="AL43" s="157"/>
      <c r="AM43" s="158" t="n">
        <f aca="false">WORKDAY(EOMONTH(A43-1,-1),0)</f>
        <v>39113</v>
      </c>
      <c r="AN43" s="159" t="n">
        <f aca="false">AM43-$C$3</f>
        <v>-6813</v>
      </c>
      <c r="AO43" s="159" t="n">
        <f aca="false">AO42</f>
        <v>1</v>
      </c>
      <c r="AP43" s="160"/>
      <c r="AQ43" s="161" t="e">
        <f aca="false">SPRDOPT(U43,AA43,AI43,AX43,X43,AD43,AG43,AN43,AO43,0)</f>
        <v>#NAME?</v>
      </c>
      <c r="AR43" s="162" t="e">
        <f aca="false">AQ43*C43</f>
        <v>#NAME?</v>
      </c>
      <c r="AS43" s="163" t="e">
        <f aca="false">AQ43-AK43</f>
        <v>#NAME?</v>
      </c>
      <c r="AU43" s="112" t="n">
        <f aca="false">A44-A43</f>
        <v>31</v>
      </c>
      <c r="AV43" s="164" t="n">
        <f aca="false">CHOOSE(F$3,A44+24,A43+14)</f>
        <v>39156</v>
      </c>
      <c r="AW43" s="49" t="n">
        <f aca="false">AV43-C$3</f>
        <v>-6770</v>
      </c>
      <c r="AX43" s="155" t="n">
        <f aca="false">VLOOKUP($A43,[1]!CurveTable,MATCH(AX$4,[1]!CurveType,0))</f>
        <v>0.0472695759858537</v>
      </c>
      <c r="AY43" s="165" t="n">
        <f aca="false">1/(1+CHOOSE(F$3,(AX44+(Inputs!$B$14/10000))/2,(AX43+(Inputs!$B$14/10000))/2))^(2*AW43/365.25)</f>
        <v>2.37728683650893</v>
      </c>
      <c r="AZ43" s="49" t="n">
        <f aca="false">IF(AND(mthbeg&lt;=A43,mthend&gt;=A43),1,0)</f>
        <v>1</v>
      </c>
      <c r="BA43" s="111" t="n">
        <f aca="false">AU43*AZ43</f>
        <v>31</v>
      </c>
      <c r="BC43" s="142" t="n">
        <f aca="false">E43*$D43</f>
        <v>14438867.6267334</v>
      </c>
      <c r="BD43" s="142" t="n">
        <f aca="false">F43*$D43</f>
        <v>14641531.3295458</v>
      </c>
      <c r="BE43" s="142" t="n">
        <f aca="false">G43*$D43</f>
        <v>14641531.3295458</v>
      </c>
      <c r="BF43" s="142" t="n">
        <f aca="false">H43*$D43</f>
        <v>736958.919317768</v>
      </c>
      <c r="BG43" s="142" t="n">
        <f aca="false">I43*$D43</f>
        <v>736958.919317768</v>
      </c>
      <c r="BH43" s="142" t="n">
        <f aca="false">J43*$D43</f>
        <v>736958.919317768</v>
      </c>
      <c r="BI43" s="142" t="n">
        <f aca="false">K43*$D43</f>
        <v>0</v>
      </c>
      <c r="BJ43" s="142" t="n">
        <f aca="false">L43*$D43</f>
        <v>0</v>
      </c>
      <c r="BK43" s="142" t="n">
        <f aca="false">M43*$D43</f>
        <v>0</v>
      </c>
      <c r="BL43" s="142" t="n">
        <f aca="false">N43*$D43</f>
        <v>40532.7405624773</v>
      </c>
      <c r="BM43" s="142" t="n">
        <f aca="false">O43*$D43</f>
        <v>40532.7405624773</v>
      </c>
      <c r="BN43" s="142" t="n">
        <f aca="false">P43*$D43</f>
        <v>40532.7405624773</v>
      </c>
      <c r="BO43" s="142" t="n">
        <f aca="false">Q43*$D43</f>
        <v>27635.9594744163</v>
      </c>
      <c r="BP43" s="142" t="n">
        <f aca="false">R43*$D43</f>
        <v>0</v>
      </c>
      <c r="BQ43" s="142" t="n">
        <f aca="false">S43*$D43</f>
        <v>0</v>
      </c>
      <c r="BR43" s="142" t="n">
        <f aca="false">U43*$D43</f>
        <v>15378490.2488635</v>
      </c>
      <c r="BS43" s="142" t="n">
        <f aca="false">AA43*$D43</f>
        <v>14682064.0701082</v>
      </c>
      <c r="BT43" s="142" t="n">
        <f aca="false">AI43*$D43</f>
        <v>221087.675795331</v>
      </c>
      <c r="BU43" s="142" t="n">
        <f aca="false">AK43*D43</f>
        <v>475338.502959961</v>
      </c>
    </row>
    <row r="44" customFormat="false" ht="12.75" hidden="false" customHeight="false" outlineLevel="0" collapsed="false">
      <c r="A44" s="144" t="n">
        <f aca="false">EDATE(A43,1)</f>
        <v>39173</v>
      </c>
      <c r="B44" s="145" t="n">
        <f aca="false">Inputs!$B$8</f>
        <v>50000</v>
      </c>
      <c r="C44" s="146" t="n">
        <f aca="false">IF(AZ44=0,0,IF(AND(AZ44=1,$H$3=1),B44*AU44,IF($H$3=2,B44,"N/A")))</f>
        <v>1500000</v>
      </c>
      <c r="D44" s="146" t="n">
        <f aca="false">C44*AY44</f>
        <v>3564013.77250313</v>
      </c>
      <c r="E44" s="147" t="n">
        <f aca="false">VLOOKUP($A44,[1]!CurveTable,MATCH($E$4,[1]!CurveType,0))</f>
        <v>3.7645</v>
      </c>
      <c r="F44" s="148" t="n">
        <f aca="false">E44-Inputs!$B$16</f>
        <v>3.8195</v>
      </c>
      <c r="G44" s="149" t="n">
        <f aca="false">F44</f>
        <v>3.8195</v>
      </c>
      <c r="H44" s="147" t="n">
        <f aca="false">VLOOKUP($A44,[1]!CurveTable,MATCH($H$4,[1]!CurveType,0))</f>
        <v>0.6</v>
      </c>
      <c r="I44" s="148" t="n">
        <f aca="false">H44+Inputs!$B$22</f>
        <v>0.6</v>
      </c>
      <c r="J44" s="150" t="n">
        <f aca="false">I44</f>
        <v>0.6</v>
      </c>
      <c r="K44" s="147" t="n">
        <f aca="false">VLOOKUP($A44,[1]!CurveTable,MATCH($K$4,[1]!CurveType,0))</f>
        <v>0</v>
      </c>
      <c r="L44" s="148" t="n">
        <v>0</v>
      </c>
      <c r="M44" s="151" t="n">
        <f aca="false">L44</f>
        <v>0</v>
      </c>
      <c r="N44" s="147" t="n">
        <f aca="false">VLOOKUP($A44,[1]!CurveTable,MATCH($N$4,[1]!CurveType,0))</f>
        <v>0.011</v>
      </c>
      <c r="O44" s="148" t="n">
        <f aca="false">N44+Inputs!$E$22</f>
        <v>0.011</v>
      </c>
      <c r="P44" s="151" t="n">
        <f aca="false">O44</f>
        <v>0.011</v>
      </c>
      <c r="Q44" s="147" t="n">
        <f aca="false">VLOOKUP($A44,[1]!CurveTable,MATCH($Q$4,[1]!CurveType,0))</f>
        <v>0.01</v>
      </c>
      <c r="R44" s="148" t="n">
        <v>0</v>
      </c>
      <c r="S44" s="151" t="n">
        <f aca="false">R44</f>
        <v>0</v>
      </c>
      <c r="T44" s="152"/>
      <c r="U44" s="153" t="n">
        <f aca="false">G44+J44</f>
        <v>4.4195</v>
      </c>
      <c r="V44" s="154"/>
      <c r="W44" s="155" t="n">
        <f aca="false">VLOOKUP($A44,[1]!CurveTable,MATCH($W$4,[1]!CurveType,0))+$W$9</f>
        <v>0.2325</v>
      </c>
      <c r="X44" s="155" t="n">
        <f aca="false">VLOOKUP($A44,[1]!CurveTable,MATCH($X$4,[1]!CurveType,0))+$X$9</f>
        <v>0.2375</v>
      </c>
      <c r="Y44" s="139" t="n">
        <f aca="false">SQRT((X44^2*($A44-$C$3)+W44^2*(DAY(EOMONTH(A44,0))/2))/$AN44)</f>
        <v>0.236686959197977</v>
      </c>
      <c r="Z44" s="152"/>
      <c r="AA44" s="153" t="n">
        <f aca="false">G44+P44+S44</f>
        <v>3.8305</v>
      </c>
      <c r="AB44" s="154"/>
      <c r="AC44" s="155" t="n">
        <f aca="false">VLOOKUP($A44,[1]!CurveTable,MATCH($AC$4,[1]!CurveType,0))+$AC$9</f>
        <v>0.2325</v>
      </c>
      <c r="AD44" s="155" t="n">
        <f aca="false">VLOOKUP($A44,[1]!CurveTable,MATCH($AD$4,[1]!CurveType,0))+$AD$9</f>
        <v>0.2375</v>
      </c>
      <c r="AE44" s="139" t="n">
        <f aca="false">SQRT((AD44^2*($A44-$C$3)+AC44^2*(DAY(EOMONTH(A44,0))/2))/$AN44)</f>
        <v>0.236686959197977</v>
      </c>
      <c r="AF44" s="152"/>
      <c r="AG44" s="156" t="n">
        <f aca="false">((Inputs!$F$20*(X44*AD44)*(A44-$C$3))+(Inputs!$F$19*W44*AC44*(DAY(EOMONTH(A44,0))/2)))/(AN44*Y44*AE44)</f>
        <v>0.75</v>
      </c>
      <c r="AH44" s="152"/>
      <c r="AI44" s="140" t="n">
        <f aca="false">Inputs!$B$15</f>
        <v>0.06</v>
      </c>
      <c r="AJ44" s="157"/>
      <c r="AK44" s="140" t="n">
        <f aca="false">IF((U44-AA44-AI44)&lt;0,0,(U44-AA44-AI44))</f>
        <v>0.529</v>
      </c>
      <c r="AL44" s="157"/>
      <c r="AM44" s="158" t="n">
        <f aca="false">WORKDAY(EOMONTH(A44-1,-1),0)</f>
        <v>39141</v>
      </c>
      <c r="AN44" s="159" t="n">
        <f aca="false">AM44-$C$3</f>
        <v>-6785</v>
      </c>
      <c r="AO44" s="159" t="n">
        <f aca="false">AO43</f>
        <v>1</v>
      </c>
      <c r="AP44" s="160"/>
      <c r="AQ44" s="161" t="e">
        <f aca="false">SPRDOPT(U44,AA44,AI44,AX44,X44,AD44,AG44,AN44,AO44,0)</f>
        <v>#NAME?</v>
      </c>
      <c r="AR44" s="162" t="e">
        <f aca="false">AQ44*C44</f>
        <v>#NAME?</v>
      </c>
      <c r="AS44" s="163" t="e">
        <f aca="false">AQ44-AK44</f>
        <v>#NAME?</v>
      </c>
      <c r="AU44" s="112" t="n">
        <f aca="false">A45-A44</f>
        <v>30</v>
      </c>
      <c r="AV44" s="164" t="n">
        <f aca="false">CHOOSE(F$3,A45+24,A44+14)</f>
        <v>39187</v>
      </c>
      <c r="AW44" s="49" t="n">
        <f aca="false">AV44-C$3</f>
        <v>-6739</v>
      </c>
      <c r="AX44" s="155" t="n">
        <f aca="false">VLOOKUP($A44,[1]!CurveTable,MATCH(AX$4,[1]!CurveType,0))</f>
        <v>0.0474597531404117</v>
      </c>
      <c r="AY44" s="165" t="n">
        <f aca="false">1/(1+CHOOSE(F$3,(AX45+(Inputs!$B$14/10000))/2,(AX44+(Inputs!$B$14/10000))/2))^(2*AW44/365.25)</f>
        <v>2.37600918166875</v>
      </c>
      <c r="AZ44" s="49" t="n">
        <f aca="false">IF(AND(mthbeg&lt;=A44,mthend&gt;=A44),1,0)</f>
        <v>1</v>
      </c>
      <c r="BA44" s="111" t="n">
        <f aca="false">AU44*AZ44</f>
        <v>30</v>
      </c>
      <c r="BC44" s="142" t="n">
        <f aca="false">E44*$D44</f>
        <v>13416729.846588</v>
      </c>
      <c r="BD44" s="142" t="n">
        <f aca="false">F44*$D44</f>
        <v>13612750.6040757</v>
      </c>
      <c r="BE44" s="142" t="n">
        <f aca="false">G44*$D44</f>
        <v>13612750.6040757</v>
      </c>
      <c r="BF44" s="142" t="n">
        <f aca="false">H44*$D44</f>
        <v>2138408.26350188</v>
      </c>
      <c r="BG44" s="142" t="n">
        <f aca="false">I44*$D44</f>
        <v>2138408.26350188</v>
      </c>
      <c r="BH44" s="142" t="n">
        <f aca="false">J44*$D44</f>
        <v>2138408.26350188</v>
      </c>
      <c r="BI44" s="142" t="n">
        <f aca="false">K44*$D44</f>
        <v>0</v>
      </c>
      <c r="BJ44" s="142" t="n">
        <f aca="false">L44*$D44</f>
        <v>0</v>
      </c>
      <c r="BK44" s="142" t="n">
        <f aca="false">M44*$D44</f>
        <v>0</v>
      </c>
      <c r="BL44" s="142" t="n">
        <f aca="false">N44*$D44</f>
        <v>39204.1514975344</v>
      </c>
      <c r="BM44" s="142" t="n">
        <f aca="false">O44*$D44</f>
        <v>39204.1514975344</v>
      </c>
      <c r="BN44" s="142" t="n">
        <f aca="false">P44*$D44</f>
        <v>39204.1514975344</v>
      </c>
      <c r="BO44" s="142" t="n">
        <f aca="false">Q44*$D44</f>
        <v>35640.1377250313</v>
      </c>
      <c r="BP44" s="142" t="n">
        <f aca="false">R44*$D44</f>
        <v>0</v>
      </c>
      <c r="BQ44" s="142" t="n">
        <f aca="false">S44*$D44</f>
        <v>0</v>
      </c>
      <c r="BR44" s="142" t="n">
        <f aca="false">U44*$D44</f>
        <v>15751158.8675776</v>
      </c>
      <c r="BS44" s="142" t="n">
        <f aca="false">AA44*$D44</f>
        <v>13651954.7555732</v>
      </c>
      <c r="BT44" s="142" t="n">
        <f aca="false">AI44*$D44</f>
        <v>213840.826350188</v>
      </c>
      <c r="BU44" s="142" t="n">
        <f aca="false">AK44*D44</f>
        <v>1885363.28565415</v>
      </c>
    </row>
    <row r="45" customFormat="false" ht="12.75" hidden="false" customHeight="false" outlineLevel="0" collapsed="false">
      <c r="A45" s="144" t="n">
        <f aca="false">EDATE(A44,1)</f>
        <v>39203</v>
      </c>
      <c r="B45" s="145" t="n">
        <f aca="false">Inputs!$B$8</f>
        <v>50000</v>
      </c>
      <c r="C45" s="146" t="n">
        <f aca="false">IF(AZ45=0,0,IF(AND(AZ45=1,$H$3=1),B45*AU45,IF($H$3=2,B45,"N/A")))</f>
        <v>1550000</v>
      </c>
      <c r="D45" s="146" t="n">
        <f aca="false">C45*AY45</f>
        <v>3680787.13302069</v>
      </c>
      <c r="E45" s="147" t="n">
        <f aca="false">VLOOKUP($A45,[1]!CurveTable,MATCH($E$4,[1]!CurveType,0))</f>
        <v>3.7695</v>
      </c>
      <c r="F45" s="148" t="n">
        <f aca="false">E45-Inputs!$B$16</f>
        <v>3.8245</v>
      </c>
      <c r="G45" s="149" t="n">
        <f aca="false">F45</f>
        <v>3.8245</v>
      </c>
      <c r="H45" s="147" t="n">
        <f aca="false">VLOOKUP($A45,[1]!CurveTable,MATCH($H$4,[1]!CurveType,0))</f>
        <v>0.75</v>
      </c>
      <c r="I45" s="148" t="n">
        <f aca="false">H45+Inputs!$B$22</f>
        <v>0.75</v>
      </c>
      <c r="J45" s="150" t="n">
        <f aca="false">I45</f>
        <v>0.75</v>
      </c>
      <c r="K45" s="147" t="n">
        <f aca="false">VLOOKUP($A45,[1]!CurveTable,MATCH($K$4,[1]!CurveType,0))</f>
        <v>0</v>
      </c>
      <c r="L45" s="148" t="n">
        <v>0</v>
      </c>
      <c r="M45" s="151" t="n">
        <f aca="false">L45</f>
        <v>0</v>
      </c>
      <c r="N45" s="147" t="n">
        <f aca="false">VLOOKUP($A45,[1]!CurveTable,MATCH($N$4,[1]!CurveType,0))</f>
        <v>0.0135</v>
      </c>
      <c r="O45" s="148" t="n">
        <f aca="false">N45+Inputs!$E$22</f>
        <v>0.0135</v>
      </c>
      <c r="P45" s="151" t="n">
        <f aca="false">O45</f>
        <v>0.0135</v>
      </c>
      <c r="Q45" s="147" t="n">
        <f aca="false">VLOOKUP($A45,[1]!CurveTable,MATCH($Q$4,[1]!CurveType,0))</f>
        <v>0.01</v>
      </c>
      <c r="R45" s="148" t="n">
        <v>0</v>
      </c>
      <c r="S45" s="151" t="n">
        <f aca="false">R45</f>
        <v>0</v>
      </c>
      <c r="T45" s="152"/>
      <c r="U45" s="153" t="n">
        <f aca="false">G45+J45</f>
        <v>4.5745</v>
      </c>
      <c r="V45" s="154"/>
      <c r="W45" s="155" t="n">
        <f aca="false">VLOOKUP($A45,[1]!CurveTable,MATCH($W$4,[1]!CurveType,0))+$W$9</f>
        <v>0.465</v>
      </c>
      <c r="X45" s="155" t="n">
        <f aca="false">VLOOKUP($A45,[1]!CurveTable,MATCH($X$4,[1]!CurveType,0))+$X$9</f>
        <v>0.47</v>
      </c>
      <c r="Y45" s="139" t="n">
        <f aca="false">SQRT((X45^2*($A45-$C$3)+W45^2*(DAY(EOMONTH(A45,0))/2))/$AN45)</f>
        <v>0.468390728472291</v>
      </c>
      <c r="Z45" s="152"/>
      <c r="AA45" s="153" t="n">
        <f aca="false">G45+P45+S45</f>
        <v>3.838</v>
      </c>
      <c r="AB45" s="154"/>
      <c r="AC45" s="155" t="n">
        <f aca="false">VLOOKUP($A45,[1]!CurveTable,MATCH($AC$4,[1]!CurveType,0))+$AC$9</f>
        <v>0.2325</v>
      </c>
      <c r="AD45" s="155" t="n">
        <f aca="false">VLOOKUP($A45,[1]!CurveTable,MATCH($AD$4,[1]!CurveType,0))+$AD$9</f>
        <v>0.2375</v>
      </c>
      <c r="AE45" s="139" t="n">
        <f aca="false">SQRT((AD45^2*($A45-$C$3)+AC45^2*(DAY(EOMONTH(A45,0))/2))/$AN45)</f>
        <v>0.236692409769751</v>
      </c>
      <c r="AF45" s="152"/>
      <c r="AG45" s="156" t="n">
        <f aca="false">((Inputs!$F$20*(X45*AD45)*(A45-$C$3))+(Inputs!$F$19*W45*AC45*(DAY(EOMONTH(A45,0))/2)))/(AN45*Y45*AE45)</f>
        <v>0.750000094189961</v>
      </c>
      <c r="AH45" s="152"/>
      <c r="AI45" s="140" t="n">
        <f aca="false">Inputs!$B$15</f>
        <v>0.06</v>
      </c>
      <c r="AJ45" s="157"/>
      <c r="AK45" s="140" t="n">
        <f aca="false">IF((U45-AA45-AI45)&lt;0,0,(U45-AA45-AI45))</f>
        <v>0.6765</v>
      </c>
      <c r="AL45" s="157"/>
      <c r="AM45" s="158" t="n">
        <f aca="false">WORKDAY(EOMONTH(A45-1,-1),0)</f>
        <v>39172</v>
      </c>
      <c r="AN45" s="159" t="n">
        <f aca="false">AM45-$C$3</f>
        <v>-6754</v>
      </c>
      <c r="AO45" s="159" t="n">
        <f aca="false">AO44</f>
        <v>1</v>
      </c>
      <c r="AP45" s="160"/>
      <c r="AQ45" s="161" t="e">
        <f aca="false">SPRDOPT(U45,AA45,AI45,AX45,X45,AD45,AG45,AN45,AO45,0)</f>
        <v>#NAME?</v>
      </c>
      <c r="AR45" s="162" t="e">
        <f aca="false">AQ45*C45</f>
        <v>#NAME?</v>
      </c>
      <c r="AS45" s="163" t="e">
        <f aca="false">AQ45-AK45</f>
        <v>#NAME?</v>
      </c>
      <c r="AU45" s="112" t="n">
        <f aca="false">A46-A45</f>
        <v>31</v>
      </c>
      <c r="AV45" s="164" t="n">
        <f aca="false">CHOOSE(F$3,A46+24,A45+14)</f>
        <v>39217</v>
      </c>
      <c r="AW45" s="49" t="n">
        <f aca="false">AV45-C$3</f>
        <v>-6709</v>
      </c>
      <c r="AX45" s="155" t="n">
        <f aca="false">VLOOKUP($A45,[1]!CurveTable,MATCH(AX$4,[1]!CurveType,0))</f>
        <v>0.0476437955595603</v>
      </c>
      <c r="AY45" s="165" t="n">
        <f aca="false">1/(1+CHOOSE(F$3,(AX46+(Inputs!$B$14/10000))/2,(AX45+(Inputs!$B$14/10000))/2))^(2*AW45/365.25)</f>
        <v>2.37470137614238</v>
      </c>
      <c r="AZ45" s="49" t="n">
        <f aca="false">IF(AND(mthbeg&lt;=A45,mthend&gt;=A45),1,0)</f>
        <v>1</v>
      </c>
      <c r="BA45" s="111" t="n">
        <f aca="false">AU45*AZ45</f>
        <v>31</v>
      </c>
      <c r="BC45" s="142" t="n">
        <f aca="false">E45*$D45</f>
        <v>13874727.0979215</v>
      </c>
      <c r="BD45" s="142" t="n">
        <f aca="false">F45*$D45</f>
        <v>14077170.3902376</v>
      </c>
      <c r="BE45" s="142" t="n">
        <f aca="false">G45*$D45</f>
        <v>14077170.3902376</v>
      </c>
      <c r="BF45" s="142" t="n">
        <f aca="false">H45*$D45</f>
        <v>2760590.34976551</v>
      </c>
      <c r="BG45" s="142" t="n">
        <f aca="false">I45*$D45</f>
        <v>2760590.34976551</v>
      </c>
      <c r="BH45" s="142" t="n">
        <f aca="false">J45*$D45</f>
        <v>2760590.34976551</v>
      </c>
      <c r="BI45" s="142" t="n">
        <f aca="false">K45*$D45</f>
        <v>0</v>
      </c>
      <c r="BJ45" s="142" t="n">
        <f aca="false">L45*$D45</f>
        <v>0</v>
      </c>
      <c r="BK45" s="142" t="n">
        <f aca="false">M45*$D45</f>
        <v>0</v>
      </c>
      <c r="BL45" s="142" t="n">
        <f aca="false">N45*$D45</f>
        <v>49690.6262957793</v>
      </c>
      <c r="BM45" s="142" t="n">
        <f aca="false">O45*$D45</f>
        <v>49690.6262957793</v>
      </c>
      <c r="BN45" s="142" t="n">
        <f aca="false">P45*$D45</f>
        <v>49690.6262957793</v>
      </c>
      <c r="BO45" s="142" t="n">
        <f aca="false">Q45*$D45</f>
        <v>36807.8713302069</v>
      </c>
      <c r="BP45" s="142" t="n">
        <f aca="false">R45*$D45</f>
        <v>0</v>
      </c>
      <c r="BQ45" s="142" t="n">
        <f aca="false">S45*$D45</f>
        <v>0</v>
      </c>
      <c r="BR45" s="142" t="n">
        <f aca="false">U45*$D45</f>
        <v>16837760.7400031</v>
      </c>
      <c r="BS45" s="142" t="n">
        <f aca="false">AA45*$D45</f>
        <v>14126861.0165334</v>
      </c>
      <c r="BT45" s="142" t="n">
        <f aca="false">AI45*$D45</f>
        <v>220847.227981241</v>
      </c>
      <c r="BU45" s="142" t="n">
        <f aca="false">AK45*D45</f>
        <v>2490052.49548849</v>
      </c>
    </row>
    <row r="46" customFormat="false" ht="12.75" hidden="false" customHeight="false" outlineLevel="0" collapsed="false">
      <c r="A46" s="144" t="n">
        <f aca="false">EDATE(A45,1)</f>
        <v>39234</v>
      </c>
      <c r="B46" s="145" t="n">
        <f aca="false">Inputs!$B$8</f>
        <v>50000</v>
      </c>
      <c r="C46" s="146" t="n">
        <f aca="false">IF(AZ46=0,0,IF(AND(AZ46=1,$H$3=1),B46*AU46,IF($H$3=2,B46,"N/A")))</f>
        <v>1500000</v>
      </c>
      <c r="D46" s="146" t="n">
        <f aca="false">C46*AY46</f>
        <v>3559914.55264274</v>
      </c>
      <c r="E46" s="147" t="n">
        <f aca="false">VLOOKUP($A46,[1]!CurveTable,MATCH($E$4,[1]!CurveType,0))</f>
        <v>3.8075</v>
      </c>
      <c r="F46" s="148" t="n">
        <f aca="false">E46-Inputs!$B$16</f>
        <v>3.8625</v>
      </c>
      <c r="G46" s="149" t="n">
        <f aca="false">F46</f>
        <v>3.8625</v>
      </c>
      <c r="H46" s="147" t="n">
        <f aca="false">VLOOKUP($A46,[1]!CurveTable,MATCH($H$4,[1]!CurveType,0))</f>
        <v>0.85</v>
      </c>
      <c r="I46" s="148" t="n">
        <f aca="false">H46+Inputs!$B$22</f>
        <v>0.85</v>
      </c>
      <c r="J46" s="150" t="n">
        <f aca="false">I46</f>
        <v>0.85</v>
      </c>
      <c r="K46" s="147" t="n">
        <f aca="false">VLOOKUP($A46,[1]!CurveTable,MATCH($K$4,[1]!CurveType,0))</f>
        <v>0</v>
      </c>
      <c r="L46" s="148" t="n">
        <v>0</v>
      </c>
      <c r="M46" s="151" t="n">
        <f aca="false">L46</f>
        <v>0</v>
      </c>
      <c r="N46" s="147" t="n">
        <f aca="false">VLOOKUP($A46,[1]!CurveTable,MATCH($N$4,[1]!CurveType,0))</f>
        <v>0.011</v>
      </c>
      <c r="O46" s="148" t="n">
        <f aca="false">N46+Inputs!$E$22</f>
        <v>0.011</v>
      </c>
      <c r="P46" s="151" t="n">
        <f aca="false">O46</f>
        <v>0.011</v>
      </c>
      <c r="Q46" s="147" t="n">
        <f aca="false">VLOOKUP($A46,[1]!CurveTable,MATCH($Q$4,[1]!CurveType,0))</f>
        <v>0.01</v>
      </c>
      <c r="R46" s="148" t="n">
        <v>0</v>
      </c>
      <c r="S46" s="151" t="n">
        <f aca="false">R46</f>
        <v>0</v>
      </c>
      <c r="T46" s="152"/>
      <c r="U46" s="153" t="n">
        <f aca="false">G46+J46</f>
        <v>4.7125</v>
      </c>
      <c r="V46" s="154"/>
      <c r="W46" s="155" t="n">
        <f aca="false">VLOOKUP($A46,[1]!CurveTable,MATCH($W$4,[1]!CurveType,0))+$W$9</f>
        <v>0.465</v>
      </c>
      <c r="X46" s="155" t="n">
        <f aca="false">VLOOKUP($A46,[1]!CurveTable,MATCH($X$4,[1]!CurveType,0))+$X$9</f>
        <v>0.47</v>
      </c>
      <c r="Y46" s="139" t="n">
        <f aca="false">SQRT((X46^2*($A46-$C$3)+W46^2*(DAY(EOMONTH(A46,0))/2))/$AN46)</f>
        <v>0.468365629639878</v>
      </c>
      <c r="Z46" s="152"/>
      <c r="AA46" s="153" t="n">
        <f aca="false">G46+P46+S46</f>
        <v>3.8735</v>
      </c>
      <c r="AB46" s="154"/>
      <c r="AC46" s="155" t="n">
        <f aca="false">VLOOKUP($A46,[1]!CurveTable,MATCH($AC$4,[1]!CurveType,0))+$AC$9</f>
        <v>0.2325</v>
      </c>
      <c r="AD46" s="155" t="n">
        <f aca="false">VLOOKUP($A46,[1]!CurveTable,MATCH($AD$4,[1]!CurveType,0))+$AD$9</f>
        <v>0.2375</v>
      </c>
      <c r="AE46" s="139" t="n">
        <f aca="false">SQRT((AD46^2*($A46-$C$3)+AC46^2*(DAY(EOMONTH(A46,0))/2))/$AN46)</f>
        <v>0.236679570523551</v>
      </c>
      <c r="AF46" s="152"/>
      <c r="AG46" s="156" t="n">
        <f aca="false">((Inputs!$F$20*(X46*AD46)*(A46-$C$3))+(Inputs!$F$19*W46*AC46*(DAY(EOMONTH(A46,0))/2)))/(AN46*Y46*AE46)</f>
        <v>0.750000091562442</v>
      </c>
      <c r="AH46" s="152"/>
      <c r="AI46" s="140" t="n">
        <f aca="false">Inputs!$B$15</f>
        <v>0.06</v>
      </c>
      <c r="AJ46" s="157"/>
      <c r="AK46" s="140" t="n">
        <f aca="false">IF((U46-AA46-AI46)&lt;0,0,(U46-AA46-AI46))</f>
        <v>0.779</v>
      </c>
      <c r="AL46" s="157"/>
      <c r="AM46" s="158" t="n">
        <f aca="false">WORKDAY(EOMONTH(A46-1,-1),0)</f>
        <v>39202</v>
      </c>
      <c r="AN46" s="159" t="n">
        <f aca="false">AM46-$C$3</f>
        <v>-6724</v>
      </c>
      <c r="AO46" s="159" t="n">
        <f aca="false">AO45</f>
        <v>1</v>
      </c>
      <c r="AP46" s="160"/>
      <c r="AQ46" s="161" t="e">
        <f aca="false">SPRDOPT(U46,AA46,AI46,AX46,X46,AD46,AG46,AN46,AO46,0)</f>
        <v>#NAME?</v>
      </c>
      <c r="AR46" s="162" t="e">
        <f aca="false">AQ46*C46</f>
        <v>#NAME?</v>
      </c>
      <c r="AS46" s="163" t="e">
        <f aca="false">AQ46-AK46</f>
        <v>#NAME?</v>
      </c>
      <c r="AU46" s="112" t="n">
        <f aca="false">A47-A46</f>
        <v>30</v>
      </c>
      <c r="AV46" s="164" t="n">
        <f aca="false">CHOOSE(F$3,A47+24,A46+14)</f>
        <v>39248</v>
      </c>
      <c r="AW46" s="49" t="n">
        <f aca="false">AV46-C$3</f>
        <v>-6678</v>
      </c>
      <c r="AX46" s="155" t="n">
        <f aca="false">VLOOKUP($A46,[1]!CurveTable,MATCH(AX$4,[1]!CurveType,0))</f>
        <v>0.0478339727379082</v>
      </c>
      <c r="AY46" s="165" t="n">
        <f aca="false">1/(1+CHOOSE(F$3,(AX47+(Inputs!$B$14/10000))/2,(AX46+(Inputs!$B$14/10000))/2))^(2*AW46/365.25)</f>
        <v>2.3732763684285</v>
      </c>
      <c r="AZ46" s="49" t="n">
        <f aca="false">IF(AND(mthbeg&lt;=A46,mthend&gt;=A46),1,0)</f>
        <v>1</v>
      </c>
      <c r="BA46" s="111" t="n">
        <f aca="false">AU46*AZ46</f>
        <v>30</v>
      </c>
      <c r="BC46" s="142" t="n">
        <f aca="false">E46*$D46</f>
        <v>13554374.6591872</v>
      </c>
      <c r="BD46" s="142" t="n">
        <f aca="false">F46*$D46</f>
        <v>13750169.9595826</v>
      </c>
      <c r="BE46" s="142" t="n">
        <f aca="false">G46*$D46</f>
        <v>13750169.9595826</v>
      </c>
      <c r="BF46" s="142" t="n">
        <f aca="false">H46*$D46</f>
        <v>3025927.36974633</v>
      </c>
      <c r="BG46" s="142" t="n">
        <f aca="false">I46*$D46</f>
        <v>3025927.36974633</v>
      </c>
      <c r="BH46" s="142" t="n">
        <f aca="false">J46*$D46</f>
        <v>3025927.36974633</v>
      </c>
      <c r="BI46" s="142" t="n">
        <f aca="false">K46*$D46</f>
        <v>0</v>
      </c>
      <c r="BJ46" s="142" t="n">
        <f aca="false">L46*$D46</f>
        <v>0</v>
      </c>
      <c r="BK46" s="142" t="n">
        <f aca="false">M46*$D46</f>
        <v>0</v>
      </c>
      <c r="BL46" s="142" t="n">
        <f aca="false">N46*$D46</f>
        <v>39159.0600790702</v>
      </c>
      <c r="BM46" s="142" t="n">
        <f aca="false">O46*$D46</f>
        <v>39159.0600790702</v>
      </c>
      <c r="BN46" s="142" t="n">
        <f aca="false">P46*$D46</f>
        <v>39159.0600790702</v>
      </c>
      <c r="BO46" s="142" t="n">
        <f aca="false">Q46*$D46</f>
        <v>35599.1455264274</v>
      </c>
      <c r="BP46" s="142" t="n">
        <f aca="false">R46*$D46</f>
        <v>0</v>
      </c>
      <c r="BQ46" s="142" t="n">
        <f aca="false">S46*$D46</f>
        <v>0</v>
      </c>
      <c r="BR46" s="142" t="n">
        <f aca="false">U46*$D46</f>
        <v>16776097.3293289</v>
      </c>
      <c r="BS46" s="142" t="n">
        <f aca="false">AA46*$D46</f>
        <v>13789329.0196617</v>
      </c>
      <c r="BT46" s="142" t="n">
        <f aca="false">AI46*$D46</f>
        <v>213594.873158565</v>
      </c>
      <c r="BU46" s="142" t="n">
        <f aca="false">AK46*D46</f>
        <v>2773173.4365087</v>
      </c>
    </row>
    <row r="47" customFormat="false" ht="12.75" hidden="false" customHeight="false" outlineLevel="0" collapsed="false">
      <c r="A47" s="144" t="n">
        <f aca="false">EDATE(A46,1)</f>
        <v>39264</v>
      </c>
      <c r="B47" s="145" t="n">
        <f aca="false">Inputs!$B$8</f>
        <v>50000</v>
      </c>
      <c r="C47" s="146" t="n">
        <f aca="false">IF(AZ47=0,0,IF(AND(AZ47=1,$H$3=1),B47*AU47,IF($H$3=2,B47,"N/A")))</f>
        <v>1550000</v>
      </c>
      <c r="D47" s="146" t="n">
        <f aca="false">C47*AY47</f>
        <v>3676330.65758646</v>
      </c>
      <c r="E47" s="147" t="n">
        <f aca="false">VLOOKUP($A47,[1]!CurveTable,MATCH($E$4,[1]!CurveType,0))</f>
        <v>3.8525</v>
      </c>
      <c r="F47" s="148" t="n">
        <f aca="false">E47-Inputs!$B$16</f>
        <v>3.9075</v>
      </c>
      <c r="G47" s="149" t="n">
        <f aca="false">F47</f>
        <v>3.9075</v>
      </c>
      <c r="H47" s="147" t="n">
        <f aca="false">VLOOKUP($A47,[1]!CurveTable,MATCH($H$4,[1]!CurveType,0))</f>
        <v>1.05</v>
      </c>
      <c r="I47" s="148" t="n">
        <f aca="false">H47+Inputs!$B$22</f>
        <v>1.05</v>
      </c>
      <c r="J47" s="150" t="n">
        <f aca="false">I47</f>
        <v>1.05</v>
      </c>
      <c r="K47" s="147" t="n">
        <f aca="false">VLOOKUP($A47,[1]!CurveTable,MATCH($K$4,[1]!CurveType,0))</f>
        <v>0</v>
      </c>
      <c r="L47" s="148" t="n">
        <v>0</v>
      </c>
      <c r="M47" s="151" t="n">
        <f aca="false">L47</f>
        <v>0</v>
      </c>
      <c r="N47" s="147" t="n">
        <f aca="false">VLOOKUP($A47,[1]!CurveTable,MATCH($N$4,[1]!CurveType,0))</f>
        <v>0.0085</v>
      </c>
      <c r="O47" s="148" t="n">
        <f aca="false">N47+Inputs!$E$22</f>
        <v>0.0085</v>
      </c>
      <c r="P47" s="151" t="n">
        <f aca="false">O47</f>
        <v>0.0085</v>
      </c>
      <c r="Q47" s="147" t="n">
        <f aca="false">VLOOKUP($A47,[1]!CurveTable,MATCH($Q$4,[1]!CurveType,0))</f>
        <v>0.01</v>
      </c>
      <c r="R47" s="148" t="n">
        <v>0</v>
      </c>
      <c r="S47" s="151" t="n">
        <f aca="false">R47</f>
        <v>0</v>
      </c>
      <c r="T47" s="152"/>
      <c r="U47" s="153" t="n">
        <f aca="false">G47+J47</f>
        <v>4.9575</v>
      </c>
      <c r="V47" s="154"/>
      <c r="W47" s="155" t="n">
        <f aca="false">VLOOKUP($A47,[1]!CurveTable,MATCH($W$4,[1]!CurveType,0))+$W$9</f>
        <v>0.465</v>
      </c>
      <c r="X47" s="155" t="n">
        <f aca="false">VLOOKUP($A47,[1]!CurveTable,MATCH($X$4,[1]!CurveType,0))+$X$9</f>
        <v>0.47</v>
      </c>
      <c r="Y47" s="139" t="n">
        <f aca="false">SQRT((X47^2*($A47-$C$3)+W47^2*(DAY(EOMONTH(A47,0))/2))/$AN47)</f>
        <v>0.468376036145765</v>
      </c>
      <c r="Z47" s="152"/>
      <c r="AA47" s="153" t="n">
        <f aca="false">G47+P47+S47</f>
        <v>3.916</v>
      </c>
      <c r="AB47" s="154"/>
      <c r="AC47" s="155" t="n">
        <f aca="false">VLOOKUP($A47,[1]!CurveTable,MATCH($AC$4,[1]!CurveType,0))+$AC$9</f>
        <v>0.2325</v>
      </c>
      <c r="AD47" s="155" t="n">
        <f aca="false">VLOOKUP($A47,[1]!CurveTable,MATCH($AD$4,[1]!CurveType,0))+$AD$9</f>
        <v>0.2375</v>
      </c>
      <c r="AE47" s="139" t="n">
        <f aca="false">SQRT((AD47^2*($A47-$C$3)+AC47^2*(DAY(EOMONTH(A47,0))/2))/$AN47)</f>
        <v>0.236685036721061</v>
      </c>
      <c r="AF47" s="152"/>
      <c r="AG47" s="156" t="n">
        <f aca="false">((Inputs!$F$20*(X47*AD47)*(A47-$C$3))+(Inputs!$F$19*W47*AC47*(DAY(EOMONTH(A47,0))/2)))/(AN47*Y47*AE47)</f>
        <v>0.750000095056299</v>
      </c>
      <c r="AH47" s="152"/>
      <c r="AI47" s="140" t="n">
        <f aca="false">Inputs!$B$15</f>
        <v>0.06</v>
      </c>
      <c r="AJ47" s="157"/>
      <c r="AK47" s="140" t="n">
        <f aca="false">IF((U47-AA47-AI47)&lt;0,0,(U47-AA47-AI47))</f>
        <v>0.9815</v>
      </c>
      <c r="AL47" s="157"/>
      <c r="AM47" s="158" t="n">
        <f aca="false">WORKDAY(EOMONTH(A47-1,-1),0)</f>
        <v>39233</v>
      </c>
      <c r="AN47" s="159" t="n">
        <f aca="false">AM47-$C$3</f>
        <v>-6693</v>
      </c>
      <c r="AO47" s="159" t="n">
        <f aca="false">AO46</f>
        <v>1</v>
      </c>
      <c r="AP47" s="160"/>
      <c r="AQ47" s="161" t="e">
        <f aca="false">SPRDOPT(U47,AA47,AI47,AX47,X47,AD47,AG47,AN47,AO47,0)</f>
        <v>#NAME?</v>
      </c>
      <c r="AR47" s="162" t="e">
        <f aca="false">AQ47*C47</f>
        <v>#NAME?</v>
      </c>
      <c r="AS47" s="163" t="e">
        <f aca="false">AQ47-AK47</f>
        <v>#NAME?</v>
      </c>
      <c r="AU47" s="112" t="n">
        <f aca="false">A48-A47</f>
        <v>31</v>
      </c>
      <c r="AV47" s="164" t="n">
        <f aca="false">CHOOSE(F$3,A48+24,A47+14)</f>
        <v>39278</v>
      </c>
      <c r="AW47" s="49" t="n">
        <f aca="false">AV47-C$3</f>
        <v>-6648</v>
      </c>
      <c r="AX47" s="155" t="n">
        <f aca="false">VLOOKUP($A47,[1]!CurveTable,MATCH(AX$4,[1]!CurveType,0))</f>
        <v>0.048018015180078</v>
      </c>
      <c r="AY47" s="165" t="n">
        <f aca="false">1/(1+CHOOSE(F$3,(AX48+(Inputs!$B$14/10000))/2,(AX47+(Inputs!$B$14/10000))/2))^(2*AW47/365.25)</f>
        <v>2.37182623070094</v>
      </c>
      <c r="AZ47" s="49" t="n">
        <f aca="false">IF(AND(mthbeg&lt;=A47,mthend&gt;=A47),1,0)</f>
        <v>1</v>
      </c>
      <c r="BA47" s="111" t="n">
        <f aca="false">AU47*AZ47</f>
        <v>31</v>
      </c>
      <c r="BC47" s="142" t="n">
        <f aca="false">E47*$D47</f>
        <v>14163063.8583518</v>
      </c>
      <c r="BD47" s="142" t="n">
        <f aca="false">F47*$D47</f>
        <v>14365262.0445191</v>
      </c>
      <c r="BE47" s="142" t="n">
        <f aca="false">G47*$D47</f>
        <v>14365262.0445191</v>
      </c>
      <c r="BF47" s="142" t="n">
        <f aca="false">H47*$D47</f>
        <v>3860147.19046578</v>
      </c>
      <c r="BG47" s="142" t="n">
        <f aca="false">I47*$D47</f>
        <v>3860147.19046578</v>
      </c>
      <c r="BH47" s="142" t="n">
        <f aca="false">J47*$D47</f>
        <v>3860147.19046578</v>
      </c>
      <c r="BI47" s="142" t="n">
        <f aca="false">K47*$D47</f>
        <v>0</v>
      </c>
      <c r="BJ47" s="142" t="n">
        <f aca="false">L47*$D47</f>
        <v>0</v>
      </c>
      <c r="BK47" s="142" t="n">
        <f aca="false">M47*$D47</f>
        <v>0</v>
      </c>
      <c r="BL47" s="142" t="n">
        <f aca="false">N47*$D47</f>
        <v>31248.8105894849</v>
      </c>
      <c r="BM47" s="142" t="n">
        <f aca="false">O47*$D47</f>
        <v>31248.8105894849</v>
      </c>
      <c r="BN47" s="142" t="n">
        <f aca="false">P47*$D47</f>
        <v>31248.8105894849</v>
      </c>
      <c r="BO47" s="142" t="n">
        <f aca="false">Q47*$D47</f>
        <v>36763.3065758646</v>
      </c>
      <c r="BP47" s="142" t="n">
        <f aca="false">R47*$D47</f>
        <v>0</v>
      </c>
      <c r="BQ47" s="142" t="n">
        <f aca="false">S47*$D47</f>
        <v>0</v>
      </c>
      <c r="BR47" s="142" t="n">
        <f aca="false">U47*$D47</f>
        <v>18225409.2349849</v>
      </c>
      <c r="BS47" s="142" t="n">
        <f aca="false">AA47*$D47</f>
        <v>14396510.8551086</v>
      </c>
      <c r="BT47" s="142" t="n">
        <f aca="false">AI47*$D47</f>
        <v>220579.839455187</v>
      </c>
      <c r="BU47" s="142" t="n">
        <f aca="false">AK47*D47</f>
        <v>3608318.54042111</v>
      </c>
    </row>
    <row r="48" customFormat="false" ht="12.75" hidden="false" customHeight="false" outlineLevel="0" collapsed="false">
      <c r="A48" s="144" t="n">
        <f aca="false">EDATE(A47,1)</f>
        <v>39295</v>
      </c>
      <c r="B48" s="145" t="n">
        <f aca="false">Inputs!$B$8</f>
        <v>50000</v>
      </c>
      <c r="C48" s="146" t="n">
        <f aca="false">IF(AZ48=0,0,IF(AND(AZ48=1,$H$3=1),B48*AU48,IF($H$3=2,B48,"N/A")))</f>
        <v>1550000</v>
      </c>
      <c r="D48" s="146" t="n">
        <f aca="false">C48*AY48</f>
        <v>3673894.37597191</v>
      </c>
      <c r="E48" s="147" t="n">
        <f aca="false">VLOOKUP($A48,[1]!CurveTable,MATCH($E$4,[1]!CurveType,0))</f>
        <v>3.8905</v>
      </c>
      <c r="F48" s="148" t="n">
        <f aca="false">E48-Inputs!$B$16</f>
        <v>3.9455</v>
      </c>
      <c r="G48" s="149" t="n">
        <f aca="false">F48</f>
        <v>3.9455</v>
      </c>
      <c r="H48" s="147" t="n">
        <f aca="false">VLOOKUP($A48,[1]!CurveTable,MATCH($H$4,[1]!CurveType,0))</f>
        <v>1.05</v>
      </c>
      <c r="I48" s="148" t="n">
        <f aca="false">H48+Inputs!$B$22</f>
        <v>1.05</v>
      </c>
      <c r="J48" s="150" t="n">
        <f aca="false">I48</f>
        <v>1.05</v>
      </c>
      <c r="K48" s="147" t="n">
        <f aca="false">VLOOKUP($A48,[1]!CurveTable,MATCH($K$4,[1]!CurveType,0))</f>
        <v>0</v>
      </c>
      <c r="L48" s="148" t="n">
        <v>0</v>
      </c>
      <c r="M48" s="151" t="n">
        <f aca="false">L48</f>
        <v>0</v>
      </c>
      <c r="N48" s="147" t="n">
        <f aca="false">VLOOKUP($A48,[1]!CurveTable,MATCH($N$4,[1]!CurveType,0))</f>
        <v>0.0085</v>
      </c>
      <c r="O48" s="148" t="n">
        <f aca="false">N48+Inputs!$E$22</f>
        <v>0.0085</v>
      </c>
      <c r="P48" s="151" t="n">
        <f aca="false">O48</f>
        <v>0.0085</v>
      </c>
      <c r="Q48" s="147" t="n">
        <f aca="false">VLOOKUP($A48,[1]!CurveTable,MATCH($Q$4,[1]!CurveType,0))</f>
        <v>0.01</v>
      </c>
      <c r="R48" s="148" t="n">
        <v>0</v>
      </c>
      <c r="S48" s="151" t="n">
        <f aca="false">R48</f>
        <v>0</v>
      </c>
      <c r="T48" s="152"/>
      <c r="U48" s="153" t="n">
        <f aca="false">G48+J48</f>
        <v>4.9955</v>
      </c>
      <c r="V48" s="154"/>
      <c r="W48" s="155" t="n">
        <f aca="false">VLOOKUP($A48,[1]!CurveTable,MATCH($W$4,[1]!CurveType,0))+$W$9</f>
        <v>0.465</v>
      </c>
      <c r="X48" s="155" t="n">
        <f aca="false">VLOOKUP($A48,[1]!CurveTable,MATCH($X$4,[1]!CurveType,0))+$X$9</f>
        <v>0.47</v>
      </c>
      <c r="Y48" s="139" t="n">
        <f aca="false">SQRT((X48^2*($A48-$C$3)+W48^2*(DAY(EOMONTH(A48,0))/2))/$AN48)</f>
        <v>0.468333317977913</v>
      </c>
      <c r="Z48" s="152"/>
      <c r="AA48" s="153" t="n">
        <f aca="false">G48+P48+S48</f>
        <v>3.954</v>
      </c>
      <c r="AB48" s="154"/>
      <c r="AC48" s="155" t="n">
        <f aca="false">VLOOKUP($A48,[1]!CurveTable,MATCH($AC$4,[1]!CurveType,0))+$AC$9</f>
        <v>0.2325</v>
      </c>
      <c r="AD48" s="155" t="n">
        <f aca="false">VLOOKUP($A48,[1]!CurveTable,MATCH($AD$4,[1]!CurveType,0))+$AD$9</f>
        <v>0.2375</v>
      </c>
      <c r="AE48" s="139" t="n">
        <f aca="false">SQRT((AD48^2*($A48-$C$3)+AC48^2*(DAY(EOMONTH(A48,0))/2))/$AN48)</f>
        <v>0.236663476400213</v>
      </c>
      <c r="AF48" s="152"/>
      <c r="AG48" s="156" t="n">
        <f aca="false">((Inputs!$F$20*(X48*AD48)*(A48-$C$3))+(Inputs!$F$19*W48*AC48*(DAY(EOMONTH(A48,0))/2)))/(AN48*Y48*AE48)</f>
        <v>0.750000095502705</v>
      </c>
      <c r="AH48" s="152"/>
      <c r="AI48" s="140" t="n">
        <f aca="false">Inputs!$B$15</f>
        <v>0.06</v>
      </c>
      <c r="AJ48" s="157"/>
      <c r="AK48" s="140" t="n">
        <f aca="false">IF((U48-AA48-AI48)&lt;0,0,(U48-AA48-AI48))</f>
        <v>0.9815</v>
      </c>
      <c r="AL48" s="157"/>
      <c r="AM48" s="158" t="n">
        <f aca="false">WORKDAY(EOMONTH(A48-1,-1),0)</f>
        <v>39263</v>
      </c>
      <c r="AN48" s="159" t="n">
        <f aca="false">AM48-$C$3</f>
        <v>-6663</v>
      </c>
      <c r="AO48" s="159" t="n">
        <f aca="false">AO47</f>
        <v>1</v>
      </c>
      <c r="AP48" s="160"/>
      <c r="AQ48" s="161" t="e">
        <f aca="false">SPRDOPT(U48,AA48,AI48,AX48,X48,AD48,AG48,AN48,AO48,0)</f>
        <v>#NAME?</v>
      </c>
      <c r="AR48" s="162" t="e">
        <f aca="false">AQ48*C48</f>
        <v>#NAME?</v>
      </c>
      <c r="AS48" s="163" t="e">
        <f aca="false">AQ48-AK48</f>
        <v>#NAME?</v>
      </c>
      <c r="AU48" s="112" t="n">
        <f aca="false">A49-A48</f>
        <v>31</v>
      </c>
      <c r="AV48" s="164" t="n">
        <f aca="false">CHOOSE(F$3,A49+24,A48+14)</f>
        <v>39309</v>
      </c>
      <c r="AW48" s="49" t="n">
        <f aca="false">AV48-C$3</f>
        <v>-6617</v>
      </c>
      <c r="AX48" s="155" t="n">
        <f aca="false">VLOOKUP($A48,[1]!CurveTable,MATCH(AX$4,[1]!CurveType,0))</f>
        <v>0.0482081923822117</v>
      </c>
      <c r="AY48" s="165" t="n">
        <f aca="false">1/(1+CHOOSE(F$3,(AX49+(Inputs!$B$14/10000))/2,(AX48+(Inputs!$B$14/10000))/2))^(2*AW48/365.25)</f>
        <v>2.37025443611091</v>
      </c>
      <c r="AZ48" s="49" t="n">
        <f aca="false">IF(AND(mthbeg&lt;=A48,mthend&gt;=A48),1,0)</f>
        <v>1</v>
      </c>
      <c r="BA48" s="111" t="n">
        <f aca="false">AU48*AZ48</f>
        <v>31</v>
      </c>
      <c r="BC48" s="142" t="n">
        <f aca="false">E48*$D48</f>
        <v>14293286.0697187</v>
      </c>
      <c r="BD48" s="142" t="n">
        <f aca="false">F48*$D48</f>
        <v>14495350.2603972</v>
      </c>
      <c r="BE48" s="142" t="n">
        <f aca="false">G48*$D48</f>
        <v>14495350.2603972</v>
      </c>
      <c r="BF48" s="142" t="n">
        <f aca="false">H48*$D48</f>
        <v>3857589.09477051</v>
      </c>
      <c r="BG48" s="142" t="n">
        <f aca="false">I48*$D48</f>
        <v>3857589.09477051</v>
      </c>
      <c r="BH48" s="142" t="n">
        <f aca="false">J48*$D48</f>
        <v>3857589.09477051</v>
      </c>
      <c r="BI48" s="142" t="n">
        <f aca="false">K48*$D48</f>
        <v>0</v>
      </c>
      <c r="BJ48" s="142" t="n">
        <f aca="false">L48*$D48</f>
        <v>0</v>
      </c>
      <c r="BK48" s="142" t="n">
        <f aca="false">M48*$D48</f>
        <v>0</v>
      </c>
      <c r="BL48" s="142" t="n">
        <f aca="false">N48*$D48</f>
        <v>31228.1021957612</v>
      </c>
      <c r="BM48" s="142" t="n">
        <f aca="false">O48*$D48</f>
        <v>31228.1021957612</v>
      </c>
      <c r="BN48" s="142" t="n">
        <f aca="false">P48*$D48</f>
        <v>31228.1021957612</v>
      </c>
      <c r="BO48" s="142" t="n">
        <f aca="false">Q48*$D48</f>
        <v>36738.9437597191</v>
      </c>
      <c r="BP48" s="142" t="n">
        <f aca="false">R48*$D48</f>
        <v>0</v>
      </c>
      <c r="BQ48" s="142" t="n">
        <f aca="false">S48*$D48</f>
        <v>0</v>
      </c>
      <c r="BR48" s="142" t="n">
        <f aca="false">U48*$D48</f>
        <v>18352939.3551677</v>
      </c>
      <c r="BS48" s="142" t="n">
        <f aca="false">AA48*$D48</f>
        <v>14526578.3625929</v>
      </c>
      <c r="BT48" s="142" t="n">
        <f aca="false">AI48*$D48</f>
        <v>220433.662558315</v>
      </c>
      <c r="BU48" s="142" t="n">
        <f aca="false">AK48*D48</f>
        <v>3605927.33001643</v>
      </c>
    </row>
    <row r="49" customFormat="false" ht="12.75" hidden="false" customHeight="false" outlineLevel="0" collapsed="false">
      <c r="A49" s="144" t="n">
        <f aca="false">EDATE(A48,1)</f>
        <v>39326</v>
      </c>
      <c r="B49" s="145" t="n">
        <f aca="false">Inputs!$B$8</f>
        <v>50000</v>
      </c>
      <c r="C49" s="146" t="n">
        <f aca="false">IF(AZ49=0,0,IF(AND(AZ49=1,$H$3=1),B49*AU49,IF($H$3=2,B49,"N/A")))</f>
        <v>1500000</v>
      </c>
      <c r="D49" s="146" t="n">
        <f aca="false">C49*AY49</f>
        <v>3552912.41840641</v>
      </c>
      <c r="E49" s="147" t="n">
        <f aca="false">VLOOKUP($A49,[1]!CurveTable,MATCH($E$4,[1]!CurveType,0))</f>
        <v>3.8845</v>
      </c>
      <c r="F49" s="148" t="n">
        <f aca="false">E49-Inputs!$B$16</f>
        <v>3.9395</v>
      </c>
      <c r="G49" s="149" t="n">
        <f aca="false">F49</f>
        <v>3.9395</v>
      </c>
      <c r="H49" s="147" t="n">
        <f aca="false">VLOOKUP($A49,[1]!CurveTable,MATCH($H$4,[1]!CurveType,0))</f>
        <v>0.6</v>
      </c>
      <c r="I49" s="148" t="n">
        <f aca="false">H49+Inputs!$B$22</f>
        <v>0.6</v>
      </c>
      <c r="J49" s="150" t="n">
        <f aca="false">I49</f>
        <v>0.6</v>
      </c>
      <c r="K49" s="147" t="n">
        <f aca="false">VLOOKUP($A49,[1]!CurveTable,MATCH($K$4,[1]!CurveType,0))</f>
        <v>0</v>
      </c>
      <c r="L49" s="148" t="n">
        <v>0</v>
      </c>
      <c r="M49" s="151" t="n">
        <f aca="false">L49</f>
        <v>0</v>
      </c>
      <c r="N49" s="147" t="n">
        <f aca="false">VLOOKUP($A49,[1]!CurveTable,MATCH($N$4,[1]!CurveType,0))</f>
        <v>0.0085</v>
      </c>
      <c r="O49" s="148" t="n">
        <f aca="false">N49+Inputs!$E$22</f>
        <v>0.0085</v>
      </c>
      <c r="P49" s="151" t="n">
        <f aca="false">O49</f>
        <v>0.0085</v>
      </c>
      <c r="Q49" s="147" t="n">
        <f aca="false">VLOOKUP($A49,[1]!CurveTable,MATCH($Q$4,[1]!CurveType,0))</f>
        <v>0.01</v>
      </c>
      <c r="R49" s="148" t="n">
        <v>0</v>
      </c>
      <c r="S49" s="151" t="n">
        <f aca="false">R49</f>
        <v>0</v>
      </c>
      <c r="T49" s="152"/>
      <c r="U49" s="153" t="n">
        <f aca="false">G49+J49</f>
        <v>4.5395</v>
      </c>
      <c r="V49" s="154"/>
      <c r="W49" s="155" t="n">
        <f aca="false">VLOOKUP($A49,[1]!CurveTable,MATCH($W$4,[1]!CurveType,0))+$W$9</f>
        <v>0.465</v>
      </c>
      <c r="X49" s="155" t="n">
        <f aca="false">VLOOKUP($A49,[1]!CurveTable,MATCH($X$4,[1]!CurveType,0))+$X$9</f>
        <v>0.47</v>
      </c>
      <c r="Y49" s="139" t="n">
        <f aca="false">SQRT((X49^2*($A49-$C$3)+W49^2*(DAY(EOMONTH(A49,0))/2))/$AN49)</f>
        <v>0.468342917325207</v>
      </c>
      <c r="Z49" s="152"/>
      <c r="AA49" s="153" t="n">
        <f aca="false">G49+P49+S49</f>
        <v>3.948</v>
      </c>
      <c r="AB49" s="154"/>
      <c r="AC49" s="155" t="n">
        <f aca="false">VLOOKUP($A49,[1]!CurveTable,MATCH($AC$4,[1]!CurveType,0))+$AC$9</f>
        <v>0.2325</v>
      </c>
      <c r="AD49" s="155" t="n">
        <f aca="false">VLOOKUP($A49,[1]!CurveTable,MATCH($AD$4,[1]!CurveType,0))+$AD$9</f>
        <v>0.2375</v>
      </c>
      <c r="AE49" s="139" t="n">
        <f aca="false">SQRT((AD49^2*($A49-$C$3)+AC49^2*(DAY(EOMONTH(A49,0))/2))/$AN49)</f>
        <v>0.23666816941459</v>
      </c>
      <c r="AF49" s="152"/>
      <c r="AG49" s="156" t="n">
        <f aca="false">((Inputs!$F$20*(X49*AD49)*(A49-$C$3))+(Inputs!$F$19*W49*AC49*(DAY(EOMONTH(A49,0))/2)))/(AN49*Y49*AE49)</f>
        <v>0.750000092844398</v>
      </c>
      <c r="AH49" s="152"/>
      <c r="AI49" s="140" t="n">
        <f aca="false">Inputs!$B$15</f>
        <v>0.06</v>
      </c>
      <c r="AJ49" s="157"/>
      <c r="AK49" s="140" t="n">
        <f aca="false">IF((U49-AA49-AI49)&lt;0,0,(U49-AA49-AI49))</f>
        <v>0.5315</v>
      </c>
      <c r="AL49" s="157"/>
      <c r="AM49" s="158" t="n">
        <f aca="false">WORKDAY(EOMONTH(A49-1,-1),0)</f>
        <v>39294</v>
      </c>
      <c r="AN49" s="159" t="n">
        <f aca="false">AM49-$C$3</f>
        <v>-6632</v>
      </c>
      <c r="AO49" s="159" t="n">
        <f aca="false">AO48</f>
        <v>1</v>
      </c>
      <c r="AP49" s="160"/>
      <c r="AQ49" s="161" t="e">
        <f aca="false">SPRDOPT(U49,AA49,AI49,AX49,X49,AD49,AG49,AN49,AO49,0)</f>
        <v>#NAME?</v>
      </c>
      <c r="AR49" s="162" t="e">
        <f aca="false">AQ49*C49</f>
        <v>#NAME?</v>
      </c>
      <c r="AS49" s="163" t="e">
        <f aca="false">AQ49-AK49</f>
        <v>#NAME?</v>
      </c>
      <c r="AU49" s="112" t="n">
        <f aca="false">A50-A49</f>
        <v>30</v>
      </c>
      <c r="AV49" s="164" t="n">
        <f aca="false">CHOOSE(F$3,A50+24,A49+14)</f>
        <v>39340</v>
      </c>
      <c r="AW49" s="49" t="n">
        <f aca="false">AV49-C$3</f>
        <v>-6586</v>
      </c>
      <c r="AX49" s="155" t="n">
        <f aca="false">VLOOKUP($A49,[1]!CurveTable,MATCH(AX$4,[1]!CurveType,0))</f>
        <v>0.0483983695964318</v>
      </c>
      <c r="AY49" s="165" t="n">
        <f aca="false">1/(1+CHOOSE(F$3,(AX50+(Inputs!$B$14/10000))/2,(AX49+(Inputs!$B$14/10000))/2))^(2*AW49/365.25)</f>
        <v>2.3686082789376</v>
      </c>
      <c r="AZ49" s="49" t="n">
        <f aca="false">IF(AND(mthbeg&lt;=A49,mthend&gt;=A49),1,0)</f>
        <v>1</v>
      </c>
      <c r="BA49" s="111" t="n">
        <f aca="false">AU49*AZ49</f>
        <v>30</v>
      </c>
      <c r="BC49" s="142" t="n">
        <f aca="false">E49*$D49</f>
        <v>13801288.2892997</v>
      </c>
      <c r="BD49" s="142" t="n">
        <f aca="false">F49*$D49</f>
        <v>13996698.472312</v>
      </c>
      <c r="BE49" s="142" t="n">
        <f aca="false">G49*$D49</f>
        <v>13996698.472312</v>
      </c>
      <c r="BF49" s="142" t="n">
        <f aca="false">H49*$D49</f>
        <v>2131747.45104384</v>
      </c>
      <c r="BG49" s="142" t="n">
        <f aca="false">I49*$D49</f>
        <v>2131747.45104384</v>
      </c>
      <c r="BH49" s="142" t="n">
        <f aca="false">J49*$D49</f>
        <v>2131747.45104384</v>
      </c>
      <c r="BI49" s="142" t="n">
        <f aca="false">K49*$D49</f>
        <v>0</v>
      </c>
      <c r="BJ49" s="142" t="n">
        <f aca="false">L49*$D49</f>
        <v>0</v>
      </c>
      <c r="BK49" s="142" t="n">
        <f aca="false">M49*$D49</f>
        <v>0</v>
      </c>
      <c r="BL49" s="142" t="n">
        <f aca="false">N49*$D49</f>
        <v>30199.7555564545</v>
      </c>
      <c r="BM49" s="142" t="n">
        <f aca="false">O49*$D49</f>
        <v>30199.7555564545</v>
      </c>
      <c r="BN49" s="142" t="n">
        <f aca="false">P49*$D49</f>
        <v>30199.7555564545</v>
      </c>
      <c r="BO49" s="142" t="n">
        <f aca="false">Q49*$D49</f>
        <v>35529.1241840641</v>
      </c>
      <c r="BP49" s="142" t="n">
        <f aca="false">R49*$D49</f>
        <v>0</v>
      </c>
      <c r="BQ49" s="142" t="n">
        <f aca="false">S49*$D49</f>
        <v>0</v>
      </c>
      <c r="BR49" s="142" t="n">
        <f aca="false">U49*$D49</f>
        <v>16128445.9233559</v>
      </c>
      <c r="BS49" s="142" t="n">
        <f aca="false">AA49*$D49</f>
        <v>14026898.2278685</v>
      </c>
      <c r="BT49" s="142" t="n">
        <f aca="false">AI49*$D49</f>
        <v>213174.745104384</v>
      </c>
      <c r="BU49" s="142" t="n">
        <f aca="false">AK49*D49</f>
        <v>1888372.950383</v>
      </c>
    </row>
    <row r="50" customFormat="false" ht="12.75" hidden="false" customHeight="false" outlineLevel="0" collapsed="false">
      <c r="A50" s="144" t="n">
        <f aca="false">EDATE(A49,1)</f>
        <v>39356</v>
      </c>
      <c r="B50" s="145" t="n">
        <f aca="false">Inputs!$B$8</f>
        <v>50000</v>
      </c>
      <c r="C50" s="146" t="n">
        <f aca="false">IF(AZ50=0,0,IF(AND(AZ50=1,$H$3=1),B50*AU50,IF($H$3=2,B50,"N/A")))</f>
        <v>1550000</v>
      </c>
      <c r="D50" s="146" t="n">
        <f aca="false">C50*AY50</f>
        <v>3668764.09544722</v>
      </c>
      <c r="E50" s="147" t="n">
        <f aca="false">VLOOKUP($A50,[1]!CurveTable,MATCH($E$4,[1]!CurveType,0))</f>
        <v>3.8845</v>
      </c>
      <c r="F50" s="148" t="n">
        <f aca="false">E50-Inputs!$B$16</f>
        <v>3.9395</v>
      </c>
      <c r="G50" s="149" t="n">
        <f aca="false">F50</f>
        <v>3.9395</v>
      </c>
      <c r="H50" s="147" t="n">
        <f aca="false">VLOOKUP($A50,[1]!CurveTable,MATCH($H$4,[1]!CurveType,0))</f>
        <v>0.3</v>
      </c>
      <c r="I50" s="148" t="n">
        <f aca="false">H50+Inputs!$B$22</f>
        <v>0.3</v>
      </c>
      <c r="J50" s="150" t="n">
        <f aca="false">I50</f>
        <v>0.3</v>
      </c>
      <c r="K50" s="147" t="n">
        <f aca="false">VLOOKUP($A50,[1]!CurveTable,MATCH($K$4,[1]!CurveType,0))</f>
        <v>0</v>
      </c>
      <c r="L50" s="148" t="n">
        <v>0</v>
      </c>
      <c r="M50" s="151" t="n">
        <f aca="false">L50</f>
        <v>0</v>
      </c>
      <c r="N50" s="147" t="n">
        <f aca="false">VLOOKUP($A50,[1]!CurveTable,MATCH($N$4,[1]!CurveType,0))</f>
        <v>0.007</v>
      </c>
      <c r="O50" s="148" t="n">
        <f aca="false">N50+Inputs!$E$22</f>
        <v>0.007</v>
      </c>
      <c r="P50" s="151" t="n">
        <f aca="false">O50</f>
        <v>0.007</v>
      </c>
      <c r="Q50" s="147" t="n">
        <f aca="false">VLOOKUP($A50,[1]!CurveTable,MATCH($Q$4,[1]!CurveType,0))</f>
        <v>0.01</v>
      </c>
      <c r="R50" s="148" t="n">
        <v>0</v>
      </c>
      <c r="S50" s="151" t="n">
        <f aca="false">R50</f>
        <v>0</v>
      </c>
      <c r="T50" s="152"/>
      <c r="U50" s="153" t="n">
        <f aca="false">G50+J50</f>
        <v>4.2395</v>
      </c>
      <c r="V50" s="154"/>
      <c r="W50" s="155" t="n">
        <f aca="false">VLOOKUP($A50,[1]!CurveTable,MATCH($W$4,[1]!CurveType,0))+$W$9</f>
        <v>0.2325</v>
      </c>
      <c r="X50" s="155" t="n">
        <f aca="false">VLOOKUP($A50,[1]!CurveTable,MATCH($X$4,[1]!CurveType,0))+$X$9</f>
        <v>0.2375</v>
      </c>
      <c r="Y50" s="139" t="n">
        <f aca="false">SQRT((X50^2*($A50-$C$3)+W50^2*(DAY(EOMONTH(A50,0))/2))/$AN50)</f>
        <v>0.236673658519542</v>
      </c>
      <c r="Z50" s="152"/>
      <c r="AA50" s="153" t="n">
        <f aca="false">G50+P50+S50</f>
        <v>3.9465</v>
      </c>
      <c r="AB50" s="154"/>
      <c r="AC50" s="155" t="n">
        <f aca="false">VLOOKUP($A50,[1]!CurveTable,MATCH($AC$4,[1]!CurveType,0))+$AC$9</f>
        <v>0.2325</v>
      </c>
      <c r="AD50" s="155" t="n">
        <f aca="false">VLOOKUP($A50,[1]!CurveTable,MATCH($AD$4,[1]!CurveType,0))+$AD$9</f>
        <v>0.2375</v>
      </c>
      <c r="AE50" s="139" t="n">
        <f aca="false">SQRT((AD50^2*($A50-$C$3)+AC50^2*(DAY(EOMONTH(A50,0))/2))/$AN50)</f>
        <v>0.236673658519542</v>
      </c>
      <c r="AF50" s="152"/>
      <c r="AG50" s="156" t="n">
        <f aca="false">((Inputs!$F$20*(X50*AD50)*(A50-$C$3))+(Inputs!$F$19*W50*AC50*(DAY(EOMONTH(A50,0))/2)))/(AN50*Y50*AE50)</f>
        <v>0.75</v>
      </c>
      <c r="AH50" s="152"/>
      <c r="AI50" s="140" t="n">
        <f aca="false">Inputs!$B$15</f>
        <v>0.06</v>
      </c>
      <c r="AJ50" s="157"/>
      <c r="AK50" s="140" t="n">
        <f aca="false">IF((U50-AA50-AI50)&lt;0,0,(U50-AA50-AI50))</f>
        <v>0.233</v>
      </c>
      <c r="AL50" s="157"/>
      <c r="AM50" s="158" t="n">
        <f aca="false">WORKDAY(EOMONTH(A50-1,-1),0)</f>
        <v>39325</v>
      </c>
      <c r="AN50" s="159" t="n">
        <f aca="false">AM50-$C$3</f>
        <v>-6601</v>
      </c>
      <c r="AO50" s="159" t="n">
        <f aca="false">AO49</f>
        <v>1</v>
      </c>
      <c r="AP50" s="160"/>
      <c r="AQ50" s="161" t="e">
        <f aca="false">SPRDOPT(U50,AA50,AI50,AX50,X50,AD50,AG50,AN50,AO50,0)</f>
        <v>#NAME?</v>
      </c>
      <c r="AR50" s="162" t="e">
        <f aca="false">AQ50*C50</f>
        <v>#NAME?</v>
      </c>
      <c r="AS50" s="163" t="e">
        <f aca="false">AQ50-AK50</f>
        <v>#NAME?</v>
      </c>
      <c r="AU50" s="112" t="n">
        <f aca="false">A51-A50</f>
        <v>31</v>
      </c>
      <c r="AV50" s="164" t="n">
        <f aca="false">CHOOSE(F$3,A51+24,A50+14)</f>
        <v>39370</v>
      </c>
      <c r="AW50" s="49" t="n">
        <f aca="false">AV50-C$3</f>
        <v>-6556</v>
      </c>
      <c r="AX50" s="155" t="n">
        <f aca="false">VLOOKUP($A50,[1]!CurveTable,MATCH(AX$4,[1]!CurveType,0))</f>
        <v>0.0485824120733134</v>
      </c>
      <c r="AY50" s="165" t="n">
        <f aca="false">1/(1+CHOOSE(F$3,(AX51+(Inputs!$B$14/10000))/2,(AX50+(Inputs!$B$14/10000))/2))^(2*AW50/365.25)</f>
        <v>2.36694457770789</v>
      </c>
      <c r="AZ50" s="49" t="n">
        <f aca="false">IF(AND(mthbeg&lt;=A50,mthend&gt;=A50),1,0)</f>
        <v>1</v>
      </c>
      <c r="BA50" s="111" t="n">
        <f aca="false">AU50*AZ50</f>
        <v>31</v>
      </c>
      <c r="BC50" s="142" t="n">
        <f aca="false">E50*$D50</f>
        <v>14251314.1287647</v>
      </c>
      <c r="BD50" s="142" t="n">
        <f aca="false">F50*$D50</f>
        <v>14453096.1540143</v>
      </c>
      <c r="BE50" s="142" t="n">
        <f aca="false">G50*$D50</f>
        <v>14453096.1540143</v>
      </c>
      <c r="BF50" s="142" t="n">
        <f aca="false">H50*$D50</f>
        <v>1100629.22863417</v>
      </c>
      <c r="BG50" s="142" t="n">
        <f aca="false">I50*$D50</f>
        <v>1100629.22863417</v>
      </c>
      <c r="BH50" s="142" t="n">
        <f aca="false">J50*$D50</f>
        <v>1100629.22863417</v>
      </c>
      <c r="BI50" s="142" t="n">
        <f aca="false">K50*$D50</f>
        <v>0</v>
      </c>
      <c r="BJ50" s="142" t="n">
        <f aca="false">L50*$D50</f>
        <v>0</v>
      </c>
      <c r="BK50" s="142" t="n">
        <f aca="false">M50*$D50</f>
        <v>0</v>
      </c>
      <c r="BL50" s="142" t="n">
        <f aca="false">N50*$D50</f>
        <v>25681.3486681306</v>
      </c>
      <c r="BM50" s="142" t="n">
        <f aca="false">O50*$D50</f>
        <v>25681.3486681306</v>
      </c>
      <c r="BN50" s="142" t="n">
        <f aca="false">P50*$D50</f>
        <v>25681.3486681306</v>
      </c>
      <c r="BO50" s="142" t="n">
        <f aca="false">Q50*$D50</f>
        <v>36687.6409544722</v>
      </c>
      <c r="BP50" s="142" t="n">
        <f aca="false">R50*$D50</f>
        <v>0</v>
      </c>
      <c r="BQ50" s="142" t="n">
        <f aca="false">S50*$D50</f>
        <v>0</v>
      </c>
      <c r="BR50" s="142" t="n">
        <f aca="false">U50*$D50</f>
        <v>15553725.3826485</v>
      </c>
      <c r="BS50" s="142" t="n">
        <f aca="false">AA50*$D50</f>
        <v>14478777.5026825</v>
      </c>
      <c r="BT50" s="142" t="n">
        <f aca="false">AI50*$D50</f>
        <v>220125.845726833</v>
      </c>
      <c r="BU50" s="142" t="n">
        <f aca="false">AK50*D50</f>
        <v>854822.034239204</v>
      </c>
    </row>
    <row r="51" customFormat="false" ht="12.75" hidden="false" customHeight="false" outlineLevel="0" collapsed="false">
      <c r="A51" s="144" t="n">
        <f aca="false">EDATE(A50,1)</f>
        <v>39387</v>
      </c>
      <c r="B51" s="145" t="n">
        <f aca="false">Inputs!$B$8</f>
        <v>50000</v>
      </c>
      <c r="C51" s="146" t="n">
        <f aca="false">IF(AZ51=0,0,IF(AND(AZ51=1,$H$3=1),B51*AU51,IF($H$3=2,B51,"N/A")))</f>
        <v>1500000</v>
      </c>
      <c r="D51" s="146" t="n">
        <f aca="false">C51*AY51</f>
        <v>3547728.88219244</v>
      </c>
      <c r="E51" s="147" t="n">
        <f aca="false">VLOOKUP($A51,[1]!CurveTable,MATCH($E$4,[1]!CurveType,0))</f>
        <v>4.0325</v>
      </c>
      <c r="F51" s="148" t="n">
        <f aca="false">E51-Inputs!$B$16</f>
        <v>4.0875</v>
      </c>
      <c r="G51" s="149" t="n">
        <f aca="false">F51</f>
        <v>4.0875</v>
      </c>
      <c r="H51" s="147" t="n">
        <f aca="false">VLOOKUP($A51,[1]!CurveTable,MATCH($H$4,[1]!CurveType,0))</f>
        <v>0.22</v>
      </c>
      <c r="I51" s="148" t="n">
        <f aca="false">H51+Inputs!$B$22</f>
        <v>0.22</v>
      </c>
      <c r="J51" s="150" t="n">
        <f aca="false">I51</f>
        <v>0.22</v>
      </c>
      <c r="K51" s="147" t="n">
        <f aca="false">VLOOKUP($A51,[1]!CurveTable,MATCH($K$4,[1]!CurveType,0))</f>
        <v>0</v>
      </c>
      <c r="L51" s="148" t="n">
        <v>0</v>
      </c>
      <c r="M51" s="151" t="n">
        <f aca="false">L51</f>
        <v>0</v>
      </c>
      <c r="N51" s="147" t="n">
        <f aca="false">VLOOKUP($A51,[1]!CurveTable,MATCH($N$4,[1]!CurveType,0))</f>
        <v>0.008</v>
      </c>
      <c r="O51" s="148" t="n">
        <f aca="false">N51+Inputs!$E$22</f>
        <v>0.008</v>
      </c>
      <c r="P51" s="151" t="n">
        <f aca="false">O51</f>
        <v>0.008</v>
      </c>
      <c r="Q51" s="147" t="n">
        <f aca="false">VLOOKUP($A51,[1]!CurveTable,MATCH($Q$4,[1]!CurveType,0))</f>
        <v>0.0075</v>
      </c>
      <c r="R51" s="148" t="n">
        <v>0</v>
      </c>
      <c r="S51" s="151" t="n">
        <f aca="false">R51</f>
        <v>0</v>
      </c>
      <c r="T51" s="152"/>
      <c r="U51" s="153" t="n">
        <f aca="false">G51+J51</f>
        <v>4.3075</v>
      </c>
      <c r="V51" s="154"/>
      <c r="W51" s="155" t="n">
        <f aca="false">VLOOKUP($A51,[1]!CurveTable,MATCH($W$4,[1]!CurveType,0))+$W$9</f>
        <v>0.2325</v>
      </c>
      <c r="X51" s="155" t="n">
        <f aca="false">VLOOKUP($A51,[1]!CurveTable,MATCH($X$4,[1]!CurveType,0))+$X$9</f>
        <v>0.2375</v>
      </c>
      <c r="Y51" s="139" t="n">
        <f aca="false">SQRT((X51^2*($A51-$C$3)+W51^2*(DAY(EOMONTH(A51,0))/2))/$AN51)</f>
        <v>0.23666043365615</v>
      </c>
      <c r="Z51" s="152"/>
      <c r="AA51" s="153" t="n">
        <f aca="false">G51+P51+S51</f>
        <v>4.0955</v>
      </c>
      <c r="AB51" s="154"/>
      <c r="AC51" s="155" t="n">
        <f aca="false">VLOOKUP($A51,[1]!CurveTable,MATCH($AC$4,[1]!CurveType,0))+$AC$9</f>
        <v>0.2325</v>
      </c>
      <c r="AD51" s="155" t="n">
        <f aca="false">VLOOKUP($A51,[1]!CurveTable,MATCH($AD$4,[1]!CurveType,0))+$AD$9</f>
        <v>0.2375</v>
      </c>
      <c r="AE51" s="139" t="n">
        <f aca="false">SQRT((AD51^2*($A51-$C$3)+AC51^2*(DAY(EOMONTH(A51,0))/2))/$AN51)</f>
        <v>0.23666043365615</v>
      </c>
      <c r="AF51" s="152"/>
      <c r="AG51" s="156" t="n">
        <f aca="false">((Inputs!$F$20*(X51*AD51)*(A51-$C$3))+(Inputs!$F$19*W51*AC51*(DAY(EOMONTH(A51,0))/2)))/(AN51*Y51*AE51)</f>
        <v>0.75</v>
      </c>
      <c r="AH51" s="152"/>
      <c r="AI51" s="140" t="n">
        <f aca="false">Inputs!$B$15</f>
        <v>0.06</v>
      </c>
      <c r="AJ51" s="157"/>
      <c r="AK51" s="140" t="n">
        <f aca="false">IF((U51-AA51-AI51)&lt;0,0,(U51-AA51-AI51))</f>
        <v>0.152</v>
      </c>
      <c r="AL51" s="157"/>
      <c r="AM51" s="158" t="n">
        <f aca="false">WORKDAY(EOMONTH(A51-1,-1),0)</f>
        <v>39355</v>
      </c>
      <c r="AN51" s="159" t="n">
        <f aca="false">AM51-$C$3</f>
        <v>-6571</v>
      </c>
      <c r="AO51" s="159" t="n">
        <f aca="false">AO50</f>
        <v>1</v>
      </c>
      <c r="AP51" s="160"/>
      <c r="AQ51" s="161" t="e">
        <f aca="false">SPRDOPT(U51,AA51,AI51,AX51,X51,AD51,AG51,AN51,AO51,0)</f>
        <v>#NAME?</v>
      </c>
      <c r="AR51" s="162" t="e">
        <f aca="false">AQ51*C51</f>
        <v>#NAME?</v>
      </c>
      <c r="AS51" s="163" t="e">
        <f aca="false">AQ51-AK51</f>
        <v>#NAME?</v>
      </c>
      <c r="AU51" s="112" t="n">
        <f aca="false">A52-A51</f>
        <v>30</v>
      </c>
      <c r="AV51" s="164" t="n">
        <f aca="false">CHOOSE(F$3,A52+24,A51+14)</f>
        <v>39401</v>
      </c>
      <c r="AW51" s="49" t="n">
        <f aca="false">AV51-C$3</f>
        <v>-6525</v>
      </c>
      <c r="AX51" s="155" t="n">
        <f aca="false">VLOOKUP($A51,[1]!CurveTable,MATCH(AX$4,[1]!CurveType,0))</f>
        <v>0.0487725893113131</v>
      </c>
      <c r="AY51" s="165" t="n">
        <f aca="false">1/(1+CHOOSE(F$3,(AX52+(Inputs!$B$14/10000))/2,(AX51+(Inputs!$B$14/10000))/2))^(2*AW51/365.25)</f>
        <v>2.36515258812829</v>
      </c>
      <c r="AZ51" s="49" t="n">
        <f aca="false">IF(AND(mthbeg&lt;=A51,mthend&gt;=A51),1,0)</f>
        <v>1</v>
      </c>
      <c r="BA51" s="111" t="n">
        <f aca="false">AU51*AZ51</f>
        <v>30</v>
      </c>
      <c r="BC51" s="142" t="n">
        <f aca="false">E51*$D51</f>
        <v>14306216.717441</v>
      </c>
      <c r="BD51" s="142" t="n">
        <f aca="false">F51*$D51</f>
        <v>14501341.8059616</v>
      </c>
      <c r="BE51" s="142" t="n">
        <f aca="false">G51*$D51</f>
        <v>14501341.8059616</v>
      </c>
      <c r="BF51" s="142" t="n">
        <f aca="false">H51*$D51</f>
        <v>780500.354082336</v>
      </c>
      <c r="BG51" s="142" t="n">
        <f aca="false">I51*$D51</f>
        <v>780500.354082336</v>
      </c>
      <c r="BH51" s="142" t="n">
        <f aca="false">J51*$D51</f>
        <v>780500.354082336</v>
      </c>
      <c r="BI51" s="142" t="n">
        <f aca="false">K51*$D51</f>
        <v>0</v>
      </c>
      <c r="BJ51" s="142" t="n">
        <f aca="false">L51*$D51</f>
        <v>0</v>
      </c>
      <c r="BK51" s="142" t="n">
        <f aca="false">M51*$D51</f>
        <v>0</v>
      </c>
      <c r="BL51" s="142" t="n">
        <f aca="false">N51*$D51</f>
        <v>28381.8310575395</v>
      </c>
      <c r="BM51" s="142" t="n">
        <f aca="false">O51*$D51</f>
        <v>28381.8310575395</v>
      </c>
      <c r="BN51" s="142" t="n">
        <f aca="false">P51*$D51</f>
        <v>28381.8310575395</v>
      </c>
      <c r="BO51" s="142" t="n">
        <f aca="false">Q51*$D51</f>
        <v>26607.9666164433</v>
      </c>
      <c r="BP51" s="142" t="n">
        <f aca="false">R51*$D51</f>
        <v>0</v>
      </c>
      <c r="BQ51" s="142" t="n">
        <f aca="false">S51*$D51</f>
        <v>0</v>
      </c>
      <c r="BR51" s="142" t="n">
        <f aca="false">U51*$D51</f>
        <v>15281842.1600439</v>
      </c>
      <c r="BS51" s="142" t="n">
        <f aca="false">AA51*$D51</f>
        <v>14529723.6370191</v>
      </c>
      <c r="BT51" s="142" t="n">
        <f aca="false">AI51*$D51</f>
        <v>212863.732931546</v>
      </c>
      <c r="BU51" s="142" t="n">
        <f aca="false">AK51*D51</f>
        <v>539254.790093249</v>
      </c>
    </row>
    <row r="52" customFormat="false" ht="12.75" hidden="false" customHeight="false" outlineLevel="0" collapsed="false">
      <c r="A52" s="144" t="n">
        <f aca="false">EDATE(A51,1)</f>
        <v>39417</v>
      </c>
      <c r="B52" s="145" t="n">
        <f aca="false">Inputs!$B$8</f>
        <v>50000</v>
      </c>
      <c r="C52" s="146" t="n">
        <f aca="false">IF(AZ52=0,0,IF(AND(AZ52=1,$H$3=1),B52*AU52,IF($H$3=2,B52,"N/A")))</f>
        <v>1550000</v>
      </c>
      <c r="D52" s="146" t="n">
        <f aca="false">C52*AY52</f>
        <v>3663189.54050952</v>
      </c>
      <c r="E52" s="147" t="n">
        <f aca="false">VLOOKUP($A52,[1]!CurveTable,MATCH($E$4,[1]!CurveType,0))</f>
        <v>4.1845</v>
      </c>
      <c r="F52" s="148" t="n">
        <f aca="false">E52-Inputs!$B$16</f>
        <v>4.2395</v>
      </c>
      <c r="G52" s="149" t="n">
        <f aca="false">F52</f>
        <v>4.2395</v>
      </c>
      <c r="H52" s="147" t="n">
        <f aca="false">VLOOKUP($A52,[1]!CurveTable,MATCH($H$4,[1]!CurveType,0))</f>
        <v>0.2</v>
      </c>
      <c r="I52" s="148" t="n">
        <f aca="false">H52+Inputs!$B$22</f>
        <v>0.2</v>
      </c>
      <c r="J52" s="150" t="n">
        <f aca="false">I52</f>
        <v>0.2</v>
      </c>
      <c r="K52" s="147" t="n">
        <f aca="false">VLOOKUP($A52,[1]!CurveTable,MATCH($K$4,[1]!CurveType,0))</f>
        <v>0</v>
      </c>
      <c r="L52" s="148" t="n">
        <v>0</v>
      </c>
      <c r="M52" s="151" t="n">
        <f aca="false">L52</f>
        <v>0</v>
      </c>
      <c r="N52" s="147" t="n">
        <f aca="false">VLOOKUP($A52,[1]!CurveTable,MATCH($N$4,[1]!CurveType,0))</f>
        <v>0.008</v>
      </c>
      <c r="O52" s="148" t="n">
        <f aca="false">N52+Inputs!$E$22</f>
        <v>0.008</v>
      </c>
      <c r="P52" s="151" t="n">
        <f aca="false">O52</f>
        <v>0.008</v>
      </c>
      <c r="Q52" s="147" t="n">
        <f aca="false">VLOOKUP($A52,[1]!CurveTable,MATCH($Q$4,[1]!CurveType,0))</f>
        <v>0.0075</v>
      </c>
      <c r="R52" s="148" t="n">
        <v>0</v>
      </c>
      <c r="S52" s="151" t="n">
        <f aca="false">R52</f>
        <v>0</v>
      </c>
      <c r="T52" s="152"/>
      <c r="U52" s="153" t="n">
        <f aca="false">G52+J52</f>
        <v>4.4395</v>
      </c>
      <c r="V52" s="154"/>
      <c r="W52" s="155" t="n">
        <f aca="false">VLOOKUP($A52,[1]!CurveTable,MATCH($W$4,[1]!CurveType,0))+$W$9</f>
        <v>0.2325</v>
      </c>
      <c r="X52" s="155" t="n">
        <f aca="false">VLOOKUP($A52,[1]!CurveTable,MATCH($X$4,[1]!CurveType,0))+$X$9</f>
        <v>0.2375</v>
      </c>
      <c r="Y52" s="139" t="n">
        <f aca="false">SQRT((X52^2*($A52-$C$3)+W52^2*(DAY(EOMONTH(A52,0))/2))/$AN52)</f>
        <v>0.236665937471957</v>
      </c>
      <c r="Z52" s="152"/>
      <c r="AA52" s="153" t="n">
        <f aca="false">G52+P52+S52</f>
        <v>4.2475</v>
      </c>
      <c r="AB52" s="154"/>
      <c r="AC52" s="155" t="n">
        <f aca="false">VLOOKUP($A52,[1]!CurveTable,MATCH($AC$4,[1]!CurveType,0))+$AC$9</f>
        <v>0.2325</v>
      </c>
      <c r="AD52" s="155" t="n">
        <f aca="false">VLOOKUP($A52,[1]!CurveTable,MATCH($AD$4,[1]!CurveType,0))+$AD$9</f>
        <v>0.2375</v>
      </c>
      <c r="AE52" s="139" t="n">
        <f aca="false">SQRT((AD52^2*($A52-$C$3)+AC52^2*(DAY(EOMONTH(A52,0))/2))/$AN52)</f>
        <v>0.236665937471957</v>
      </c>
      <c r="AF52" s="152"/>
      <c r="AG52" s="156" t="n">
        <f aca="false">((Inputs!$F$20*(X52*AD52)*(A52-$C$3))+(Inputs!$F$19*W52*AC52*(DAY(EOMONTH(A52,0))/2)))/(AN52*Y52*AE52)</f>
        <v>0.75</v>
      </c>
      <c r="AH52" s="152"/>
      <c r="AI52" s="140" t="n">
        <f aca="false">Inputs!$B$15</f>
        <v>0.06</v>
      </c>
      <c r="AJ52" s="157"/>
      <c r="AK52" s="140" t="n">
        <f aca="false">IF((U52-AA52-AI52)&lt;0,0,(U52-AA52-AI52))</f>
        <v>0.132</v>
      </c>
      <c r="AL52" s="157"/>
      <c r="AM52" s="158" t="n">
        <f aca="false">WORKDAY(EOMONTH(A52-1,-1),0)</f>
        <v>39386</v>
      </c>
      <c r="AN52" s="159" t="n">
        <f aca="false">AM52-$C$3</f>
        <v>-6540</v>
      </c>
      <c r="AO52" s="159" t="n">
        <f aca="false">AO51</f>
        <v>1</v>
      </c>
      <c r="AP52" s="160"/>
      <c r="AQ52" s="161" t="e">
        <f aca="false">SPRDOPT(U52,AA52,AI52,AX52,X52,AD52,AG52,AN52,AO52,0)</f>
        <v>#NAME?</v>
      </c>
      <c r="AR52" s="162" t="e">
        <f aca="false">AQ52*C52</f>
        <v>#NAME?</v>
      </c>
      <c r="AS52" s="163" t="e">
        <f aca="false">AQ52-AK52</f>
        <v>#NAME?</v>
      </c>
      <c r="AU52" s="112" t="n">
        <f aca="false">A53-A52</f>
        <v>31</v>
      </c>
      <c r="AV52" s="164" t="n">
        <f aca="false">CHOOSE(F$3,A53+24,A52+14)</f>
        <v>39431</v>
      </c>
      <c r="AW52" s="49" t="n">
        <f aca="false">AV52-C$3</f>
        <v>-6495</v>
      </c>
      <c r="AX52" s="155" t="n">
        <f aca="false">VLOOKUP($A52,[1]!CurveTable,MATCH(AX$4,[1]!CurveType,0))</f>
        <v>0.0489566318112047</v>
      </c>
      <c r="AY52" s="165" t="n">
        <f aca="false">1/(1+CHOOSE(F$3,(AX53+(Inputs!$B$14/10000))/2,(AX52+(Inputs!$B$14/10000))/2))^(2*AW52/365.25)</f>
        <v>2.3633480906513</v>
      </c>
      <c r="AZ52" s="49" t="n">
        <f aca="false">IF(AND(mthbeg&lt;=A52,mthend&gt;=A52),1,0)</f>
        <v>1</v>
      </c>
      <c r="BA52" s="111" t="n">
        <f aca="false">AU52*AZ52</f>
        <v>31</v>
      </c>
      <c r="BC52" s="142" t="n">
        <f aca="false">E52*$D52</f>
        <v>15328616.6322621</v>
      </c>
      <c r="BD52" s="142" t="n">
        <f aca="false">F52*$D52</f>
        <v>15530092.0569901</v>
      </c>
      <c r="BE52" s="142" t="n">
        <f aca="false">G52*$D52</f>
        <v>15530092.0569901</v>
      </c>
      <c r="BF52" s="142" t="n">
        <f aca="false">H52*$D52</f>
        <v>732637.908101904</v>
      </c>
      <c r="BG52" s="142" t="n">
        <f aca="false">I52*$D52</f>
        <v>732637.908101904</v>
      </c>
      <c r="BH52" s="142" t="n">
        <f aca="false">J52*$D52</f>
        <v>732637.908101904</v>
      </c>
      <c r="BI52" s="142" t="n">
        <f aca="false">K52*$D52</f>
        <v>0</v>
      </c>
      <c r="BJ52" s="142" t="n">
        <f aca="false">L52*$D52</f>
        <v>0</v>
      </c>
      <c r="BK52" s="142" t="n">
        <f aca="false">M52*$D52</f>
        <v>0</v>
      </c>
      <c r="BL52" s="142" t="n">
        <f aca="false">N52*$D52</f>
        <v>29305.5163240761</v>
      </c>
      <c r="BM52" s="142" t="n">
        <f aca="false">O52*$D52</f>
        <v>29305.5163240761</v>
      </c>
      <c r="BN52" s="142" t="n">
        <f aca="false">P52*$D52</f>
        <v>29305.5163240761</v>
      </c>
      <c r="BO52" s="142" t="n">
        <f aca="false">Q52*$D52</f>
        <v>27473.9215538214</v>
      </c>
      <c r="BP52" s="142" t="n">
        <f aca="false">R52*$D52</f>
        <v>0</v>
      </c>
      <c r="BQ52" s="142" t="n">
        <f aca="false">S52*$D52</f>
        <v>0</v>
      </c>
      <c r="BR52" s="142" t="n">
        <f aca="false">U52*$D52</f>
        <v>16262729.965092</v>
      </c>
      <c r="BS52" s="142" t="n">
        <f aca="false">AA52*$D52</f>
        <v>15559397.5733142</v>
      </c>
      <c r="BT52" s="142" t="n">
        <f aca="false">AI52*$D52</f>
        <v>219791.372430571</v>
      </c>
      <c r="BU52" s="142" t="n">
        <f aca="false">AK52*D52</f>
        <v>483541.019347257</v>
      </c>
    </row>
    <row r="53" customFormat="false" ht="12.75" hidden="false" customHeight="false" outlineLevel="0" collapsed="false">
      <c r="A53" s="144" t="n">
        <f aca="false">EDATE(A52,1)</f>
        <v>39448</v>
      </c>
      <c r="B53" s="145" t="n">
        <f aca="false">Inputs!$B$8</f>
        <v>50000</v>
      </c>
      <c r="C53" s="146" t="n">
        <f aca="false">IF(AZ53=0,0,IF(AND(AZ53=1,$H$3=1),B53*AU53,IF($H$3=2,B53,"N/A")))</f>
        <v>1550000</v>
      </c>
      <c r="D53" s="146" t="n">
        <f aca="false">C53*AY53</f>
        <v>3660187.00004806</v>
      </c>
      <c r="E53" s="147" t="n">
        <f aca="false">VLOOKUP($A53,[1]!CurveTable,MATCH($E$4,[1]!CurveType,0))</f>
        <v>4.252</v>
      </c>
      <c r="F53" s="148" t="n">
        <f aca="false">E53-Inputs!$B$16</f>
        <v>4.307</v>
      </c>
      <c r="G53" s="149" t="n">
        <f aca="false">F53</f>
        <v>4.307</v>
      </c>
      <c r="H53" s="147" t="n">
        <f aca="false">VLOOKUP($A53,[1]!CurveTable,MATCH($H$4,[1]!CurveType,0))</f>
        <v>0.075</v>
      </c>
      <c r="I53" s="148" t="n">
        <f aca="false">H53+Inputs!$B$22</f>
        <v>0.075</v>
      </c>
      <c r="J53" s="150" t="n">
        <f aca="false">I53</f>
        <v>0.075</v>
      </c>
      <c r="K53" s="147" t="n">
        <f aca="false">VLOOKUP($A53,[1]!CurveTable,MATCH($K$4,[1]!CurveType,0))</f>
        <v>0</v>
      </c>
      <c r="L53" s="148" t="n">
        <v>0</v>
      </c>
      <c r="M53" s="151" t="n">
        <f aca="false">L53</f>
        <v>0</v>
      </c>
      <c r="N53" s="147" t="n">
        <f aca="false">VLOOKUP($A53,[1]!CurveTable,MATCH($N$4,[1]!CurveType,0))</f>
        <v>0.008</v>
      </c>
      <c r="O53" s="148" t="n">
        <f aca="false">N53+Inputs!$E$22</f>
        <v>0.008</v>
      </c>
      <c r="P53" s="151" t="n">
        <f aca="false">O53</f>
        <v>0.008</v>
      </c>
      <c r="Q53" s="147" t="n">
        <f aca="false">VLOOKUP($A53,[1]!CurveTable,MATCH($Q$4,[1]!CurveType,0))</f>
        <v>0.0075</v>
      </c>
      <c r="R53" s="148" t="n">
        <v>0</v>
      </c>
      <c r="S53" s="151" t="n">
        <f aca="false">R53</f>
        <v>0</v>
      </c>
      <c r="T53" s="152"/>
      <c r="U53" s="153" t="n">
        <f aca="false">G53+J53</f>
        <v>4.382</v>
      </c>
      <c r="V53" s="154"/>
      <c r="W53" s="155" t="n">
        <f aca="false">VLOOKUP($A53,[1]!CurveTable,MATCH($W$4,[1]!CurveType,0))+$W$9</f>
        <v>0.2325</v>
      </c>
      <c r="X53" s="155" t="n">
        <f aca="false">VLOOKUP($A53,[1]!CurveTable,MATCH($X$4,[1]!CurveType,0))+$X$9</f>
        <v>0.2375</v>
      </c>
      <c r="Y53" s="139" t="n">
        <f aca="false">SQRT((X53^2*($A53-$C$3)+W53^2*(DAY(EOMONTH(A53,0))/2))/$AN53)</f>
        <v>0.236643780602511</v>
      </c>
      <c r="Z53" s="152"/>
      <c r="AA53" s="153" t="n">
        <f aca="false">G53+P53+S53</f>
        <v>4.315</v>
      </c>
      <c r="AB53" s="154"/>
      <c r="AC53" s="155" t="n">
        <f aca="false">VLOOKUP($A53,[1]!CurveTable,MATCH($AC$4,[1]!CurveType,0))+$AC$9</f>
        <v>0.2325</v>
      </c>
      <c r="AD53" s="155" t="n">
        <f aca="false">VLOOKUP($A53,[1]!CurveTable,MATCH($AD$4,[1]!CurveType,0))+$AD$9</f>
        <v>0.2375</v>
      </c>
      <c r="AE53" s="139" t="n">
        <f aca="false">SQRT((AD53^2*($A53-$C$3)+AC53^2*(DAY(EOMONTH(A53,0))/2))/$AN53)</f>
        <v>0.236643780602511</v>
      </c>
      <c r="AF53" s="152"/>
      <c r="AG53" s="156" t="n">
        <f aca="false">((Inputs!$F$20*(X53*AD53)*(A53-$C$3))+(Inputs!$F$19*W53*AC53*(DAY(EOMONTH(A53,0))/2)))/(AN53*Y53*AE53)</f>
        <v>0.75</v>
      </c>
      <c r="AH53" s="152"/>
      <c r="AI53" s="140" t="n">
        <f aca="false">Inputs!$B$15</f>
        <v>0.06</v>
      </c>
      <c r="AJ53" s="157"/>
      <c r="AK53" s="140" t="n">
        <f aca="false">IF((U53-AA53-AI53)&lt;0,0,(U53-AA53-AI53))</f>
        <v>0.00700000000000017</v>
      </c>
      <c r="AL53" s="157"/>
      <c r="AM53" s="158" t="n">
        <f aca="false">WORKDAY(EOMONTH(A53-1,-1),0)</f>
        <v>39416</v>
      </c>
      <c r="AN53" s="159" t="n">
        <f aca="false">AM53-$C$3</f>
        <v>-6510</v>
      </c>
      <c r="AO53" s="159" t="n">
        <f aca="false">AO52</f>
        <v>1</v>
      </c>
      <c r="AP53" s="160"/>
      <c r="AQ53" s="161" t="e">
        <f aca="false">SPRDOPT(U53,AA53,AI53,AX53,X53,AD53,AG53,AN53,AO53,0)</f>
        <v>#NAME?</v>
      </c>
      <c r="AR53" s="162" t="e">
        <f aca="false">AQ53*C53</f>
        <v>#NAME?</v>
      </c>
      <c r="AS53" s="163" t="e">
        <f aca="false">AQ53-AK53</f>
        <v>#NAME?</v>
      </c>
      <c r="AU53" s="112" t="n">
        <f aca="false">A54-A53</f>
        <v>31</v>
      </c>
      <c r="AV53" s="164" t="n">
        <f aca="false">CHOOSE(F$3,A54+24,A53+14)</f>
        <v>39462</v>
      </c>
      <c r="AW53" s="49" t="n">
        <f aca="false">AV53-C$3</f>
        <v>-6464</v>
      </c>
      <c r="AX53" s="155" t="n">
        <f aca="false">VLOOKUP($A53,[1]!CurveTable,MATCH(AX$4,[1]!CurveType,0))</f>
        <v>0.0491468090729796</v>
      </c>
      <c r="AY53" s="165" t="n">
        <f aca="false">1/(1+CHOOSE(F$3,(AX54+(Inputs!$B$14/10000))/2,(AX53+(Inputs!$B$14/10000))/2))^(2*AW53/365.25)</f>
        <v>2.36141096777294</v>
      </c>
      <c r="AZ53" s="49" t="n">
        <f aca="false">IF(AND(mthbeg&lt;=A53,mthend&gt;=A53),1,0)</f>
        <v>1</v>
      </c>
      <c r="BA53" s="111" t="n">
        <f aca="false">AU53*AZ53</f>
        <v>31</v>
      </c>
      <c r="BC53" s="142" t="n">
        <f aca="false">E53*$D53</f>
        <v>15563115.1242044</v>
      </c>
      <c r="BD53" s="142" t="n">
        <f aca="false">F53*$D53</f>
        <v>15764425.409207</v>
      </c>
      <c r="BE53" s="142" t="n">
        <f aca="false">G53*$D53</f>
        <v>15764425.409207</v>
      </c>
      <c r="BF53" s="142" t="n">
        <f aca="false">H53*$D53</f>
        <v>274514.025003605</v>
      </c>
      <c r="BG53" s="142" t="n">
        <f aca="false">I53*$D53</f>
        <v>274514.025003605</v>
      </c>
      <c r="BH53" s="142" t="n">
        <f aca="false">J53*$D53</f>
        <v>274514.025003605</v>
      </c>
      <c r="BI53" s="142" t="n">
        <f aca="false">K53*$D53</f>
        <v>0</v>
      </c>
      <c r="BJ53" s="142" t="n">
        <f aca="false">L53*$D53</f>
        <v>0</v>
      </c>
      <c r="BK53" s="142" t="n">
        <f aca="false">M53*$D53</f>
        <v>0</v>
      </c>
      <c r="BL53" s="142" t="n">
        <f aca="false">N53*$D53</f>
        <v>29281.4960003845</v>
      </c>
      <c r="BM53" s="142" t="n">
        <f aca="false">O53*$D53</f>
        <v>29281.4960003845</v>
      </c>
      <c r="BN53" s="142" t="n">
        <f aca="false">P53*$D53</f>
        <v>29281.4960003845</v>
      </c>
      <c r="BO53" s="142" t="n">
        <f aca="false">Q53*$D53</f>
        <v>27451.4025003605</v>
      </c>
      <c r="BP53" s="142" t="n">
        <f aca="false">R53*$D53</f>
        <v>0</v>
      </c>
      <c r="BQ53" s="142" t="n">
        <f aca="false">S53*$D53</f>
        <v>0</v>
      </c>
      <c r="BR53" s="142" t="n">
        <f aca="false">U53*$D53</f>
        <v>16038939.4342106</v>
      </c>
      <c r="BS53" s="142" t="n">
        <f aca="false">AA53*$D53</f>
        <v>15793706.9052074</v>
      </c>
      <c r="BT53" s="142" t="n">
        <f aca="false">AI53*$D53</f>
        <v>219611.220002884</v>
      </c>
      <c r="BU53" s="142" t="n">
        <f aca="false">AK53*D53</f>
        <v>25621.3090003371</v>
      </c>
    </row>
    <row r="54" customFormat="false" ht="12.75" hidden="false" customHeight="false" outlineLevel="0" collapsed="false">
      <c r="A54" s="144" t="n">
        <f aca="false">EDATE(A53,1)</f>
        <v>39479</v>
      </c>
      <c r="B54" s="145" t="n">
        <f aca="false">Inputs!$B$8</f>
        <v>50000</v>
      </c>
      <c r="C54" s="146" t="n">
        <f aca="false">IF(AZ54=0,0,IF(AND(AZ54=1,$H$3=1),B54*AU54,IF($H$3=2,B54,"N/A")))</f>
        <v>1450000</v>
      </c>
      <c r="D54" s="146" t="n">
        <f aca="false">C54*AY54</f>
        <v>3421130.54132064</v>
      </c>
      <c r="E54" s="147" t="n">
        <f aca="false">VLOOKUP($A54,[1]!CurveTable,MATCH($E$4,[1]!CurveType,0))</f>
        <v>4.165</v>
      </c>
      <c r="F54" s="148" t="n">
        <f aca="false">E54-Inputs!$B$16</f>
        <v>4.22</v>
      </c>
      <c r="G54" s="149" t="n">
        <f aca="false">F54</f>
        <v>4.22</v>
      </c>
      <c r="H54" s="147" t="n">
        <f aca="false">VLOOKUP($A54,[1]!CurveTable,MATCH($H$4,[1]!CurveType,0))</f>
        <v>0.075</v>
      </c>
      <c r="I54" s="148" t="n">
        <f aca="false">H54+Inputs!$B$22</f>
        <v>0.075</v>
      </c>
      <c r="J54" s="150" t="n">
        <f aca="false">I54</f>
        <v>0.075</v>
      </c>
      <c r="K54" s="147" t="n">
        <f aca="false">VLOOKUP($A54,[1]!CurveTable,MATCH($K$4,[1]!CurveType,0))</f>
        <v>0</v>
      </c>
      <c r="L54" s="148" t="n">
        <v>0</v>
      </c>
      <c r="M54" s="151" t="n">
        <f aca="false">L54</f>
        <v>0</v>
      </c>
      <c r="N54" s="147" t="n">
        <f aca="false">VLOOKUP($A54,[1]!CurveTable,MATCH($N$4,[1]!CurveType,0))</f>
        <v>0.008</v>
      </c>
      <c r="O54" s="148" t="n">
        <f aca="false">N54+Inputs!$E$22</f>
        <v>0.008</v>
      </c>
      <c r="P54" s="151" t="n">
        <f aca="false">O54</f>
        <v>0.008</v>
      </c>
      <c r="Q54" s="147" t="n">
        <f aca="false">VLOOKUP($A54,[1]!CurveTable,MATCH($Q$4,[1]!CurveType,0))</f>
        <v>0.0075</v>
      </c>
      <c r="R54" s="148" t="n">
        <v>0</v>
      </c>
      <c r="S54" s="151" t="n">
        <f aca="false">R54</f>
        <v>0</v>
      </c>
      <c r="T54" s="152"/>
      <c r="U54" s="153" t="n">
        <f aca="false">G54+J54</f>
        <v>4.295</v>
      </c>
      <c r="V54" s="154"/>
      <c r="W54" s="155" t="n">
        <f aca="false">VLOOKUP($A54,[1]!CurveTable,MATCH($W$4,[1]!CurveType,0))+$W$9</f>
        <v>0.2325</v>
      </c>
      <c r="X54" s="155" t="n">
        <f aca="false">VLOOKUP($A54,[1]!CurveTable,MATCH($X$4,[1]!CurveType,0))+$X$9</f>
        <v>0.2375</v>
      </c>
      <c r="Y54" s="139" t="n">
        <f aca="false">SQRT((X54^2*($A54-$C$3)+W54^2*(DAY(EOMONTH(A54,0))/2))/$AN54)</f>
        <v>0.236657304459043</v>
      </c>
      <c r="Z54" s="152"/>
      <c r="AA54" s="153" t="n">
        <f aca="false">G54+P54+S54</f>
        <v>4.228</v>
      </c>
      <c r="AB54" s="154"/>
      <c r="AC54" s="155" t="n">
        <f aca="false">VLOOKUP($A54,[1]!CurveTable,MATCH($AC$4,[1]!CurveType,0))+$AC$9</f>
        <v>0.2325</v>
      </c>
      <c r="AD54" s="155" t="n">
        <f aca="false">VLOOKUP($A54,[1]!CurveTable,MATCH($AD$4,[1]!CurveType,0))+$AD$9</f>
        <v>0.2375</v>
      </c>
      <c r="AE54" s="139" t="n">
        <f aca="false">SQRT((AD54^2*($A54-$C$3)+AC54^2*(DAY(EOMONTH(A54,0))/2))/$AN54)</f>
        <v>0.236657304459043</v>
      </c>
      <c r="AF54" s="152"/>
      <c r="AG54" s="156" t="n">
        <f aca="false">((Inputs!$F$20*(X54*AD54)*(A54-$C$3))+(Inputs!$F$19*W54*AC54*(DAY(EOMONTH(A54,0))/2)))/(AN54*Y54*AE54)</f>
        <v>0.75</v>
      </c>
      <c r="AH54" s="152"/>
      <c r="AI54" s="140" t="n">
        <f aca="false">Inputs!$B$15</f>
        <v>0.06</v>
      </c>
      <c r="AJ54" s="157"/>
      <c r="AK54" s="140" t="n">
        <f aca="false">IF((U54-AA54-AI54)&lt;0,0,(U54-AA54-AI54))</f>
        <v>0.00700000000000017</v>
      </c>
      <c r="AL54" s="157"/>
      <c r="AM54" s="158" t="n">
        <f aca="false">WORKDAY(EOMONTH(A54-1,-1),0)</f>
        <v>39447</v>
      </c>
      <c r="AN54" s="159" t="n">
        <f aca="false">AM54-$C$3</f>
        <v>-6479</v>
      </c>
      <c r="AO54" s="159" t="n">
        <f aca="false">AO53</f>
        <v>1</v>
      </c>
      <c r="AP54" s="160"/>
      <c r="AQ54" s="161" t="e">
        <f aca="false">SPRDOPT(U54,AA54,AI54,AX54,X54,AD54,AG54,AN54,AO54,0)</f>
        <v>#NAME?</v>
      </c>
      <c r="AR54" s="162" t="e">
        <f aca="false">AQ54*C54</f>
        <v>#NAME?</v>
      </c>
      <c r="AS54" s="163" t="e">
        <f aca="false">AQ54-AK54</f>
        <v>#NAME?</v>
      </c>
      <c r="AU54" s="112" t="n">
        <f aca="false">A55-A54</f>
        <v>29</v>
      </c>
      <c r="AV54" s="164" t="n">
        <f aca="false">CHOOSE(F$3,A55+24,A54+14)</f>
        <v>39493</v>
      </c>
      <c r="AW54" s="49" t="n">
        <f aca="false">AV54-C$3</f>
        <v>-6433</v>
      </c>
      <c r="AX54" s="155" t="n">
        <f aca="false">VLOOKUP($A54,[1]!CurveTable,MATCH(AX$4,[1]!CurveType,0))</f>
        <v>0.0493369863468351</v>
      </c>
      <c r="AY54" s="165" t="n">
        <f aca="false">1/(1+CHOOSE(F$3,(AX55+(Inputs!$B$14/10000))/2,(AX54+(Inputs!$B$14/10000))/2))^(2*AW54/365.25)</f>
        <v>2.35940037332458</v>
      </c>
      <c r="AZ54" s="49" t="n">
        <f aca="false">IF(AND(mthbeg&lt;=A54,mthend&gt;=A54),1,0)</f>
        <v>1</v>
      </c>
      <c r="BA54" s="111" t="n">
        <f aca="false">AU54*AZ54</f>
        <v>29</v>
      </c>
      <c r="BC54" s="142" t="n">
        <f aca="false">E54*$D54</f>
        <v>14249008.7046005</v>
      </c>
      <c r="BD54" s="142" t="n">
        <f aca="false">F54*$D54</f>
        <v>14437170.8843731</v>
      </c>
      <c r="BE54" s="142" t="n">
        <f aca="false">G54*$D54</f>
        <v>14437170.8843731</v>
      </c>
      <c r="BF54" s="142" t="n">
        <f aca="false">H54*$D54</f>
        <v>256584.790599048</v>
      </c>
      <c r="BG54" s="142" t="n">
        <f aca="false">I54*$D54</f>
        <v>256584.790599048</v>
      </c>
      <c r="BH54" s="142" t="n">
        <f aca="false">J54*$D54</f>
        <v>256584.790599048</v>
      </c>
      <c r="BI54" s="142" t="n">
        <f aca="false">K54*$D54</f>
        <v>0</v>
      </c>
      <c r="BJ54" s="142" t="n">
        <f aca="false">L54*$D54</f>
        <v>0</v>
      </c>
      <c r="BK54" s="142" t="n">
        <f aca="false">M54*$D54</f>
        <v>0</v>
      </c>
      <c r="BL54" s="142" t="n">
        <f aca="false">N54*$D54</f>
        <v>27369.0443305652</v>
      </c>
      <c r="BM54" s="142" t="n">
        <f aca="false">O54*$D54</f>
        <v>27369.0443305652</v>
      </c>
      <c r="BN54" s="142" t="n">
        <f aca="false">P54*$D54</f>
        <v>27369.0443305652</v>
      </c>
      <c r="BO54" s="142" t="n">
        <f aca="false">Q54*$D54</f>
        <v>25658.4790599048</v>
      </c>
      <c r="BP54" s="142" t="n">
        <f aca="false">R54*$D54</f>
        <v>0</v>
      </c>
      <c r="BQ54" s="142" t="n">
        <f aca="false">S54*$D54</f>
        <v>0</v>
      </c>
      <c r="BR54" s="142" t="n">
        <f aca="false">U54*$D54</f>
        <v>14693755.6749722</v>
      </c>
      <c r="BS54" s="142" t="n">
        <f aca="false">AA54*$D54</f>
        <v>14464539.9287037</v>
      </c>
      <c r="BT54" s="142" t="n">
        <f aca="false">AI54*$D54</f>
        <v>205267.832479239</v>
      </c>
      <c r="BU54" s="142" t="n">
        <f aca="false">AK54*D54</f>
        <v>23947.9137892451</v>
      </c>
    </row>
    <row r="55" customFormat="false" ht="12.75" hidden="false" customHeight="false" outlineLevel="0" collapsed="false">
      <c r="A55" s="144" t="n">
        <f aca="false">EDATE(A54,1)</f>
        <v>39508</v>
      </c>
      <c r="B55" s="145" t="n">
        <f aca="false">Inputs!$B$8</f>
        <v>50000</v>
      </c>
      <c r="C55" s="146" t="n">
        <f aca="false">IF(AZ55=0,0,IF(AND(AZ55=1,$H$3=1),B55*AU55,IF($H$3=2,B55,"N/A")))</f>
        <v>1550000</v>
      </c>
      <c r="D55" s="146" t="n">
        <f aca="false">C55*AY55</f>
        <v>3654052.39517881</v>
      </c>
      <c r="E55" s="147" t="n">
        <f aca="false">VLOOKUP($A55,[1]!CurveTable,MATCH($E$4,[1]!CurveType,0))</f>
        <v>4.026</v>
      </c>
      <c r="F55" s="148" t="n">
        <f aca="false">E55-Inputs!$B$16</f>
        <v>4.081</v>
      </c>
      <c r="G55" s="149" t="n">
        <f aca="false">F55</f>
        <v>4.081</v>
      </c>
      <c r="H55" s="147" t="n">
        <f aca="false">VLOOKUP($A55,[1]!CurveTable,MATCH($H$4,[1]!CurveType,0))</f>
        <v>0.18</v>
      </c>
      <c r="I55" s="148" t="n">
        <f aca="false">H55+Inputs!$B$22</f>
        <v>0.18</v>
      </c>
      <c r="J55" s="150" t="n">
        <f aca="false">I55</f>
        <v>0.18</v>
      </c>
      <c r="K55" s="147" t="n">
        <f aca="false">VLOOKUP($A55,[1]!CurveTable,MATCH($K$4,[1]!CurveType,0))</f>
        <v>0</v>
      </c>
      <c r="L55" s="148" t="n">
        <v>0</v>
      </c>
      <c r="M55" s="151" t="n">
        <f aca="false">L55</f>
        <v>0</v>
      </c>
      <c r="N55" s="147" t="n">
        <f aca="false">VLOOKUP($A55,[1]!CurveTable,MATCH($N$4,[1]!CurveType,0))</f>
        <v>0.012</v>
      </c>
      <c r="O55" s="148" t="n">
        <f aca="false">N55+Inputs!$E$22</f>
        <v>0.012</v>
      </c>
      <c r="P55" s="151" t="n">
        <f aca="false">O55</f>
        <v>0.012</v>
      </c>
      <c r="Q55" s="147" t="n">
        <f aca="false">VLOOKUP($A55,[1]!CurveTable,MATCH($Q$4,[1]!CurveType,0))</f>
        <v>0.0075</v>
      </c>
      <c r="R55" s="148" t="n">
        <v>0</v>
      </c>
      <c r="S55" s="151" t="n">
        <f aca="false">R55</f>
        <v>0</v>
      </c>
      <c r="T55" s="152"/>
      <c r="U55" s="153" t="n">
        <f aca="false">G55+J55</f>
        <v>4.261</v>
      </c>
      <c r="V55" s="154"/>
      <c r="W55" s="155" t="n">
        <f aca="false">VLOOKUP($A55,[1]!CurveTable,MATCH($W$4,[1]!CurveType,0))+$W$9</f>
        <v>0.2225</v>
      </c>
      <c r="X55" s="155" t="n">
        <f aca="false">VLOOKUP($A55,[1]!CurveTable,MATCH($X$4,[1]!CurveType,0))+$X$9</f>
        <v>0.2275</v>
      </c>
      <c r="Y55" s="139" t="n">
        <f aca="false">SQRT((X55^2*($A55-$C$3)+W55^2*(DAY(EOMONTH(A55,0))/2))/$AN55)</f>
        <v>0.226707836609271</v>
      </c>
      <c r="Z55" s="152"/>
      <c r="AA55" s="153" t="n">
        <f aca="false">G55+P55+S55</f>
        <v>4.093</v>
      </c>
      <c r="AB55" s="154"/>
      <c r="AC55" s="155" t="n">
        <f aca="false">VLOOKUP($A55,[1]!CurveTable,MATCH($AC$4,[1]!CurveType,0))+$AC$9</f>
        <v>0.2225</v>
      </c>
      <c r="AD55" s="155" t="n">
        <f aca="false">VLOOKUP($A55,[1]!CurveTable,MATCH($AD$4,[1]!CurveType,0))+$AD$9</f>
        <v>0.2275</v>
      </c>
      <c r="AE55" s="139" t="n">
        <f aca="false">SQRT((AD55^2*($A55-$C$3)+AC55^2*(DAY(EOMONTH(A55,0))/2))/$AN55)</f>
        <v>0.226707836609271</v>
      </c>
      <c r="AF55" s="152"/>
      <c r="AG55" s="156" t="n">
        <f aca="false">((Inputs!$F$20*(X55*AD55)*(A55-$C$3))+(Inputs!$F$19*W55*AC55*(DAY(EOMONTH(A55,0))/2)))/(AN55*Y55*AE55)</f>
        <v>0.75</v>
      </c>
      <c r="AH55" s="152"/>
      <c r="AI55" s="140" t="n">
        <f aca="false">Inputs!$B$15</f>
        <v>0.06</v>
      </c>
      <c r="AJ55" s="157"/>
      <c r="AK55" s="140" t="n">
        <f aca="false">IF((U55-AA55-AI55)&lt;0,0,(U55-AA55-AI55))</f>
        <v>0.108</v>
      </c>
      <c r="AL55" s="157"/>
      <c r="AM55" s="158" t="n">
        <f aca="false">WORKDAY(EOMONTH(A55-1,-1),0)</f>
        <v>39478</v>
      </c>
      <c r="AN55" s="159" t="n">
        <f aca="false">AM55-$C$3</f>
        <v>-6448</v>
      </c>
      <c r="AO55" s="159" t="n">
        <f aca="false">AO54</f>
        <v>1</v>
      </c>
      <c r="AP55" s="160"/>
      <c r="AQ55" s="161" t="e">
        <f aca="false">SPRDOPT(U55,AA55,AI55,AX55,X55,AD55,AG55,AN55,AO55,0)</f>
        <v>#NAME?</v>
      </c>
      <c r="AR55" s="162" t="e">
        <f aca="false">AQ55*C55</f>
        <v>#NAME?</v>
      </c>
      <c r="AS55" s="163" t="e">
        <f aca="false">AQ55-AK55</f>
        <v>#NAME?</v>
      </c>
      <c r="AU55" s="112" t="n">
        <f aca="false">A56-A55</f>
        <v>31</v>
      </c>
      <c r="AV55" s="164" t="n">
        <f aca="false">CHOOSE(F$3,A56+24,A55+14)</f>
        <v>39522</v>
      </c>
      <c r="AW55" s="49" t="n">
        <f aca="false">AV55-C$3</f>
        <v>-6404</v>
      </c>
      <c r="AX55" s="155" t="n">
        <f aca="false">VLOOKUP($A55,[1]!CurveTable,MATCH(AX$4,[1]!CurveType,0))</f>
        <v>0.0495148941300871</v>
      </c>
      <c r="AY55" s="165" t="n">
        <f aca="false">1/(1+CHOOSE(F$3,(AX56+(Inputs!$B$14/10000))/2,(AX55+(Inputs!$B$14/10000))/2))^(2*AW55/365.25)</f>
        <v>2.35745315817988</v>
      </c>
      <c r="AZ55" s="49" t="n">
        <f aca="false">IF(AND(mthbeg&lt;=A55,mthend&gt;=A55),1,0)</f>
        <v>1</v>
      </c>
      <c r="BA55" s="111" t="n">
        <f aca="false">AU55*AZ55</f>
        <v>31</v>
      </c>
      <c r="BC55" s="142" t="n">
        <f aca="false">E55*$D55</f>
        <v>14711214.9429899</v>
      </c>
      <c r="BD55" s="142" t="n">
        <f aca="false">F55*$D55</f>
        <v>14912187.8247247</v>
      </c>
      <c r="BE55" s="142" t="n">
        <f aca="false">G55*$D55</f>
        <v>14912187.8247247</v>
      </c>
      <c r="BF55" s="142" t="n">
        <f aca="false">H55*$D55</f>
        <v>657729.431132186</v>
      </c>
      <c r="BG55" s="142" t="n">
        <f aca="false">I55*$D55</f>
        <v>657729.431132186</v>
      </c>
      <c r="BH55" s="142" t="n">
        <f aca="false">J55*$D55</f>
        <v>657729.431132186</v>
      </c>
      <c r="BI55" s="142" t="n">
        <f aca="false">K55*$D55</f>
        <v>0</v>
      </c>
      <c r="BJ55" s="142" t="n">
        <f aca="false">L55*$D55</f>
        <v>0</v>
      </c>
      <c r="BK55" s="142" t="n">
        <f aca="false">M55*$D55</f>
        <v>0</v>
      </c>
      <c r="BL55" s="142" t="n">
        <f aca="false">N55*$D55</f>
        <v>43848.6287421457</v>
      </c>
      <c r="BM55" s="142" t="n">
        <f aca="false">O55*$D55</f>
        <v>43848.6287421457</v>
      </c>
      <c r="BN55" s="142" t="n">
        <f aca="false">P55*$D55</f>
        <v>43848.6287421457</v>
      </c>
      <c r="BO55" s="142" t="n">
        <f aca="false">Q55*$D55</f>
        <v>27405.3929638411</v>
      </c>
      <c r="BP55" s="142" t="n">
        <f aca="false">R55*$D55</f>
        <v>0</v>
      </c>
      <c r="BQ55" s="142" t="n">
        <f aca="false">S55*$D55</f>
        <v>0</v>
      </c>
      <c r="BR55" s="142" t="n">
        <f aca="false">U55*$D55</f>
        <v>15569917.2558569</v>
      </c>
      <c r="BS55" s="142" t="n">
        <f aca="false">AA55*$D55</f>
        <v>14956036.4534669</v>
      </c>
      <c r="BT55" s="142" t="n">
        <f aca="false">AI55*$D55</f>
        <v>219243.143710729</v>
      </c>
      <c r="BU55" s="142" t="n">
        <f aca="false">AK55*D55</f>
        <v>394637.658679312</v>
      </c>
    </row>
    <row r="56" customFormat="false" ht="12.75" hidden="false" customHeight="false" outlineLevel="0" collapsed="false">
      <c r="A56" s="144" t="n">
        <f aca="false">EDATE(A55,1)</f>
        <v>39539</v>
      </c>
      <c r="B56" s="145" t="n">
        <f aca="false">Inputs!$B$8</f>
        <v>50000</v>
      </c>
      <c r="C56" s="146" t="n">
        <f aca="false">IF(AZ56=0,0,IF(AND(AZ56=1,$H$3=1),B56*AU56,IF($H$3=2,B56,"N/A")))</f>
        <v>1500000</v>
      </c>
      <c r="D56" s="146" t="n">
        <f aca="false">C56*AY56</f>
        <v>3532951.40607701</v>
      </c>
      <c r="E56" s="147" t="n">
        <f aca="false">VLOOKUP($A56,[1]!CurveTable,MATCH($E$4,[1]!CurveType,0))</f>
        <v>3.872</v>
      </c>
      <c r="F56" s="148" t="n">
        <f aca="false">E56-Inputs!$B$16</f>
        <v>3.927</v>
      </c>
      <c r="G56" s="149" t="n">
        <f aca="false">F56</f>
        <v>3.927</v>
      </c>
      <c r="H56" s="147" t="n">
        <f aca="false">VLOOKUP($A56,[1]!CurveTable,MATCH($H$4,[1]!CurveType,0))</f>
        <v>0.55</v>
      </c>
      <c r="I56" s="148" t="n">
        <f aca="false">H56+Inputs!$B$22</f>
        <v>0.55</v>
      </c>
      <c r="J56" s="150" t="n">
        <f aca="false">I56</f>
        <v>0.55</v>
      </c>
      <c r="K56" s="147" t="n">
        <f aca="false">VLOOKUP($A56,[1]!CurveTable,MATCH($K$4,[1]!CurveType,0))</f>
        <v>0</v>
      </c>
      <c r="L56" s="148" t="n">
        <v>0</v>
      </c>
      <c r="M56" s="151" t="n">
        <f aca="false">L56</f>
        <v>0</v>
      </c>
      <c r="N56" s="147" t="n">
        <f aca="false">VLOOKUP($A56,[1]!CurveTable,MATCH($N$4,[1]!CurveType,0))</f>
        <v>0.012</v>
      </c>
      <c r="O56" s="148" t="n">
        <f aca="false">N56+Inputs!$E$22</f>
        <v>0.012</v>
      </c>
      <c r="P56" s="151" t="n">
        <f aca="false">O56</f>
        <v>0.012</v>
      </c>
      <c r="Q56" s="147" t="n">
        <f aca="false">VLOOKUP($A56,[1]!CurveTable,MATCH($Q$4,[1]!CurveType,0))</f>
        <v>0.01</v>
      </c>
      <c r="R56" s="148" t="n">
        <v>0</v>
      </c>
      <c r="S56" s="151" t="n">
        <f aca="false">R56</f>
        <v>0</v>
      </c>
      <c r="T56" s="152"/>
      <c r="U56" s="153" t="n">
        <f aca="false">G56+J56</f>
        <v>4.477</v>
      </c>
      <c r="V56" s="154"/>
      <c r="W56" s="155" t="n">
        <f aca="false">VLOOKUP($A56,[1]!CurveTable,MATCH($W$4,[1]!CurveType,0))+$W$9</f>
        <v>0.2225</v>
      </c>
      <c r="X56" s="155" t="n">
        <f aca="false">VLOOKUP($A56,[1]!CurveTable,MATCH($X$4,[1]!CurveType,0))+$X$9</f>
        <v>0.2275</v>
      </c>
      <c r="Y56" s="139" t="n">
        <f aca="false">SQRT((X56^2*($A56-$C$3)+W56^2*(DAY(EOMONTH(A56,0))/2))/$AN56)</f>
        <v>0.22667718876115</v>
      </c>
      <c r="Z56" s="152"/>
      <c r="AA56" s="153" t="n">
        <f aca="false">G56+P56+S56</f>
        <v>3.939</v>
      </c>
      <c r="AB56" s="154"/>
      <c r="AC56" s="155" t="n">
        <f aca="false">VLOOKUP($A56,[1]!CurveTable,MATCH($AC$4,[1]!CurveType,0))+$AC$9</f>
        <v>0.2225</v>
      </c>
      <c r="AD56" s="155" t="n">
        <f aca="false">VLOOKUP($A56,[1]!CurveTable,MATCH($AD$4,[1]!CurveType,0))+$AD$9</f>
        <v>0.2275</v>
      </c>
      <c r="AE56" s="139" t="n">
        <f aca="false">SQRT((AD56^2*($A56-$C$3)+AC56^2*(DAY(EOMONTH(A56,0))/2))/$AN56)</f>
        <v>0.22667718876115</v>
      </c>
      <c r="AF56" s="152"/>
      <c r="AG56" s="156" t="n">
        <f aca="false">((Inputs!$F$20*(X56*AD56)*(A56-$C$3))+(Inputs!$F$19*W56*AC56*(DAY(EOMONTH(A56,0))/2)))/(AN56*Y56*AE56)</f>
        <v>0.75</v>
      </c>
      <c r="AH56" s="152"/>
      <c r="AI56" s="140" t="n">
        <f aca="false">Inputs!$B$15</f>
        <v>0.06</v>
      </c>
      <c r="AJ56" s="157"/>
      <c r="AK56" s="140" t="n">
        <f aca="false">IF((U56-AA56-AI56)&lt;0,0,(U56-AA56-AI56))</f>
        <v>0.478</v>
      </c>
      <c r="AL56" s="157"/>
      <c r="AM56" s="158" t="n">
        <f aca="false">WORKDAY(EOMONTH(A56-1,-1),0)</f>
        <v>39507</v>
      </c>
      <c r="AN56" s="159" t="n">
        <f aca="false">AM56-$C$3</f>
        <v>-6419</v>
      </c>
      <c r="AO56" s="159" t="n">
        <f aca="false">AO55</f>
        <v>1</v>
      </c>
      <c r="AP56" s="160"/>
      <c r="AQ56" s="161" t="e">
        <f aca="false">SPRDOPT(U56,AA56,AI56,AX56,X56,AD56,AG56,AN56,AO56,0)</f>
        <v>#NAME?</v>
      </c>
      <c r="AR56" s="162" t="e">
        <f aca="false">AQ56*C56</f>
        <v>#NAME?</v>
      </c>
      <c r="AS56" s="163" t="e">
        <f aca="false">AQ56-AK56</f>
        <v>#NAME?</v>
      </c>
      <c r="AU56" s="112" t="n">
        <f aca="false">A57-A56</f>
        <v>30</v>
      </c>
      <c r="AV56" s="164" t="n">
        <f aca="false">CHOOSE(F$3,A57+24,A56+14)</f>
        <v>39553</v>
      </c>
      <c r="AW56" s="49" t="n">
        <f aca="false">AV56-C$3</f>
        <v>-6373</v>
      </c>
      <c r="AX56" s="155" t="n">
        <f aca="false">VLOOKUP($A56,[1]!CurveTable,MATCH(AX$4,[1]!CurveType,0))</f>
        <v>0.0497050714273222</v>
      </c>
      <c r="AY56" s="165" t="n">
        <f aca="false">1/(1+CHOOSE(F$3,(AX57+(Inputs!$B$14/10000))/2,(AX56+(Inputs!$B$14/10000))/2))^(2*AW56/365.25)</f>
        <v>2.35530093738467</v>
      </c>
      <c r="AZ56" s="49" t="n">
        <f aca="false">IF(AND(mthbeg&lt;=A56,mthend&gt;=A56),1,0)</f>
        <v>1</v>
      </c>
      <c r="BA56" s="111" t="n">
        <f aca="false">AU56*AZ56</f>
        <v>30</v>
      </c>
      <c r="BC56" s="142" t="n">
        <f aca="false">E56*$D56</f>
        <v>13679587.8443302</v>
      </c>
      <c r="BD56" s="142" t="n">
        <f aca="false">F56*$D56</f>
        <v>13873900.1716644</v>
      </c>
      <c r="BE56" s="142" t="n">
        <f aca="false">G56*$D56</f>
        <v>13873900.1716644</v>
      </c>
      <c r="BF56" s="142" t="n">
        <f aca="false">H56*$D56</f>
        <v>1943123.27334235</v>
      </c>
      <c r="BG56" s="142" t="n">
        <f aca="false">I56*$D56</f>
        <v>1943123.27334235</v>
      </c>
      <c r="BH56" s="142" t="n">
        <f aca="false">J56*$D56</f>
        <v>1943123.27334235</v>
      </c>
      <c r="BI56" s="142" t="n">
        <f aca="false">K56*$D56</f>
        <v>0</v>
      </c>
      <c r="BJ56" s="142" t="n">
        <f aca="false">L56*$D56</f>
        <v>0</v>
      </c>
      <c r="BK56" s="142" t="n">
        <f aca="false">M56*$D56</f>
        <v>0</v>
      </c>
      <c r="BL56" s="142" t="n">
        <f aca="false">N56*$D56</f>
        <v>42395.4168729241</v>
      </c>
      <c r="BM56" s="142" t="n">
        <f aca="false">O56*$D56</f>
        <v>42395.4168729241</v>
      </c>
      <c r="BN56" s="142" t="n">
        <f aca="false">P56*$D56</f>
        <v>42395.4168729241</v>
      </c>
      <c r="BO56" s="142" t="n">
        <f aca="false">Q56*$D56</f>
        <v>35329.5140607701</v>
      </c>
      <c r="BP56" s="142" t="n">
        <f aca="false">R56*$D56</f>
        <v>0</v>
      </c>
      <c r="BQ56" s="142" t="n">
        <f aca="false">S56*$D56</f>
        <v>0</v>
      </c>
      <c r="BR56" s="142" t="n">
        <f aca="false">U56*$D56</f>
        <v>15817023.4450068</v>
      </c>
      <c r="BS56" s="142" t="n">
        <f aca="false">AA56*$D56</f>
        <v>13916295.5885373</v>
      </c>
      <c r="BT56" s="142" t="n">
        <f aca="false">AI56*$D56</f>
        <v>211977.08436462</v>
      </c>
      <c r="BU56" s="142" t="n">
        <f aca="false">AK56*D56</f>
        <v>1688750.77210481</v>
      </c>
    </row>
    <row r="57" customFormat="false" ht="12.75" hidden="false" customHeight="false" outlineLevel="0" collapsed="false">
      <c r="A57" s="144" t="n">
        <f aca="false">EDATE(A56,1)</f>
        <v>39569</v>
      </c>
      <c r="B57" s="145" t="n">
        <f aca="false">Inputs!$B$8</f>
        <v>50000</v>
      </c>
      <c r="C57" s="146" t="n">
        <f aca="false">IF(AZ57=0,0,IF(AND(AZ57=1,$H$3=1),B57*AU57,IF($H$3=2,B57,"N/A")))</f>
        <v>1550000</v>
      </c>
      <c r="D57" s="146" t="n">
        <f aca="false">C57*AY57</f>
        <v>3647380.5871495</v>
      </c>
      <c r="E57" s="147" t="n">
        <f aca="false">VLOOKUP($A57,[1]!CurveTable,MATCH($E$4,[1]!CurveType,0))</f>
        <v>3.877</v>
      </c>
      <c r="F57" s="148" t="n">
        <f aca="false">E57-Inputs!$B$16</f>
        <v>3.932</v>
      </c>
      <c r="G57" s="149" t="n">
        <f aca="false">F57</f>
        <v>3.932</v>
      </c>
      <c r="H57" s="147" t="n">
        <f aca="false">VLOOKUP($A57,[1]!CurveTable,MATCH($H$4,[1]!CurveType,0))</f>
        <v>0.7</v>
      </c>
      <c r="I57" s="148" t="n">
        <f aca="false">H57+Inputs!$B$22</f>
        <v>0.7</v>
      </c>
      <c r="J57" s="150" t="n">
        <f aca="false">I57</f>
        <v>0.7</v>
      </c>
      <c r="K57" s="147" t="n">
        <f aca="false">VLOOKUP($A57,[1]!CurveTable,MATCH($K$4,[1]!CurveType,0))</f>
        <v>0</v>
      </c>
      <c r="L57" s="148" t="n">
        <v>0</v>
      </c>
      <c r="M57" s="151" t="n">
        <f aca="false">L57</f>
        <v>0</v>
      </c>
      <c r="N57" s="147" t="n">
        <f aca="false">VLOOKUP($A57,[1]!CurveTable,MATCH($N$4,[1]!CurveType,0))</f>
        <v>0.0145</v>
      </c>
      <c r="O57" s="148" t="n">
        <f aca="false">N57+Inputs!$E$22</f>
        <v>0.0145</v>
      </c>
      <c r="P57" s="151" t="n">
        <f aca="false">O57</f>
        <v>0.0145</v>
      </c>
      <c r="Q57" s="147" t="n">
        <f aca="false">VLOOKUP($A57,[1]!CurveTable,MATCH($Q$4,[1]!CurveType,0))</f>
        <v>0.01</v>
      </c>
      <c r="R57" s="148" t="n">
        <v>0</v>
      </c>
      <c r="S57" s="151" t="n">
        <f aca="false">R57</f>
        <v>0</v>
      </c>
      <c r="T57" s="152"/>
      <c r="U57" s="153" t="n">
        <f aca="false">G57+J57</f>
        <v>4.632</v>
      </c>
      <c r="V57" s="154"/>
      <c r="W57" s="155" t="n">
        <f aca="false">VLOOKUP($A57,[1]!CurveTable,MATCH($W$4,[1]!CurveType,0))+$W$9</f>
        <v>0.445</v>
      </c>
      <c r="X57" s="155" t="n">
        <f aca="false">VLOOKUP($A57,[1]!CurveTable,MATCH($X$4,[1]!CurveType,0))+$X$9</f>
        <v>0.45</v>
      </c>
      <c r="Y57" s="139" t="n">
        <f aca="false">SQRT((X57^2*($A57-$C$3)+W57^2*(DAY(EOMONTH(A57,0))/2))/$AN57)</f>
        <v>0.448371280679454</v>
      </c>
      <c r="Z57" s="152"/>
      <c r="AA57" s="153" t="n">
        <f aca="false">G57+P57+S57</f>
        <v>3.9465</v>
      </c>
      <c r="AB57" s="154"/>
      <c r="AC57" s="155" t="n">
        <f aca="false">VLOOKUP($A57,[1]!CurveTable,MATCH($AC$4,[1]!CurveType,0))+$AC$9</f>
        <v>0.2225</v>
      </c>
      <c r="AD57" s="155" t="n">
        <f aca="false">VLOOKUP($A57,[1]!CurveTable,MATCH($AD$4,[1]!CurveType,0))+$AD$9</f>
        <v>0.2275</v>
      </c>
      <c r="AE57" s="139" t="n">
        <f aca="false">SQRT((AD57^2*($A57-$C$3)+AC57^2*(DAY(EOMONTH(A57,0))/2))/$AN57)</f>
        <v>0.226682512666942</v>
      </c>
      <c r="AF57" s="152"/>
      <c r="AG57" s="156" t="n">
        <f aca="false">((Inputs!$F$20*(X57*AD57)*(A57-$C$3))+(Inputs!$F$19*W57*AC57*(DAY(EOMONTH(A57,0))/2)))/(AN57*Y57*AE57)</f>
        <v>0.750000108486016</v>
      </c>
      <c r="AH57" s="152"/>
      <c r="AI57" s="140" t="n">
        <f aca="false">Inputs!$B$15</f>
        <v>0.06</v>
      </c>
      <c r="AJ57" s="157"/>
      <c r="AK57" s="140" t="n">
        <f aca="false">IF((U57-AA57-AI57)&lt;0,0,(U57-AA57-AI57))</f>
        <v>0.6255</v>
      </c>
      <c r="AL57" s="157"/>
      <c r="AM57" s="158" t="n">
        <f aca="false">WORKDAY(EOMONTH(A57-1,-1),0)</f>
        <v>39538</v>
      </c>
      <c r="AN57" s="159" t="n">
        <f aca="false">AM57-$C$3</f>
        <v>-6388</v>
      </c>
      <c r="AO57" s="159" t="n">
        <f aca="false">AO56</f>
        <v>1</v>
      </c>
      <c r="AP57" s="160"/>
      <c r="AQ57" s="161" t="e">
        <f aca="false">SPRDOPT(U57,AA57,AI57,AX57,X57,AD57,AG57,AN57,AO57,0)</f>
        <v>#NAME?</v>
      </c>
      <c r="AR57" s="162" t="e">
        <f aca="false">AQ57*C57</f>
        <v>#NAME?</v>
      </c>
      <c r="AS57" s="163" t="e">
        <f aca="false">AQ57-AK57</f>
        <v>#NAME?</v>
      </c>
      <c r="AU57" s="112" t="n">
        <f aca="false">A58-A57</f>
        <v>31</v>
      </c>
      <c r="AV57" s="164" t="n">
        <f aca="false">CHOOSE(F$3,A58+24,A57+14)</f>
        <v>39583</v>
      </c>
      <c r="AW57" s="49" t="n">
        <f aca="false">AV57-C$3</f>
        <v>-6343</v>
      </c>
      <c r="AX57" s="155" t="n">
        <f aca="false">VLOOKUP($A57,[1]!CurveTable,MATCH(AX$4,[1]!CurveType,0))</f>
        <v>0.0498891139845323</v>
      </c>
      <c r="AY57" s="165" t="n">
        <f aca="false">1/(1+CHOOSE(F$3,(AX58+(Inputs!$B$14/10000))/2,(AX57+(Inputs!$B$14/10000))/2))^(2*AW57/365.25)</f>
        <v>2.3531487659029</v>
      </c>
      <c r="AZ57" s="49" t="n">
        <f aca="false">IF(AND(mthbeg&lt;=A57,mthend&gt;=A57),1,0)</f>
        <v>1</v>
      </c>
      <c r="BA57" s="111" t="n">
        <f aca="false">AU57*AZ57</f>
        <v>31</v>
      </c>
      <c r="BC57" s="142" t="n">
        <f aca="false">E57*$D57</f>
        <v>14140894.5363786</v>
      </c>
      <c r="BD57" s="142" t="n">
        <f aca="false">F57*$D57</f>
        <v>14341500.4686718</v>
      </c>
      <c r="BE57" s="142" t="n">
        <f aca="false">G57*$D57</f>
        <v>14341500.4686718</v>
      </c>
      <c r="BF57" s="142" t="n">
        <f aca="false">H57*$D57</f>
        <v>2553166.41100465</v>
      </c>
      <c r="BG57" s="142" t="n">
        <f aca="false">I57*$D57</f>
        <v>2553166.41100465</v>
      </c>
      <c r="BH57" s="142" t="n">
        <f aca="false">J57*$D57</f>
        <v>2553166.41100465</v>
      </c>
      <c r="BI57" s="142" t="n">
        <f aca="false">K57*$D57</f>
        <v>0</v>
      </c>
      <c r="BJ57" s="142" t="n">
        <f aca="false">L57*$D57</f>
        <v>0</v>
      </c>
      <c r="BK57" s="142" t="n">
        <f aca="false">M57*$D57</f>
        <v>0</v>
      </c>
      <c r="BL57" s="142" t="n">
        <f aca="false">N57*$D57</f>
        <v>52887.0185136678</v>
      </c>
      <c r="BM57" s="142" t="n">
        <f aca="false">O57*$D57</f>
        <v>52887.0185136678</v>
      </c>
      <c r="BN57" s="142" t="n">
        <f aca="false">P57*$D57</f>
        <v>52887.0185136678</v>
      </c>
      <c r="BO57" s="142" t="n">
        <f aca="false">Q57*$D57</f>
        <v>36473.805871495</v>
      </c>
      <c r="BP57" s="142" t="n">
        <f aca="false">R57*$D57</f>
        <v>0</v>
      </c>
      <c r="BQ57" s="142" t="n">
        <f aca="false">S57*$D57</f>
        <v>0</v>
      </c>
      <c r="BR57" s="142" t="n">
        <f aca="false">U57*$D57</f>
        <v>16894666.8796765</v>
      </c>
      <c r="BS57" s="142" t="n">
        <f aca="false">AA57*$D57</f>
        <v>14394387.4871855</v>
      </c>
      <c r="BT57" s="142" t="n">
        <f aca="false">AI57*$D57</f>
        <v>218842.83522897</v>
      </c>
      <c r="BU57" s="142" t="n">
        <f aca="false">AK57*D57</f>
        <v>2281436.55726201</v>
      </c>
    </row>
    <row r="58" customFormat="false" ht="12.75" hidden="false" customHeight="false" outlineLevel="0" collapsed="false">
      <c r="A58" s="144" t="n">
        <f aca="false">EDATE(A57,1)</f>
        <v>39600</v>
      </c>
      <c r="B58" s="145" t="n">
        <f aca="false">Inputs!$B$8</f>
        <v>50000</v>
      </c>
      <c r="C58" s="146" t="n">
        <f aca="false">IF(AZ58=0,0,IF(AND(AZ58=1,$H$3=1),B58*AU58,IF($H$3=2,B58,"N/A")))</f>
        <v>1500000</v>
      </c>
      <c r="D58" s="146" t="n">
        <f aca="false">C58*AY58</f>
        <v>3526280.07051253</v>
      </c>
      <c r="E58" s="147" t="n">
        <f aca="false">VLOOKUP($A58,[1]!CurveTable,MATCH($E$4,[1]!CurveType,0))</f>
        <v>3.915</v>
      </c>
      <c r="F58" s="148" t="n">
        <f aca="false">E58-Inputs!$B$16</f>
        <v>3.97</v>
      </c>
      <c r="G58" s="149" t="n">
        <f aca="false">F58</f>
        <v>3.97</v>
      </c>
      <c r="H58" s="147" t="n">
        <f aca="false">VLOOKUP($A58,[1]!CurveTable,MATCH($H$4,[1]!CurveType,0))</f>
        <v>0.8</v>
      </c>
      <c r="I58" s="148" t="n">
        <f aca="false">H58+Inputs!$B$22</f>
        <v>0.8</v>
      </c>
      <c r="J58" s="150" t="n">
        <f aca="false">I58</f>
        <v>0.8</v>
      </c>
      <c r="K58" s="147" t="n">
        <f aca="false">VLOOKUP($A58,[1]!CurveTable,MATCH($K$4,[1]!CurveType,0))</f>
        <v>0</v>
      </c>
      <c r="L58" s="148" t="n">
        <v>0</v>
      </c>
      <c r="M58" s="151" t="n">
        <f aca="false">L58</f>
        <v>0</v>
      </c>
      <c r="N58" s="147" t="n">
        <f aca="false">VLOOKUP($A58,[1]!CurveTable,MATCH($N$4,[1]!CurveType,0))</f>
        <v>0.012</v>
      </c>
      <c r="O58" s="148" t="n">
        <f aca="false">N58+Inputs!$E$22</f>
        <v>0.012</v>
      </c>
      <c r="P58" s="151" t="n">
        <f aca="false">O58</f>
        <v>0.012</v>
      </c>
      <c r="Q58" s="147" t="n">
        <f aca="false">VLOOKUP($A58,[1]!CurveTable,MATCH($Q$4,[1]!CurveType,0))</f>
        <v>0.01</v>
      </c>
      <c r="R58" s="148" t="n">
        <v>0</v>
      </c>
      <c r="S58" s="151" t="n">
        <f aca="false">R58</f>
        <v>0</v>
      </c>
      <c r="T58" s="152"/>
      <c r="U58" s="153" t="n">
        <f aca="false">G58+J58</f>
        <v>4.77</v>
      </c>
      <c r="V58" s="154"/>
      <c r="W58" s="155" t="n">
        <f aca="false">VLOOKUP($A58,[1]!CurveTable,MATCH($W$4,[1]!CurveType,0))+$W$9</f>
        <v>0.445</v>
      </c>
      <c r="X58" s="155" t="n">
        <f aca="false">VLOOKUP($A58,[1]!CurveTable,MATCH($X$4,[1]!CurveType,0))+$X$9</f>
        <v>0.45</v>
      </c>
      <c r="Y58" s="139" t="n">
        <f aca="false">SQRT((X58^2*($A58-$C$3)+W58^2*(DAY(EOMONTH(A58,0))/2))/$AN58)</f>
        <v>0.448345429961625</v>
      </c>
      <c r="Z58" s="152"/>
      <c r="AA58" s="153" t="n">
        <f aca="false">G58+P58+S58</f>
        <v>3.982</v>
      </c>
      <c r="AB58" s="154"/>
      <c r="AC58" s="155" t="n">
        <f aca="false">VLOOKUP($A58,[1]!CurveTable,MATCH($AC$4,[1]!CurveType,0))+$AC$9</f>
        <v>0.2225</v>
      </c>
      <c r="AD58" s="155" t="n">
        <f aca="false">VLOOKUP($A58,[1]!CurveTable,MATCH($AD$4,[1]!CurveType,0))+$AD$9</f>
        <v>0.2275</v>
      </c>
      <c r="AE58" s="139" t="n">
        <f aca="false">SQRT((AD58^2*($A58-$C$3)+AC58^2*(DAY(EOMONTH(A58,0))/2))/$AN58)</f>
        <v>0.226669280070159</v>
      </c>
      <c r="AF58" s="152"/>
      <c r="AG58" s="156" t="n">
        <f aca="false">((Inputs!$F$20*(X58*AD58)*(A58-$C$3))+(Inputs!$F$19*W58*AC58*(DAY(EOMONTH(A58,0))/2)))/(AN58*Y58*AE58)</f>
        <v>0.750000105487221</v>
      </c>
      <c r="AH58" s="152"/>
      <c r="AI58" s="140" t="n">
        <f aca="false">Inputs!$B$15</f>
        <v>0.06</v>
      </c>
      <c r="AJ58" s="157"/>
      <c r="AK58" s="140" t="n">
        <f aca="false">IF((U58-AA58-AI58)&lt;0,0,(U58-AA58-AI58))</f>
        <v>0.728</v>
      </c>
      <c r="AL58" s="157"/>
      <c r="AM58" s="158" t="n">
        <f aca="false">WORKDAY(EOMONTH(A58-1,-1),0)</f>
        <v>39568</v>
      </c>
      <c r="AN58" s="159" t="n">
        <f aca="false">AM58-$C$3</f>
        <v>-6358</v>
      </c>
      <c r="AO58" s="159" t="n">
        <f aca="false">AO57</f>
        <v>1</v>
      </c>
      <c r="AP58" s="160"/>
      <c r="AQ58" s="161" t="e">
        <f aca="false">SPRDOPT(U58,AA58,AI58,AX58,X58,AD58,AG58,AN58,AO58,0)</f>
        <v>#NAME?</v>
      </c>
      <c r="AR58" s="162" t="e">
        <f aca="false">AQ58*C58</f>
        <v>#NAME?</v>
      </c>
      <c r="AS58" s="163" t="e">
        <f aca="false">AQ58-AK58</f>
        <v>#NAME?</v>
      </c>
      <c r="AU58" s="112" t="n">
        <f aca="false">A59-A58</f>
        <v>30</v>
      </c>
      <c r="AV58" s="164" t="n">
        <f aca="false">CHOOSE(F$3,A59+24,A58+14)</f>
        <v>39614</v>
      </c>
      <c r="AW58" s="49" t="n">
        <f aca="false">AV58-C$3</f>
        <v>-6312</v>
      </c>
      <c r="AX58" s="155" t="n">
        <f aca="false">VLOOKUP($A58,[1]!CurveTable,MATCH(AX$4,[1]!CurveType,0))</f>
        <v>0.0500792913055306</v>
      </c>
      <c r="AY58" s="165" t="n">
        <f aca="false">1/(1+CHOOSE(F$3,(AX59+(Inputs!$B$14/10000))/2,(AX58+(Inputs!$B$14/10000))/2))^(2*AW58/365.25)</f>
        <v>2.35085338034169</v>
      </c>
      <c r="AZ58" s="49" t="n">
        <f aca="false">IF(AND(mthbeg&lt;=A58,mthend&gt;=A58),1,0)</f>
        <v>1</v>
      </c>
      <c r="BA58" s="111" t="n">
        <f aca="false">AU58*AZ58</f>
        <v>30</v>
      </c>
      <c r="BC58" s="142" t="n">
        <f aca="false">E58*$D58</f>
        <v>13805386.4760566</v>
      </c>
      <c r="BD58" s="142" t="n">
        <f aca="false">F58*$D58</f>
        <v>13999331.8799348</v>
      </c>
      <c r="BE58" s="142" t="n">
        <f aca="false">G58*$D58</f>
        <v>13999331.8799348</v>
      </c>
      <c r="BF58" s="142" t="n">
        <f aca="false">H58*$D58</f>
        <v>2821024.05641003</v>
      </c>
      <c r="BG58" s="142" t="n">
        <f aca="false">I58*$D58</f>
        <v>2821024.05641003</v>
      </c>
      <c r="BH58" s="142" t="n">
        <f aca="false">J58*$D58</f>
        <v>2821024.05641003</v>
      </c>
      <c r="BI58" s="142" t="n">
        <f aca="false">K58*$D58</f>
        <v>0</v>
      </c>
      <c r="BJ58" s="142" t="n">
        <f aca="false">L58*$D58</f>
        <v>0</v>
      </c>
      <c r="BK58" s="142" t="n">
        <f aca="false">M58*$D58</f>
        <v>0</v>
      </c>
      <c r="BL58" s="142" t="n">
        <f aca="false">N58*$D58</f>
        <v>42315.3608461504</v>
      </c>
      <c r="BM58" s="142" t="n">
        <f aca="false">O58*$D58</f>
        <v>42315.3608461504</v>
      </c>
      <c r="BN58" s="142" t="n">
        <f aca="false">P58*$D58</f>
        <v>42315.3608461504</v>
      </c>
      <c r="BO58" s="142" t="n">
        <f aca="false">Q58*$D58</f>
        <v>35262.8007051253</v>
      </c>
      <c r="BP58" s="142" t="n">
        <f aca="false">R58*$D58</f>
        <v>0</v>
      </c>
      <c r="BQ58" s="142" t="n">
        <f aca="false">S58*$D58</f>
        <v>0</v>
      </c>
      <c r="BR58" s="142" t="n">
        <f aca="false">U58*$D58</f>
        <v>16820355.9363448</v>
      </c>
      <c r="BS58" s="142" t="n">
        <f aca="false">AA58*$D58</f>
        <v>14041647.2407809</v>
      </c>
      <c r="BT58" s="142" t="n">
        <f aca="false">AI58*$D58</f>
        <v>211576.804230752</v>
      </c>
      <c r="BU58" s="142" t="n">
        <f aca="false">AK58*D58</f>
        <v>2567131.89133312</v>
      </c>
    </row>
    <row r="59" customFormat="false" ht="12.75" hidden="false" customHeight="false" outlineLevel="0" collapsed="false">
      <c r="A59" s="144" t="n">
        <f aca="false">EDATE(A58,1)</f>
        <v>39630</v>
      </c>
      <c r="B59" s="145" t="n">
        <f aca="false">Inputs!$B$8</f>
        <v>50000</v>
      </c>
      <c r="C59" s="146" t="n">
        <f aca="false">IF(AZ59=0,0,IF(AND(AZ59=1,$H$3=1),B59*AU59,IF($H$3=2,B59,"N/A")))</f>
        <v>1550000</v>
      </c>
      <c r="D59" s="146" t="n">
        <f aca="false">C59*AY59</f>
        <v>3640272.77669431</v>
      </c>
      <c r="E59" s="147" t="n">
        <f aca="false">VLOOKUP($A59,[1]!CurveTable,MATCH($E$4,[1]!CurveType,0))</f>
        <v>3.96</v>
      </c>
      <c r="F59" s="148" t="n">
        <f aca="false">E59-Inputs!$B$16</f>
        <v>4.015</v>
      </c>
      <c r="G59" s="149" t="n">
        <f aca="false">F59</f>
        <v>4.015</v>
      </c>
      <c r="H59" s="147" t="n">
        <f aca="false">VLOOKUP($A59,[1]!CurveTable,MATCH($H$4,[1]!CurveType,0))</f>
        <v>1</v>
      </c>
      <c r="I59" s="148" t="n">
        <f aca="false">H59+Inputs!$B$22</f>
        <v>1</v>
      </c>
      <c r="J59" s="150" t="n">
        <f aca="false">I59</f>
        <v>1</v>
      </c>
      <c r="K59" s="147" t="n">
        <f aca="false">VLOOKUP($A59,[1]!CurveTable,MATCH($K$4,[1]!CurveType,0))</f>
        <v>0</v>
      </c>
      <c r="L59" s="148" t="n">
        <v>0</v>
      </c>
      <c r="M59" s="151" t="n">
        <f aca="false">L59</f>
        <v>0</v>
      </c>
      <c r="N59" s="147" t="n">
        <f aca="false">VLOOKUP($A59,[1]!CurveTable,MATCH($N$4,[1]!CurveType,0))</f>
        <v>0.0095</v>
      </c>
      <c r="O59" s="148" t="n">
        <f aca="false">N59+Inputs!$E$22</f>
        <v>0.0095</v>
      </c>
      <c r="P59" s="151" t="n">
        <f aca="false">O59</f>
        <v>0.0095</v>
      </c>
      <c r="Q59" s="147" t="n">
        <f aca="false">VLOOKUP($A59,[1]!CurveTable,MATCH($Q$4,[1]!CurveType,0))</f>
        <v>0.01</v>
      </c>
      <c r="R59" s="148" t="n">
        <v>0</v>
      </c>
      <c r="S59" s="151" t="n">
        <f aca="false">R59</f>
        <v>0</v>
      </c>
      <c r="T59" s="152"/>
      <c r="U59" s="153" t="n">
        <f aca="false">G59+J59</f>
        <v>5.015</v>
      </c>
      <c r="V59" s="154"/>
      <c r="W59" s="155" t="n">
        <f aca="false">VLOOKUP($A59,[1]!CurveTable,MATCH($W$4,[1]!CurveType,0))+$W$9</f>
        <v>0.44</v>
      </c>
      <c r="X59" s="155" t="n">
        <f aca="false">VLOOKUP($A59,[1]!CurveTable,MATCH($X$4,[1]!CurveType,0))+$X$9</f>
        <v>0.445</v>
      </c>
      <c r="Y59" s="139" t="n">
        <f aca="false">SQRT((X59^2*($A59-$C$3)+W59^2*(DAY(EOMONTH(A59,0))/2))/$AN59)</f>
        <v>0.443373955792626</v>
      </c>
      <c r="Z59" s="152"/>
      <c r="AA59" s="153" t="n">
        <f aca="false">G59+P59+S59</f>
        <v>4.0245</v>
      </c>
      <c r="AB59" s="154"/>
      <c r="AC59" s="155" t="n">
        <f aca="false">VLOOKUP($A59,[1]!CurveTable,MATCH($AC$4,[1]!CurveType,0))+$AC$9</f>
        <v>0.22</v>
      </c>
      <c r="AD59" s="155" t="n">
        <f aca="false">VLOOKUP($A59,[1]!CurveTable,MATCH($AD$4,[1]!CurveType,0))+$AD$9</f>
        <v>0.225</v>
      </c>
      <c r="AE59" s="139" t="n">
        <f aca="false">SQRT((AD59^2*($A59-$C$3)+AC59^2*(DAY(EOMONTH(A59,0))/2))/$AN59)</f>
        <v>0.224183818997915</v>
      </c>
      <c r="AF59" s="152"/>
      <c r="AG59" s="156" t="n">
        <f aca="false">((Inputs!$F$20*(X59*AD59)*(A59-$C$3))+(Inputs!$F$19*W59*AC59*(DAY(EOMONTH(A59,0))/2)))/(AN59*Y59*AE59)</f>
        <v>0.750000111961439</v>
      </c>
      <c r="AH59" s="152"/>
      <c r="AI59" s="140" t="n">
        <f aca="false">Inputs!$B$15</f>
        <v>0.06</v>
      </c>
      <c r="AJ59" s="157"/>
      <c r="AK59" s="140" t="n">
        <f aca="false">IF((U59-AA59-AI59)&lt;0,0,(U59-AA59-AI59))</f>
        <v>0.9305</v>
      </c>
      <c r="AL59" s="157"/>
      <c r="AM59" s="158" t="n">
        <f aca="false">WORKDAY(EOMONTH(A59-1,-1),0)</f>
        <v>39599</v>
      </c>
      <c r="AN59" s="159" t="n">
        <f aca="false">AM59-$C$3</f>
        <v>-6327</v>
      </c>
      <c r="AO59" s="159" t="n">
        <f aca="false">AO58</f>
        <v>1</v>
      </c>
      <c r="AP59" s="160"/>
      <c r="AQ59" s="161" t="e">
        <f aca="false">SPRDOPT(U59,AA59,AI59,AX59,X59,AD59,AG59,AN59,AO59,0)</f>
        <v>#NAME?</v>
      </c>
      <c r="AR59" s="162" t="e">
        <f aca="false">AQ59*C59</f>
        <v>#NAME?</v>
      </c>
      <c r="AS59" s="163" t="e">
        <f aca="false">AQ59-AK59</f>
        <v>#NAME?</v>
      </c>
      <c r="AU59" s="112" t="n">
        <f aca="false">A60-A59</f>
        <v>31</v>
      </c>
      <c r="AV59" s="164" t="n">
        <f aca="false">CHOOSE(F$3,A60+24,A59+14)</f>
        <v>39644</v>
      </c>
      <c r="AW59" s="49" t="n">
        <f aca="false">AV59-C$3</f>
        <v>-6282</v>
      </c>
      <c r="AX59" s="155" t="n">
        <f aca="false">VLOOKUP($A59,[1]!CurveTable,MATCH(AX$4,[1]!CurveType,0))</f>
        <v>0.050263333885737</v>
      </c>
      <c r="AY59" s="165" t="n">
        <f aca="false">1/(1+CHOOSE(F$3,(AX60+(Inputs!$B$14/10000))/2,(AX59+(Inputs!$B$14/10000))/2))^(2*AW59/365.25)</f>
        <v>2.34856308173826</v>
      </c>
      <c r="AZ59" s="49" t="n">
        <f aca="false">IF(AND(mthbeg&lt;=A59,mthend&gt;=A59),1,0)</f>
        <v>1</v>
      </c>
      <c r="BA59" s="111" t="n">
        <f aca="false">AU59*AZ59</f>
        <v>31</v>
      </c>
      <c r="BC59" s="142" t="n">
        <f aca="false">E59*$D59</f>
        <v>14415480.1957095</v>
      </c>
      <c r="BD59" s="142" t="n">
        <f aca="false">F59*$D59</f>
        <v>14615695.1984277</v>
      </c>
      <c r="BE59" s="142" t="n">
        <f aca="false">G59*$D59</f>
        <v>14615695.1984277</v>
      </c>
      <c r="BF59" s="142" t="n">
        <f aca="false">H59*$D59</f>
        <v>3640272.77669431</v>
      </c>
      <c r="BG59" s="142" t="n">
        <f aca="false">I59*$D59</f>
        <v>3640272.77669431</v>
      </c>
      <c r="BH59" s="142" t="n">
        <f aca="false">J59*$D59</f>
        <v>3640272.77669431</v>
      </c>
      <c r="BI59" s="142" t="n">
        <f aca="false">K59*$D59</f>
        <v>0</v>
      </c>
      <c r="BJ59" s="142" t="n">
        <f aca="false">L59*$D59</f>
        <v>0</v>
      </c>
      <c r="BK59" s="142" t="n">
        <f aca="false">M59*$D59</f>
        <v>0</v>
      </c>
      <c r="BL59" s="142" t="n">
        <f aca="false">N59*$D59</f>
        <v>34582.5913785959</v>
      </c>
      <c r="BM59" s="142" t="n">
        <f aca="false">O59*$D59</f>
        <v>34582.5913785959</v>
      </c>
      <c r="BN59" s="142" t="n">
        <f aca="false">P59*$D59</f>
        <v>34582.5913785959</v>
      </c>
      <c r="BO59" s="142" t="n">
        <f aca="false">Q59*$D59</f>
        <v>36402.7277669431</v>
      </c>
      <c r="BP59" s="142" t="n">
        <f aca="false">R59*$D59</f>
        <v>0</v>
      </c>
      <c r="BQ59" s="142" t="n">
        <f aca="false">S59*$D59</f>
        <v>0</v>
      </c>
      <c r="BR59" s="142" t="n">
        <f aca="false">U59*$D59</f>
        <v>18255967.975122</v>
      </c>
      <c r="BS59" s="142" t="n">
        <f aca="false">AA59*$D59</f>
        <v>14650277.7898062</v>
      </c>
      <c r="BT59" s="142" t="n">
        <f aca="false">AI59*$D59</f>
        <v>218416.366601659</v>
      </c>
      <c r="BU59" s="142" t="n">
        <f aca="false">AK59*D59</f>
        <v>3387273.81871405</v>
      </c>
    </row>
    <row r="60" customFormat="false" ht="12.75" hidden="false" customHeight="false" outlineLevel="0" collapsed="false">
      <c r="A60" s="144" t="n">
        <f aca="false">EDATE(A59,1)</f>
        <v>39661</v>
      </c>
      <c r="B60" s="145" t="n">
        <f aca="false">Inputs!$B$8</f>
        <v>50000</v>
      </c>
      <c r="C60" s="146" t="n">
        <f aca="false">IF(AZ60=0,0,IF(AND(AZ60=1,$H$3=1),B60*AU60,IF($H$3=2,B60,"N/A")))</f>
        <v>1550000</v>
      </c>
      <c r="D60" s="146" t="n">
        <f aca="false">C60*AY60</f>
        <v>3636494.38702897</v>
      </c>
      <c r="E60" s="147" t="n">
        <f aca="false">VLOOKUP($A60,[1]!CurveTable,MATCH($E$4,[1]!CurveType,0))</f>
        <v>3.998</v>
      </c>
      <c r="F60" s="148" t="n">
        <f aca="false">E60-Inputs!$B$16</f>
        <v>4.053</v>
      </c>
      <c r="G60" s="149" t="n">
        <f aca="false">F60</f>
        <v>4.053</v>
      </c>
      <c r="H60" s="147" t="n">
        <f aca="false">VLOOKUP($A60,[1]!CurveTable,MATCH($H$4,[1]!CurveType,0))</f>
        <v>1</v>
      </c>
      <c r="I60" s="148" t="n">
        <f aca="false">H60+Inputs!$B$22</f>
        <v>1</v>
      </c>
      <c r="J60" s="150" t="n">
        <f aca="false">I60</f>
        <v>1</v>
      </c>
      <c r="K60" s="147" t="n">
        <f aca="false">VLOOKUP($A60,[1]!CurveTable,MATCH($K$4,[1]!CurveType,0))</f>
        <v>0</v>
      </c>
      <c r="L60" s="148" t="n">
        <v>0</v>
      </c>
      <c r="M60" s="151" t="n">
        <f aca="false">L60</f>
        <v>0</v>
      </c>
      <c r="N60" s="147" t="n">
        <f aca="false">VLOOKUP($A60,[1]!CurveTable,MATCH($N$4,[1]!CurveType,0))</f>
        <v>0.0095</v>
      </c>
      <c r="O60" s="148" t="n">
        <f aca="false">N60+Inputs!$E$22</f>
        <v>0.0095</v>
      </c>
      <c r="P60" s="151" t="n">
        <f aca="false">O60</f>
        <v>0.0095</v>
      </c>
      <c r="Q60" s="147" t="n">
        <f aca="false">VLOOKUP($A60,[1]!CurveTable,MATCH($Q$4,[1]!CurveType,0))</f>
        <v>0.01</v>
      </c>
      <c r="R60" s="148" t="n">
        <v>0</v>
      </c>
      <c r="S60" s="151" t="n">
        <f aca="false">R60</f>
        <v>0</v>
      </c>
      <c r="T60" s="152"/>
      <c r="U60" s="153" t="n">
        <f aca="false">G60+J60</f>
        <v>5.053</v>
      </c>
      <c r="V60" s="154"/>
      <c r="W60" s="155" t="n">
        <f aca="false">VLOOKUP($A60,[1]!CurveTable,MATCH($W$4,[1]!CurveType,0))+$W$9</f>
        <v>0.44</v>
      </c>
      <c r="X60" s="155" t="n">
        <f aca="false">VLOOKUP($A60,[1]!CurveTable,MATCH($X$4,[1]!CurveType,0))+$X$9</f>
        <v>0.445</v>
      </c>
      <c r="Y60" s="139" t="n">
        <f aca="false">SQRT((X60^2*($A60-$C$3)+W60^2*(DAY(EOMONTH(A60,0))/2))/$AN60)</f>
        <v>0.443330728851181</v>
      </c>
      <c r="Z60" s="152"/>
      <c r="AA60" s="153" t="n">
        <f aca="false">G60+P60+S60</f>
        <v>4.0625</v>
      </c>
      <c r="AB60" s="154"/>
      <c r="AC60" s="155" t="n">
        <f aca="false">VLOOKUP($A60,[1]!CurveTable,MATCH($AC$4,[1]!CurveType,0))+$AC$9</f>
        <v>0.22</v>
      </c>
      <c r="AD60" s="155" t="n">
        <f aca="false">VLOOKUP($A60,[1]!CurveTable,MATCH($AD$4,[1]!CurveType,0))+$AD$9</f>
        <v>0.225</v>
      </c>
      <c r="AE60" s="139" t="n">
        <f aca="false">SQRT((AD60^2*($A60-$C$3)+AC60^2*(DAY(EOMONTH(A60,0))/2))/$AN60)</f>
        <v>0.224161991735858</v>
      </c>
      <c r="AF60" s="152"/>
      <c r="AG60" s="156" t="n">
        <f aca="false">((Inputs!$F$20*(X60*AD60)*(A60-$C$3))+(Inputs!$F$19*W60*AC60*(DAY(EOMONTH(A60,0))/2)))/(AN60*Y60*AE60)</f>
        <v>0.750000112518095</v>
      </c>
      <c r="AH60" s="152"/>
      <c r="AI60" s="140" t="n">
        <f aca="false">Inputs!$B$15</f>
        <v>0.06</v>
      </c>
      <c r="AJ60" s="157"/>
      <c r="AK60" s="140" t="n">
        <f aca="false">IF((U60-AA60-AI60)&lt;0,0,(U60-AA60-AI60))</f>
        <v>0.9305</v>
      </c>
      <c r="AL60" s="157"/>
      <c r="AM60" s="158" t="n">
        <f aca="false">WORKDAY(EOMONTH(A60-1,-1),0)</f>
        <v>39629</v>
      </c>
      <c r="AN60" s="159" t="n">
        <f aca="false">AM60-$C$3</f>
        <v>-6297</v>
      </c>
      <c r="AO60" s="159" t="n">
        <f aca="false">AO59</f>
        <v>1</v>
      </c>
      <c r="AP60" s="160"/>
      <c r="AQ60" s="161" t="e">
        <f aca="false">SPRDOPT(U60,AA60,AI60,AX60,X60,AD60,AG60,AN60,AO60,0)</f>
        <v>#NAME?</v>
      </c>
      <c r="AR60" s="162" t="e">
        <f aca="false">AQ60*C60</f>
        <v>#NAME?</v>
      </c>
      <c r="AS60" s="163" t="e">
        <f aca="false">AQ60-AK60</f>
        <v>#NAME?</v>
      </c>
      <c r="AU60" s="112" t="n">
        <f aca="false">A61-A60</f>
        <v>31</v>
      </c>
      <c r="AV60" s="164" t="n">
        <f aca="false">CHOOSE(F$3,A61+24,A60+14)</f>
        <v>39675</v>
      </c>
      <c r="AW60" s="49" t="n">
        <f aca="false">AV60-C$3</f>
        <v>-6251</v>
      </c>
      <c r="AX60" s="155" t="n">
        <f aca="false">VLOOKUP($A60,[1]!CurveTable,MATCH(AX$4,[1]!CurveType,0))</f>
        <v>0.0504535112304954</v>
      </c>
      <c r="AY60" s="165" t="n">
        <f aca="false">1/(1+CHOOSE(F$3,(AX61+(Inputs!$B$14/10000))/2,(AX60+(Inputs!$B$14/10000))/2))^(2*AW60/365.25)</f>
        <v>2.34612541098643</v>
      </c>
      <c r="AZ60" s="49" t="n">
        <f aca="false">IF(AND(mthbeg&lt;=A60,mthend&gt;=A60),1,0)</f>
        <v>1</v>
      </c>
      <c r="BA60" s="111" t="n">
        <f aca="false">AU60*AZ60</f>
        <v>31</v>
      </c>
      <c r="BC60" s="142" t="n">
        <f aca="false">E60*$D60</f>
        <v>14538704.5593418</v>
      </c>
      <c r="BD60" s="142" t="n">
        <f aca="false">F60*$D60</f>
        <v>14738711.7506284</v>
      </c>
      <c r="BE60" s="142" t="n">
        <f aca="false">G60*$D60</f>
        <v>14738711.7506284</v>
      </c>
      <c r="BF60" s="142" t="n">
        <f aca="false">H60*$D60</f>
        <v>3636494.38702897</v>
      </c>
      <c r="BG60" s="142" t="n">
        <f aca="false">I60*$D60</f>
        <v>3636494.38702897</v>
      </c>
      <c r="BH60" s="142" t="n">
        <f aca="false">J60*$D60</f>
        <v>3636494.38702897</v>
      </c>
      <c r="BI60" s="142" t="n">
        <f aca="false">K60*$D60</f>
        <v>0</v>
      </c>
      <c r="BJ60" s="142" t="n">
        <f aca="false">L60*$D60</f>
        <v>0</v>
      </c>
      <c r="BK60" s="142" t="n">
        <f aca="false">M60*$D60</f>
        <v>0</v>
      </c>
      <c r="BL60" s="142" t="n">
        <f aca="false">N60*$D60</f>
        <v>34546.6966767752</v>
      </c>
      <c r="BM60" s="142" t="n">
        <f aca="false">O60*$D60</f>
        <v>34546.6966767752</v>
      </c>
      <c r="BN60" s="142" t="n">
        <f aca="false">P60*$D60</f>
        <v>34546.6966767752</v>
      </c>
      <c r="BO60" s="142" t="n">
        <f aca="false">Q60*$D60</f>
        <v>36364.9438702897</v>
      </c>
      <c r="BP60" s="142" t="n">
        <f aca="false">R60*$D60</f>
        <v>0</v>
      </c>
      <c r="BQ60" s="142" t="n">
        <f aca="false">S60*$D60</f>
        <v>0</v>
      </c>
      <c r="BR60" s="142" t="n">
        <f aca="false">U60*$D60</f>
        <v>18375206.1376574</v>
      </c>
      <c r="BS60" s="142" t="n">
        <f aca="false">AA60*$D60</f>
        <v>14773258.4473052</v>
      </c>
      <c r="BT60" s="142" t="n">
        <f aca="false">AI60*$D60</f>
        <v>218189.663221738</v>
      </c>
      <c r="BU60" s="142" t="n">
        <f aca="false">AK60*D60</f>
        <v>3383758.02713046</v>
      </c>
    </row>
    <row r="61" customFormat="false" ht="12.75" hidden="false" customHeight="false" outlineLevel="0" collapsed="false">
      <c r="A61" s="144" t="n">
        <f aca="false">EDATE(A60,1)</f>
        <v>39692</v>
      </c>
      <c r="B61" s="145" t="n">
        <f aca="false">Inputs!$B$8</f>
        <v>50000</v>
      </c>
      <c r="C61" s="146" t="n">
        <f aca="false">IF(AZ61=0,0,IF(AND(AZ61=1,$H$3=1),B61*AU61,IF($H$3=2,B61,"N/A")))</f>
        <v>1500000</v>
      </c>
      <c r="D61" s="146" t="n">
        <f aca="false">C61*AY61</f>
        <v>3515423.67696789</v>
      </c>
      <c r="E61" s="147" t="n">
        <f aca="false">VLOOKUP($A61,[1]!CurveTable,MATCH($E$4,[1]!CurveType,0))</f>
        <v>3.992</v>
      </c>
      <c r="F61" s="148" t="n">
        <f aca="false">E61-Inputs!$B$16</f>
        <v>4.047</v>
      </c>
      <c r="G61" s="149" t="n">
        <f aca="false">F61</f>
        <v>4.047</v>
      </c>
      <c r="H61" s="147" t="n">
        <f aca="false">VLOOKUP($A61,[1]!CurveTable,MATCH($H$4,[1]!CurveType,0))</f>
        <v>0.6</v>
      </c>
      <c r="I61" s="148" t="n">
        <f aca="false">H61+Inputs!$B$22</f>
        <v>0.6</v>
      </c>
      <c r="J61" s="150" t="n">
        <f aca="false">I61</f>
        <v>0.6</v>
      </c>
      <c r="K61" s="147" t="n">
        <f aca="false">VLOOKUP($A61,[1]!CurveTable,MATCH($K$4,[1]!CurveType,0))</f>
        <v>0</v>
      </c>
      <c r="L61" s="148" t="n">
        <v>0</v>
      </c>
      <c r="M61" s="151" t="n">
        <f aca="false">L61</f>
        <v>0</v>
      </c>
      <c r="N61" s="147" t="n">
        <f aca="false">VLOOKUP($A61,[1]!CurveTable,MATCH($N$4,[1]!CurveType,0))</f>
        <v>0.0095</v>
      </c>
      <c r="O61" s="148" t="n">
        <f aca="false">N61+Inputs!$E$22</f>
        <v>0.0095</v>
      </c>
      <c r="P61" s="151" t="n">
        <f aca="false">O61</f>
        <v>0.0095</v>
      </c>
      <c r="Q61" s="147" t="n">
        <f aca="false">VLOOKUP($A61,[1]!CurveTable,MATCH($Q$4,[1]!CurveType,0))</f>
        <v>0.01</v>
      </c>
      <c r="R61" s="148" t="n">
        <v>0</v>
      </c>
      <c r="S61" s="151" t="n">
        <f aca="false">R61</f>
        <v>0</v>
      </c>
      <c r="T61" s="152"/>
      <c r="U61" s="153" t="n">
        <f aca="false">G61+J61</f>
        <v>4.647</v>
      </c>
      <c r="V61" s="154"/>
      <c r="W61" s="155" t="n">
        <f aca="false">VLOOKUP($A61,[1]!CurveTable,MATCH($W$4,[1]!CurveType,0))+$W$9</f>
        <v>0.44</v>
      </c>
      <c r="X61" s="155" t="n">
        <f aca="false">VLOOKUP($A61,[1]!CurveTable,MATCH($X$4,[1]!CurveType,0))+$X$9</f>
        <v>0.445</v>
      </c>
      <c r="Y61" s="139" t="n">
        <f aca="false">SQRT((X61^2*($A61-$C$3)+W61^2*(DAY(EOMONTH(A61,0))/2))/$AN61)</f>
        <v>0.443339877934234</v>
      </c>
      <c r="Z61" s="152"/>
      <c r="AA61" s="153" t="n">
        <f aca="false">G61+P61+S61</f>
        <v>4.0565</v>
      </c>
      <c r="AB61" s="154"/>
      <c r="AC61" s="155" t="n">
        <f aca="false">VLOOKUP($A61,[1]!CurveTable,MATCH($AC$4,[1]!CurveType,0))+$AC$9</f>
        <v>0.22</v>
      </c>
      <c r="AD61" s="155" t="n">
        <f aca="false">VLOOKUP($A61,[1]!CurveTable,MATCH($AD$4,[1]!CurveType,0))+$AD$9</f>
        <v>0.225</v>
      </c>
      <c r="AE61" s="139" t="n">
        <f aca="false">SQRT((AD61^2*($A61-$C$3)+AC61^2*(DAY(EOMONTH(A61,0))/2))/$AN61)</f>
        <v>0.224166452592537</v>
      </c>
      <c r="AF61" s="152"/>
      <c r="AG61" s="156" t="n">
        <f aca="false">((Inputs!$F$20*(X61*AD61)*(A61-$C$3))+(Inputs!$F$19*W61*AC61*(DAY(EOMONTH(A61,0))/2)))/(AN61*Y61*AE61)</f>
        <v>0.75000010941555</v>
      </c>
      <c r="AH61" s="152"/>
      <c r="AI61" s="140" t="n">
        <f aca="false">Inputs!$B$15</f>
        <v>0.06</v>
      </c>
      <c r="AJ61" s="157"/>
      <c r="AK61" s="140" t="n">
        <f aca="false">IF((U61-AA61-AI61)&lt;0,0,(U61-AA61-AI61))</f>
        <v>0.5305</v>
      </c>
      <c r="AL61" s="157"/>
      <c r="AM61" s="158" t="n">
        <f aca="false">WORKDAY(EOMONTH(A61-1,-1),0)</f>
        <v>39660</v>
      </c>
      <c r="AN61" s="159" t="n">
        <f aca="false">AM61-$C$3</f>
        <v>-6266</v>
      </c>
      <c r="AO61" s="159" t="n">
        <f aca="false">AO60</f>
        <v>1</v>
      </c>
      <c r="AP61" s="160"/>
      <c r="AQ61" s="161" t="e">
        <f aca="false">SPRDOPT(U61,AA61,AI61,AX61,X61,AD61,AG61,AN61,AO61,0)</f>
        <v>#NAME?</v>
      </c>
      <c r="AR61" s="162" t="e">
        <f aca="false">AQ61*C61</f>
        <v>#NAME?</v>
      </c>
      <c r="AS61" s="163" t="e">
        <f aca="false">AQ61-AK61</f>
        <v>#NAME?</v>
      </c>
      <c r="AU61" s="112" t="n">
        <f aca="false">A62-A61</f>
        <v>30</v>
      </c>
      <c r="AV61" s="164" t="n">
        <f aca="false">CHOOSE(F$3,A62+24,A61+14)</f>
        <v>39706</v>
      </c>
      <c r="AW61" s="49" t="n">
        <f aca="false">AV61-C$3</f>
        <v>-6220</v>
      </c>
      <c r="AX61" s="155" t="n">
        <f aca="false">VLOOKUP($A61,[1]!CurveTable,MATCH(AX$4,[1]!CurveType,0))</f>
        <v>0.0506436885873272</v>
      </c>
      <c r="AY61" s="165" t="n">
        <f aca="false">1/(1+CHOOSE(F$3,(AX62+(Inputs!$B$14/10000))/2,(AX61+(Inputs!$B$14/10000))/2))^(2*AW61/365.25)</f>
        <v>2.34361578464526</v>
      </c>
      <c r="AZ61" s="49" t="n">
        <f aca="false">IF(AND(mthbeg&lt;=A61,mthend&gt;=A61),1,0)</f>
        <v>1</v>
      </c>
      <c r="BA61" s="111" t="n">
        <f aca="false">AU61*AZ61</f>
        <v>30</v>
      </c>
      <c r="BC61" s="142" t="n">
        <f aca="false">E61*$D61</f>
        <v>14033571.3184558</v>
      </c>
      <c r="BD61" s="142" t="n">
        <f aca="false">F61*$D61</f>
        <v>14226919.620689</v>
      </c>
      <c r="BE61" s="142" t="n">
        <f aca="false">G61*$D61</f>
        <v>14226919.620689</v>
      </c>
      <c r="BF61" s="142" t="n">
        <f aca="false">H61*$D61</f>
        <v>2109254.20618073</v>
      </c>
      <c r="BG61" s="142" t="n">
        <f aca="false">I61*$D61</f>
        <v>2109254.20618073</v>
      </c>
      <c r="BH61" s="142" t="n">
        <f aca="false">J61*$D61</f>
        <v>2109254.20618073</v>
      </c>
      <c r="BI61" s="142" t="n">
        <f aca="false">K61*$D61</f>
        <v>0</v>
      </c>
      <c r="BJ61" s="142" t="n">
        <f aca="false">L61*$D61</f>
        <v>0</v>
      </c>
      <c r="BK61" s="142" t="n">
        <f aca="false">M61*$D61</f>
        <v>0</v>
      </c>
      <c r="BL61" s="142" t="n">
        <f aca="false">N61*$D61</f>
        <v>33396.524931195</v>
      </c>
      <c r="BM61" s="142" t="n">
        <f aca="false">O61*$D61</f>
        <v>33396.524931195</v>
      </c>
      <c r="BN61" s="142" t="n">
        <f aca="false">P61*$D61</f>
        <v>33396.524931195</v>
      </c>
      <c r="BO61" s="142" t="n">
        <f aca="false">Q61*$D61</f>
        <v>35154.2367696789</v>
      </c>
      <c r="BP61" s="142" t="n">
        <f aca="false">R61*$D61</f>
        <v>0</v>
      </c>
      <c r="BQ61" s="142" t="n">
        <f aca="false">S61*$D61</f>
        <v>0</v>
      </c>
      <c r="BR61" s="142" t="n">
        <f aca="false">U61*$D61</f>
        <v>16336173.8268698</v>
      </c>
      <c r="BS61" s="142" t="n">
        <f aca="false">AA61*$D61</f>
        <v>14260316.1456202</v>
      </c>
      <c r="BT61" s="142" t="n">
        <f aca="false">AI61*$D61</f>
        <v>210925.420618073</v>
      </c>
      <c r="BU61" s="142" t="n">
        <f aca="false">AK61*D61</f>
        <v>1864932.26063146</v>
      </c>
    </row>
    <row r="62" customFormat="false" ht="12.75" hidden="false" customHeight="false" outlineLevel="0" collapsed="false">
      <c r="A62" s="144" t="n">
        <f aca="false">EDATE(A61,1)</f>
        <v>39722</v>
      </c>
      <c r="B62" s="145" t="n">
        <f aca="false">Inputs!$B$8</f>
        <v>50000</v>
      </c>
      <c r="C62" s="146" t="n">
        <f aca="false">IF(AZ62=0,0,IF(AND(AZ62=1,$H$3=1),B62*AU62,IF($H$3=2,B62,"N/A")))</f>
        <v>1550000</v>
      </c>
      <c r="D62" s="146" t="n">
        <f aca="false">C62*AY62</f>
        <v>3628734.19436948</v>
      </c>
      <c r="E62" s="147" t="n">
        <f aca="false">VLOOKUP($A62,[1]!CurveTable,MATCH($E$4,[1]!CurveType,0))</f>
        <v>3.992</v>
      </c>
      <c r="F62" s="148" t="n">
        <f aca="false">E62-Inputs!$B$16</f>
        <v>4.047</v>
      </c>
      <c r="G62" s="149" t="n">
        <f aca="false">F62</f>
        <v>4.047</v>
      </c>
      <c r="H62" s="147" t="n">
        <f aca="false">VLOOKUP($A62,[1]!CurveTable,MATCH($H$4,[1]!CurveType,0))</f>
        <v>0.3</v>
      </c>
      <c r="I62" s="148" t="n">
        <f aca="false">H62+Inputs!$B$22</f>
        <v>0.3</v>
      </c>
      <c r="J62" s="150" t="n">
        <f aca="false">I62</f>
        <v>0.3</v>
      </c>
      <c r="K62" s="147" t="n">
        <f aca="false">VLOOKUP($A62,[1]!CurveTable,MATCH($K$4,[1]!CurveType,0))</f>
        <v>0</v>
      </c>
      <c r="L62" s="148" t="n">
        <v>0</v>
      </c>
      <c r="M62" s="151" t="n">
        <f aca="false">L62</f>
        <v>0</v>
      </c>
      <c r="N62" s="147" t="n">
        <f aca="false">VLOOKUP($A62,[1]!CurveTable,MATCH($N$4,[1]!CurveType,0))</f>
        <v>0.008</v>
      </c>
      <c r="O62" s="148" t="n">
        <f aca="false">N62+Inputs!$E$22</f>
        <v>0.008</v>
      </c>
      <c r="P62" s="151" t="n">
        <f aca="false">O62</f>
        <v>0.008</v>
      </c>
      <c r="Q62" s="147" t="n">
        <f aca="false">VLOOKUP($A62,[1]!CurveTable,MATCH($Q$4,[1]!CurveType,0))</f>
        <v>0.01</v>
      </c>
      <c r="R62" s="148" t="n">
        <v>0</v>
      </c>
      <c r="S62" s="151" t="n">
        <f aca="false">R62</f>
        <v>0</v>
      </c>
      <c r="T62" s="152"/>
      <c r="U62" s="153" t="n">
        <f aca="false">G62+J62</f>
        <v>4.347</v>
      </c>
      <c r="V62" s="154"/>
      <c r="W62" s="155" t="n">
        <f aca="false">VLOOKUP($A62,[1]!CurveTable,MATCH($W$4,[1]!CurveType,0))+$W$9</f>
        <v>0.22</v>
      </c>
      <c r="X62" s="155" t="n">
        <f aca="false">VLOOKUP($A62,[1]!CurveTable,MATCH($X$4,[1]!CurveType,0))+$X$9</f>
        <v>0.225</v>
      </c>
      <c r="Y62" s="139" t="n">
        <f aca="false">SQRT((X62^2*($A62-$C$3)+W62^2*(DAY(EOMONTH(A62,0))/2))/$AN62)</f>
        <v>0.224171753662982</v>
      </c>
      <c r="Z62" s="152"/>
      <c r="AA62" s="153" t="n">
        <f aca="false">G62+P62+S62</f>
        <v>4.055</v>
      </c>
      <c r="AB62" s="154"/>
      <c r="AC62" s="155" t="n">
        <f aca="false">VLOOKUP($A62,[1]!CurveTable,MATCH($AC$4,[1]!CurveType,0))+$AC$9</f>
        <v>0.22</v>
      </c>
      <c r="AD62" s="155" t="n">
        <f aca="false">VLOOKUP($A62,[1]!CurveTable,MATCH($AD$4,[1]!CurveType,0))+$AD$9</f>
        <v>0.225</v>
      </c>
      <c r="AE62" s="139" t="n">
        <f aca="false">SQRT((AD62^2*($A62-$C$3)+AC62^2*(DAY(EOMONTH(A62,0))/2))/$AN62)</f>
        <v>0.224171753662982</v>
      </c>
      <c r="AF62" s="152"/>
      <c r="AG62" s="156" t="n">
        <f aca="false">((Inputs!$F$20*(X62*AD62)*(A62-$C$3))+(Inputs!$F$19*W62*AC62*(DAY(EOMONTH(A62,0))/2)))/(AN62*Y62*AE62)</f>
        <v>0.75</v>
      </c>
      <c r="AH62" s="152"/>
      <c r="AI62" s="140" t="n">
        <f aca="false">Inputs!$B$15</f>
        <v>0.06</v>
      </c>
      <c r="AJ62" s="157"/>
      <c r="AK62" s="140" t="n">
        <f aca="false">IF((U62-AA62-AI62)&lt;0,0,(U62-AA62-AI62))</f>
        <v>0.232</v>
      </c>
      <c r="AL62" s="157"/>
      <c r="AM62" s="158" t="n">
        <f aca="false">WORKDAY(EOMONTH(A62-1,-1),0)</f>
        <v>39691</v>
      </c>
      <c r="AN62" s="159" t="n">
        <f aca="false">AM62-$C$3</f>
        <v>-6235</v>
      </c>
      <c r="AO62" s="159" t="n">
        <f aca="false">AO61</f>
        <v>1</v>
      </c>
      <c r="AP62" s="160"/>
      <c r="AQ62" s="161" t="e">
        <f aca="false">SPRDOPT(U62,AA62,AI62,AX62,X62,AD62,AG62,AN62,AO62,0)</f>
        <v>#NAME?</v>
      </c>
      <c r="AR62" s="162" t="e">
        <f aca="false">AQ62*C62</f>
        <v>#NAME?</v>
      </c>
      <c r="AS62" s="163" t="e">
        <f aca="false">AQ62-AK62</f>
        <v>#NAME?</v>
      </c>
      <c r="AU62" s="112" t="n">
        <f aca="false">A63-A62</f>
        <v>31</v>
      </c>
      <c r="AV62" s="164" t="n">
        <f aca="false">CHOOSE(F$3,A63+24,A62+14)</f>
        <v>39736</v>
      </c>
      <c r="AW62" s="49" t="n">
        <f aca="false">AV62-C$3</f>
        <v>-6190</v>
      </c>
      <c r="AX62" s="155" t="n">
        <f aca="false">VLOOKUP($A62,[1]!CurveTable,MATCH(AX$4,[1]!CurveType,0))</f>
        <v>0.0508277312022072</v>
      </c>
      <c r="AY62" s="165" t="n">
        <f aca="false">1/(1+CHOOSE(F$3,(AX63+(Inputs!$B$14/10000))/2,(AX62+(Inputs!$B$14/10000))/2))^(2*AW62/365.25)</f>
        <v>2.34111883507708</v>
      </c>
      <c r="AZ62" s="49" t="n">
        <f aca="false">IF(AND(mthbeg&lt;=A62,mthend&gt;=A62),1,0)</f>
        <v>1</v>
      </c>
      <c r="BA62" s="111" t="n">
        <f aca="false">AU62*AZ62</f>
        <v>31</v>
      </c>
      <c r="BC62" s="142" t="n">
        <f aca="false">E62*$D62</f>
        <v>14485906.903923</v>
      </c>
      <c r="BD62" s="142" t="n">
        <f aca="false">F62*$D62</f>
        <v>14685487.2846133</v>
      </c>
      <c r="BE62" s="142" t="n">
        <f aca="false">G62*$D62</f>
        <v>14685487.2846133</v>
      </c>
      <c r="BF62" s="142" t="n">
        <f aca="false">H62*$D62</f>
        <v>1088620.25831084</v>
      </c>
      <c r="BG62" s="142" t="n">
        <f aca="false">I62*$D62</f>
        <v>1088620.25831084</v>
      </c>
      <c r="BH62" s="142" t="n">
        <f aca="false">J62*$D62</f>
        <v>1088620.25831084</v>
      </c>
      <c r="BI62" s="142" t="n">
        <f aca="false">K62*$D62</f>
        <v>0</v>
      </c>
      <c r="BJ62" s="142" t="n">
        <f aca="false">L62*$D62</f>
        <v>0</v>
      </c>
      <c r="BK62" s="142" t="n">
        <f aca="false">M62*$D62</f>
        <v>0</v>
      </c>
      <c r="BL62" s="142" t="n">
        <f aca="false">N62*$D62</f>
        <v>29029.8735549558</v>
      </c>
      <c r="BM62" s="142" t="n">
        <f aca="false">O62*$D62</f>
        <v>29029.8735549558</v>
      </c>
      <c r="BN62" s="142" t="n">
        <f aca="false">P62*$D62</f>
        <v>29029.8735549558</v>
      </c>
      <c r="BO62" s="142" t="n">
        <f aca="false">Q62*$D62</f>
        <v>36287.3419436948</v>
      </c>
      <c r="BP62" s="142" t="n">
        <f aca="false">R62*$D62</f>
        <v>0</v>
      </c>
      <c r="BQ62" s="142" t="n">
        <f aca="false">S62*$D62</f>
        <v>0</v>
      </c>
      <c r="BR62" s="142" t="n">
        <f aca="false">U62*$D62</f>
        <v>15774107.5429241</v>
      </c>
      <c r="BS62" s="142" t="n">
        <f aca="false">AA62*$D62</f>
        <v>14714517.1581682</v>
      </c>
      <c r="BT62" s="142" t="n">
        <f aca="false">AI62*$D62</f>
        <v>217724.051662169</v>
      </c>
      <c r="BU62" s="142" t="n">
        <f aca="false">AK62*D62</f>
        <v>841866.333093719</v>
      </c>
    </row>
    <row r="63" customFormat="false" ht="12.75" hidden="false" customHeight="false" outlineLevel="0" collapsed="false">
      <c r="A63" s="144" t="n">
        <f aca="false">EDATE(A62,1)</f>
        <v>39753</v>
      </c>
      <c r="B63" s="145" t="n">
        <f aca="false">Inputs!$B$8</f>
        <v>50000</v>
      </c>
      <c r="C63" s="146" t="n">
        <f aca="false">IF(AZ63=0,0,IF(AND(AZ63=1,$H$3=1),B63*AU63,IF($H$3=2,B63,"N/A")))</f>
        <v>1500000</v>
      </c>
      <c r="D63" s="146" t="n">
        <f aca="false">C63*AY63</f>
        <v>3506961.42922621</v>
      </c>
      <c r="E63" s="147" t="n">
        <f aca="false">VLOOKUP($A63,[1]!CurveTable,MATCH($E$4,[1]!CurveType,0))</f>
        <v>4.14</v>
      </c>
      <c r="F63" s="148" t="n">
        <f aca="false">E63-Inputs!$B$16</f>
        <v>4.195</v>
      </c>
      <c r="G63" s="149" t="n">
        <f aca="false">F63</f>
        <v>4.195</v>
      </c>
      <c r="H63" s="147" t="n">
        <f aca="false">VLOOKUP($A63,[1]!CurveTable,MATCH($H$4,[1]!CurveType,0))</f>
        <v>0.22</v>
      </c>
      <c r="I63" s="148" t="n">
        <f aca="false">H63+Inputs!$B$22</f>
        <v>0.22</v>
      </c>
      <c r="J63" s="150" t="n">
        <f aca="false">I63</f>
        <v>0.22</v>
      </c>
      <c r="K63" s="147" t="n">
        <f aca="false">VLOOKUP($A63,[1]!CurveTable,MATCH($K$4,[1]!CurveType,0))</f>
        <v>0</v>
      </c>
      <c r="L63" s="148" t="n">
        <v>0</v>
      </c>
      <c r="M63" s="151" t="n">
        <f aca="false">L63</f>
        <v>0</v>
      </c>
      <c r="N63" s="147" t="n">
        <f aca="false">VLOOKUP($A63,[1]!CurveTable,MATCH($N$4,[1]!CurveType,0))</f>
        <v>0.009</v>
      </c>
      <c r="O63" s="148" t="n">
        <f aca="false">N63+Inputs!$E$22</f>
        <v>0.009</v>
      </c>
      <c r="P63" s="151" t="n">
        <f aca="false">O63</f>
        <v>0.009</v>
      </c>
      <c r="Q63" s="147" t="n">
        <f aca="false">VLOOKUP($A63,[1]!CurveTable,MATCH($Q$4,[1]!CurveType,0))</f>
        <v>0.0075</v>
      </c>
      <c r="R63" s="148" t="n">
        <v>0</v>
      </c>
      <c r="S63" s="151" t="n">
        <f aca="false">R63</f>
        <v>0</v>
      </c>
      <c r="T63" s="152"/>
      <c r="U63" s="153" t="n">
        <f aca="false">G63+J63</f>
        <v>4.415</v>
      </c>
      <c r="V63" s="154"/>
      <c r="W63" s="155" t="n">
        <f aca="false">VLOOKUP($A63,[1]!CurveTable,MATCH($W$4,[1]!CurveType,0))+$W$9</f>
        <v>0.22</v>
      </c>
      <c r="X63" s="155" t="n">
        <f aca="false">VLOOKUP($A63,[1]!CurveTable,MATCH($X$4,[1]!CurveType,0))+$X$9</f>
        <v>0.225</v>
      </c>
      <c r="Y63" s="139" t="n">
        <f aca="false">SQRT((X63^2*($A63-$C$3)+W63^2*(DAY(EOMONTH(A63,0))/2))/$AN63)</f>
        <v>0.224158242784465</v>
      </c>
      <c r="Z63" s="152"/>
      <c r="AA63" s="153" t="n">
        <f aca="false">G63+P63+S63</f>
        <v>4.204</v>
      </c>
      <c r="AB63" s="154"/>
      <c r="AC63" s="155" t="n">
        <f aca="false">VLOOKUP($A63,[1]!CurveTable,MATCH($AC$4,[1]!CurveType,0))+$AC$9</f>
        <v>0.22</v>
      </c>
      <c r="AD63" s="155" t="n">
        <f aca="false">VLOOKUP($A63,[1]!CurveTable,MATCH($AD$4,[1]!CurveType,0))+$AD$9</f>
        <v>0.225</v>
      </c>
      <c r="AE63" s="139" t="n">
        <f aca="false">SQRT((AD63^2*($A63-$C$3)+AC63^2*(DAY(EOMONTH(A63,0))/2))/$AN63)</f>
        <v>0.224158242784465</v>
      </c>
      <c r="AF63" s="152"/>
      <c r="AG63" s="156" t="n">
        <f aca="false">((Inputs!$F$20*(X63*AD63)*(A63-$C$3))+(Inputs!$F$19*W63*AC63*(DAY(EOMONTH(A63,0))/2)))/(AN63*Y63*AE63)</f>
        <v>0.75</v>
      </c>
      <c r="AH63" s="152"/>
      <c r="AI63" s="140" t="n">
        <f aca="false">Inputs!$B$15</f>
        <v>0.06</v>
      </c>
      <c r="AJ63" s="157"/>
      <c r="AK63" s="140" t="n">
        <f aca="false">IF((U63-AA63-AI63)&lt;0,0,(U63-AA63-AI63))</f>
        <v>0.150999999999999</v>
      </c>
      <c r="AL63" s="157"/>
      <c r="AM63" s="158" t="n">
        <f aca="false">WORKDAY(EOMONTH(A63-1,-1),0)</f>
        <v>39721</v>
      </c>
      <c r="AN63" s="159" t="n">
        <f aca="false">AM63-$C$3</f>
        <v>-6205</v>
      </c>
      <c r="AO63" s="159" t="n">
        <f aca="false">AO62</f>
        <v>1</v>
      </c>
      <c r="AP63" s="160"/>
      <c r="AQ63" s="161" t="e">
        <f aca="false">SPRDOPT(U63,AA63,AI63,AX63,X63,AD63,AG63,AN63,AO63,0)</f>
        <v>#NAME?</v>
      </c>
      <c r="AR63" s="162" t="e">
        <f aca="false">AQ63*C63</f>
        <v>#NAME?</v>
      </c>
      <c r="AS63" s="163" t="e">
        <f aca="false">AQ63-AK63</f>
        <v>#NAME?</v>
      </c>
      <c r="AU63" s="112" t="n">
        <f aca="false">A64-A63</f>
        <v>30</v>
      </c>
      <c r="AV63" s="164" t="n">
        <f aca="false">CHOOSE(F$3,A64+24,A63+14)</f>
        <v>39767</v>
      </c>
      <c r="AW63" s="49" t="n">
        <f aca="false">AV63-C$3</f>
        <v>-6159</v>
      </c>
      <c r="AX63" s="155" t="n">
        <f aca="false">VLOOKUP($A63,[1]!CurveTable,MATCH(AX$4,[1]!CurveType,0))</f>
        <v>0.0510050583335428</v>
      </c>
      <c r="AY63" s="165" t="n">
        <f aca="false">1/(1+CHOOSE(F$3,(AX64+(Inputs!$B$14/10000))/2,(AX63+(Inputs!$B$14/10000))/2))^(2*AW63/365.25)</f>
        <v>2.33797428615081</v>
      </c>
      <c r="AZ63" s="49" t="n">
        <f aca="false">IF(AND(mthbeg&lt;=A63,mthend&gt;=A63),1,0)</f>
        <v>1</v>
      </c>
      <c r="BA63" s="111" t="n">
        <f aca="false">AU63*AZ63</f>
        <v>30</v>
      </c>
      <c r="BC63" s="142" t="n">
        <f aca="false">E63*$D63</f>
        <v>14518820.3169965</v>
      </c>
      <c r="BD63" s="142" t="n">
        <f aca="false">F63*$D63</f>
        <v>14711703.1956039</v>
      </c>
      <c r="BE63" s="142" t="n">
        <f aca="false">G63*$D63</f>
        <v>14711703.1956039</v>
      </c>
      <c r="BF63" s="142" t="n">
        <f aca="false">H63*$D63</f>
        <v>771531.514429766</v>
      </c>
      <c r="BG63" s="142" t="n">
        <f aca="false">I63*$D63</f>
        <v>771531.514429766</v>
      </c>
      <c r="BH63" s="142" t="n">
        <f aca="false">J63*$D63</f>
        <v>771531.514429766</v>
      </c>
      <c r="BI63" s="142" t="n">
        <f aca="false">K63*$D63</f>
        <v>0</v>
      </c>
      <c r="BJ63" s="142" t="n">
        <f aca="false">L63*$D63</f>
        <v>0</v>
      </c>
      <c r="BK63" s="142" t="n">
        <f aca="false">M63*$D63</f>
        <v>0</v>
      </c>
      <c r="BL63" s="142" t="n">
        <f aca="false">N63*$D63</f>
        <v>31562.6528630359</v>
      </c>
      <c r="BM63" s="142" t="n">
        <f aca="false">O63*$D63</f>
        <v>31562.6528630359</v>
      </c>
      <c r="BN63" s="142" t="n">
        <f aca="false">P63*$D63</f>
        <v>31562.6528630359</v>
      </c>
      <c r="BO63" s="142" t="n">
        <f aca="false">Q63*$D63</f>
        <v>26302.2107191966</v>
      </c>
      <c r="BP63" s="142" t="n">
        <f aca="false">R63*$D63</f>
        <v>0</v>
      </c>
      <c r="BQ63" s="142" t="n">
        <f aca="false">S63*$D63</f>
        <v>0</v>
      </c>
      <c r="BR63" s="142" t="n">
        <f aca="false">U63*$D63</f>
        <v>15483234.7100337</v>
      </c>
      <c r="BS63" s="142" t="n">
        <f aca="false">AA63*$D63</f>
        <v>14743265.848467</v>
      </c>
      <c r="BT63" s="142" t="n">
        <f aca="false">AI63*$D63</f>
        <v>210417.685753573</v>
      </c>
      <c r="BU63" s="142" t="n">
        <f aca="false">AK63*D63</f>
        <v>529551.175813156</v>
      </c>
    </row>
    <row r="64" customFormat="false" ht="12.75" hidden="false" customHeight="false" outlineLevel="0" collapsed="false">
      <c r="A64" s="144" t="n">
        <f aca="false">EDATE(A63,1)</f>
        <v>39783</v>
      </c>
      <c r="B64" s="145" t="n">
        <f aca="false">Inputs!$B$8</f>
        <v>50000</v>
      </c>
      <c r="C64" s="146" t="n">
        <f aca="false">IF(AZ64=0,0,IF(AND(AZ64=1,$H$3=1),B64*AU64,IF($H$3=2,B64,"N/A")))</f>
        <v>1550000</v>
      </c>
      <c r="D64" s="146" t="n">
        <f aca="false">C64*AY64</f>
        <v>3615220.42077397</v>
      </c>
      <c r="E64" s="147" t="n">
        <f aca="false">VLOOKUP($A64,[1]!CurveTable,MATCH($E$4,[1]!CurveType,0))</f>
        <v>4.292</v>
      </c>
      <c r="F64" s="148" t="n">
        <f aca="false">E64-Inputs!$B$16</f>
        <v>4.347</v>
      </c>
      <c r="G64" s="149" t="n">
        <f aca="false">F64</f>
        <v>4.347</v>
      </c>
      <c r="H64" s="147" t="n">
        <f aca="false">VLOOKUP($A64,[1]!CurveTable,MATCH($H$4,[1]!CurveType,0))</f>
        <v>0.2</v>
      </c>
      <c r="I64" s="148" t="n">
        <f aca="false">H64+Inputs!$B$22</f>
        <v>0.2</v>
      </c>
      <c r="J64" s="150" t="n">
        <f aca="false">I64</f>
        <v>0.2</v>
      </c>
      <c r="K64" s="147" t="n">
        <f aca="false">VLOOKUP($A64,[1]!CurveTable,MATCH($K$4,[1]!CurveType,0))</f>
        <v>0</v>
      </c>
      <c r="L64" s="148" t="n">
        <v>0</v>
      </c>
      <c r="M64" s="151" t="n">
        <f aca="false">L64</f>
        <v>0</v>
      </c>
      <c r="N64" s="147" t="n">
        <f aca="false">VLOOKUP($A64,[1]!CurveTable,MATCH($N$4,[1]!CurveType,0))</f>
        <v>0.009</v>
      </c>
      <c r="O64" s="148" t="n">
        <f aca="false">N64+Inputs!$E$22</f>
        <v>0.009</v>
      </c>
      <c r="P64" s="151" t="n">
        <f aca="false">O64</f>
        <v>0.009</v>
      </c>
      <c r="Q64" s="147" t="n">
        <f aca="false">VLOOKUP($A64,[1]!CurveTable,MATCH($Q$4,[1]!CurveType,0))</f>
        <v>0.0075</v>
      </c>
      <c r="R64" s="148" t="n">
        <v>0</v>
      </c>
      <c r="S64" s="151" t="n">
        <f aca="false">R64</f>
        <v>0</v>
      </c>
      <c r="T64" s="152"/>
      <c r="U64" s="153" t="n">
        <f aca="false">G64+J64</f>
        <v>4.547</v>
      </c>
      <c r="V64" s="154"/>
      <c r="W64" s="155" t="n">
        <f aca="false">VLOOKUP($A64,[1]!CurveTable,MATCH($W$4,[1]!CurveType,0))+$W$9</f>
        <v>0.2225</v>
      </c>
      <c r="X64" s="155" t="n">
        <f aca="false">VLOOKUP($A64,[1]!CurveTable,MATCH($X$4,[1]!CurveType,0))+$X$9</f>
        <v>0.2275</v>
      </c>
      <c r="Y64" s="139" t="n">
        <f aca="false">SQRT((X64^2*($A64-$C$3)+W64^2*(DAY(EOMONTH(A64,0))/2))/$AN64)</f>
        <v>0.226654124472571</v>
      </c>
      <c r="Z64" s="152"/>
      <c r="AA64" s="153" t="n">
        <f aca="false">G64+P64+S64</f>
        <v>4.356</v>
      </c>
      <c r="AB64" s="154"/>
      <c r="AC64" s="155" t="n">
        <f aca="false">VLOOKUP($A64,[1]!CurveTable,MATCH($AC$4,[1]!CurveType,0))+$AC$9</f>
        <v>0.2225</v>
      </c>
      <c r="AD64" s="155" t="n">
        <f aca="false">VLOOKUP($A64,[1]!CurveTable,MATCH($AD$4,[1]!CurveType,0))+$AD$9</f>
        <v>0.2275</v>
      </c>
      <c r="AE64" s="139" t="n">
        <f aca="false">SQRT((AD64^2*($A64-$C$3)+AC64^2*(DAY(EOMONTH(A64,0))/2))/$AN64)</f>
        <v>0.226654124472571</v>
      </c>
      <c r="AF64" s="152"/>
      <c r="AG64" s="156" t="n">
        <f aca="false">((Inputs!$F$20*(X64*AD64)*(A64-$C$3))+(Inputs!$F$19*W64*AC64*(DAY(EOMONTH(A64,0))/2)))/(AN64*Y64*AE64)</f>
        <v>0.75</v>
      </c>
      <c r="AH64" s="152"/>
      <c r="AI64" s="140" t="n">
        <f aca="false">Inputs!$B$15</f>
        <v>0.06</v>
      </c>
      <c r="AJ64" s="157"/>
      <c r="AK64" s="140" t="n">
        <f aca="false">IF((U64-AA64-AI64)&lt;0,0,(U64-AA64-AI64))</f>
        <v>0.131</v>
      </c>
      <c r="AL64" s="157"/>
      <c r="AM64" s="158" t="n">
        <f aca="false">WORKDAY(EOMONTH(A64-1,-1),0)</f>
        <v>39752</v>
      </c>
      <c r="AN64" s="159" t="n">
        <f aca="false">AM64-$C$3</f>
        <v>-6174</v>
      </c>
      <c r="AO64" s="159" t="n">
        <f aca="false">AO63</f>
        <v>1</v>
      </c>
      <c r="AP64" s="160"/>
      <c r="AQ64" s="161" t="e">
        <f aca="false">SPRDOPT(U64,AA64,AI64,AX64,X64,AD64,AG64,AN64,AO64,0)</f>
        <v>#NAME?</v>
      </c>
      <c r="AR64" s="162" t="e">
        <f aca="false">AQ64*C64</f>
        <v>#NAME?</v>
      </c>
      <c r="AS64" s="163" t="e">
        <f aca="false">AQ64-AK64</f>
        <v>#NAME?</v>
      </c>
      <c r="AU64" s="112" t="n">
        <f aca="false">A65-A64</f>
        <v>31</v>
      </c>
      <c r="AV64" s="164" t="n">
        <f aca="false">CHOOSE(F$3,A65+24,A64+14)</f>
        <v>39797</v>
      </c>
      <c r="AW64" s="49" t="n">
        <f aca="false">AV64-C$3</f>
        <v>-6129</v>
      </c>
      <c r="AX64" s="155" t="n">
        <f aca="false">VLOOKUP($A64,[1]!CurveTable,MATCH(AX$4,[1]!CurveType,0))</f>
        <v>0.0511119994715483</v>
      </c>
      <c r="AY64" s="165" t="n">
        <f aca="false">1/(1+CHOOSE(F$3,(AX65+(Inputs!$B$14/10000))/2,(AX64+(Inputs!$B$14/10000))/2))^(2*AW64/365.25)</f>
        <v>2.33240027146707</v>
      </c>
      <c r="AZ64" s="49" t="n">
        <f aca="false">IF(AND(mthbeg&lt;=A64,mthend&gt;=A64),1,0)</f>
        <v>1</v>
      </c>
      <c r="BA64" s="111" t="n">
        <f aca="false">AU64*AZ64</f>
        <v>31</v>
      </c>
      <c r="BC64" s="142" t="n">
        <f aca="false">E64*$D64</f>
        <v>15516526.0459619</v>
      </c>
      <c r="BD64" s="142" t="n">
        <f aca="false">F64*$D64</f>
        <v>15715363.1691044</v>
      </c>
      <c r="BE64" s="142" t="n">
        <f aca="false">G64*$D64</f>
        <v>15715363.1691044</v>
      </c>
      <c r="BF64" s="142" t="n">
        <f aca="false">H64*$D64</f>
        <v>723044.084154793</v>
      </c>
      <c r="BG64" s="142" t="n">
        <f aca="false">I64*$D64</f>
        <v>723044.084154793</v>
      </c>
      <c r="BH64" s="142" t="n">
        <f aca="false">J64*$D64</f>
        <v>723044.084154793</v>
      </c>
      <c r="BI64" s="142" t="n">
        <f aca="false">K64*$D64</f>
        <v>0</v>
      </c>
      <c r="BJ64" s="142" t="n">
        <f aca="false">L64*$D64</f>
        <v>0</v>
      </c>
      <c r="BK64" s="142" t="n">
        <f aca="false">M64*$D64</f>
        <v>0</v>
      </c>
      <c r="BL64" s="142" t="n">
        <f aca="false">N64*$D64</f>
        <v>32536.9837869657</v>
      </c>
      <c r="BM64" s="142" t="n">
        <f aca="false">O64*$D64</f>
        <v>32536.9837869657</v>
      </c>
      <c r="BN64" s="142" t="n">
        <f aca="false">P64*$D64</f>
        <v>32536.9837869657</v>
      </c>
      <c r="BO64" s="142" t="n">
        <f aca="false">Q64*$D64</f>
        <v>27114.1531558047</v>
      </c>
      <c r="BP64" s="142" t="n">
        <f aca="false">R64*$D64</f>
        <v>0</v>
      </c>
      <c r="BQ64" s="142" t="n">
        <f aca="false">S64*$D64</f>
        <v>0</v>
      </c>
      <c r="BR64" s="142" t="n">
        <f aca="false">U64*$D64</f>
        <v>16438407.2532592</v>
      </c>
      <c r="BS64" s="142" t="n">
        <f aca="false">AA64*$D64</f>
        <v>15747900.1528914</v>
      </c>
      <c r="BT64" s="142" t="n">
        <f aca="false">AI64*$D64</f>
        <v>216913.225246438</v>
      </c>
      <c r="BU64" s="142" t="n">
        <f aca="false">AK64*D64</f>
        <v>473593.875121389</v>
      </c>
    </row>
    <row r="65" customFormat="false" ht="12.75" hidden="false" customHeight="false" outlineLevel="0" collapsed="false">
      <c r="A65" s="144" t="n">
        <f aca="false">EDATE(A64,1)</f>
        <v>39814</v>
      </c>
      <c r="B65" s="145" t="n">
        <f aca="false">Inputs!$B$8</f>
        <v>50000</v>
      </c>
      <c r="C65" s="146" t="n">
        <f aca="false">IF(AZ65=0,0,IF(AND(AZ65=1,$H$3=1),B65*AU65,IF($H$3=2,B65,"N/A")))</f>
        <v>1550000</v>
      </c>
      <c r="D65" s="146" t="n">
        <f aca="false">C65*AY65</f>
        <v>3606249.10376251</v>
      </c>
      <c r="E65" s="147" t="n">
        <f aca="false">VLOOKUP($A65,[1]!CurveTable,MATCH($E$4,[1]!CurveType,0))</f>
        <v>4.362</v>
      </c>
      <c r="F65" s="148" t="n">
        <f aca="false">E65-Inputs!$B$16</f>
        <v>4.417</v>
      </c>
      <c r="G65" s="149" t="n">
        <f aca="false">F65</f>
        <v>4.417</v>
      </c>
      <c r="H65" s="147" t="n">
        <f aca="false">VLOOKUP($A65,[1]!CurveTable,MATCH($H$4,[1]!CurveType,0))</f>
        <v>0.075</v>
      </c>
      <c r="I65" s="148" t="n">
        <f aca="false">H65+Inputs!$B$22</f>
        <v>0.075</v>
      </c>
      <c r="J65" s="150" t="n">
        <f aca="false">I65</f>
        <v>0.075</v>
      </c>
      <c r="K65" s="147" t="n">
        <f aca="false">VLOOKUP($A65,[1]!CurveTable,MATCH($K$4,[1]!CurveType,0))</f>
        <v>0</v>
      </c>
      <c r="L65" s="148" t="n">
        <v>0</v>
      </c>
      <c r="M65" s="151" t="n">
        <f aca="false">L65</f>
        <v>0</v>
      </c>
      <c r="N65" s="147" t="n">
        <f aca="false">VLOOKUP($A65,[1]!CurveTable,MATCH($N$4,[1]!CurveType,0))</f>
        <v>0.009</v>
      </c>
      <c r="O65" s="148" t="n">
        <f aca="false">N65+Inputs!$E$22</f>
        <v>0.009</v>
      </c>
      <c r="P65" s="151" t="n">
        <f aca="false">O65</f>
        <v>0.009</v>
      </c>
      <c r="Q65" s="147" t="n">
        <f aca="false">VLOOKUP($A65,[1]!CurveTable,MATCH($Q$4,[1]!CurveType,0))</f>
        <v>0.0075</v>
      </c>
      <c r="R65" s="148" t="n">
        <v>0</v>
      </c>
      <c r="S65" s="151" t="n">
        <f aca="false">R65</f>
        <v>0</v>
      </c>
      <c r="T65" s="152"/>
      <c r="U65" s="153" t="n">
        <f aca="false">G65+J65</f>
        <v>4.492</v>
      </c>
      <c r="V65" s="154"/>
      <c r="W65" s="155" t="n">
        <f aca="false">VLOOKUP($A65,[1]!CurveTable,MATCH($W$4,[1]!CurveType,0))+$W$9</f>
        <v>0.225</v>
      </c>
      <c r="X65" s="155" t="n">
        <f aca="false">VLOOKUP($A65,[1]!CurveTable,MATCH($X$4,[1]!CurveType,0))+$X$9</f>
        <v>0.23</v>
      </c>
      <c r="Y65" s="139" t="n">
        <f aca="false">SQRT((X65^2*($A65-$C$3)+W65^2*(DAY(EOMONTH(A65,0))/2))/$AN65)</f>
        <v>0.229121721148855</v>
      </c>
      <c r="Z65" s="152"/>
      <c r="AA65" s="153" t="n">
        <f aca="false">G65+P65+S65</f>
        <v>4.426</v>
      </c>
      <c r="AB65" s="154"/>
      <c r="AC65" s="155" t="n">
        <f aca="false">VLOOKUP($A65,[1]!CurveTable,MATCH($AC$4,[1]!CurveType,0))+$AC$9</f>
        <v>0.225</v>
      </c>
      <c r="AD65" s="155" t="n">
        <f aca="false">VLOOKUP($A65,[1]!CurveTable,MATCH($AD$4,[1]!CurveType,0))+$AD$9</f>
        <v>0.23</v>
      </c>
      <c r="AE65" s="139" t="n">
        <f aca="false">SQRT((AD65^2*($A65-$C$3)+AC65^2*(DAY(EOMONTH(A65,0))/2))/$AN65)</f>
        <v>0.229121721148855</v>
      </c>
      <c r="AF65" s="152"/>
      <c r="AG65" s="156" t="n">
        <f aca="false">((Inputs!$F$20*(X65*AD65)*(A65-$C$3))+(Inputs!$F$19*W65*AC65*(DAY(EOMONTH(A65,0))/2)))/(AN65*Y65*AE65)</f>
        <v>0.75</v>
      </c>
      <c r="AH65" s="152"/>
      <c r="AI65" s="140" t="n">
        <f aca="false">Inputs!$B$15</f>
        <v>0.06</v>
      </c>
      <c r="AJ65" s="157"/>
      <c r="AK65" s="140" t="n">
        <f aca="false">IF((U65-AA65-AI65)&lt;0,0,(U65-AA65-AI65))</f>
        <v>0.00599999999999984</v>
      </c>
      <c r="AL65" s="157"/>
      <c r="AM65" s="158" t="n">
        <f aca="false">WORKDAY(EOMONTH(A65-1,-1),0)</f>
        <v>39782</v>
      </c>
      <c r="AN65" s="159" t="n">
        <f aca="false">AM65-$C$3</f>
        <v>-6144</v>
      </c>
      <c r="AO65" s="159" t="n">
        <f aca="false">AO64</f>
        <v>1</v>
      </c>
      <c r="AP65" s="160"/>
      <c r="AQ65" s="161" t="e">
        <f aca="false">SPRDOPT(U65,AA65,AI65,AX65,X65,AD65,AG65,AN65,AO65,0)</f>
        <v>#NAME?</v>
      </c>
      <c r="AR65" s="162" t="e">
        <f aca="false">AQ65*C65</f>
        <v>#NAME?</v>
      </c>
      <c r="AS65" s="163" t="e">
        <f aca="false">AQ65-AK65</f>
        <v>#NAME?</v>
      </c>
      <c r="AU65" s="112" t="n">
        <f aca="false">A66-A65</f>
        <v>31</v>
      </c>
      <c r="AV65" s="164" t="n">
        <f aca="false">CHOOSE(F$3,A66+24,A65+14)</f>
        <v>39828</v>
      </c>
      <c r="AW65" s="49" t="n">
        <f aca="false">AV65-C$3</f>
        <v>-6098</v>
      </c>
      <c r="AX65" s="155" t="n">
        <f aca="false">VLOOKUP($A65,[1]!CurveTable,MATCH(AX$4,[1]!CurveType,0))</f>
        <v>0.0512225053181625</v>
      </c>
      <c r="AY65" s="165" t="n">
        <f aca="false">1/(1+CHOOSE(F$3,(AX66+(Inputs!$B$14/10000))/2,(AX65+(Inputs!$B$14/10000))/2))^(2*AW65/365.25)</f>
        <v>2.32661232500807</v>
      </c>
      <c r="AZ65" s="49" t="n">
        <f aca="false">IF(AND(mthbeg&lt;=A65,mthend&gt;=A65),1,0)</f>
        <v>1</v>
      </c>
      <c r="BA65" s="111" t="n">
        <f aca="false">AU65*AZ65</f>
        <v>31</v>
      </c>
      <c r="BC65" s="142" t="n">
        <f aca="false">E65*$D65</f>
        <v>15730458.5906121</v>
      </c>
      <c r="BD65" s="142" t="n">
        <f aca="false">F65*$D65</f>
        <v>15928802.291319</v>
      </c>
      <c r="BE65" s="142" t="n">
        <f aca="false">G65*$D65</f>
        <v>15928802.291319</v>
      </c>
      <c r="BF65" s="142" t="n">
        <f aca="false">H65*$D65</f>
        <v>270468.682782188</v>
      </c>
      <c r="BG65" s="142" t="n">
        <f aca="false">I65*$D65</f>
        <v>270468.682782188</v>
      </c>
      <c r="BH65" s="142" t="n">
        <f aca="false">J65*$D65</f>
        <v>270468.682782188</v>
      </c>
      <c r="BI65" s="142" t="n">
        <f aca="false">K65*$D65</f>
        <v>0</v>
      </c>
      <c r="BJ65" s="142" t="n">
        <f aca="false">L65*$D65</f>
        <v>0</v>
      </c>
      <c r="BK65" s="142" t="n">
        <f aca="false">M65*$D65</f>
        <v>0</v>
      </c>
      <c r="BL65" s="142" t="n">
        <f aca="false">N65*$D65</f>
        <v>32456.2419338626</v>
      </c>
      <c r="BM65" s="142" t="n">
        <f aca="false">O65*$D65</f>
        <v>32456.2419338626</v>
      </c>
      <c r="BN65" s="142" t="n">
        <f aca="false">P65*$D65</f>
        <v>32456.2419338626</v>
      </c>
      <c r="BO65" s="142" t="n">
        <f aca="false">Q65*$D65</f>
        <v>27046.8682782188</v>
      </c>
      <c r="BP65" s="142" t="n">
        <f aca="false">R65*$D65</f>
        <v>0</v>
      </c>
      <c r="BQ65" s="142" t="n">
        <f aca="false">S65*$D65</f>
        <v>0</v>
      </c>
      <c r="BR65" s="142" t="n">
        <f aca="false">U65*$D65</f>
        <v>16199270.9741012</v>
      </c>
      <c r="BS65" s="142" t="n">
        <f aca="false">AA65*$D65</f>
        <v>15961258.5332529</v>
      </c>
      <c r="BT65" s="142" t="n">
        <f aca="false">AI65*$D65</f>
        <v>216374.94622575</v>
      </c>
      <c r="BU65" s="142" t="n">
        <f aca="false">AK65*D65</f>
        <v>21637.4946225745</v>
      </c>
    </row>
    <row r="66" customFormat="false" ht="12.75" hidden="false" customHeight="false" outlineLevel="0" collapsed="false">
      <c r="A66" s="144" t="n">
        <f aca="false">EDATE(A65,1)</f>
        <v>39845</v>
      </c>
      <c r="B66" s="145" t="n">
        <f aca="false">Inputs!$B$8</f>
        <v>50000</v>
      </c>
      <c r="C66" s="146" t="n">
        <f aca="false">IF(AZ66=0,0,IF(AND(AZ66=1,$H$3=1),B66*AU66,IF($H$3=2,B66,"N/A")))</f>
        <v>1400000</v>
      </c>
      <c r="D66" s="146" t="n">
        <f aca="false">C66*AY66</f>
        <v>3249114.49802659</v>
      </c>
      <c r="E66" s="147" t="n">
        <f aca="false">VLOOKUP($A66,[1]!CurveTable,MATCH($E$4,[1]!CurveType,0))</f>
        <v>4.275</v>
      </c>
      <c r="F66" s="148" t="n">
        <f aca="false">E66-Inputs!$B$16</f>
        <v>4.33</v>
      </c>
      <c r="G66" s="149" t="n">
        <f aca="false">F66</f>
        <v>4.33</v>
      </c>
      <c r="H66" s="147" t="n">
        <f aca="false">VLOOKUP($A66,[1]!CurveTable,MATCH($H$4,[1]!CurveType,0))</f>
        <v>0.075</v>
      </c>
      <c r="I66" s="148" t="n">
        <f aca="false">H66+Inputs!$B$22</f>
        <v>0.075</v>
      </c>
      <c r="J66" s="150" t="n">
        <f aca="false">I66</f>
        <v>0.075</v>
      </c>
      <c r="K66" s="147" t="n">
        <f aca="false">VLOOKUP($A66,[1]!CurveTable,MATCH($K$4,[1]!CurveType,0))</f>
        <v>0</v>
      </c>
      <c r="L66" s="148" t="n">
        <v>0</v>
      </c>
      <c r="M66" s="151" t="n">
        <f aca="false">L66</f>
        <v>0</v>
      </c>
      <c r="N66" s="147" t="n">
        <f aca="false">VLOOKUP($A66,[1]!CurveTable,MATCH($N$4,[1]!CurveType,0))</f>
        <v>0.009</v>
      </c>
      <c r="O66" s="148" t="n">
        <f aca="false">N66+Inputs!$E$22</f>
        <v>0.009</v>
      </c>
      <c r="P66" s="151" t="n">
        <f aca="false">O66</f>
        <v>0.009</v>
      </c>
      <c r="Q66" s="147" t="n">
        <f aca="false">VLOOKUP($A66,[1]!CurveTable,MATCH($Q$4,[1]!CurveType,0))</f>
        <v>0.0075</v>
      </c>
      <c r="R66" s="148" t="n">
        <v>0</v>
      </c>
      <c r="S66" s="151" t="n">
        <f aca="false">R66</f>
        <v>0</v>
      </c>
      <c r="T66" s="152"/>
      <c r="U66" s="153" t="n">
        <f aca="false">G66+J66</f>
        <v>4.405</v>
      </c>
      <c r="V66" s="154"/>
      <c r="W66" s="155" t="n">
        <f aca="false">VLOOKUP($A66,[1]!CurveTable,MATCH($W$4,[1]!CurveType,0))+$W$9</f>
        <v>0.22</v>
      </c>
      <c r="X66" s="155" t="n">
        <f aca="false">VLOOKUP($A66,[1]!CurveTable,MATCH($X$4,[1]!CurveType,0))+$X$9</f>
        <v>0.225</v>
      </c>
      <c r="Y66" s="139" t="n">
        <f aca="false">SQRT((X66^2*($A66-$C$3)+W66^2*(DAY(EOMONTH(A66,0))/2))/$AN66)</f>
        <v>0.224163211219395</v>
      </c>
      <c r="Z66" s="152"/>
      <c r="AA66" s="153" t="n">
        <f aca="false">G66+P66+S66</f>
        <v>4.339</v>
      </c>
      <c r="AB66" s="154"/>
      <c r="AC66" s="155" t="n">
        <f aca="false">VLOOKUP($A66,[1]!CurveTable,MATCH($AC$4,[1]!CurveType,0))+$AC$9</f>
        <v>0.22</v>
      </c>
      <c r="AD66" s="155" t="n">
        <f aca="false">VLOOKUP($A66,[1]!CurveTable,MATCH($AD$4,[1]!CurveType,0))+$AD$9</f>
        <v>0.225</v>
      </c>
      <c r="AE66" s="139" t="n">
        <f aca="false">SQRT((AD66^2*($A66-$C$3)+AC66^2*(DAY(EOMONTH(A66,0))/2))/$AN66)</f>
        <v>0.224163211219395</v>
      </c>
      <c r="AF66" s="152"/>
      <c r="AG66" s="156" t="n">
        <f aca="false">((Inputs!$F$20*(X66*AD66)*(A66-$C$3))+(Inputs!$F$19*W66*AC66*(DAY(EOMONTH(A66,0))/2)))/(AN66*Y66*AE66)</f>
        <v>0.75</v>
      </c>
      <c r="AH66" s="152"/>
      <c r="AI66" s="140" t="n">
        <f aca="false">Inputs!$B$15</f>
        <v>0.06</v>
      </c>
      <c r="AJ66" s="157"/>
      <c r="AK66" s="140" t="n">
        <f aca="false">IF((U66-AA66-AI66)&lt;0,0,(U66-AA66-AI66))</f>
        <v>0.00599999999999984</v>
      </c>
      <c r="AL66" s="157"/>
      <c r="AM66" s="158" t="n">
        <f aca="false">WORKDAY(EOMONTH(A66-1,-1),0)</f>
        <v>39813</v>
      </c>
      <c r="AN66" s="159" t="n">
        <f aca="false">AM66-$C$3</f>
        <v>-6113</v>
      </c>
      <c r="AO66" s="159" t="n">
        <f aca="false">AO65</f>
        <v>1</v>
      </c>
      <c r="AP66" s="160"/>
      <c r="AQ66" s="161" t="e">
        <f aca="false">SPRDOPT(U66,AA66,AI66,AX66,X66,AD66,AG66,AN66,AO66,0)</f>
        <v>#NAME?</v>
      </c>
      <c r="AR66" s="162" t="e">
        <f aca="false">AQ66*C66</f>
        <v>#NAME?</v>
      </c>
      <c r="AS66" s="163" t="e">
        <f aca="false">AQ66-AK66</f>
        <v>#NAME?</v>
      </c>
      <c r="AU66" s="112" t="n">
        <f aca="false">A67-A66</f>
        <v>28</v>
      </c>
      <c r="AV66" s="164" t="n">
        <f aca="false">CHOOSE(F$3,A67+24,A66+14)</f>
        <v>39859</v>
      </c>
      <c r="AW66" s="49" t="n">
        <f aca="false">AV66-C$3</f>
        <v>-6067</v>
      </c>
      <c r="AX66" s="155" t="n">
        <f aca="false">VLOOKUP($A66,[1]!CurveTable,MATCH(AX$4,[1]!CurveType,0))</f>
        <v>0.0513330111688517</v>
      </c>
      <c r="AY66" s="165" t="n">
        <f aca="false">1/(1+CHOOSE(F$3,(AX67+(Inputs!$B$14/10000))/2,(AX66+(Inputs!$B$14/10000))/2))^(2*AW66/365.25)</f>
        <v>2.32079607001899</v>
      </c>
      <c r="AZ66" s="49" t="n">
        <f aca="false">IF(AND(mthbeg&lt;=A66,mthend&gt;=A66),1,0)</f>
        <v>1</v>
      </c>
      <c r="BA66" s="111" t="n">
        <f aca="false">AU66*AZ66</f>
        <v>28</v>
      </c>
      <c r="BC66" s="142" t="n">
        <f aca="false">E66*$D66</f>
        <v>13889964.4790637</v>
      </c>
      <c r="BD66" s="142" t="n">
        <f aca="false">F66*$D66</f>
        <v>14068665.7764551</v>
      </c>
      <c r="BE66" s="142" t="n">
        <f aca="false">G66*$D66</f>
        <v>14068665.7764551</v>
      </c>
      <c r="BF66" s="142" t="n">
        <f aca="false">H66*$D66</f>
        <v>243683.587351994</v>
      </c>
      <c r="BG66" s="142" t="n">
        <f aca="false">I66*$D66</f>
        <v>243683.587351994</v>
      </c>
      <c r="BH66" s="142" t="n">
        <f aca="false">J66*$D66</f>
        <v>243683.587351994</v>
      </c>
      <c r="BI66" s="142" t="n">
        <f aca="false">K66*$D66</f>
        <v>0</v>
      </c>
      <c r="BJ66" s="142" t="n">
        <f aca="false">L66*$D66</f>
        <v>0</v>
      </c>
      <c r="BK66" s="142" t="n">
        <f aca="false">M66*$D66</f>
        <v>0</v>
      </c>
      <c r="BL66" s="142" t="n">
        <f aca="false">N66*$D66</f>
        <v>29242.0304822393</v>
      </c>
      <c r="BM66" s="142" t="n">
        <f aca="false">O66*$D66</f>
        <v>29242.0304822393</v>
      </c>
      <c r="BN66" s="142" t="n">
        <f aca="false">P66*$D66</f>
        <v>29242.0304822393</v>
      </c>
      <c r="BO66" s="142" t="n">
        <f aca="false">Q66*$D66</f>
        <v>24368.3587351994</v>
      </c>
      <c r="BP66" s="142" t="n">
        <f aca="false">R66*$D66</f>
        <v>0</v>
      </c>
      <c r="BQ66" s="142" t="n">
        <f aca="false">S66*$D66</f>
        <v>0</v>
      </c>
      <c r="BR66" s="142" t="n">
        <f aca="false">U66*$D66</f>
        <v>14312349.3638071</v>
      </c>
      <c r="BS66" s="142" t="n">
        <f aca="false">AA66*$D66</f>
        <v>14097907.8069374</v>
      </c>
      <c r="BT66" s="142" t="n">
        <f aca="false">AI66*$D66</f>
        <v>194946.869881595</v>
      </c>
      <c r="BU66" s="142" t="n">
        <f aca="false">AK66*D66</f>
        <v>19494.686988159</v>
      </c>
    </row>
    <row r="67" customFormat="false" ht="12.75" hidden="false" customHeight="false" outlineLevel="0" collapsed="false">
      <c r="A67" s="144" t="n">
        <f aca="false">EDATE(A66,1)</f>
        <v>39873</v>
      </c>
      <c r="B67" s="145" t="n">
        <f aca="false">Inputs!$B$8</f>
        <v>50000</v>
      </c>
      <c r="C67" s="146" t="n">
        <f aca="false">IF(AZ67=0,0,IF(AND(AZ67=1,$H$3=1),B67*AU67,IF($H$3=2,B67,"N/A")))</f>
        <v>1550000</v>
      </c>
      <c r="D67" s="146" t="n">
        <f aca="false">C67*AY67</f>
        <v>3589053.80833606</v>
      </c>
      <c r="E67" s="147" t="n">
        <f aca="false">VLOOKUP($A67,[1]!CurveTable,MATCH($E$4,[1]!CurveType,0))</f>
        <v>4.136</v>
      </c>
      <c r="F67" s="148" t="n">
        <f aca="false">E67-Inputs!$B$16</f>
        <v>4.191</v>
      </c>
      <c r="G67" s="149" t="n">
        <f aca="false">F67</f>
        <v>4.191</v>
      </c>
      <c r="H67" s="147" t="n">
        <f aca="false">VLOOKUP($A67,[1]!CurveTable,MATCH($H$4,[1]!CurveType,0))</f>
        <v>0.18</v>
      </c>
      <c r="I67" s="148" t="n">
        <f aca="false">H67+Inputs!$B$22</f>
        <v>0.18</v>
      </c>
      <c r="J67" s="150" t="n">
        <f aca="false">I67</f>
        <v>0.18</v>
      </c>
      <c r="K67" s="147" t="n">
        <f aca="false">VLOOKUP($A67,[1]!CurveTable,MATCH($K$4,[1]!CurveType,0))</f>
        <v>0</v>
      </c>
      <c r="L67" s="148" t="n">
        <v>0</v>
      </c>
      <c r="M67" s="151" t="n">
        <f aca="false">L67</f>
        <v>0</v>
      </c>
      <c r="N67" s="147" t="n">
        <f aca="false">VLOOKUP($A67,[1]!CurveTable,MATCH($N$4,[1]!CurveType,0))</f>
        <v>0.013</v>
      </c>
      <c r="O67" s="148" t="n">
        <f aca="false">N67+Inputs!$E$22</f>
        <v>0.013</v>
      </c>
      <c r="P67" s="151" t="n">
        <f aca="false">O67</f>
        <v>0.013</v>
      </c>
      <c r="Q67" s="147" t="n">
        <f aca="false">VLOOKUP($A67,[1]!CurveTable,MATCH($Q$4,[1]!CurveType,0))</f>
        <v>0.0075</v>
      </c>
      <c r="R67" s="148" t="n">
        <v>0</v>
      </c>
      <c r="S67" s="151" t="n">
        <f aca="false">R67</f>
        <v>0</v>
      </c>
      <c r="T67" s="152"/>
      <c r="U67" s="153" t="n">
        <f aca="false">G67+J67</f>
        <v>4.371</v>
      </c>
      <c r="V67" s="154"/>
      <c r="W67" s="155" t="n">
        <f aca="false">VLOOKUP($A67,[1]!CurveTable,MATCH($W$4,[1]!CurveType,0))+$W$9</f>
        <v>0.205</v>
      </c>
      <c r="X67" s="155" t="n">
        <f aca="false">VLOOKUP($A67,[1]!CurveTable,MATCH($X$4,[1]!CurveType,0))+$X$9</f>
        <v>0.21</v>
      </c>
      <c r="Y67" s="139" t="n">
        <f aca="false">SQRT((X67^2*($A67-$C$3)+W67^2*(DAY(EOMONTH(A67,0))/2))/$AN67)</f>
        <v>0.209242975757013</v>
      </c>
      <c r="Z67" s="152"/>
      <c r="AA67" s="153" t="n">
        <f aca="false">G67+P67+S67</f>
        <v>4.204</v>
      </c>
      <c r="AB67" s="154"/>
      <c r="AC67" s="155" t="n">
        <f aca="false">VLOOKUP($A67,[1]!CurveTable,MATCH($AC$4,[1]!CurveType,0))+$AC$9</f>
        <v>0.205</v>
      </c>
      <c r="AD67" s="155" t="n">
        <f aca="false">VLOOKUP($A67,[1]!CurveTable,MATCH($AD$4,[1]!CurveType,0))+$AD$9</f>
        <v>0.21</v>
      </c>
      <c r="AE67" s="139" t="n">
        <f aca="false">SQRT((AD67^2*($A67-$C$3)+AC67^2*(DAY(EOMONTH(A67,0))/2))/$AN67)</f>
        <v>0.209242975757013</v>
      </c>
      <c r="AF67" s="152"/>
      <c r="AG67" s="156" t="n">
        <f aca="false">((Inputs!$F$20*(X67*AD67)*(A67-$C$3))+(Inputs!$F$19*W67*AC67*(DAY(EOMONTH(A67,0))/2)))/(AN67*Y67*AE67)</f>
        <v>0.75</v>
      </c>
      <c r="AH67" s="152"/>
      <c r="AI67" s="140" t="n">
        <f aca="false">Inputs!$B$15</f>
        <v>0.06</v>
      </c>
      <c r="AJ67" s="157"/>
      <c r="AK67" s="140" t="n">
        <f aca="false">IF((U67-AA67-AI67)&lt;0,0,(U67-AA67-AI67))</f>
        <v>0.107</v>
      </c>
      <c r="AL67" s="157"/>
      <c r="AM67" s="158" t="n">
        <f aca="false">WORKDAY(EOMONTH(A67-1,-1),0)</f>
        <v>39844</v>
      </c>
      <c r="AN67" s="159" t="n">
        <f aca="false">AM67-$C$3</f>
        <v>-6082</v>
      </c>
      <c r="AO67" s="159" t="n">
        <f aca="false">AO66</f>
        <v>1</v>
      </c>
      <c r="AP67" s="160"/>
      <c r="AQ67" s="161" t="e">
        <f aca="false">SPRDOPT(U67,AA67,AI67,AX67,X67,AD67,AG67,AN67,AO67,0)</f>
        <v>#NAME?</v>
      </c>
      <c r="AR67" s="162" t="e">
        <f aca="false">AQ67*C67</f>
        <v>#NAME?</v>
      </c>
      <c r="AS67" s="163" t="e">
        <f aca="false">AQ67-AK67</f>
        <v>#NAME?</v>
      </c>
      <c r="AU67" s="112" t="n">
        <f aca="false">A68-A67</f>
        <v>31</v>
      </c>
      <c r="AV67" s="164" t="n">
        <f aca="false">CHOOSE(F$3,A68+24,A67+14)</f>
        <v>39887</v>
      </c>
      <c r="AW67" s="49" t="n">
        <f aca="false">AV67-C$3</f>
        <v>-6039</v>
      </c>
      <c r="AX67" s="155" t="n">
        <f aca="false">VLOOKUP($A67,[1]!CurveTable,MATCH(AX$4,[1]!CurveType,0))</f>
        <v>0.0514328229084602</v>
      </c>
      <c r="AY67" s="165" t="n">
        <f aca="false">1/(1+CHOOSE(F$3,(AX68+(Inputs!$B$14/10000))/2,(AX67+(Inputs!$B$14/10000))/2))^(2*AW67/365.25)</f>
        <v>2.31551858602326</v>
      </c>
      <c r="AZ67" s="49" t="n">
        <f aca="false">IF(AND(mthbeg&lt;=A67,mthend&gt;=A67),1,0)</f>
        <v>1</v>
      </c>
      <c r="BA67" s="111" t="n">
        <f aca="false">AU67*AZ67</f>
        <v>31</v>
      </c>
      <c r="BC67" s="142" t="n">
        <f aca="false">E67*$D67</f>
        <v>14844326.5512779</v>
      </c>
      <c r="BD67" s="142" t="n">
        <f aca="false">F67*$D67</f>
        <v>15041724.5107364</v>
      </c>
      <c r="BE67" s="142" t="n">
        <f aca="false">G67*$D67</f>
        <v>15041724.5107364</v>
      </c>
      <c r="BF67" s="142" t="n">
        <f aca="false">H67*$D67</f>
        <v>646029.685500491</v>
      </c>
      <c r="BG67" s="142" t="n">
        <f aca="false">I67*$D67</f>
        <v>646029.685500491</v>
      </c>
      <c r="BH67" s="142" t="n">
        <f aca="false">J67*$D67</f>
        <v>646029.685500491</v>
      </c>
      <c r="BI67" s="142" t="n">
        <f aca="false">K67*$D67</f>
        <v>0</v>
      </c>
      <c r="BJ67" s="142" t="n">
        <f aca="false">L67*$D67</f>
        <v>0</v>
      </c>
      <c r="BK67" s="142" t="n">
        <f aca="false">M67*$D67</f>
        <v>0</v>
      </c>
      <c r="BL67" s="142" t="n">
        <f aca="false">N67*$D67</f>
        <v>46657.6995083688</v>
      </c>
      <c r="BM67" s="142" t="n">
        <f aca="false">O67*$D67</f>
        <v>46657.6995083688</v>
      </c>
      <c r="BN67" s="142" t="n">
        <f aca="false">P67*$D67</f>
        <v>46657.6995083688</v>
      </c>
      <c r="BO67" s="142" t="n">
        <f aca="false">Q67*$D67</f>
        <v>26917.9035625204</v>
      </c>
      <c r="BP67" s="142" t="n">
        <f aca="false">R67*$D67</f>
        <v>0</v>
      </c>
      <c r="BQ67" s="142" t="n">
        <f aca="false">S67*$D67</f>
        <v>0</v>
      </c>
      <c r="BR67" s="142" t="n">
        <f aca="false">U67*$D67</f>
        <v>15687754.1962369</v>
      </c>
      <c r="BS67" s="142" t="n">
        <f aca="false">AA67*$D67</f>
        <v>15088382.2102448</v>
      </c>
      <c r="BT67" s="142" t="n">
        <f aca="false">AI67*$D67</f>
        <v>215343.228500163</v>
      </c>
      <c r="BU67" s="142" t="n">
        <f aca="false">AK67*D67</f>
        <v>384028.757491958</v>
      </c>
    </row>
    <row r="68" customFormat="false" ht="12.75" hidden="false" customHeight="false" outlineLevel="0" collapsed="false">
      <c r="A68" s="144" t="n">
        <f aca="false">EDATE(A67,1)</f>
        <v>39904</v>
      </c>
      <c r="B68" s="145" t="n">
        <f aca="false">Inputs!$B$8</f>
        <v>50000</v>
      </c>
      <c r="C68" s="146" t="n">
        <f aca="false">IF(AZ68=0,0,IF(AND(AZ68=1,$H$3=1),B68*AU68,IF($H$3=2,B68,"N/A")))</f>
        <v>1500000</v>
      </c>
      <c r="D68" s="146" t="n">
        <f aca="false">C68*AY68</f>
        <v>3464473.87402556</v>
      </c>
      <c r="E68" s="147" t="n">
        <f aca="false">VLOOKUP($A68,[1]!CurveTable,MATCH($E$4,[1]!CurveType,0))</f>
        <v>3.982</v>
      </c>
      <c r="F68" s="148" t="n">
        <f aca="false">E68-Inputs!$B$16</f>
        <v>4.037</v>
      </c>
      <c r="G68" s="149" t="n">
        <f aca="false">F68</f>
        <v>4.037</v>
      </c>
      <c r="H68" s="147" t="n">
        <f aca="false">VLOOKUP($A68,[1]!CurveTable,MATCH($H$4,[1]!CurveType,0))</f>
        <v>0.55</v>
      </c>
      <c r="I68" s="148" t="n">
        <f aca="false">H68+Inputs!$B$22</f>
        <v>0.55</v>
      </c>
      <c r="J68" s="150" t="n">
        <f aca="false">I68</f>
        <v>0.55</v>
      </c>
      <c r="K68" s="147" t="n">
        <f aca="false">VLOOKUP($A68,[1]!CurveTable,MATCH($K$4,[1]!CurveType,0))</f>
        <v>0</v>
      </c>
      <c r="L68" s="148" t="n">
        <v>0</v>
      </c>
      <c r="M68" s="151" t="n">
        <f aca="false">L68</f>
        <v>0</v>
      </c>
      <c r="N68" s="147" t="n">
        <f aca="false">VLOOKUP($A68,[1]!CurveTable,MATCH($N$4,[1]!CurveType,0))</f>
        <v>0.013</v>
      </c>
      <c r="O68" s="148" t="n">
        <f aca="false">N68+Inputs!$E$22</f>
        <v>0.013</v>
      </c>
      <c r="P68" s="151" t="n">
        <f aca="false">O68</f>
        <v>0.013</v>
      </c>
      <c r="Q68" s="147" t="n">
        <f aca="false">VLOOKUP($A68,[1]!CurveTable,MATCH($Q$4,[1]!CurveType,0))</f>
        <v>0.01</v>
      </c>
      <c r="R68" s="148" t="n">
        <v>0</v>
      </c>
      <c r="S68" s="151" t="n">
        <f aca="false">R68</f>
        <v>0</v>
      </c>
      <c r="T68" s="152"/>
      <c r="U68" s="153" t="n">
        <f aca="false">G68+J68</f>
        <v>4.587</v>
      </c>
      <c r="V68" s="154"/>
      <c r="W68" s="155" t="n">
        <f aca="false">VLOOKUP($A68,[1]!CurveTable,MATCH($W$4,[1]!CurveType,0))+$W$9</f>
        <v>0.195</v>
      </c>
      <c r="X68" s="155" t="n">
        <f aca="false">VLOOKUP($A68,[1]!CurveTable,MATCH($X$4,[1]!CurveType,0))+$X$9</f>
        <v>0.2</v>
      </c>
      <c r="Y68" s="139" t="n">
        <f aca="false">SQRT((X68^2*($A68-$C$3)+W68^2*(DAY(EOMONTH(A68,0))/2))/$AN68)</f>
        <v>0.199234422156211</v>
      </c>
      <c r="Z68" s="152"/>
      <c r="AA68" s="153" t="n">
        <f aca="false">G68+P68+S68</f>
        <v>4.05</v>
      </c>
      <c r="AB68" s="154"/>
      <c r="AC68" s="155" t="n">
        <f aca="false">VLOOKUP($A68,[1]!CurveTable,MATCH($AC$4,[1]!CurveType,0))+$AC$9</f>
        <v>0.195</v>
      </c>
      <c r="AD68" s="155" t="n">
        <f aca="false">VLOOKUP($A68,[1]!CurveTable,MATCH($AD$4,[1]!CurveType,0))+$AD$9</f>
        <v>0.2</v>
      </c>
      <c r="AE68" s="139" t="n">
        <f aca="false">SQRT((AD68^2*($A68-$C$3)+AC68^2*(DAY(EOMONTH(A68,0))/2))/$AN68)</f>
        <v>0.199234422156211</v>
      </c>
      <c r="AF68" s="152"/>
      <c r="AG68" s="156" t="n">
        <f aca="false">((Inputs!$F$20*(X68*AD68)*(A68-$C$3))+(Inputs!$F$19*W68*AC68*(DAY(EOMONTH(A68,0))/2)))/(AN68*Y68*AE68)</f>
        <v>0.75</v>
      </c>
      <c r="AH68" s="152"/>
      <c r="AI68" s="140" t="n">
        <f aca="false">Inputs!$B$15</f>
        <v>0.06</v>
      </c>
      <c r="AJ68" s="157"/>
      <c r="AK68" s="140" t="n">
        <f aca="false">IF((U68-AA68-AI68)&lt;0,0,(U68-AA68-AI68))</f>
        <v>0.477</v>
      </c>
      <c r="AL68" s="157"/>
      <c r="AM68" s="158" t="n">
        <f aca="false">WORKDAY(EOMONTH(A68-1,-1),0)</f>
        <v>39872</v>
      </c>
      <c r="AN68" s="159" t="n">
        <f aca="false">AM68-$C$3</f>
        <v>-6054</v>
      </c>
      <c r="AO68" s="159" t="n">
        <f aca="false">AO67</f>
        <v>1</v>
      </c>
      <c r="AP68" s="160"/>
      <c r="AQ68" s="161" t="e">
        <f aca="false">SPRDOPT(U68,AA68,AI68,AX68,X68,AD68,AG68,AN68,AO68,0)</f>
        <v>#NAME?</v>
      </c>
      <c r="AR68" s="162" t="e">
        <f aca="false">AQ68*C68</f>
        <v>#NAME?</v>
      </c>
      <c r="AS68" s="163" t="e">
        <f aca="false">AQ68-AK68</f>
        <v>#NAME?</v>
      </c>
      <c r="AU68" s="112" t="n">
        <f aca="false">A69-A68</f>
        <v>30</v>
      </c>
      <c r="AV68" s="164" t="n">
        <f aca="false">CHOOSE(F$3,A69+24,A68+14)</f>
        <v>39918</v>
      </c>
      <c r="AW68" s="49" t="n">
        <f aca="false">AV68-C$3</f>
        <v>-6008</v>
      </c>
      <c r="AX68" s="155" t="n">
        <f aca="false">VLOOKUP($A68,[1]!CurveTable,MATCH(AX$4,[1]!CurveType,0))</f>
        <v>0.051543328766904</v>
      </c>
      <c r="AY68" s="165" t="n">
        <f aca="false">1/(1+CHOOSE(F$3,(AX69+(Inputs!$B$14/10000))/2,(AX68+(Inputs!$B$14/10000))/2))^(2*AW68/365.25)</f>
        <v>2.30964924935037</v>
      </c>
      <c r="AZ68" s="49" t="n">
        <f aca="false">IF(AND(mthbeg&lt;=A68,mthend&gt;=A68),1,0)</f>
        <v>1</v>
      </c>
      <c r="BA68" s="111" t="n">
        <f aca="false">AU68*AZ68</f>
        <v>30</v>
      </c>
      <c r="BC68" s="142" t="n">
        <f aca="false">E68*$D68</f>
        <v>13795534.9663698</v>
      </c>
      <c r="BD68" s="142" t="n">
        <f aca="false">F68*$D68</f>
        <v>13986081.0294412</v>
      </c>
      <c r="BE68" s="142" t="n">
        <f aca="false">G68*$D68</f>
        <v>13986081.0294412</v>
      </c>
      <c r="BF68" s="142" t="n">
        <f aca="false">H68*$D68</f>
        <v>1905460.63071406</v>
      </c>
      <c r="BG68" s="142" t="n">
        <f aca="false">I68*$D68</f>
        <v>1905460.63071406</v>
      </c>
      <c r="BH68" s="142" t="n">
        <f aca="false">J68*$D68</f>
        <v>1905460.63071406</v>
      </c>
      <c r="BI68" s="142" t="n">
        <f aca="false">K68*$D68</f>
        <v>0</v>
      </c>
      <c r="BJ68" s="142" t="n">
        <f aca="false">L68*$D68</f>
        <v>0</v>
      </c>
      <c r="BK68" s="142" t="n">
        <f aca="false">M68*$D68</f>
        <v>0</v>
      </c>
      <c r="BL68" s="142" t="n">
        <f aca="false">N68*$D68</f>
        <v>45038.1603623322</v>
      </c>
      <c r="BM68" s="142" t="n">
        <f aca="false">O68*$D68</f>
        <v>45038.1603623322</v>
      </c>
      <c r="BN68" s="142" t="n">
        <f aca="false">P68*$D68</f>
        <v>45038.1603623322</v>
      </c>
      <c r="BO68" s="142" t="n">
        <f aca="false">Q68*$D68</f>
        <v>34644.7387402556</v>
      </c>
      <c r="BP68" s="142" t="n">
        <f aca="false">R68*$D68</f>
        <v>0</v>
      </c>
      <c r="BQ68" s="142" t="n">
        <f aca="false">S68*$D68</f>
        <v>0</v>
      </c>
      <c r="BR68" s="142" t="n">
        <f aca="false">U68*$D68</f>
        <v>15891541.6601552</v>
      </c>
      <c r="BS68" s="142" t="n">
        <f aca="false">AA68*$D68</f>
        <v>14031119.1898035</v>
      </c>
      <c r="BT68" s="142" t="n">
        <f aca="false">AI68*$D68</f>
        <v>207868.432441533</v>
      </c>
      <c r="BU68" s="142" t="n">
        <f aca="false">AK68*D68</f>
        <v>1652554.03791019</v>
      </c>
    </row>
    <row r="69" customFormat="false" ht="12.75" hidden="false" customHeight="false" outlineLevel="0" collapsed="false">
      <c r="A69" s="144" t="n">
        <f aca="false">EDATE(A68,1)</f>
        <v>39934</v>
      </c>
      <c r="B69" s="145" t="n">
        <f aca="false">Inputs!$B$8</f>
        <v>50000</v>
      </c>
      <c r="C69" s="146" t="n">
        <f aca="false">IF(AZ69=0,0,IF(AND(AZ69=1,$H$3=1),B69*AU69,IF($H$3=2,B69,"N/A")))</f>
        <v>1550000</v>
      </c>
      <c r="D69" s="146" t="n">
        <f aca="false">C69*AY69</f>
        <v>3571111.78538678</v>
      </c>
      <c r="E69" s="147" t="n">
        <f aca="false">VLOOKUP($A69,[1]!CurveTable,MATCH($E$4,[1]!CurveType,0))</f>
        <v>3.987</v>
      </c>
      <c r="F69" s="148" t="n">
        <f aca="false">E69-Inputs!$B$16</f>
        <v>4.042</v>
      </c>
      <c r="G69" s="149" t="n">
        <f aca="false">F69</f>
        <v>4.042</v>
      </c>
      <c r="H69" s="147" t="n">
        <f aca="false">VLOOKUP($A69,[1]!CurveTable,MATCH($H$4,[1]!CurveType,0))</f>
        <v>0.7</v>
      </c>
      <c r="I69" s="148" t="n">
        <f aca="false">H69+Inputs!$B$22</f>
        <v>0.7</v>
      </c>
      <c r="J69" s="150" t="n">
        <f aca="false">I69</f>
        <v>0.7</v>
      </c>
      <c r="K69" s="147" t="n">
        <f aca="false">VLOOKUP($A69,[1]!CurveTable,MATCH($K$4,[1]!CurveType,0))</f>
        <v>0</v>
      </c>
      <c r="L69" s="148" t="n">
        <v>0</v>
      </c>
      <c r="M69" s="151" t="n">
        <f aca="false">L69</f>
        <v>0</v>
      </c>
      <c r="N69" s="147" t="n">
        <f aca="false">VLOOKUP($A69,[1]!CurveTable,MATCH($N$4,[1]!CurveType,0))</f>
        <v>0.0155</v>
      </c>
      <c r="O69" s="148" t="n">
        <f aca="false">N69+Inputs!$E$22</f>
        <v>0.0155</v>
      </c>
      <c r="P69" s="151" t="n">
        <f aca="false">O69</f>
        <v>0.0155</v>
      </c>
      <c r="Q69" s="147" t="n">
        <f aca="false">VLOOKUP($A69,[1]!CurveTable,MATCH($Q$4,[1]!CurveType,0))</f>
        <v>0.01</v>
      </c>
      <c r="R69" s="148" t="n">
        <v>0</v>
      </c>
      <c r="S69" s="151" t="n">
        <f aca="false">R69</f>
        <v>0</v>
      </c>
      <c r="T69" s="152"/>
      <c r="U69" s="153" t="n">
        <f aca="false">G69+J69</f>
        <v>4.742</v>
      </c>
      <c r="V69" s="154"/>
      <c r="W69" s="155" t="n">
        <f aca="false">VLOOKUP($A69,[1]!CurveTable,MATCH($W$4,[1]!CurveType,0))+$W$9</f>
        <v>0.39</v>
      </c>
      <c r="X69" s="155" t="n">
        <f aca="false">VLOOKUP($A69,[1]!CurveTable,MATCH($X$4,[1]!CurveType,0))+$X$9</f>
        <v>0.395</v>
      </c>
      <c r="Y69" s="139" t="n">
        <f aca="false">SQRT((X69^2*($A69-$C$3)+W69^2*(DAY(EOMONTH(A69,0))/2))/$AN69)</f>
        <v>0.393485100932027</v>
      </c>
      <c r="Z69" s="152"/>
      <c r="AA69" s="153" t="n">
        <f aca="false">G69+P69+S69</f>
        <v>4.0575</v>
      </c>
      <c r="AB69" s="154"/>
      <c r="AC69" s="155" t="n">
        <f aca="false">VLOOKUP($A69,[1]!CurveTable,MATCH($AC$4,[1]!CurveType,0))+$AC$9</f>
        <v>0.195</v>
      </c>
      <c r="AD69" s="155" t="n">
        <f aca="false">VLOOKUP($A69,[1]!CurveTable,MATCH($AD$4,[1]!CurveType,0))+$AD$9</f>
        <v>0.2</v>
      </c>
      <c r="AE69" s="139" t="n">
        <f aca="false">SQRT((AD69^2*($A69-$C$3)+AC69^2*(DAY(EOMONTH(A69,0))/2))/$AN69)</f>
        <v>0.199239219019459</v>
      </c>
      <c r="AF69" s="152"/>
      <c r="AG69" s="156" t="n">
        <f aca="false">((Inputs!$F$20*(X69*AD69)*(A69-$C$3))+(Inputs!$F$19*W69*AC69*(DAY(EOMONTH(A69,0))/2)))/(AN69*Y69*AE69)</f>
        <v>0.750000148495053</v>
      </c>
      <c r="AH69" s="152"/>
      <c r="AI69" s="140" t="n">
        <f aca="false">Inputs!$B$15</f>
        <v>0.06</v>
      </c>
      <c r="AJ69" s="157"/>
      <c r="AK69" s="140" t="n">
        <f aca="false">IF((U69-AA69-AI69)&lt;0,0,(U69-AA69-AI69))</f>
        <v>0.6245</v>
      </c>
      <c r="AL69" s="157"/>
      <c r="AM69" s="158" t="n">
        <f aca="false">WORKDAY(EOMONTH(A69-1,-1),0)</f>
        <v>39903</v>
      </c>
      <c r="AN69" s="159" t="n">
        <f aca="false">AM69-$C$3</f>
        <v>-6023</v>
      </c>
      <c r="AO69" s="159" t="n">
        <f aca="false">AO68</f>
        <v>1</v>
      </c>
      <c r="AP69" s="160"/>
      <c r="AQ69" s="161" t="e">
        <f aca="false">SPRDOPT(U69,AA69,AI69,AX69,X69,AD69,AG69,AN69,AO69,0)</f>
        <v>#NAME?</v>
      </c>
      <c r="AR69" s="162" t="e">
        <f aca="false">AQ69*C69</f>
        <v>#NAME?</v>
      </c>
      <c r="AS69" s="163" t="e">
        <f aca="false">AQ69-AK69</f>
        <v>#NAME?</v>
      </c>
      <c r="AU69" s="112" t="n">
        <f aca="false">A70-A69</f>
        <v>31</v>
      </c>
      <c r="AV69" s="164" t="n">
        <f aca="false">CHOOSE(F$3,A70+24,A69+14)</f>
        <v>39948</v>
      </c>
      <c r="AW69" s="49" t="n">
        <f aca="false">AV69-C$3</f>
        <v>-5978</v>
      </c>
      <c r="AX69" s="155" t="n">
        <f aca="false">VLOOKUP($A69,[1]!CurveTable,MATCH(AX$4,[1]!CurveType,0))</f>
        <v>0.0516502699241164</v>
      </c>
      <c r="AY69" s="165" t="n">
        <f aca="false">1/(1+CHOOSE(F$3,(AX70+(Inputs!$B$14/10000))/2,(AX69+(Inputs!$B$14/10000))/2))^(2*AW69/365.25)</f>
        <v>2.30394308734631</v>
      </c>
      <c r="AZ69" s="49" t="n">
        <f aca="false">IF(AND(mthbeg&lt;=A69,mthend&gt;=A69),1,0)</f>
        <v>1</v>
      </c>
      <c r="BA69" s="111" t="n">
        <f aca="false">AU69*AZ69</f>
        <v>31</v>
      </c>
      <c r="BC69" s="142" t="n">
        <f aca="false">E69*$D69</f>
        <v>14238022.6883371</v>
      </c>
      <c r="BD69" s="142" t="n">
        <f aca="false">F69*$D69</f>
        <v>14434433.8365334</v>
      </c>
      <c r="BE69" s="142" t="n">
        <f aca="false">G69*$D69</f>
        <v>14434433.8365334</v>
      </c>
      <c r="BF69" s="142" t="n">
        <f aca="false">H69*$D69</f>
        <v>2499778.24977074</v>
      </c>
      <c r="BG69" s="142" t="n">
        <f aca="false">I69*$D69</f>
        <v>2499778.24977074</v>
      </c>
      <c r="BH69" s="142" t="n">
        <f aca="false">J69*$D69</f>
        <v>2499778.24977074</v>
      </c>
      <c r="BI69" s="142" t="n">
        <f aca="false">K69*$D69</f>
        <v>0</v>
      </c>
      <c r="BJ69" s="142" t="n">
        <f aca="false">L69*$D69</f>
        <v>0</v>
      </c>
      <c r="BK69" s="142" t="n">
        <f aca="false">M69*$D69</f>
        <v>0</v>
      </c>
      <c r="BL69" s="142" t="n">
        <f aca="false">N69*$D69</f>
        <v>55352.2326734951</v>
      </c>
      <c r="BM69" s="142" t="n">
        <f aca="false">O69*$D69</f>
        <v>55352.2326734951</v>
      </c>
      <c r="BN69" s="142" t="n">
        <f aca="false">P69*$D69</f>
        <v>55352.2326734951</v>
      </c>
      <c r="BO69" s="142" t="n">
        <f aca="false">Q69*$D69</f>
        <v>35711.1178538678</v>
      </c>
      <c r="BP69" s="142" t="n">
        <f aca="false">R69*$D69</f>
        <v>0</v>
      </c>
      <c r="BQ69" s="142" t="n">
        <f aca="false">S69*$D69</f>
        <v>0</v>
      </c>
      <c r="BR69" s="142" t="n">
        <f aca="false">U69*$D69</f>
        <v>16934212.0863041</v>
      </c>
      <c r="BS69" s="142" t="n">
        <f aca="false">AA69*$D69</f>
        <v>14489786.0692069</v>
      </c>
      <c r="BT69" s="142" t="n">
        <f aca="false">AI69*$D69</f>
        <v>214266.707123207</v>
      </c>
      <c r="BU69" s="142" t="n">
        <f aca="false">AK69*D69</f>
        <v>2230159.30997404</v>
      </c>
    </row>
    <row r="70" customFormat="false" ht="12.75" hidden="false" customHeight="false" outlineLevel="0" collapsed="false">
      <c r="A70" s="144" t="n">
        <f aca="false">EDATE(A69,1)</f>
        <v>39965</v>
      </c>
      <c r="B70" s="145" t="n">
        <f aca="false">Inputs!$B$8</f>
        <v>50000</v>
      </c>
      <c r="C70" s="146" t="n">
        <f aca="false">IF(AZ70=0,0,IF(AND(AZ70=1,$H$3=1),B70*AU70,IF($H$3=2,B70,"N/A")))</f>
        <v>1500000</v>
      </c>
      <c r="D70" s="146" t="n">
        <f aca="false">C70*AY70</f>
        <v>3447029.95727569</v>
      </c>
      <c r="E70" s="147" t="n">
        <f aca="false">VLOOKUP($A70,[1]!CurveTable,MATCH($E$4,[1]!CurveType,0))</f>
        <v>4.025</v>
      </c>
      <c r="F70" s="148" t="n">
        <f aca="false">E70-Inputs!$B$16</f>
        <v>4.08</v>
      </c>
      <c r="G70" s="149" t="n">
        <f aca="false">F70</f>
        <v>4.08</v>
      </c>
      <c r="H70" s="147" t="n">
        <f aca="false">VLOOKUP($A70,[1]!CurveTable,MATCH($H$4,[1]!CurveType,0))</f>
        <v>0.8</v>
      </c>
      <c r="I70" s="148" t="n">
        <f aca="false">H70+Inputs!$B$22</f>
        <v>0.8</v>
      </c>
      <c r="J70" s="150" t="n">
        <f aca="false">I70</f>
        <v>0.8</v>
      </c>
      <c r="K70" s="147" t="n">
        <f aca="false">VLOOKUP($A70,[1]!CurveTable,MATCH($K$4,[1]!CurveType,0))</f>
        <v>0</v>
      </c>
      <c r="L70" s="148" t="n">
        <v>0</v>
      </c>
      <c r="M70" s="151" t="n">
        <f aca="false">L70</f>
        <v>0</v>
      </c>
      <c r="N70" s="147" t="n">
        <f aca="false">VLOOKUP($A70,[1]!CurveTable,MATCH($N$4,[1]!CurveType,0))</f>
        <v>0.013</v>
      </c>
      <c r="O70" s="148" t="n">
        <f aca="false">N70+Inputs!$E$22</f>
        <v>0.013</v>
      </c>
      <c r="P70" s="151" t="n">
        <f aca="false">O70</f>
        <v>0.013</v>
      </c>
      <c r="Q70" s="147" t="n">
        <f aca="false">VLOOKUP($A70,[1]!CurveTable,MATCH($Q$4,[1]!CurveType,0))</f>
        <v>0.01</v>
      </c>
      <c r="R70" s="148" t="n">
        <v>0</v>
      </c>
      <c r="S70" s="151" t="n">
        <f aca="false">R70</f>
        <v>0</v>
      </c>
      <c r="T70" s="152"/>
      <c r="U70" s="153" t="n">
        <f aca="false">G70+J70</f>
        <v>4.88</v>
      </c>
      <c r="V70" s="154"/>
      <c r="W70" s="155" t="n">
        <f aca="false">VLOOKUP($A70,[1]!CurveTable,MATCH($W$4,[1]!CurveType,0))+$W$9</f>
        <v>0.39</v>
      </c>
      <c r="X70" s="155" t="n">
        <f aca="false">VLOOKUP($A70,[1]!CurveTable,MATCH($X$4,[1]!CurveType,0))+$X$9</f>
        <v>0.395</v>
      </c>
      <c r="Y70" s="139" t="n">
        <f aca="false">SQRT((X70^2*($A70-$C$3)+W70^2*(DAY(EOMONTH(A70,0))/2))/$AN70)</f>
        <v>0.393460545121526</v>
      </c>
      <c r="Z70" s="152"/>
      <c r="AA70" s="153" t="n">
        <f aca="false">G70+P70+S70</f>
        <v>4.093</v>
      </c>
      <c r="AB70" s="154"/>
      <c r="AC70" s="155" t="n">
        <f aca="false">VLOOKUP($A70,[1]!CurveTable,MATCH($AC$4,[1]!CurveType,0))+$AC$9</f>
        <v>0.195</v>
      </c>
      <c r="AD70" s="155" t="n">
        <f aca="false">VLOOKUP($A70,[1]!CurveTable,MATCH($AD$4,[1]!CurveType,0))+$AD$9</f>
        <v>0.2</v>
      </c>
      <c r="AE70" s="139" t="n">
        <f aca="false">SQRT((AD70^2*($A70-$C$3)+AC70^2*(DAY(EOMONTH(A70,0))/2))/$AN70)</f>
        <v>0.199226614565616</v>
      </c>
      <c r="AF70" s="152"/>
      <c r="AG70" s="156" t="n">
        <f aca="false">((Inputs!$F$20*(X70*AD70)*(A70-$C$3))+(Inputs!$F$19*W70*AC70*(DAY(EOMONTH(A70,0))/2)))/(AN70*Y70*AE70)</f>
        <v>0.750000144432588</v>
      </c>
      <c r="AH70" s="152"/>
      <c r="AI70" s="140" t="n">
        <f aca="false">Inputs!$B$15</f>
        <v>0.06</v>
      </c>
      <c r="AJ70" s="157"/>
      <c r="AK70" s="140" t="n">
        <f aca="false">IF((U70-AA70-AI70)&lt;0,0,(U70-AA70-AI70))</f>
        <v>0.727</v>
      </c>
      <c r="AL70" s="157"/>
      <c r="AM70" s="158" t="n">
        <f aca="false">WORKDAY(EOMONTH(A70-1,-1),0)</f>
        <v>39933</v>
      </c>
      <c r="AN70" s="159" t="n">
        <f aca="false">AM70-$C$3</f>
        <v>-5993</v>
      </c>
      <c r="AO70" s="159" t="n">
        <f aca="false">AO69</f>
        <v>1</v>
      </c>
      <c r="AP70" s="160"/>
      <c r="AQ70" s="161" t="e">
        <f aca="false">SPRDOPT(U70,AA70,AI70,AX70,X70,AD70,AG70,AN70,AO70,0)</f>
        <v>#NAME?</v>
      </c>
      <c r="AR70" s="162" t="e">
        <f aca="false">AQ70*C70</f>
        <v>#NAME?</v>
      </c>
      <c r="AS70" s="163" t="e">
        <f aca="false">AQ70-AK70</f>
        <v>#NAME?</v>
      </c>
      <c r="AU70" s="112" t="n">
        <f aca="false">A71-A70</f>
        <v>30</v>
      </c>
      <c r="AV70" s="164" t="n">
        <f aca="false">CHOOSE(F$3,A71+24,A70+14)</f>
        <v>39979</v>
      </c>
      <c r="AW70" s="49" t="n">
        <f aca="false">AV70-C$3</f>
        <v>-5947</v>
      </c>
      <c r="AX70" s="155" t="n">
        <f aca="false">VLOOKUP($A70,[1]!CurveTable,MATCH(AX$4,[1]!CurveType,0))</f>
        <v>0.0517607757905769</v>
      </c>
      <c r="AY70" s="165" t="n">
        <f aca="false">1/(1+CHOOSE(F$3,(AX71+(Inputs!$B$14/10000))/2,(AX70+(Inputs!$B$14/10000))/2))^(2*AW70/365.25)</f>
        <v>2.29801997151712</v>
      </c>
      <c r="AZ70" s="49" t="n">
        <f aca="false">IF(AND(mthbeg&lt;=A70,mthend&gt;=A70),1,0)</f>
        <v>1</v>
      </c>
      <c r="BA70" s="111" t="n">
        <f aca="false">AU70*AZ70</f>
        <v>30</v>
      </c>
      <c r="BC70" s="142" t="n">
        <f aca="false">E70*$D70</f>
        <v>13874295.5780346</v>
      </c>
      <c r="BD70" s="142" t="n">
        <f aca="false">F70*$D70</f>
        <v>14063882.2256848</v>
      </c>
      <c r="BE70" s="142" t="n">
        <f aca="false">G70*$D70</f>
        <v>14063882.2256848</v>
      </c>
      <c r="BF70" s="142" t="n">
        <f aca="false">H70*$D70</f>
        <v>2757623.96582055</v>
      </c>
      <c r="BG70" s="142" t="n">
        <f aca="false">I70*$D70</f>
        <v>2757623.96582055</v>
      </c>
      <c r="BH70" s="142" t="n">
        <f aca="false">J70*$D70</f>
        <v>2757623.96582055</v>
      </c>
      <c r="BI70" s="142" t="n">
        <f aca="false">K70*$D70</f>
        <v>0</v>
      </c>
      <c r="BJ70" s="142" t="n">
        <f aca="false">L70*$D70</f>
        <v>0</v>
      </c>
      <c r="BK70" s="142" t="n">
        <f aca="false">M70*$D70</f>
        <v>0</v>
      </c>
      <c r="BL70" s="142" t="n">
        <f aca="false">N70*$D70</f>
        <v>44811.3894445839</v>
      </c>
      <c r="BM70" s="142" t="n">
        <f aca="false">O70*$D70</f>
        <v>44811.3894445839</v>
      </c>
      <c r="BN70" s="142" t="n">
        <f aca="false">P70*$D70</f>
        <v>44811.3894445839</v>
      </c>
      <c r="BO70" s="142" t="n">
        <f aca="false">Q70*$D70</f>
        <v>34470.2995727569</v>
      </c>
      <c r="BP70" s="142" t="n">
        <f aca="false">R70*$D70</f>
        <v>0</v>
      </c>
      <c r="BQ70" s="142" t="n">
        <f aca="false">S70*$D70</f>
        <v>0</v>
      </c>
      <c r="BR70" s="142" t="n">
        <f aca="false">U70*$D70</f>
        <v>16821506.1915054</v>
      </c>
      <c r="BS70" s="142" t="n">
        <f aca="false">AA70*$D70</f>
        <v>14108693.6151294</v>
      </c>
      <c r="BT70" s="142" t="n">
        <f aca="false">AI70*$D70</f>
        <v>206821.797436541</v>
      </c>
      <c r="BU70" s="142" t="n">
        <f aca="false">AK70*D70</f>
        <v>2505990.77893942</v>
      </c>
    </row>
    <row r="71" customFormat="false" ht="12.75" hidden="false" customHeight="false" outlineLevel="0" collapsed="false">
      <c r="A71" s="144" t="n">
        <f aca="false">EDATE(A70,1)</f>
        <v>39995</v>
      </c>
      <c r="B71" s="145" t="n">
        <f aca="false">Inputs!$B$8</f>
        <v>50000</v>
      </c>
      <c r="C71" s="146" t="n">
        <f aca="false">IF(AZ71=0,0,IF(AND(AZ71=1,$H$3=1),B71*AU71,IF($H$3=2,B71,"N/A")))</f>
        <v>1550000</v>
      </c>
      <c r="D71" s="146" t="n">
        <f aca="false">C71*AY71</f>
        <v>3553006.57936052</v>
      </c>
      <c r="E71" s="147" t="n">
        <f aca="false">VLOOKUP($A71,[1]!CurveTable,MATCH($E$4,[1]!CurveType,0))</f>
        <v>4.07</v>
      </c>
      <c r="F71" s="148" t="n">
        <f aca="false">E71-Inputs!$B$16</f>
        <v>4.125</v>
      </c>
      <c r="G71" s="149" t="n">
        <f aca="false">F71</f>
        <v>4.125</v>
      </c>
      <c r="H71" s="147" t="n">
        <f aca="false">VLOOKUP($A71,[1]!CurveTable,MATCH($H$4,[1]!CurveType,0))</f>
        <v>1</v>
      </c>
      <c r="I71" s="148" t="n">
        <f aca="false">H71+Inputs!$B$22</f>
        <v>1</v>
      </c>
      <c r="J71" s="150" t="n">
        <f aca="false">I71</f>
        <v>1</v>
      </c>
      <c r="K71" s="147" t="n">
        <f aca="false">VLOOKUP($A71,[1]!CurveTable,MATCH($K$4,[1]!CurveType,0))</f>
        <v>0</v>
      </c>
      <c r="L71" s="148" t="n">
        <v>0</v>
      </c>
      <c r="M71" s="151" t="n">
        <f aca="false">L71</f>
        <v>0</v>
      </c>
      <c r="N71" s="147" t="n">
        <f aca="false">VLOOKUP($A71,[1]!CurveTable,MATCH($N$4,[1]!CurveType,0))</f>
        <v>0.0105</v>
      </c>
      <c r="O71" s="148" t="n">
        <f aca="false">N71+Inputs!$E$22</f>
        <v>0.0105</v>
      </c>
      <c r="P71" s="151" t="n">
        <f aca="false">O71</f>
        <v>0.0105</v>
      </c>
      <c r="Q71" s="147" t="n">
        <f aca="false">VLOOKUP($A71,[1]!CurveTable,MATCH($Q$4,[1]!CurveType,0))</f>
        <v>0.01</v>
      </c>
      <c r="R71" s="148" t="n">
        <v>0</v>
      </c>
      <c r="S71" s="151" t="n">
        <f aca="false">R71</f>
        <v>0</v>
      </c>
      <c r="T71" s="152"/>
      <c r="U71" s="153" t="n">
        <f aca="false">G71+J71</f>
        <v>5.125</v>
      </c>
      <c r="V71" s="154"/>
      <c r="W71" s="155" t="n">
        <f aca="false">VLOOKUP($A71,[1]!CurveTable,MATCH($W$4,[1]!CurveType,0))+$W$9</f>
        <v>0.39</v>
      </c>
      <c r="X71" s="155" t="n">
        <f aca="false">VLOOKUP($A71,[1]!CurveTable,MATCH($X$4,[1]!CurveType,0))+$X$9</f>
        <v>0.395</v>
      </c>
      <c r="Y71" s="139" t="n">
        <f aca="false">SQRT((X71^2*($A71-$C$3)+W71^2*(DAY(EOMONTH(A71,0))/2))/$AN71)</f>
        <v>0.393469571150897</v>
      </c>
      <c r="Z71" s="152"/>
      <c r="AA71" s="153" t="n">
        <f aca="false">G71+P71+S71</f>
        <v>4.1355</v>
      </c>
      <c r="AB71" s="154"/>
      <c r="AC71" s="155" t="n">
        <f aca="false">VLOOKUP($A71,[1]!CurveTable,MATCH($AC$4,[1]!CurveType,0))+$AC$9</f>
        <v>0.195</v>
      </c>
      <c r="AD71" s="155" t="n">
        <f aca="false">VLOOKUP($A71,[1]!CurveTable,MATCH($AD$4,[1]!CurveType,0))+$AD$9</f>
        <v>0.2</v>
      </c>
      <c r="AE71" s="139" t="n">
        <f aca="false">SQRT((AD71^2*($A71-$C$3)+AC71^2*(DAY(EOMONTH(A71,0))/2))/$AN71)</f>
        <v>0.199231420100975</v>
      </c>
      <c r="AF71" s="152"/>
      <c r="AG71" s="156" t="n">
        <f aca="false">((Inputs!$F$20*(X71*AD71)*(A71-$C$3))+(Inputs!$F$19*W71*AC71*(DAY(EOMONTH(A71,0))/2)))/(AN71*Y71*AE71)</f>
        <v>0.750000150030021</v>
      </c>
      <c r="AH71" s="152"/>
      <c r="AI71" s="140" t="n">
        <f aca="false">Inputs!$B$15</f>
        <v>0.06</v>
      </c>
      <c r="AJ71" s="157"/>
      <c r="AK71" s="140" t="n">
        <f aca="false">IF((U71-AA71-AI71)&lt;0,0,(U71-AA71-AI71))</f>
        <v>0.9295</v>
      </c>
      <c r="AL71" s="157"/>
      <c r="AM71" s="158" t="n">
        <f aca="false">WORKDAY(EOMONTH(A71-1,-1),0)</f>
        <v>39964</v>
      </c>
      <c r="AN71" s="159" t="n">
        <f aca="false">AM71-$C$3</f>
        <v>-5962</v>
      </c>
      <c r="AO71" s="159" t="n">
        <f aca="false">AO70</f>
        <v>1</v>
      </c>
      <c r="AP71" s="160"/>
      <c r="AQ71" s="161" t="e">
        <f aca="false">SPRDOPT(U71,AA71,AI71,AX71,X71,AD71,AG71,AN71,AO71,0)</f>
        <v>#NAME?</v>
      </c>
      <c r="AR71" s="162" t="e">
        <f aca="false">AQ71*C71</f>
        <v>#NAME?</v>
      </c>
      <c r="AS71" s="163" t="e">
        <f aca="false">AQ71-AK71</f>
        <v>#NAME?</v>
      </c>
      <c r="AU71" s="112" t="n">
        <f aca="false">A72-A71</f>
        <v>31</v>
      </c>
      <c r="AV71" s="164" t="n">
        <f aca="false">CHOOSE(F$3,A72+24,A71+14)</f>
        <v>40009</v>
      </c>
      <c r="AW71" s="49" t="n">
        <f aca="false">AV71-C$3</f>
        <v>-5917</v>
      </c>
      <c r="AX71" s="155" t="n">
        <f aca="false">VLOOKUP($A71,[1]!CurveTable,MATCH(AX$4,[1]!CurveType,0))</f>
        <v>0.0518677169555466</v>
      </c>
      <c r="AY71" s="165" t="n">
        <f aca="false">1/(1+CHOOSE(F$3,(AX72+(Inputs!$B$14/10000))/2,(AX71+(Inputs!$B$14/10000))/2))^(2*AW71/365.25)</f>
        <v>2.29226230926485</v>
      </c>
      <c r="AZ71" s="49" t="n">
        <f aca="false">IF(AND(mthbeg&lt;=A71,mthend&gt;=A71),1,0)</f>
        <v>1</v>
      </c>
      <c r="BA71" s="111" t="n">
        <f aca="false">AU71*AZ71</f>
        <v>31</v>
      </c>
      <c r="BC71" s="142" t="n">
        <f aca="false">E71*$D71</f>
        <v>14460736.7779973</v>
      </c>
      <c r="BD71" s="142" t="n">
        <f aca="false">F71*$D71</f>
        <v>14656152.1398622</v>
      </c>
      <c r="BE71" s="142" t="n">
        <f aca="false">G71*$D71</f>
        <v>14656152.1398622</v>
      </c>
      <c r="BF71" s="142" t="n">
        <f aca="false">H71*$D71</f>
        <v>3553006.57936052</v>
      </c>
      <c r="BG71" s="142" t="n">
        <f aca="false">I71*$D71</f>
        <v>3553006.57936052</v>
      </c>
      <c r="BH71" s="142" t="n">
        <f aca="false">J71*$D71</f>
        <v>3553006.57936052</v>
      </c>
      <c r="BI71" s="142" t="n">
        <f aca="false">K71*$D71</f>
        <v>0</v>
      </c>
      <c r="BJ71" s="142" t="n">
        <f aca="false">L71*$D71</f>
        <v>0</v>
      </c>
      <c r="BK71" s="142" t="n">
        <f aca="false">M71*$D71</f>
        <v>0</v>
      </c>
      <c r="BL71" s="142" t="n">
        <f aca="false">N71*$D71</f>
        <v>37306.5690832855</v>
      </c>
      <c r="BM71" s="142" t="n">
        <f aca="false">O71*$D71</f>
        <v>37306.5690832855</v>
      </c>
      <c r="BN71" s="142" t="n">
        <f aca="false">P71*$D71</f>
        <v>37306.5690832855</v>
      </c>
      <c r="BO71" s="142" t="n">
        <f aca="false">Q71*$D71</f>
        <v>35530.0657936052</v>
      </c>
      <c r="BP71" s="142" t="n">
        <f aca="false">R71*$D71</f>
        <v>0</v>
      </c>
      <c r="BQ71" s="142" t="n">
        <f aca="false">S71*$D71</f>
        <v>0</v>
      </c>
      <c r="BR71" s="142" t="n">
        <f aca="false">U71*$D71</f>
        <v>18209158.7192227</v>
      </c>
      <c r="BS71" s="142" t="n">
        <f aca="false">AA71*$D71</f>
        <v>14693458.7089454</v>
      </c>
      <c r="BT71" s="142" t="n">
        <f aca="false">AI71*$D71</f>
        <v>213180.394761631</v>
      </c>
      <c r="BU71" s="142" t="n">
        <f aca="false">AK71*D71</f>
        <v>3302519.6155156</v>
      </c>
    </row>
    <row r="72" customFormat="false" ht="12.75" hidden="false" customHeight="false" outlineLevel="0" collapsed="false">
      <c r="A72" s="144" t="n">
        <f aca="false">EDATE(A71,1)</f>
        <v>40026</v>
      </c>
      <c r="B72" s="145" t="n">
        <f aca="false">Inputs!$B$8</f>
        <v>50000</v>
      </c>
      <c r="C72" s="146" t="n">
        <f aca="false">IF(AZ72=0,0,IF(AND(AZ72=1,$H$3=1),B72*AU72,IF($H$3=2,B72,"N/A")))</f>
        <v>1550000</v>
      </c>
      <c r="D72" s="146" t="n">
        <f aca="false">C72*AY72</f>
        <v>3543744.13718085</v>
      </c>
      <c r="E72" s="147" t="n">
        <f aca="false">VLOOKUP($A72,[1]!CurveTable,MATCH($E$4,[1]!CurveType,0))</f>
        <v>4.108</v>
      </c>
      <c r="F72" s="148" t="n">
        <f aca="false">E72-Inputs!$B$16</f>
        <v>4.163</v>
      </c>
      <c r="G72" s="149" t="n">
        <f aca="false">F72</f>
        <v>4.163</v>
      </c>
      <c r="H72" s="147" t="n">
        <f aca="false">VLOOKUP($A72,[1]!CurveTable,MATCH($H$4,[1]!CurveType,0))</f>
        <v>1</v>
      </c>
      <c r="I72" s="148" t="n">
        <f aca="false">H72+Inputs!$B$22</f>
        <v>1</v>
      </c>
      <c r="J72" s="150" t="n">
        <f aca="false">I72</f>
        <v>1</v>
      </c>
      <c r="K72" s="147" t="n">
        <f aca="false">VLOOKUP($A72,[1]!CurveTable,MATCH($K$4,[1]!CurveType,0))</f>
        <v>0</v>
      </c>
      <c r="L72" s="148" t="n">
        <v>0</v>
      </c>
      <c r="M72" s="151" t="n">
        <f aca="false">L72</f>
        <v>0</v>
      </c>
      <c r="N72" s="147" t="n">
        <f aca="false">VLOOKUP($A72,[1]!CurveTable,MATCH($N$4,[1]!CurveType,0))</f>
        <v>0.0105</v>
      </c>
      <c r="O72" s="148" t="n">
        <f aca="false">N72+Inputs!$E$22</f>
        <v>0.0105</v>
      </c>
      <c r="P72" s="151" t="n">
        <f aca="false">O72</f>
        <v>0.0105</v>
      </c>
      <c r="Q72" s="147" t="n">
        <f aca="false">VLOOKUP($A72,[1]!CurveTable,MATCH($Q$4,[1]!CurveType,0))</f>
        <v>0.01</v>
      </c>
      <c r="R72" s="148" t="n">
        <v>0</v>
      </c>
      <c r="S72" s="151" t="n">
        <f aca="false">R72</f>
        <v>0</v>
      </c>
      <c r="T72" s="152"/>
      <c r="U72" s="153" t="n">
        <f aca="false">G72+J72</f>
        <v>5.163</v>
      </c>
      <c r="V72" s="154"/>
      <c r="W72" s="155" t="n">
        <f aca="false">VLOOKUP($A72,[1]!CurveTable,MATCH($W$4,[1]!CurveType,0))+$W$9</f>
        <v>0.39</v>
      </c>
      <c r="X72" s="155" t="n">
        <f aca="false">VLOOKUP($A72,[1]!CurveTable,MATCH($X$4,[1]!CurveType,0))+$X$9</f>
        <v>0.395</v>
      </c>
      <c r="Y72" s="139" t="n">
        <f aca="false">SQRT((X72^2*($A72-$C$3)+W72^2*(DAY(EOMONTH(A72,0))/2))/$AN72)</f>
        <v>0.393428390582734</v>
      </c>
      <c r="Z72" s="152"/>
      <c r="AA72" s="153" t="n">
        <f aca="false">G72+P72+S72</f>
        <v>4.1735</v>
      </c>
      <c r="AB72" s="154"/>
      <c r="AC72" s="155" t="n">
        <f aca="false">VLOOKUP($A72,[1]!CurveTable,MATCH($AC$4,[1]!CurveType,0))+$AC$9</f>
        <v>0.195</v>
      </c>
      <c r="AD72" s="155" t="n">
        <f aca="false">VLOOKUP($A72,[1]!CurveTable,MATCH($AD$4,[1]!CurveType,0))+$AD$9</f>
        <v>0.2</v>
      </c>
      <c r="AE72" s="139" t="n">
        <f aca="false">SQRT((AD72^2*($A72-$C$3)+AC72^2*(DAY(EOMONTH(A72,0))/2))/$AN72)</f>
        <v>0.199210601811009</v>
      </c>
      <c r="AF72" s="152"/>
      <c r="AG72" s="156" t="n">
        <f aca="false">((Inputs!$F$20*(X72*AD72)*(A72-$C$3))+(Inputs!$F$19*W72*AC72*(DAY(EOMONTH(A72,0))/2)))/(AN72*Y72*AE72)</f>
        <v>0.750000150822312</v>
      </c>
      <c r="AH72" s="152"/>
      <c r="AI72" s="140" t="n">
        <f aca="false">Inputs!$B$15</f>
        <v>0.06</v>
      </c>
      <c r="AJ72" s="157"/>
      <c r="AK72" s="140" t="n">
        <f aca="false">IF((U72-AA72-AI72)&lt;0,0,(U72-AA72-AI72))</f>
        <v>0.9295</v>
      </c>
      <c r="AL72" s="157"/>
      <c r="AM72" s="158" t="n">
        <f aca="false">WORKDAY(EOMONTH(A72-1,-1),0)</f>
        <v>39994</v>
      </c>
      <c r="AN72" s="159" t="n">
        <f aca="false">AM72-$C$3</f>
        <v>-5932</v>
      </c>
      <c r="AO72" s="159" t="n">
        <f aca="false">AO71</f>
        <v>1</v>
      </c>
      <c r="AP72" s="160"/>
      <c r="AQ72" s="161" t="e">
        <f aca="false">SPRDOPT(U72,AA72,AI72,AX72,X72,AD72,AG72,AN72,AO72,0)</f>
        <v>#NAME?</v>
      </c>
      <c r="AR72" s="162" t="e">
        <f aca="false">AQ72*C72</f>
        <v>#NAME?</v>
      </c>
      <c r="AS72" s="163" t="e">
        <f aca="false">AQ72-AK72</f>
        <v>#NAME?</v>
      </c>
      <c r="AU72" s="112" t="n">
        <f aca="false">A73-A72</f>
        <v>31</v>
      </c>
      <c r="AV72" s="164" t="n">
        <f aca="false">CHOOSE(F$3,A73+24,A72+14)</f>
        <v>40040</v>
      </c>
      <c r="AW72" s="49" t="n">
        <f aca="false">AV72-C$3</f>
        <v>-5886</v>
      </c>
      <c r="AX72" s="155" t="n">
        <f aca="false">VLOOKUP($A72,[1]!CurveTable,MATCH(AX$4,[1]!CurveType,0))</f>
        <v>0.0519782228300234</v>
      </c>
      <c r="AY72" s="165" t="n">
        <f aca="false">1/(1+CHOOSE(F$3,(AX73+(Inputs!$B$14/10000))/2,(AX72+(Inputs!$B$14/10000))/2))^(2*AW72/365.25)</f>
        <v>2.28628654011668</v>
      </c>
      <c r="AZ72" s="49" t="n">
        <f aca="false">IF(AND(mthbeg&lt;=A72,mthend&gt;=A72),1,0)</f>
        <v>1</v>
      </c>
      <c r="BA72" s="111" t="n">
        <f aca="false">AU72*AZ72</f>
        <v>31</v>
      </c>
      <c r="BC72" s="142" t="n">
        <f aca="false">E72*$D72</f>
        <v>14557700.9155389</v>
      </c>
      <c r="BD72" s="142" t="n">
        <f aca="false">F72*$D72</f>
        <v>14752606.8430839</v>
      </c>
      <c r="BE72" s="142" t="n">
        <f aca="false">G72*$D72</f>
        <v>14752606.8430839</v>
      </c>
      <c r="BF72" s="142" t="n">
        <f aca="false">H72*$D72</f>
        <v>3543744.13718085</v>
      </c>
      <c r="BG72" s="142" t="n">
        <f aca="false">I72*$D72</f>
        <v>3543744.13718085</v>
      </c>
      <c r="BH72" s="142" t="n">
        <f aca="false">J72*$D72</f>
        <v>3543744.13718085</v>
      </c>
      <c r="BI72" s="142" t="n">
        <f aca="false">K72*$D72</f>
        <v>0</v>
      </c>
      <c r="BJ72" s="142" t="n">
        <f aca="false">L72*$D72</f>
        <v>0</v>
      </c>
      <c r="BK72" s="142" t="n">
        <f aca="false">M72*$D72</f>
        <v>0</v>
      </c>
      <c r="BL72" s="142" t="n">
        <f aca="false">N72*$D72</f>
        <v>37209.3134403989</v>
      </c>
      <c r="BM72" s="142" t="n">
        <f aca="false">O72*$D72</f>
        <v>37209.3134403989</v>
      </c>
      <c r="BN72" s="142" t="n">
        <f aca="false">P72*$D72</f>
        <v>37209.3134403989</v>
      </c>
      <c r="BO72" s="142" t="n">
        <f aca="false">Q72*$D72</f>
        <v>35437.4413718085</v>
      </c>
      <c r="BP72" s="142" t="n">
        <f aca="false">R72*$D72</f>
        <v>0</v>
      </c>
      <c r="BQ72" s="142" t="n">
        <f aca="false">S72*$D72</f>
        <v>0</v>
      </c>
      <c r="BR72" s="142" t="n">
        <f aca="false">U72*$D72</f>
        <v>18296350.9802647</v>
      </c>
      <c r="BS72" s="142" t="n">
        <f aca="false">AA72*$D72</f>
        <v>14789816.1565243</v>
      </c>
      <c r="BT72" s="142" t="n">
        <f aca="false">AI72*$D72</f>
        <v>212624.648230851</v>
      </c>
      <c r="BU72" s="142" t="n">
        <f aca="false">AK72*D72</f>
        <v>3293910.1755096</v>
      </c>
    </row>
    <row r="73" customFormat="false" ht="12.75" hidden="false" customHeight="false" outlineLevel="0" collapsed="false">
      <c r="A73" s="144" t="n">
        <f aca="false">EDATE(A72,1)</f>
        <v>40057</v>
      </c>
      <c r="B73" s="145" t="n">
        <f aca="false">Inputs!$B$8</f>
        <v>50000</v>
      </c>
      <c r="C73" s="146" t="n">
        <f aca="false">IF(AZ73=0,0,IF(AND(AZ73=1,$H$3=1),B73*AU73,IF($H$3=2,B73,"N/A")))</f>
        <v>1500000</v>
      </c>
      <c r="D73" s="146" t="n">
        <f aca="false">C73*AY73</f>
        <v>3420426.66882662</v>
      </c>
      <c r="E73" s="147" t="n">
        <f aca="false">VLOOKUP($A73,[1]!CurveTable,MATCH($E$4,[1]!CurveType,0))</f>
        <v>4.102</v>
      </c>
      <c r="F73" s="148" t="n">
        <f aca="false">E73-Inputs!$B$16</f>
        <v>4.157</v>
      </c>
      <c r="G73" s="149" t="n">
        <f aca="false">F73</f>
        <v>4.157</v>
      </c>
      <c r="H73" s="147" t="n">
        <f aca="false">VLOOKUP($A73,[1]!CurveTable,MATCH($H$4,[1]!CurveType,0))</f>
        <v>0.6</v>
      </c>
      <c r="I73" s="148" t="n">
        <f aca="false">H73+Inputs!$B$22</f>
        <v>0.6</v>
      </c>
      <c r="J73" s="150" t="n">
        <f aca="false">I73</f>
        <v>0.6</v>
      </c>
      <c r="K73" s="147" t="n">
        <f aca="false">VLOOKUP($A73,[1]!CurveTable,MATCH($K$4,[1]!CurveType,0))</f>
        <v>0</v>
      </c>
      <c r="L73" s="148" t="n">
        <v>0</v>
      </c>
      <c r="M73" s="151" t="n">
        <f aca="false">L73</f>
        <v>0</v>
      </c>
      <c r="N73" s="147" t="n">
        <f aca="false">VLOOKUP($A73,[1]!CurveTable,MATCH($N$4,[1]!CurveType,0))</f>
        <v>0.0105</v>
      </c>
      <c r="O73" s="148" t="n">
        <f aca="false">N73+Inputs!$E$22</f>
        <v>0.0105</v>
      </c>
      <c r="P73" s="151" t="n">
        <f aca="false">O73</f>
        <v>0.0105</v>
      </c>
      <c r="Q73" s="147" t="n">
        <f aca="false">VLOOKUP($A73,[1]!CurveTable,MATCH($Q$4,[1]!CurveType,0))</f>
        <v>0.01</v>
      </c>
      <c r="R73" s="148" t="n">
        <v>0</v>
      </c>
      <c r="S73" s="151" t="n">
        <f aca="false">R73</f>
        <v>0</v>
      </c>
      <c r="T73" s="152"/>
      <c r="U73" s="153" t="n">
        <f aca="false">G73+J73</f>
        <v>4.757</v>
      </c>
      <c r="V73" s="154"/>
      <c r="W73" s="155" t="n">
        <f aca="false">VLOOKUP($A73,[1]!CurveTable,MATCH($W$4,[1]!CurveType,0))+$W$9</f>
        <v>0.39</v>
      </c>
      <c r="X73" s="155" t="n">
        <f aca="false">VLOOKUP($A73,[1]!CurveTable,MATCH($X$4,[1]!CurveType,0))+$X$9</f>
        <v>0.395</v>
      </c>
      <c r="Y73" s="139" t="n">
        <f aca="false">SQRT((X73^2*($A73-$C$3)+W73^2*(DAY(EOMONTH(A73,0))/2))/$AN73)</f>
        <v>0.393436496442256</v>
      </c>
      <c r="Z73" s="152"/>
      <c r="AA73" s="153" t="n">
        <f aca="false">G73+P73+S73</f>
        <v>4.1675</v>
      </c>
      <c r="AB73" s="154"/>
      <c r="AC73" s="155" t="n">
        <f aca="false">VLOOKUP($A73,[1]!CurveTable,MATCH($AC$4,[1]!CurveType,0))+$AC$9</f>
        <v>0.195</v>
      </c>
      <c r="AD73" s="155" t="n">
        <f aca="false">VLOOKUP($A73,[1]!CurveTable,MATCH($AD$4,[1]!CurveType,0))+$AD$9</f>
        <v>0.2</v>
      </c>
      <c r="AE73" s="139" t="n">
        <f aca="false">SQRT((AD73^2*($A73-$C$3)+AC73^2*(DAY(EOMONTH(A73,0))/2))/$AN73)</f>
        <v>0.199214533270182</v>
      </c>
      <c r="AF73" s="152"/>
      <c r="AG73" s="156" t="n">
        <f aca="false">((Inputs!$F$20*(X73*AD73)*(A73-$C$3))+(Inputs!$F$19*W73*AC73*(DAY(EOMONTH(A73,0))/2)))/(AN73*Y73*AE73)</f>
        <v>0.750000146707822</v>
      </c>
      <c r="AH73" s="152"/>
      <c r="AI73" s="140" t="n">
        <f aca="false">Inputs!$B$15</f>
        <v>0.06</v>
      </c>
      <c r="AJ73" s="157"/>
      <c r="AK73" s="140" t="n">
        <f aca="false">IF((U73-AA73-AI73)&lt;0,0,(U73-AA73-AI73))</f>
        <v>0.529499999999999</v>
      </c>
      <c r="AL73" s="157"/>
      <c r="AM73" s="158" t="n">
        <f aca="false">WORKDAY(EOMONTH(A73-1,-1),0)</f>
        <v>40025</v>
      </c>
      <c r="AN73" s="159" t="n">
        <f aca="false">AM73-$C$3</f>
        <v>-5901</v>
      </c>
      <c r="AO73" s="159" t="n">
        <f aca="false">AO72</f>
        <v>1</v>
      </c>
      <c r="AP73" s="160"/>
      <c r="AQ73" s="161" t="e">
        <f aca="false">SPRDOPT(U73,AA73,AI73,AX73,X73,AD73,AG73,AN73,AO73,0)</f>
        <v>#NAME?</v>
      </c>
      <c r="AR73" s="162" t="e">
        <f aca="false">AQ73*C73</f>
        <v>#NAME?</v>
      </c>
      <c r="AS73" s="163" t="e">
        <f aca="false">AQ73-AK73</f>
        <v>#NAME?</v>
      </c>
      <c r="AU73" s="112" t="n">
        <f aca="false">A74-A73</f>
        <v>30</v>
      </c>
      <c r="AV73" s="164" t="n">
        <f aca="false">CHOOSE(F$3,A74+24,A73+14)</f>
        <v>40071</v>
      </c>
      <c r="AW73" s="49" t="n">
        <f aca="false">AV73-C$3</f>
        <v>-5855</v>
      </c>
      <c r="AX73" s="155" t="n">
        <f aca="false">VLOOKUP($A73,[1]!CurveTable,MATCH(AX$4,[1]!CurveType,0))</f>
        <v>0.052088728708573</v>
      </c>
      <c r="AY73" s="165" t="n">
        <f aca="false">1/(1+CHOOSE(F$3,(AX74+(Inputs!$B$14/10000))/2,(AX73+(Inputs!$B$14/10000))/2))^(2*AW73/365.25)</f>
        <v>2.28028444588441</v>
      </c>
      <c r="AZ73" s="49" t="n">
        <f aca="false">IF(AND(mthbeg&lt;=A73,mthend&gt;=A73),1,0)</f>
        <v>1</v>
      </c>
      <c r="BA73" s="111" t="n">
        <f aca="false">AU73*AZ73</f>
        <v>30</v>
      </c>
      <c r="BC73" s="142" t="n">
        <f aca="false">E73*$D73</f>
        <v>14030590.1955268</v>
      </c>
      <c r="BD73" s="142" t="n">
        <f aca="false">F73*$D73</f>
        <v>14218713.6623123</v>
      </c>
      <c r="BE73" s="142" t="n">
        <f aca="false">G73*$D73</f>
        <v>14218713.6623123</v>
      </c>
      <c r="BF73" s="142" t="n">
        <f aca="false">H73*$D73</f>
        <v>2052256.00129597</v>
      </c>
      <c r="BG73" s="142" t="n">
        <f aca="false">I73*$D73</f>
        <v>2052256.00129597</v>
      </c>
      <c r="BH73" s="142" t="n">
        <f aca="false">J73*$D73</f>
        <v>2052256.00129597</v>
      </c>
      <c r="BI73" s="142" t="n">
        <f aca="false">K73*$D73</f>
        <v>0</v>
      </c>
      <c r="BJ73" s="142" t="n">
        <f aca="false">L73*$D73</f>
        <v>0</v>
      </c>
      <c r="BK73" s="142" t="n">
        <f aca="false">M73*$D73</f>
        <v>0</v>
      </c>
      <c r="BL73" s="142" t="n">
        <f aca="false">N73*$D73</f>
        <v>35914.4800226795</v>
      </c>
      <c r="BM73" s="142" t="n">
        <f aca="false">O73*$D73</f>
        <v>35914.4800226795</v>
      </c>
      <c r="BN73" s="142" t="n">
        <f aca="false">P73*$D73</f>
        <v>35914.4800226795</v>
      </c>
      <c r="BO73" s="142" t="n">
        <f aca="false">Q73*$D73</f>
        <v>34204.2666882662</v>
      </c>
      <c r="BP73" s="142" t="n">
        <f aca="false">R73*$D73</f>
        <v>0</v>
      </c>
      <c r="BQ73" s="142" t="n">
        <f aca="false">S73*$D73</f>
        <v>0</v>
      </c>
      <c r="BR73" s="142" t="n">
        <f aca="false">U73*$D73</f>
        <v>16270969.6636082</v>
      </c>
      <c r="BS73" s="142" t="n">
        <f aca="false">AA73*$D73</f>
        <v>14254628.1423349</v>
      </c>
      <c r="BT73" s="142" t="n">
        <f aca="false">AI73*$D73</f>
        <v>205225.600129597</v>
      </c>
      <c r="BU73" s="142" t="n">
        <f aca="false">AK73*D73</f>
        <v>1811115.92114369</v>
      </c>
    </row>
    <row r="74" customFormat="false" ht="12.75" hidden="false" customHeight="false" outlineLevel="0" collapsed="false">
      <c r="A74" s="144" t="n">
        <f aca="false">EDATE(A73,1)</f>
        <v>40087</v>
      </c>
      <c r="B74" s="145" t="n">
        <f aca="false">Inputs!$B$8</f>
        <v>50000</v>
      </c>
      <c r="C74" s="146" t="n">
        <f aca="false">IF(AZ74=0,0,IF(AND(AZ74=1,$H$3=1),B74*AU74,IF($H$3=2,B74,"N/A")))</f>
        <v>1550000</v>
      </c>
      <c r="D74" s="146" t="n">
        <f aca="false">C74*AY74</f>
        <v>3525399.32649098</v>
      </c>
      <c r="E74" s="147" t="n">
        <f aca="false">VLOOKUP($A74,[1]!CurveTable,MATCH($E$4,[1]!CurveType,0))</f>
        <v>4.102</v>
      </c>
      <c r="F74" s="148" t="n">
        <f aca="false">E74-Inputs!$B$16</f>
        <v>4.157</v>
      </c>
      <c r="G74" s="149" t="n">
        <f aca="false">F74</f>
        <v>4.157</v>
      </c>
      <c r="H74" s="147" t="n">
        <f aca="false">VLOOKUP($A74,[1]!CurveTable,MATCH($H$4,[1]!CurveType,0))</f>
        <v>0.3</v>
      </c>
      <c r="I74" s="148" t="n">
        <f aca="false">H74+Inputs!$B$22</f>
        <v>0.3</v>
      </c>
      <c r="J74" s="150" t="n">
        <f aca="false">I74</f>
        <v>0.3</v>
      </c>
      <c r="K74" s="147" t="n">
        <f aca="false">VLOOKUP($A74,[1]!CurveTable,MATCH($K$4,[1]!CurveType,0))</f>
        <v>0</v>
      </c>
      <c r="L74" s="148" t="n">
        <v>0</v>
      </c>
      <c r="M74" s="151" t="n">
        <f aca="false">L74</f>
        <v>0</v>
      </c>
      <c r="N74" s="147" t="n">
        <f aca="false">VLOOKUP($A74,[1]!CurveTable,MATCH($N$4,[1]!CurveType,0))</f>
        <v>0.009</v>
      </c>
      <c r="O74" s="148" t="n">
        <f aca="false">N74+Inputs!$E$22</f>
        <v>0.009</v>
      </c>
      <c r="P74" s="151" t="n">
        <f aca="false">O74</f>
        <v>0.009</v>
      </c>
      <c r="Q74" s="147" t="n">
        <f aca="false">VLOOKUP($A74,[1]!CurveTable,MATCH($Q$4,[1]!CurveType,0))</f>
        <v>0.01</v>
      </c>
      <c r="R74" s="148" t="n">
        <v>0</v>
      </c>
      <c r="S74" s="151" t="n">
        <f aca="false">R74</f>
        <v>0</v>
      </c>
      <c r="T74" s="152"/>
      <c r="U74" s="153" t="n">
        <f aca="false">G74+J74</f>
        <v>4.457</v>
      </c>
      <c r="V74" s="154"/>
      <c r="W74" s="155" t="n">
        <f aca="false">VLOOKUP($A74,[1]!CurveTable,MATCH($W$4,[1]!CurveType,0))+$W$9</f>
        <v>0.195</v>
      </c>
      <c r="X74" s="155" t="n">
        <f aca="false">VLOOKUP($A74,[1]!CurveTable,MATCH($X$4,[1]!CurveType,0))+$X$9</f>
        <v>0.2</v>
      </c>
      <c r="Y74" s="139" t="n">
        <f aca="false">SQRT((X74^2*($A74-$C$3)+W74^2*(DAY(EOMONTH(A74,0))/2))/$AN74)</f>
        <v>0.199219350614554</v>
      </c>
      <c r="Z74" s="152"/>
      <c r="AA74" s="153" t="n">
        <f aca="false">G74+P74+S74</f>
        <v>4.166</v>
      </c>
      <c r="AB74" s="154"/>
      <c r="AC74" s="155" t="n">
        <f aca="false">VLOOKUP($A74,[1]!CurveTable,MATCH($AC$4,[1]!CurveType,0))+$AC$9</f>
        <v>0.195</v>
      </c>
      <c r="AD74" s="155" t="n">
        <f aca="false">VLOOKUP($A74,[1]!CurveTable,MATCH($AD$4,[1]!CurveType,0))+$AD$9</f>
        <v>0.2</v>
      </c>
      <c r="AE74" s="139" t="n">
        <f aca="false">SQRT((AD74^2*($A74-$C$3)+AC74^2*(DAY(EOMONTH(A74,0))/2))/$AN74)</f>
        <v>0.199219350614554</v>
      </c>
      <c r="AF74" s="152"/>
      <c r="AG74" s="156" t="n">
        <f aca="false">((Inputs!$F$20*(X74*AD74)*(A74-$C$3))+(Inputs!$F$19*W74*AC74*(DAY(EOMONTH(A74,0))/2)))/(AN74*Y74*AE74)</f>
        <v>0.75</v>
      </c>
      <c r="AH74" s="152"/>
      <c r="AI74" s="140" t="n">
        <f aca="false">Inputs!$B$15</f>
        <v>0.06</v>
      </c>
      <c r="AJ74" s="157"/>
      <c r="AK74" s="140" t="n">
        <f aca="false">IF((U74-AA74-AI74)&lt;0,0,(U74-AA74-AI74))</f>
        <v>0.230999999999999</v>
      </c>
      <c r="AL74" s="157"/>
      <c r="AM74" s="158" t="n">
        <f aca="false">WORKDAY(EOMONTH(A74-1,-1),0)</f>
        <v>40056</v>
      </c>
      <c r="AN74" s="159" t="n">
        <f aca="false">AM74-$C$3</f>
        <v>-5870</v>
      </c>
      <c r="AO74" s="159" t="n">
        <f aca="false">AO73</f>
        <v>1</v>
      </c>
      <c r="AP74" s="160"/>
      <c r="AQ74" s="161" t="e">
        <f aca="false">SPRDOPT(U74,AA74,AI74,AX74,X74,AD74,AG74,AN74,AO74,0)</f>
        <v>#NAME?</v>
      </c>
      <c r="AR74" s="162" t="e">
        <f aca="false">AQ74*C74</f>
        <v>#NAME?</v>
      </c>
      <c r="AS74" s="163" t="e">
        <f aca="false">AQ74-AK74</f>
        <v>#NAME?</v>
      </c>
      <c r="AU74" s="112" t="n">
        <f aca="false">A75-A74</f>
        <v>31</v>
      </c>
      <c r="AV74" s="164" t="n">
        <f aca="false">CHOOSE(F$3,A75+24,A74+14)</f>
        <v>40101</v>
      </c>
      <c r="AW74" s="49" t="n">
        <f aca="false">AV74-C$3</f>
        <v>-5825</v>
      </c>
      <c r="AX74" s="155" t="n">
        <f aca="false">VLOOKUP($A74,[1]!CurveTable,MATCH(AX$4,[1]!CurveType,0))</f>
        <v>0.0521956698852408</v>
      </c>
      <c r="AY74" s="165" t="n">
        <f aca="false">1/(1+CHOOSE(F$3,(AX75+(Inputs!$B$14/10000))/2,(AX74+(Inputs!$B$14/10000))/2))^(2*AW74/365.25)</f>
        <v>2.27445117838128</v>
      </c>
      <c r="AZ74" s="49" t="n">
        <f aca="false">IF(AND(mthbeg&lt;=A74,mthend&gt;=A74),1,0)</f>
        <v>1</v>
      </c>
      <c r="BA74" s="111" t="n">
        <f aca="false">AU74*AZ74</f>
        <v>31</v>
      </c>
      <c r="BC74" s="142" t="n">
        <f aca="false">E74*$D74</f>
        <v>14461188.037266</v>
      </c>
      <c r="BD74" s="142" t="n">
        <f aca="false">F74*$D74</f>
        <v>14655085.000223</v>
      </c>
      <c r="BE74" s="142" t="n">
        <f aca="false">G74*$D74</f>
        <v>14655085.000223</v>
      </c>
      <c r="BF74" s="142" t="n">
        <f aca="false">H74*$D74</f>
        <v>1057619.79794729</v>
      </c>
      <c r="BG74" s="142" t="n">
        <f aca="false">I74*$D74</f>
        <v>1057619.79794729</v>
      </c>
      <c r="BH74" s="142" t="n">
        <f aca="false">J74*$D74</f>
        <v>1057619.79794729</v>
      </c>
      <c r="BI74" s="142" t="n">
        <f aca="false">K74*$D74</f>
        <v>0</v>
      </c>
      <c r="BJ74" s="142" t="n">
        <f aca="false">L74*$D74</f>
        <v>0</v>
      </c>
      <c r="BK74" s="142" t="n">
        <f aca="false">M74*$D74</f>
        <v>0</v>
      </c>
      <c r="BL74" s="142" t="n">
        <f aca="false">N74*$D74</f>
        <v>31728.5939384188</v>
      </c>
      <c r="BM74" s="142" t="n">
        <f aca="false">O74*$D74</f>
        <v>31728.5939384188</v>
      </c>
      <c r="BN74" s="142" t="n">
        <f aca="false">P74*$D74</f>
        <v>31728.5939384188</v>
      </c>
      <c r="BO74" s="142" t="n">
        <f aca="false">Q74*$D74</f>
        <v>35253.9932649098</v>
      </c>
      <c r="BP74" s="142" t="n">
        <f aca="false">R74*$D74</f>
        <v>0</v>
      </c>
      <c r="BQ74" s="142" t="n">
        <f aca="false">S74*$D74</f>
        <v>0</v>
      </c>
      <c r="BR74" s="142" t="n">
        <f aca="false">U74*$D74</f>
        <v>15712704.7981703</v>
      </c>
      <c r="BS74" s="142" t="n">
        <f aca="false">AA74*$D74</f>
        <v>14686813.5941614</v>
      </c>
      <c r="BT74" s="142" t="n">
        <f aca="false">AI74*$D74</f>
        <v>211523.959589459</v>
      </c>
      <c r="BU74" s="142" t="n">
        <f aca="false">AK74*D74</f>
        <v>814367.244419415</v>
      </c>
    </row>
    <row r="75" customFormat="false" ht="12.75" hidden="false" customHeight="false" outlineLevel="0" collapsed="false">
      <c r="A75" s="144" t="n">
        <f aca="false">EDATE(A74,1)</f>
        <v>40118</v>
      </c>
      <c r="B75" s="145" t="n">
        <f aca="false">Inputs!$B$8</f>
        <v>50000</v>
      </c>
      <c r="C75" s="146" t="n">
        <f aca="false">IF(AZ75=0,0,IF(AND(AZ75=1,$H$3=1),B75*AU75,IF($H$3=2,B75,"N/A")))</f>
        <v>1500000</v>
      </c>
      <c r="D75" s="146" t="n">
        <f aca="false">C75*AY75</f>
        <v>3402597.20802743</v>
      </c>
      <c r="E75" s="147" t="n">
        <f aca="false">VLOOKUP($A75,[1]!CurveTable,MATCH($E$4,[1]!CurveType,0))</f>
        <v>4.25</v>
      </c>
      <c r="F75" s="148" t="n">
        <f aca="false">E75-Inputs!$B$16</f>
        <v>4.305</v>
      </c>
      <c r="G75" s="149" t="n">
        <f aca="false">F75</f>
        <v>4.305</v>
      </c>
      <c r="H75" s="147" t="n">
        <f aca="false">VLOOKUP($A75,[1]!CurveTable,MATCH($H$4,[1]!CurveType,0))</f>
        <v>0.22</v>
      </c>
      <c r="I75" s="148" t="n">
        <f aca="false">H75+Inputs!$B$22</f>
        <v>0.22</v>
      </c>
      <c r="J75" s="150" t="n">
        <f aca="false">I75</f>
        <v>0.22</v>
      </c>
      <c r="K75" s="147" t="n">
        <f aca="false">VLOOKUP($A75,[1]!CurveTable,MATCH($K$4,[1]!CurveType,0))</f>
        <v>0</v>
      </c>
      <c r="L75" s="148" t="n">
        <v>0</v>
      </c>
      <c r="M75" s="151" t="n">
        <f aca="false">L75</f>
        <v>0</v>
      </c>
      <c r="N75" s="147" t="n">
        <f aca="false">VLOOKUP($A75,[1]!CurveTable,MATCH($N$4,[1]!CurveType,0))</f>
        <v>0.01</v>
      </c>
      <c r="O75" s="148" t="n">
        <f aca="false">N75+Inputs!$E$22</f>
        <v>0.01</v>
      </c>
      <c r="P75" s="151" t="n">
        <f aca="false">O75</f>
        <v>0.01</v>
      </c>
      <c r="Q75" s="147" t="n">
        <f aca="false">VLOOKUP($A75,[1]!CurveTable,MATCH($Q$4,[1]!CurveType,0))</f>
        <v>0.0075</v>
      </c>
      <c r="R75" s="148" t="n">
        <v>0</v>
      </c>
      <c r="S75" s="151" t="n">
        <f aca="false">R75</f>
        <v>0</v>
      </c>
      <c r="T75" s="152"/>
      <c r="U75" s="153" t="n">
        <f aca="false">G75+J75</f>
        <v>4.525</v>
      </c>
      <c r="V75" s="154"/>
      <c r="W75" s="155" t="n">
        <f aca="false">VLOOKUP($A75,[1]!CurveTable,MATCH($W$4,[1]!CurveType,0))+$W$9</f>
        <v>0.195</v>
      </c>
      <c r="X75" s="155" t="n">
        <f aca="false">VLOOKUP($A75,[1]!CurveTable,MATCH($X$4,[1]!CurveType,0))+$X$9</f>
        <v>0.2</v>
      </c>
      <c r="Y75" s="139" t="n">
        <f aca="false">SQRT((X75^2*($A75-$C$3)+W75^2*(DAY(EOMONTH(A75,0))/2))/$AN75)</f>
        <v>0.199206312565022</v>
      </c>
      <c r="Z75" s="152"/>
      <c r="AA75" s="153" t="n">
        <f aca="false">G75+P75+S75</f>
        <v>4.315</v>
      </c>
      <c r="AB75" s="154"/>
      <c r="AC75" s="155" t="n">
        <f aca="false">VLOOKUP($A75,[1]!CurveTable,MATCH($AC$4,[1]!CurveType,0))+$AC$9</f>
        <v>0.195</v>
      </c>
      <c r="AD75" s="155" t="n">
        <f aca="false">VLOOKUP($A75,[1]!CurveTable,MATCH($AD$4,[1]!CurveType,0))+$AD$9</f>
        <v>0.2</v>
      </c>
      <c r="AE75" s="139" t="n">
        <f aca="false">SQRT((AD75^2*($A75-$C$3)+AC75^2*(DAY(EOMONTH(A75,0))/2))/$AN75)</f>
        <v>0.199206312565022</v>
      </c>
      <c r="AF75" s="152"/>
      <c r="AG75" s="156" t="n">
        <f aca="false">((Inputs!$F$20*(X75*AD75)*(A75-$C$3))+(Inputs!$F$19*W75*AC75*(DAY(EOMONTH(A75,0))/2)))/(AN75*Y75*AE75)</f>
        <v>0.75</v>
      </c>
      <c r="AH75" s="152"/>
      <c r="AI75" s="140" t="n">
        <f aca="false">Inputs!$B$15</f>
        <v>0.06</v>
      </c>
      <c r="AJ75" s="157"/>
      <c r="AK75" s="140" t="n">
        <f aca="false">IF((U75-AA75-AI75)&lt;0,0,(U75-AA75-AI75))</f>
        <v>0.15</v>
      </c>
      <c r="AL75" s="157"/>
      <c r="AM75" s="158" t="n">
        <f aca="false">WORKDAY(EOMONTH(A75-1,-1),0)</f>
        <v>40086</v>
      </c>
      <c r="AN75" s="159" t="n">
        <f aca="false">AM75-$C$3</f>
        <v>-5840</v>
      </c>
      <c r="AO75" s="159" t="n">
        <f aca="false">AO74</f>
        <v>1</v>
      </c>
      <c r="AP75" s="160"/>
      <c r="AQ75" s="161" t="e">
        <f aca="false">SPRDOPT(U75,AA75,AI75,AX75,X75,AD75,AG75,AN75,AO75,0)</f>
        <v>#NAME?</v>
      </c>
      <c r="AR75" s="162" t="e">
        <f aca="false">AQ75*C75</f>
        <v>#NAME?</v>
      </c>
      <c r="AS75" s="163" t="e">
        <f aca="false">AQ75-AK75</f>
        <v>#NAME?</v>
      </c>
      <c r="AU75" s="112" t="n">
        <f aca="false">A76-A75</f>
        <v>30</v>
      </c>
      <c r="AV75" s="164" t="n">
        <f aca="false">CHOOSE(F$3,A76+24,A75+14)</f>
        <v>40132</v>
      </c>
      <c r="AW75" s="49" t="n">
        <f aca="false">AV75-C$3</f>
        <v>-5794</v>
      </c>
      <c r="AX75" s="155" t="n">
        <f aca="false">VLOOKUP($A75,[1]!CurveTable,MATCH(AX$4,[1]!CurveType,0))</f>
        <v>0.0523061757718057</v>
      </c>
      <c r="AY75" s="165" t="n">
        <f aca="false">1/(1+CHOOSE(F$3,(AX76+(Inputs!$B$14/10000))/2,(AX75+(Inputs!$B$14/10000))/2))^(2*AW75/365.25)</f>
        <v>2.26839813868495</v>
      </c>
      <c r="AZ75" s="49" t="n">
        <f aca="false">IF(AND(mthbeg&lt;=A75,mthend&gt;=A75),1,0)</f>
        <v>1</v>
      </c>
      <c r="BA75" s="111" t="n">
        <f aca="false">AU75*AZ75</f>
        <v>30</v>
      </c>
      <c r="BC75" s="142" t="n">
        <f aca="false">E75*$D75</f>
        <v>14461038.1341166</v>
      </c>
      <c r="BD75" s="142" t="n">
        <f aca="false">F75*$D75</f>
        <v>14648180.9805581</v>
      </c>
      <c r="BE75" s="142" t="n">
        <f aca="false">G75*$D75</f>
        <v>14648180.9805581</v>
      </c>
      <c r="BF75" s="142" t="n">
        <f aca="false">H75*$D75</f>
        <v>748571.385766034</v>
      </c>
      <c r="BG75" s="142" t="n">
        <f aca="false">I75*$D75</f>
        <v>748571.385766034</v>
      </c>
      <c r="BH75" s="142" t="n">
        <f aca="false">J75*$D75</f>
        <v>748571.385766034</v>
      </c>
      <c r="BI75" s="142" t="n">
        <f aca="false">K75*$D75</f>
        <v>0</v>
      </c>
      <c r="BJ75" s="142" t="n">
        <f aca="false">L75*$D75</f>
        <v>0</v>
      </c>
      <c r="BK75" s="142" t="n">
        <f aca="false">M75*$D75</f>
        <v>0</v>
      </c>
      <c r="BL75" s="142" t="n">
        <f aca="false">N75*$D75</f>
        <v>34025.9720802743</v>
      </c>
      <c r="BM75" s="142" t="n">
        <f aca="false">O75*$D75</f>
        <v>34025.9720802743</v>
      </c>
      <c r="BN75" s="142" t="n">
        <f aca="false">P75*$D75</f>
        <v>34025.9720802743</v>
      </c>
      <c r="BO75" s="142" t="n">
        <f aca="false">Q75*$D75</f>
        <v>25519.4790602057</v>
      </c>
      <c r="BP75" s="142" t="n">
        <f aca="false">R75*$D75</f>
        <v>0</v>
      </c>
      <c r="BQ75" s="142" t="n">
        <f aca="false">S75*$D75</f>
        <v>0</v>
      </c>
      <c r="BR75" s="142" t="n">
        <f aca="false">U75*$D75</f>
        <v>15396752.3663241</v>
      </c>
      <c r="BS75" s="142" t="n">
        <f aca="false">AA75*$D75</f>
        <v>14682206.9526383</v>
      </c>
      <c r="BT75" s="142" t="n">
        <f aca="false">AI75*$D75</f>
        <v>204155.832481646</v>
      </c>
      <c r="BU75" s="142" t="n">
        <f aca="false">AK75*D75</f>
        <v>510389.581204114</v>
      </c>
    </row>
    <row r="76" customFormat="false" ht="12.75" hidden="false" customHeight="false" outlineLevel="0" collapsed="false">
      <c r="A76" s="144" t="n">
        <f aca="false">EDATE(A75,1)</f>
        <v>40148</v>
      </c>
      <c r="B76" s="145" t="n">
        <f aca="false">Inputs!$B$8</f>
        <v>50000</v>
      </c>
      <c r="C76" s="146" t="n">
        <f aca="false">IF(AZ76=0,0,IF(AND(AZ76=1,$H$3=1),B76*AU76,IF($H$3=2,B76,"N/A")))</f>
        <v>1550000</v>
      </c>
      <c r="D76" s="146" t="n">
        <f aca="false">C76*AY76</f>
        <v>3506899.98508215</v>
      </c>
      <c r="E76" s="147" t="n">
        <f aca="false">VLOOKUP($A76,[1]!CurveTable,MATCH($E$4,[1]!CurveType,0))</f>
        <v>4.402</v>
      </c>
      <c r="F76" s="148" t="n">
        <f aca="false">E76-Inputs!$B$16</f>
        <v>4.457</v>
      </c>
      <c r="G76" s="149" t="n">
        <f aca="false">F76</f>
        <v>4.457</v>
      </c>
      <c r="H76" s="147" t="n">
        <f aca="false">VLOOKUP($A76,[1]!CurveTable,MATCH($H$4,[1]!CurveType,0))</f>
        <v>0.2</v>
      </c>
      <c r="I76" s="148" t="n">
        <f aca="false">H76+Inputs!$B$22</f>
        <v>0.2</v>
      </c>
      <c r="J76" s="150" t="n">
        <f aca="false">I76</f>
        <v>0.2</v>
      </c>
      <c r="K76" s="147" t="n">
        <f aca="false">VLOOKUP($A76,[1]!CurveTable,MATCH($K$4,[1]!CurveType,0))</f>
        <v>0</v>
      </c>
      <c r="L76" s="148" t="n">
        <v>0</v>
      </c>
      <c r="M76" s="151" t="n">
        <f aca="false">L76</f>
        <v>0</v>
      </c>
      <c r="N76" s="147" t="n">
        <f aca="false">VLOOKUP($A76,[1]!CurveTable,MATCH($N$4,[1]!CurveType,0))</f>
        <v>0.01</v>
      </c>
      <c r="O76" s="148" t="n">
        <f aca="false">N76+Inputs!$E$22</f>
        <v>0.01</v>
      </c>
      <c r="P76" s="151" t="n">
        <f aca="false">O76</f>
        <v>0.01</v>
      </c>
      <c r="Q76" s="147" t="n">
        <f aca="false">VLOOKUP($A76,[1]!CurveTable,MATCH($Q$4,[1]!CurveType,0))</f>
        <v>0.0075</v>
      </c>
      <c r="R76" s="148" t="n">
        <v>0</v>
      </c>
      <c r="S76" s="151" t="n">
        <f aca="false">R76</f>
        <v>0</v>
      </c>
      <c r="T76" s="152"/>
      <c r="U76" s="153" t="n">
        <f aca="false">G76+J76</f>
        <v>4.657</v>
      </c>
      <c r="V76" s="154"/>
      <c r="W76" s="155" t="n">
        <f aca="false">VLOOKUP($A76,[1]!CurveTable,MATCH($W$4,[1]!CurveType,0))+$W$9</f>
        <v>0.195</v>
      </c>
      <c r="X76" s="155" t="n">
        <f aca="false">VLOOKUP($A76,[1]!CurveTable,MATCH($X$4,[1]!CurveType,0))+$X$9</f>
        <v>0.2</v>
      </c>
      <c r="Y76" s="139" t="n">
        <f aca="false">SQRT((X76^2*($A76-$C$3)+W76^2*(DAY(EOMONTH(A76,0))/2))/$AN76)</f>
        <v>0.199211136826319</v>
      </c>
      <c r="Z76" s="152"/>
      <c r="AA76" s="153" t="n">
        <f aca="false">G76+P76+S76</f>
        <v>4.467</v>
      </c>
      <c r="AB76" s="154"/>
      <c r="AC76" s="155" t="n">
        <f aca="false">VLOOKUP($A76,[1]!CurveTable,MATCH($AC$4,[1]!CurveType,0))+$AC$9</f>
        <v>0.195</v>
      </c>
      <c r="AD76" s="155" t="n">
        <f aca="false">VLOOKUP($A76,[1]!CurveTable,MATCH($AD$4,[1]!CurveType,0))+$AD$9</f>
        <v>0.2</v>
      </c>
      <c r="AE76" s="139" t="n">
        <f aca="false">SQRT((AD76^2*($A76-$C$3)+AC76^2*(DAY(EOMONTH(A76,0))/2))/$AN76)</f>
        <v>0.199211136826319</v>
      </c>
      <c r="AF76" s="152"/>
      <c r="AG76" s="156" t="n">
        <f aca="false">((Inputs!$F$20*(X76*AD76)*(A76-$C$3))+(Inputs!$F$19*W76*AC76*(DAY(EOMONTH(A76,0))/2)))/(AN76*Y76*AE76)</f>
        <v>0.75</v>
      </c>
      <c r="AH76" s="152"/>
      <c r="AI76" s="140" t="n">
        <f aca="false">Inputs!$B$15</f>
        <v>0.06</v>
      </c>
      <c r="AJ76" s="157"/>
      <c r="AK76" s="140" t="n">
        <f aca="false">IF((U76-AA76-AI76)&lt;0,0,(U76-AA76-AI76))</f>
        <v>0.13</v>
      </c>
      <c r="AL76" s="157"/>
      <c r="AM76" s="158" t="n">
        <f aca="false">WORKDAY(EOMONTH(A76-1,-1),0)</f>
        <v>40117</v>
      </c>
      <c r="AN76" s="159" t="n">
        <f aca="false">AM76-$C$3</f>
        <v>-5809</v>
      </c>
      <c r="AO76" s="159" t="n">
        <f aca="false">AO75</f>
        <v>1</v>
      </c>
      <c r="AP76" s="160"/>
      <c r="AQ76" s="161" t="e">
        <f aca="false">SPRDOPT(U76,AA76,AI76,AX76,X76,AD76,AG76,AN76,AO76,0)</f>
        <v>#NAME?</v>
      </c>
      <c r="AR76" s="162" t="e">
        <f aca="false">AQ76*C76</f>
        <v>#NAME?</v>
      </c>
      <c r="AS76" s="163" t="e">
        <f aca="false">AQ76-AK76</f>
        <v>#NAME?</v>
      </c>
      <c r="AU76" s="112" t="n">
        <f aca="false">A77-A76</f>
        <v>31</v>
      </c>
      <c r="AV76" s="164" t="n">
        <f aca="false">CHOOSE(F$3,A77+24,A76+14)</f>
        <v>40162</v>
      </c>
      <c r="AW76" s="49" t="n">
        <f aca="false">AV76-C$3</f>
        <v>-5764</v>
      </c>
      <c r="AX76" s="155" t="n">
        <f aca="false">VLOOKUP($A76,[1]!CurveTable,MATCH(AX$4,[1]!CurveType,0))</f>
        <v>0.0524131169562296</v>
      </c>
      <c r="AY76" s="165" t="n">
        <f aca="false">1/(1+CHOOSE(F$3,(AX77+(Inputs!$B$14/10000))/2,(AX76+(Inputs!$B$14/10000))/2))^(2*AW76/365.25)</f>
        <v>2.26251611940784</v>
      </c>
      <c r="AZ76" s="49" t="n">
        <f aca="false">IF(AND(mthbeg&lt;=A76,mthend&gt;=A76),1,0)</f>
        <v>1</v>
      </c>
      <c r="BA76" s="111" t="n">
        <f aca="false">AU76*AZ76</f>
        <v>31</v>
      </c>
      <c r="BC76" s="142" t="n">
        <f aca="false">E76*$D76</f>
        <v>15437373.7343316</v>
      </c>
      <c r="BD76" s="142" t="n">
        <f aca="false">F76*$D76</f>
        <v>15630253.2335111</v>
      </c>
      <c r="BE76" s="142" t="n">
        <f aca="false">G76*$D76</f>
        <v>15630253.2335111</v>
      </c>
      <c r="BF76" s="142" t="n">
        <f aca="false">H76*$D76</f>
        <v>701379.997016429</v>
      </c>
      <c r="BG76" s="142" t="n">
        <f aca="false">I76*$D76</f>
        <v>701379.997016429</v>
      </c>
      <c r="BH76" s="142" t="n">
        <f aca="false">J76*$D76</f>
        <v>701379.997016429</v>
      </c>
      <c r="BI76" s="142" t="n">
        <f aca="false">K76*$D76</f>
        <v>0</v>
      </c>
      <c r="BJ76" s="142" t="n">
        <f aca="false">L76*$D76</f>
        <v>0</v>
      </c>
      <c r="BK76" s="142" t="n">
        <f aca="false">M76*$D76</f>
        <v>0</v>
      </c>
      <c r="BL76" s="142" t="n">
        <f aca="false">N76*$D76</f>
        <v>35068.9998508215</v>
      </c>
      <c r="BM76" s="142" t="n">
        <f aca="false">O76*$D76</f>
        <v>35068.9998508215</v>
      </c>
      <c r="BN76" s="142" t="n">
        <f aca="false">P76*$D76</f>
        <v>35068.9998508215</v>
      </c>
      <c r="BO76" s="142" t="n">
        <f aca="false">Q76*$D76</f>
        <v>26301.7498881161</v>
      </c>
      <c r="BP76" s="142" t="n">
        <f aca="false">R76*$D76</f>
        <v>0</v>
      </c>
      <c r="BQ76" s="142" t="n">
        <f aca="false">S76*$D76</f>
        <v>0</v>
      </c>
      <c r="BR76" s="142" t="n">
        <f aca="false">U76*$D76</f>
        <v>16331633.2305276</v>
      </c>
      <c r="BS76" s="142" t="n">
        <f aca="false">AA76*$D76</f>
        <v>15665322.2333619</v>
      </c>
      <c r="BT76" s="142" t="n">
        <f aca="false">AI76*$D76</f>
        <v>210413.999104929</v>
      </c>
      <c r="BU76" s="142" t="n">
        <f aca="false">AK76*D76</f>
        <v>455896.99806068</v>
      </c>
    </row>
    <row r="77" customFormat="false" ht="12.75" hidden="false" customHeight="false" outlineLevel="0" collapsed="false">
      <c r="A77" s="144" t="n">
        <f aca="false">EDATE(A76,1)</f>
        <v>40179</v>
      </c>
      <c r="B77" s="145" t="n">
        <f aca="false">Inputs!$B$8</f>
        <v>50000</v>
      </c>
      <c r="C77" s="146" t="n">
        <f aca="false">IF(AZ77=0,0,IF(AND(AZ77=1,$H$3=1),B77*AU77,IF($H$3=2,B77,"N/A")))</f>
        <v>1550000</v>
      </c>
      <c r="D77" s="146" t="n">
        <f aca="false">C77*AY77</f>
        <v>3497440.57262094</v>
      </c>
      <c r="E77" s="147" t="n">
        <f aca="false">VLOOKUP($A77,[1]!CurveTable,MATCH($E$4,[1]!CurveType,0))</f>
        <v>4.4745</v>
      </c>
      <c r="F77" s="148" t="n">
        <f aca="false">E77-Inputs!$B$16</f>
        <v>4.5295</v>
      </c>
      <c r="G77" s="149" t="n">
        <f aca="false">F77</f>
        <v>4.5295</v>
      </c>
      <c r="H77" s="147" t="n">
        <f aca="false">VLOOKUP($A77,[1]!CurveTable,MATCH($H$4,[1]!CurveType,0))</f>
        <v>0.075</v>
      </c>
      <c r="I77" s="148" t="n">
        <f aca="false">H77+Inputs!$B$22</f>
        <v>0.075</v>
      </c>
      <c r="J77" s="150" t="n">
        <f aca="false">I77</f>
        <v>0.075</v>
      </c>
      <c r="K77" s="147" t="n">
        <f aca="false">VLOOKUP($A77,[1]!CurveTable,MATCH($K$4,[1]!CurveType,0))</f>
        <v>0</v>
      </c>
      <c r="L77" s="148" t="n">
        <v>0</v>
      </c>
      <c r="M77" s="151" t="n">
        <f aca="false">L77</f>
        <v>0</v>
      </c>
      <c r="N77" s="147" t="n">
        <f aca="false">VLOOKUP($A77,[1]!CurveTable,MATCH($N$4,[1]!CurveType,0))</f>
        <v>0.01</v>
      </c>
      <c r="O77" s="148" t="n">
        <f aca="false">N77+Inputs!$E$22</f>
        <v>0.01</v>
      </c>
      <c r="P77" s="151" t="n">
        <f aca="false">O77</f>
        <v>0.01</v>
      </c>
      <c r="Q77" s="147" t="n">
        <f aca="false">VLOOKUP($A77,[1]!CurveTable,MATCH($Q$4,[1]!CurveType,0))</f>
        <v>0.0075</v>
      </c>
      <c r="R77" s="148" t="n">
        <v>0</v>
      </c>
      <c r="S77" s="151" t="n">
        <f aca="false">R77</f>
        <v>0</v>
      </c>
      <c r="T77" s="152"/>
      <c r="U77" s="153" t="n">
        <f aca="false">G77+J77</f>
        <v>4.6045</v>
      </c>
      <c r="V77" s="154"/>
      <c r="W77" s="155" t="n">
        <f aca="false">VLOOKUP($A77,[1]!CurveTable,MATCH($W$4,[1]!CurveType,0))+$W$9</f>
        <v>0.195</v>
      </c>
      <c r="X77" s="155" t="n">
        <f aca="false">VLOOKUP($A77,[1]!CurveTable,MATCH($X$4,[1]!CurveType,0))+$X$9</f>
        <v>0.2</v>
      </c>
      <c r="Y77" s="139" t="n">
        <f aca="false">SQRT((X77^2*($A77-$C$3)+W77^2*(DAY(EOMONTH(A77,0))/2))/$AN77)</f>
        <v>0.199189659851605</v>
      </c>
      <c r="Z77" s="152"/>
      <c r="AA77" s="153" t="n">
        <f aca="false">G77+P77+S77</f>
        <v>4.5395</v>
      </c>
      <c r="AB77" s="154"/>
      <c r="AC77" s="155" t="n">
        <f aca="false">VLOOKUP($A77,[1]!CurveTable,MATCH($AC$4,[1]!CurveType,0))+$AC$9</f>
        <v>0.195</v>
      </c>
      <c r="AD77" s="155" t="n">
        <f aca="false">VLOOKUP($A77,[1]!CurveTable,MATCH($AD$4,[1]!CurveType,0))+$AD$9</f>
        <v>0.2</v>
      </c>
      <c r="AE77" s="139" t="n">
        <f aca="false">SQRT((AD77^2*($A77-$C$3)+AC77^2*(DAY(EOMONTH(A77,0))/2))/$AN77)</f>
        <v>0.199189659851605</v>
      </c>
      <c r="AF77" s="152"/>
      <c r="AG77" s="156" t="n">
        <f aca="false">((Inputs!$F$20*(X77*AD77)*(A77-$C$3))+(Inputs!$F$19*W77*AC77*(DAY(EOMONTH(A77,0))/2)))/(AN77*Y77*AE77)</f>
        <v>0.75</v>
      </c>
      <c r="AH77" s="152"/>
      <c r="AI77" s="140" t="n">
        <f aca="false">Inputs!$B$15</f>
        <v>0.06</v>
      </c>
      <c r="AJ77" s="157"/>
      <c r="AK77" s="140" t="n">
        <f aca="false">IF((U77-AA77-AI77)&lt;0,0,(U77-AA77-AI77))</f>
        <v>0.00500000000000039</v>
      </c>
      <c r="AL77" s="157"/>
      <c r="AM77" s="158" t="n">
        <f aca="false">WORKDAY(EOMONTH(A77-1,-1),0)</f>
        <v>40147</v>
      </c>
      <c r="AN77" s="159" t="n">
        <f aca="false">AM77-$C$3</f>
        <v>-5779</v>
      </c>
      <c r="AO77" s="159" t="n">
        <f aca="false">AO76</f>
        <v>1</v>
      </c>
      <c r="AP77" s="160"/>
      <c r="AQ77" s="161" t="e">
        <f aca="false">SPRDOPT(U77,AA77,AI77,AX77,X77,AD77,AG77,AN77,AO77,0)</f>
        <v>#NAME?</v>
      </c>
      <c r="AR77" s="162" t="e">
        <f aca="false">AQ77*C77</f>
        <v>#NAME?</v>
      </c>
      <c r="AS77" s="163" t="e">
        <f aca="false">AQ77-AK77</f>
        <v>#NAME?</v>
      </c>
      <c r="AU77" s="112" t="n">
        <f aca="false">A78-A77</f>
        <v>31</v>
      </c>
      <c r="AV77" s="164" t="n">
        <f aca="false">CHOOSE(F$3,A78+24,A77+14)</f>
        <v>40193</v>
      </c>
      <c r="AW77" s="49" t="n">
        <f aca="false">AV77-C$3</f>
        <v>-5733</v>
      </c>
      <c r="AX77" s="155" t="n">
        <f aca="false">VLOOKUP($A77,[1]!CurveTable,MATCH(AX$4,[1]!CurveType,0))</f>
        <v>0.0525236228508077</v>
      </c>
      <c r="AY77" s="165" t="n">
        <f aca="false">1/(1+CHOOSE(F$3,(AX78+(Inputs!$B$14/10000))/2,(AX77+(Inputs!$B$14/10000))/2))^(2*AW77/365.25)</f>
        <v>2.25641327265867</v>
      </c>
      <c r="AZ77" s="49" t="n">
        <f aca="false">IF(AND(mthbeg&lt;=A77,mthend&gt;=A77),1,0)</f>
        <v>1</v>
      </c>
      <c r="BA77" s="111" t="n">
        <f aca="false">AU77*AZ77</f>
        <v>31</v>
      </c>
      <c r="BC77" s="142" t="n">
        <f aca="false">E77*$D77</f>
        <v>15649297.8421924</v>
      </c>
      <c r="BD77" s="142" t="n">
        <f aca="false">F77*$D77</f>
        <v>15841657.0736865</v>
      </c>
      <c r="BE77" s="142" t="n">
        <f aca="false">G77*$D77</f>
        <v>15841657.0736865</v>
      </c>
      <c r="BF77" s="142" t="n">
        <f aca="false">H77*$D77</f>
        <v>262308.04294657</v>
      </c>
      <c r="BG77" s="142" t="n">
        <f aca="false">I77*$D77</f>
        <v>262308.04294657</v>
      </c>
      <c r="BH77" s="142" t="n">
        <f aca="false">J77*$D77</f>
        <v>262308.04294657</v>
      </c>
      <c r="BI77" s="142" t="n">
        <f aca="false">K77*$D77</f>
        <v>0</v>
      </c>
      <c r="BJ77" s="142" t="n">
        <f aca="false">L77*$D77</f>
        <v>0</v>
      </c>
      <c r="BK77" s="142" t="n">
        <f aca="false">M77*$D77</f>
        <v>0</v>
      </c>
      <c r="BL77" s="142" t="n">
        <f aca="false">N77*$D77</f>
        <v>34974.4057262094</v>
      </c>
      <c r="BM77" s="142" t="n">
        <f aca="false">O77*$D77</f>
        <v>34974.4057262094</v>
      </c>
      <c r="BN77" s="142" t="n">
        <f aca="false">P77*$D77</f>
        <v>34974.4057262094</v>
      </c>
      <c r="BO77" s="142" t="n">
        <f aca="false">Q77*$D77</f>
        <v>26230.804294657</v>
      </c>
      <c r="BP77" s="142" t="n">
        <f aca="false">R77*$D77</f>
        <v>0</v>
      </c>
      <c r="BQ77" s="142" t="n">
        <f aca="false">S77*$D77</f>
        <v>0</v>
      </c>
      <c r="BR77" s="142" t="n">
        <f aca="false">U77*$D77</f>
        <v>16103965.1166331</v>
      </c>
      <c r="BS77" s="142" t="n">
        <f aca="false">AA77*$D77</f>
        <v>15876631.4794128</v>
      </c>
      <c r="BT77" s="142" t="n">
        <f aca="false">AI77*$D77</f>
        <v>209846.434357256</v>
      </c>
      <c r="BU77" s="142" t="n">
        <f aca="false">AK77*D77</f>
        <v>17487.2028631061</v>
      </c>
    </row>
    <row r="78" customFormat="false" ht="12.75" hidden="false" customHeight="false" outlineLevel="0" collapsed="false">
      <c r="A78" s="144" t="n">
        <f aca="false">EDATE(A77,1)</f>
        <v>40210</v>
      </c>
      <c r="B78" s="145" t="n">
        <f aca="false">Inputs!$B$8</f>
        <v>50000</v>
      </c>
      <c r="C78" s="146" t="n">
        <f aca="false">IF(AZ78=0,0,IF(AND(AZ78=1,$H$3=1),B78*AU78,IF($H$3=2,B78,"N/A")))</f>
        <v>1400000</v>
      </c>
      <c r="D78" s="146" t="n">
        <f aca="false">C78*AY78</f>
        <v>3150399.77255482</v>
      </c>
      <c r="E78" s="147" t="n">
        <f aca="false">VLOOKUP($A78,[1]!CurveTable,MATCH($E$4,[1]!CurveType,0))</f>
        <v>4.3875</v>
      </c>
      <c r="F78" s="148" t="n">
        <f aca="false">E78-Inputs!$B$16</f>
        <v>4.4425</v>
      </c>
      <c r="G78" s="149" t="n">
        <f aca="false">F78</f>
        <v>4.4425</v>
      </c>
      <c r="H78" s="147" t="n">
        <f aca="false">VLOOKUP($A78,[1]!CurveTable,MATCH($H$4,[1]!CurveType,0))</f>
        <v>0.075</v>
      </c>
      <c r="I78" s="148" t="n">
        <f aca="false">H78+Inputs!$B$22</f>
        <v>0.075</v>
      </c>
      <c r="J78" s="150" t="n">
        <f aca="false">I78</f>
        <v>0.075</v>
      </c>
      <c r="K78" s="147" t="n">
        <f aca="false">VLOOKUP($A78,[1]!CurveTable,MATCH($K$4,[1]!CurveType,0))</f>
        <v>0</v>
      </c>
      <c r="L78" s="148" t="n">
        <v>0</v>
      </c>
      <c r="M78" s="151" t="n">
        <f aca="false">L78</f>
        <v>0</v>
      </c>
      <c r="N78" s="147" t="n">
        <f aca="false">VLOOKUP($A78,[1]!CurveTable,MATCH($N$4,[1]!CurveType,0))</f>
        <v>0.01</v>
      </c>
      <c r="O78" s="148" t="n">
        <f aca="false">N78+Inputs!$E$22</f>
        <v>0.01</v>
      </c>
      <c r="P78" s="151" t="n">
        <f aca="false">O78</f>
        <v>0.01</v>
      </c>
      <c r="Q78" s="147" t="n">
        <f aca="false">VLOOKUP($A78,[1]!CurveTable,MATCH($Q$4,[1]!CurveType,0))</f>
        <v>0.0075</v>
      </c>
      <c r="R78" s="148" t="n">
        <v>0</v>
      </c>
      <c r="S78" s="151" t="n">
        <f aca="false">R78</f>
        <v>0</v>
      </c>
      <c r="T78" s="152"/>
      <c r="U78" s="153" t="n">
        <f aca="false">G78+J78</f>
        <v>4.5175</v>
      </c>
      <c r="V78" s="154"/>
      <c r="W78" s="155" t="n">
        <f aca="false">VLOOKUP($A78,[1]!CurveTable,MATCH($W$4,[1]!CurveType,0))+$W$9</f>
        <v>0.19</v>
      </c>
      <c r="X78" s="155" t="n">
        <f aca="false">VLOOKUP($A78,[1]!CurveTable,MATCH($X$4,[1]!CurveType,0))+$X$9</f>
        <v>0.195</v>
      </c>
      <c r="Y78" s="139" t="n">
        <f aca="false">SQRT((X78^2*($A78-$C$3)+W78^2*(DAY(EOMONTH(A78,0))/2))/$AN78)</f>
        <v>0.194230231276759</v>
      </c>
      <c r="Z78" s="152"/>
      <c r="AA78" s="153" t="n">
        <f aca="false">G78+P78+S78</f>
        <v>4.4525</v>
      </c>
      <c r="AB78" s="154"/>
      <c r="AC78" s="155" t="n">
        <f aca="false">VLOOKUP($A78,[1]!CurveTable,MATCH($AC$4,[1]!CurveType,0))+$AC$9</f>
        <v>0.19</v>
      </c>
      <c r="AD78" s="155" t="n">
        <f aca="false">VLOOKUP($A78,[1]!CurveTable,MATCH($AD$4,[1]!CurveType,0))+$AD$9</f>
        <v>0.195</v>
      </c>
      <c r="AE78" s="139" t="n">
        <f aca="false">SQRT((AD78^2*($A78-$C$3)+AC78^2*(DAY(EOMONTH(A78,0))/2))/$AN78)</f>
        <v>0.194230231276759</v>
      </c>
      <c r="AF78" s="152"/>
      <c r="AG78" s="156" t="n">
        <f aca="false">((Inputs!$F$20*(X78*AD78)*(A78-$C$3))+(Inputs!$F$19*W78*AC78*(DAY(EOMONTH(A78,0))/2)))/(AN78*Y78*AE78)</f>
        <v>0.75</v>
      </c>
      <c r="AH78" s="152"/>
      <c r="AI78" s="140" t="n">
        <f aca="false">Inputs!$B$15</f>
        <v>0.06</v>
      </c>
      <c r="AJ78" s="157"/>
      <c r="AK78" s="140" t="n">
        <f aca="false">IF((U78-AA78-AI78)&lt;0,0,(U78-AA78-AI78))</f>
        <v>0.00500000000000039</v>
      </c>
      <c r="AL78" s="157"/>
      <c r="AM78" s="158" t="n">
        <f aca="false">WORKDAY(EOMONTH(A78-1,-1),0)</f>
        <v>40178</v>
      </c>
      <c r="AN78" s="159" t="n">
        <f aca="false">AM78-$C$3</f>
        <v>-5748</v>
      </c>
      <c r="AO78" s="159" t="n">
        <f aca="false">AO77</f>
        <v>1</v>
      </c>
      <c r="AP78" s="160"/>
      <c r="AQ78" s="161" t="e">
        <f aca="false">SPRDOPT(U78,AA78,AI78,AX78,X78,AD78,AG78,AN78,AO78,0)</f>
        <v>#NAME?</v>
      </c>
      <c r="AR78" s="162" t="e">
        <f aca="false">AQ78*C78</f>
        <v>#NAME?</v>
      </c>
      <c r="AS78" s="163" t="e">
        <f aca="false">AQ78-AK78</f>
        <v>#NAME?</v>
      </c>
      <c r="AU78" s="112" t="n">
        <f aca="false">A79-A78</f>
        <v>28</v>
      </c>
      <c r="AV78" s="164" t="n">
        <f aca="false">CHOOSE(F$3,A79+24,A78+14)</f>
        <v>40224</v>
      </c>
      <c r="AW78" s="49" t="n">
        <f aca="false">AV78-C$3</f>
        <v>-5702</v>
      </c>
      <c r="AX78" s="155" t="n">
        <f aca="false">VLOOKUP($A78,[1]!CurveTable,MATCH(AX$4,[1]!CurveType,0))</f>
        <v>0.052634128749458</v>
      </c>
      <c r="AY78" s="165" t="n">
        <f aca="false">1/(1+CHOOSE(F$3,(AX79+(Inputs!$B$14/10000))/2,(AX78+(Inputs!$B$14/10000))/2))^(2*AW78/365.25)</f>
        <v>2.25028555182487</v>
      </c>
      <c r="AZ78" s="49" t="n">
        <f aca="false">IF(AND(mthbeg&lt;=A78,mthend&gt;=A78),1,0)</f>
        <v>1</v>
      </c>
      <c r="BA78" s="111" t="n">
        <f aca="false">AU78*AZ78</f>
        <v>28</v>
      </c>
      <c r="BC78" s="142" t="n">
        <f aca="false">E78*$D78</f>
        <v>13822379.0020843</v>
      </c>
      <c r="BD78" s="142" t="n">
        <f aca="false">F78*$D78</f>
        <v>13995650.9895748</v>
      </c>
      <c r="BE78" s="142" t="n">
        <f aca="false">G78*$D78</f>
        <v>13995650.9895748</v>
      </c>
      <c r="BF78" s="142" t="n">
        <f aca="false">H78*$D78</f>
        <v>236279.982941612</v>
      </c>
      <c r="BG78" s="142" t="n">
        <f aca="false">I78*$D78</f>
        <v>236279.982941612</v>
      </c>
      <c r="BH78" s="142" t="n">
        <f aca="false">J78*$D78</f>
        <v>236279.982941612</v>
      </c>
      <c r="BI78" s="142" t="n">
        <f aca="false">K78*$D78</f>
        <v>0</v>
      </c>
      <c r="BJ78" s="142" t="n">
        <f aca="false">L78*$D78</f>
        <v>0</v>
      </c>
      <c r="BK78" s="142" t="n">
        <f aca="false">M78*$D78</f>
        <v>0</v>
      </c>
      <c r="BL78" s="142" t="n">
        <f aca="false">N78*$D78</f>
        <v>31503.9977255482</v>
      </c>
      <c r="BM78" s="142" t="n">
        <f aca="false">O78*$D78</f>
        <v>31503.9977255482</v>
      </c>
      <c r="BN78" s="142" t="n">
        <f aca="false">P78*$D78</f>
        <v>31503.9977255482</v>
      </c>
      <c r="BO78" s="142" t="n">
        <f aca="false">Q78*$D78</f>
        <v>23627.9982941612</v>
      </c>
      <c r="BP78" s="142" t="n">
        <f aca="false">R78*$D78</f>
        <v>0</v>
      </c>
      <c r="BQ78" s="142" t="n">
        <f aca="false">S78*$D78</f>
        <v>0</v>
      </c>
      <c r="BR78" s="142" t="n">
        <f aca="false">U78*$D78</f>
        <v>14231930.9725164</v>
      </c>
      <c r="BS78" s="142" t="n">
        <f aca="false">AA78*$D78</f>
        <v>14027154.9873003</v>
      </c>
      <c r="BT78" s="142" t="n">
        <f aca="false">AI78*$D78</f>
        <v>189023.986353289</v>
      </c>
      <c r="BU78" s="142" t="n">
        <f aca="false">AK78*D78</f>
        <v>15751.9988627753</v>
      </c>
    </row>
    <row r="79" customFormat="false" ht="12.75" hidden="false" customHeight="false" outlineLevel="0" collapsed="false">
      <c r="A79" s="144" t="n">
        <f aca="false">EDATE(A78,1)</f>
        <v>40238</v>
      </c>
      <c r="B79" s="145" t="n">
        <f aca="false">Inputs!$B$8</f>
        <v>50000</v>
      </c>
      <c r="C79" s="146" t="n">
        <f aca="false">IF(AZ79=0,0,IF(AND(AZ79=1,$H$3=1),B79*AU79,IF($H$3=2,B79,"N/A")))</f>
        <v>1550000</v>
      </c>
      <c r="D79" s="146" t="n">
        <f aca="false">C79*AY79</f>
        <v>3479331.03867801</v>
      </c>
      <c r="E79" s="147" t="n">
        <f aca="false">VLOOKUP($A79,[1]!CurveTable,MATCH($E$4,[1]!CurveType,0))</f>
        <v>4.2485</v>
      </c>
      <c r="F79" s="148" t="n">
        <f aca="false">E79-Inputs!$B$16</f>
        <v>4.3035</v>
      </c>
      <c r="G79" s="149" t="n">
        <f aca="false">F79</f>
        <v>4.3035</v>
      </c>
      <c r="H79" s="147" t="n">
        <f aca="false">VLOOKUP($A79,[1]!CurveTable,MATCH($H$4,[1]!CurveType,0))</f>
        <v>0.18</v>
      </c>
      <c r="I79" s="148" t="n">
        <f aca="false">H79+Inputs!$B$22</f>
        <v>0.18</v>
      </c>
      <c r="J79" s="150" t="n">
        <f aca="false">I79</f>
        <v>0.18</v>
      </c>
      <c r="K79" s="147" t="n">
        <f aca="false">VLOOKUP($A79,[1]!CurveTable,MATCH($K$4,[1]!CurveType,0))</f>
        <v>0</v>
      </c>
      <c r="L79" s="148" t="n">
        <v>0</v>
      </c>
      <c r="M79" s="151" t="n">
        <f aca="false">L79</f>
        <v>0</v>
      </c>
      <c r="N79" s="147" t="n">
        <f aca="false">VLOOKUP($A79,[1]!CurveTable,MATCH($N$4,[1]!CurveType,0))</f>
        <v>0.014</v>
      </c>
      <c r="O79" s="148" t="n">
        <f aca="false">N79+Inputs!$E$22</f>
        <v>0.014</v>
      </c>
      <c r="P79" s="151" t="n">
        <f aca="false">O79</f>
        <v>0.014</v>
      </c>
      <c r="Q79" s="147" t="n">
        <f aca="false">VLOOKUP($A79,[1]!CurveTable,MATCH($Q$4,[1]!CurveType,0))</f>
        <v>0.0075</v>
      </c>
      <c r="R79" s="148" t="n">
        <v>0</v>
      </c>
      <c r="S79" s="151" t="n">
        <f aca="false">R79</f>
        <v>0</v>
      </c>
      <c r="T79" s="152"/>
      <c r="U79" s="153" t="n">
        <f aca="false">G79+J79</f>
        <v>4.4835</v>
      </c>
      <c r="V79" s="154"/>
      <c r="W79" s="155" t="n">
        <f aca="false">VLOOKUP($A79,[1]!CurveTable,MATCH($W$4,[1]!CurveType,0))+$W$9</f>
        <v>0.1875</v>
      </c>
      <c r="X79" s="155" t="n">
        <f aca="false">VLOOKUP($A79,[1]!CurveTable,MATCH($X$4,[1]!CurveType,0))+$X$9</f>
        <v>0.1925</v>
      </c>
      <c r="Y79" s="139" t="n">
        <f aca="false">SQRT((X79^2*($A79-$C$3)+W79^2*(DAY(EOMONTH(A79,0))/2))/$AN79)</f>
        <v>0.191762777317606</v>
      </c>
      <c r="Z79" s="152"/>
      <c r="AA79" s="153" t="n">
        <f aca="false">G79+P79+S79</f>
        <v>4.3175</v>
      </c>
      <c r="AB79" s="154"/>
      <c r="AC79" s="155" t="n">
        <f aca="false">VLOOKUP($A79,[1]!CurveTable,MATCH($AC$4,[1]!CurveType,0))+$AC$9</f>
        <v>0.1875</v>
      </c>
      <c r="AD79" s="155" t="n">
        <f aca="false">VLOOKUP($A79,[1]!CurveTable,MATCH($AD$4,[1]!CurveType,0))+$AD$9</f>
        <v>0.1925</v>
      </c>
      <c r="AE79" s="139" t="n">
        <f aca="false">SQRT((AD79^2*($A79-$C$3)+AC79^2*(DAY(EOMONTH(A79,0))/2))/$AN79)</f>
        <v>0.191762777317606</v>
      </c>
      <c r="AF79" s="152"/>
      <c r="AG79" s="156" t="n">
        <f aca="false">((Inputs!$F$20*(X79*AD79)*(A79-$C$3))+(Inputs!$F$19*W79*AC79*(DAY(EOMONTH(A79,0))/2)))/(AN79*Y79*AE79)</f>
        <v>0.75</v>
      </c>
      <c r="AH79" s="152"/>
      <c r="AI79" s="140" t="n">
        <f aca="false">Inputs!$B$15</f>
        <v>0.06</v>
      </c>
      <c r="AJ79" s="157"/>
      <c r="AK79" s="140" t="n">
        <f aca="false">IF((U79-AA79-AI79)&lt;0,0,(U79-AA79-AI79))</f>
        <v>0.105999999999999</v>
      </c>
      <c r="AL79" s="157"/>
      <c r="AM79" s="158" t="n">
        <f aca="false">WORKDAY(EOMONTH(A79-1,-1),0)</f>
        <v>40209</v>
      </c>
      <c r="AN79" s="159" t="n">
        <f aca="false">AM79-$C$3</f>
        <v>-5717</v>
      </c>
      <c r="AO79" s="159" t="n">
        <f aca="false">AO78</f>
        <v>1</v>
      </c>
      <c r="AP79" s="160"/>
      <c r="AQ79" s="161" t="e">
        <f aca="false">SPRDOPT(U79,AA79,AI79,AX79,X79,AD79,AG79,AN79,AO79,0)</f>
        <v>#NAME?</v>
      </c>
      <c r="AR79" s="162" t="e">
        <f aca="false">AQ79*C79</f>
        <v>#NAME?</v>
      </c>
      <c r="AS79" s="163" t="e">
        <f aca="false">AQ79-AK79</f>
        <v>#NAME?</v>
      </c>
      <c r="AU79" s="112" t="n">
        <f aca="false">A80-A79</f>
        <v>31</v>
      </c>
      <c r="AV79" s="164" t="n">
        <f aca="false">CHOOSE(F$3,A80+24,A79+14)</f>
        <v>40252</v>
      </c>
      <c r="AW79" s="49" t="n">
        <f aca="false">AV79-C$3</f>
        <v>-5674</v>
      </c>
      <c r="AX79" s="155" t="n">
        <f aca="false">VLOOKUP($A79,[1]!CurveTable,MATCH(AX$4,[1]!CurveType,0))</f>
        <v>0.0527339405323839</v>
      </c>
      <c r="AY79" s="165" t="n">
        <f aca="false">1/(1+CHOOSE(F$3,(AX80+(Inputs!$B$14/10000))/2,(AX79+(Inputs!$B$14/10000))/2))^(2*AW79/365.25)</f>
        <v>2.24472970237291</v>
      </c>
      <c r="AZ79" s="49" t="n">
        <f aca="false">IF(AND(mthbeg&lt;=A79,mthend&gt;=A79),1,0)</f>
        <v>1</v>
      </c>
      <c r="BA79" s="111" t="n">
        <f aca="false">AU79*AZ79</f>
        <v>31</v>
      </c>
      <c r="BC79" s="142" t="n">
        <f aca="false">E79*$D79</f>
        <v>14781937.9178235</v>
      </c>
      <c r="BD79" s="142" t="n">
        <f aca="false">F79*$D79</f>
        <v>14973301.1249508</v>
      </c>
      <c r="BE79" s="142" t="n">
        <f aca="false">G79*$D79</f>
        <v>14973301.1249508</v>
      </c>
      <c r="BF79" s="142" t="n">
        <f aca="false">H79*$D79</f>
        <v>626279.586962042</v>
      </c>
      <c r="BG79" s="142" t="n">
        <f aca="false">I79*$D79</f>
        <v>626279.586962042</v>
      </c>
      <c r="BH79" s="142" t="n">
        <f aca="false">J79*$D79</f>
        <v>626279.586962042</v>
      </c>
      <c r="BI79" s="142" t="n">
        <f aca="false">K79*$D79</f>
        <v>0</v>
      </c>
      <c r="BJ79" s="142" t="n">
        <f aca="false">L79*$D79</f>
        <v>0</v>
      </c>
      <c r="BK79" s="142" t="n">
        <f aca="false">M79*$D79</f>
        <v>0</v>
      </c>
      <c r="BL79" s="142" t="n">
        <f aca="false">N79*$D79</f>
        <v>48710.6345414922</v>
      </c>
      <c r="BM79" s="142" t="n">
        <f aca="false">O79*$D79</f>
        <v>48710.6345414922</v>
      </c>
      <c r="BN79" s="142" t="n">
        <f aca="false">P79*$D79</f>
        <v>48710.6345414922</v>
      </c>
      <c r="BO79" s="142" t="n">
        <f aca="false">Q79*$D79</f>
        <v>26094.9827900851</v>
      </c>
      <c r="BP79" s="142" t="n">
        <f aca="false">R79*$D79</f>
        <v>0</v>
      </c>
      <c r="BQ79" s="142" t="n">
        <f aca="false">S79*$D79</f>
        <v>0</v>
      </c>
      <c r="BR79" s="142" t="n">
        <f aca="false">U79*$D79</f>
        <v>15599580.7119129</v>
      </c>
      <c r="BS79" s="142" t="n">
        <f aca="false">AA79*$D79</f>
        <v>15022011.7594923</v>
      </c>
      <c r="BT79" s="142" t="n">
        <f aca="false">AI79*$D79</f>
        <v>208759.862320681</v>
      </c>
      <c r="BU79" s="142" t="n">
        <f aca="false">AK79*D79</f>
        <v>368809.090099867</v>
      </c>
    </row>
    <row r="80" customFormat="false" ht="12.75" hidden="false" customHeight="false" outlineLevel="0" collapsed="false">
      <c r="A80" s="144" t="n">
        <f aca="false">EDATE(A79,1)</f>
        <v>40269</v>
      </c>
      <c r="B80" s="145" t="n">
        <f aca="false">Inputs!$B$8</f>
        <v>50000</v>
      </c>
      <c r="C80" s="146" t="n">
        <f aca="false">IF(AZ80=0,0,IF(AND(AZ80=1,$H$3=1),B80*AU80,IF($H$3=2,B80,"N/A")))</f>
        <v>1500000</v>
      </c>
      <c r="D80" s="146" t="n">
        <f aca="false">C80*AY80</f>
        <v>3357833.18684897</v>
      </c>
      <c r="E80" s="147" t="n">
        <f aca="false">VLOOKUP($A80,[1]!CurveTable,MATCH($E$4,[1]!CurveType,0))</f>
        <v>4.0945</v>
      </c>
      <c r="F80" s="148" t="n">
        <f aca="false">E80-Inputs!$B$16</f>
        <v>4.1495</v>
      </c>
      <c r="G80" s="149" t="n">
        <f aca="false">F80</f>
        <v>4.1495</v>
      </c>
      <c r="H80" s="147" t="n">
        <f aca="false">VLOOKUP($A80,[1]!CurveTable,MATCH($H$4,[1]!CurveType,0))</f>
        <v>0.55</v>
      </c>
      <c r="I80" s="148" t="n">
        <f aca="false">H80+Inputs!$B$22</f>
        <v>0.55</v>
      </c>
      <c r="J80" s="150" t="n">
        <f aca="false">I80</f>
        <v>0.55</v>
      </c>
      <c r="K80" s="147" t="n">
        <f aca="false">VLOOKUP($A80,[1]!CurveTable,MATCH($K$4,[1]!CurveType,0))</f>
        <v>0</v>
      </c>
      <c r="L80" s="148" t="n">
        <v>0</v>
      </c>
      <c r="M80" s="151" t="n">
        <f aca="false">L80</f>
        <v>0</v>
      </c>
      <c r="N80" s="147" t="n">
        <f aca="false">VLOOKUP($A80,[1]!CurveTable,MATCH($N$4,[1]!CurveType,0))</f>
        <v>0.014</v>
      </c>
      <c r="O80" s="148" t="n">
        <f aca="false">N80+Inputs!$E$22</f>
        <v>0.014</v>
      </c>
      <c r="P80" s="151" t="n">
        <f aca="false">O80</f>
        <v>0.014</v>
      </c>
      <c r="Q80" s="147" t="n">
        <f aca="false">VLOOKUP($A80,[1]!CurveTable,MATCH($Q$4,[1]!CurveType,0))</f>
        <v>0.01</v>
      </c>
      <c r="R80" s="148" t="n">
        <v>0</v>
      </c>
      <c r="S80" s="151" t="n">
        <f aca="false">R80</f>
        <v>0</v>
      </c>
      <c r="T80" s="152"/>
      <c r="U80" s="153" t="n">
        <f aca="false">G80+J80</f>
        <v>4.6995</v>
      </c>
      <c r="V80" s="154"/>
      <c r="W80" s="155" t="n">
        <f aca="false">VLOOKUP($A80,[1]!CurveTable,MATCH($W$4,[1]!CurveType,0))+$W$9</f>
        <v>0.185</v>
      </c>
      <c r="X80" s="155" t="n">
        <f aca="false">VLOOKUP($A80,[1]!CurveTable,MATCH($X$4,[1]!CurveType,0))+$X$9</f>
        <v>0.19</v>
      </c>
      <c r="Y80" s="139" t="n">
        <f aca="false">SQRT((X80^2*($A80-$C$3)+W80^2*(DAY(EOMONTH(A80,0))/2))/$AN80)</f>
        <v>0.189226587796924</v>
      </c>
      <c r="Z80" s="152"/>
      <c r="AA80" s="153" t="n">
        <f aca="false">G80+P80+S80</f>
        <v>4.1635</v>
      </c>
      <c r="AB80" s="154"/>
      <c r="AC80" s="155" t="n">
        <f aca="false">VLOOKUP($A80,[1]!CurveTable,MATCH($AC$4,[1]!CurveType,0))+$AC$9</f>
        <v>0.185</v>
      </c>
      <c r="AD80" s="155" t="n">
        <f aca="false">VLOOKUP($A80,[1]!CurveTable,MATCH($AD$4,[1]!CurveType,0))+$AD$9</f>
        <v>0.19</v>
      </c>
      <c r="AE80" s="139" t="n">
        <f aca="false">SQRT((AD80^2*($A80-$C$3)+AC80^2*(DAY(EOMONTH(A80,0))/2))/$AN80)</f>
        <v>0.189226587796924</v>
      </c>
      <c r="AF80" s="152"/>
      <c r="AG80" s="156" t="n">
        <f aca="false">((Inputs!$F$20*(X80*AD80)*(A80-$C$3))+(Inputs!$F$19*W80*AC80*(DAY(EOMONTH(A80,0))/2)))/(AN80*Y80*AE80)</f>
        <v>0.75</v>
      </c>
      <c r="AH80" s="152"/>
      <c r="AI80" s="140" t="n">
        <f aca="false">Inputs!$B$15</f>
        <v>0.06</v>
      </c>
      <c r="AJ80" s="157"/>
      <c r="AK80" s="140" t="n">
        <f aca="false">IF((U80-AA80-AI80)&lt;0,0,(U80-AA80-AI80))</f>
        <v>0.476</v>
      </c>
      <c r="AL80" s="157"/>
      <c r="AM80" s="158" t="n">
        <f aca="false">WORKDAY(EOMONTH(A80-1,-1),0)</f>
        <v>40237</v>
      </c>
      <c r="AN80" s="159" t="n">
        <f aca="false">AM80-$C$3</f>
        <v>-5689</v>
      </c>
      <c r="AO80" s="159" t="n">
        <f aca="false">AO79</f>
        <v>1</v>
      </c>
      <c r="AP80" s="160"/>
      <c r="AQ80" s="161" t="e">
        <f aca="false">SPRDOPT(U80,AA80,AI80,AX80,X80,AD80,AG80,AN80,AO80,0)</f>
        <v>#NAME?</v>
      </c>
      <c r="AR80" s="162" t="e">
        <f aca="false">AQ80*C80</f>
        <v>#NAME?</v>
      </c>
      <c r="AS80" s="163" t="e">
        <f aca="false">AQ80-AK80</f>
        <v>#NAME?</v>
      </c>
      <c r="AU80" s="112" t="n">
        <f aca="false">A81-A80</f>
        <v>30</v>
      </c>
      <c r="AV80" s="164" t="n">
        <f aca="false">CHOOSE(F$3,A81+24,A80+14)</f>
        <v>40283</v>
      </c>
      <c r="AW80" s="49" t="n">
        <f aca="false">AV80-C$3</f>
        <v>-5643</v>
      </c>
      <c r="AX80" s="155" t="n">
        <f aca="false">VLOOKUP($A80,[1]!CurveTable,MATCH(AX$4,[1]!CurveType,0))</f>
        <v>0.0528444464387845</v>
      </c>
      <c r="AY80" s="165" t="n">
        <f aca="false">1/(1+CHOOSE(F$3,(AX81+(Inputs!$B$14/10000))/2,(AX80+(Inputs!$B$14/10000))/2))^(2*AW80/365.25)</f>
        <v>2.23855545789931</v>
      </c>
      <c r="AZ80" s="49" t="n">
        <f aca="false">IF(AND(mthbeg&lt;=A80,mthend&gt;=A80),1,0)</f>
        <v>1</v>
      </c>
      <c r="BA80" s="111" t="n">
        <f aca="false">AU80*AZ80</f>
        <v>30</v>
      </c>
      <c r="BC80" s="142" t="n">
        <f aca="false">E80*$D80</f>
        <v>13748647.9835531</v>
      </c>
      <c r="BD80" s="142" t="n">
        <f aca="false">F80*$D80</f>
        <v>13933328.8088298</v>
      </c>
      <c r="BE80" s="142" t="n">
        <f aca="false">G80*$D80</f>
        <v>13933328.8088298</v>
      </c>
      <c r="BF80" s="142" t="n">
        <f aca="false">H80*$D80</f>
        <v>1846808.25276693</v>
      </c>
      <c r="BG80" s="142" t="n">
        <f aca="false">I80*$D80</f>
        <v>1846808.25276693</v>
      </c>
      <c r="BH80" s="142" t="n">
        <f aca="false">J80*$D80</f>
        <v>1846808.25276693</v>
      </c>
      <c r="BI80" s="142" t="n">
        <f aca="false">K80*$D80</f>
        <v>0</v>
      </c>
      <c r="BJ80" s="142" t="n">
        <f aca="false">L80*$D80</f>
        <v>0</v>
      </c>
      <c r="BK80" s="142" t="n">
        <f aca="false">M80*$D80</f>
        <v>0</v>
      </c>
      <c r="BL80" s="142" t="n">
        <f aca="false">N80*$D80</f>
        <v>47009.6646158856</v>
      </c>
      <c r="BM80" s="142" t="n">
        <f aca="false">O80*$D80</f>
        <v>47009.6646158856</v>
      </c>
      <c r="BN80" s="142" t="n">
        <f aca="false">P80*$D80</f>
        <v>47009.6646158856</v>
      </c>
      <c r="BO80" s="142" t="n">
        <f aca="false">Q80*$D80</f>
        <v>33578.3318684897</v>
      </c>
      <c r="BP80" s="142" t="n">
        <f aca="false">R80*$D80</f>
        <v>0</v>
      </c>
      <c r="BQ80" s="142" t="n">
        <f aca="false">S80*$D80</f>
        <v>0</v>
      </c>
      <c r="BR80" s="142" t="n">
        <f aca="false">U80*$D80</f>
        <v>15780137.0615967</v>
      </c>
      <c r="BS80" s="142" t="n">
        <f aca="false">AA80*$D80</f>
        <v>13980338.4734457</v>
      </c>
      <c r="BT80" s="142" t="n">
        <f aca="false">AI80*$D80</f>
        <v>201469.991210938</v>
      </c>
      <c r="BU80" s="142" t="n">
        <f aca="false">AK80*D80</f>
        <v>1598328.59694011</v>
      </c>
    </row>
    <row r="81" customFormat="false" ht="12.75" hidden="false" customHeight="false" outlineLevel="0" collapsed="false">
      <c r="A81" s="144" t="n">
        <f aca="false">EDATE(A80,1)</f>
        <v>40299</v>
      </c>
      <c r="B81" s="145" t="n">
        <f aca="false">Inputs!$B$8</f>
        <v>50000</v>
      </c>
      <c r="C81" s="146" t="n">
        <f aca="false">IF(AZ81=0,0,IF(AND(AZ81=1,$H$3=1),B81*AU81,IF($H$3=2,B81,"N/A")))</f>
        <v>1550000</v>
      </c>
      <c r="D81" s="146" t="n">
        <f aca="false">C81*AY81</f>
        <v>3460464.1480033</v>
      </c>
      <c r="E81" s="147" t="n">
        <f aca="false">VLOOKUP($A81,[1]!CurveTable,MATCH($E$4,[1]!CurveType,0))</f>
        <v>4.0995</v>
      </c>
      <c r="F81" s="148" t="n">
        <f aca="false">E81-Inputs!$B$16</f>
        <v>4.1545</v>
      </c>
      <c r="G81" s="149" t="n">
        <f aca="false">F81</f>
        <v>4.1545</v>
      </c>
      <c r="H81" s="147" t="n">
        <f aca="false">VLOOKUP($A81,[1]!CurveTable,MATCH($H$4,[1]!CurveType,0))</f>
        <v>0.7</v>
      </c>
      <c r="I81" s="148" t="n">
        <f aca="false">H81+Inputs!$B$22</f>
        <v>0.7</v>
      </c>
      <c r="J81" s="150" t="n">
        <f aca="false">I81</f>
        <v>0.7</v>
      </c>
      <c r="K81" s="147" t="n">
        <f aca="false">VLOOKUP($A81,[1]!CurveTable,MATCH($K$4,[1]!CurveType,0))</f>
        <v>0</v>
      </c>
      <c r="L81" s="148" t="n">
        <v>0</v>
      </c>
      <c r="M81" s="151" t="n">
        <f aca="false">L81</f>
        <v>0</v>
      </c>
      <c r="N81" s="147" t="n">
        <f aca="false">VLOOKUP($A81,[1]!CurveTable,MATCH($N$4,[1]!CurveType,0))</f>
        <v>0.0165</v>
      </c>
      <c r="O81" s="148" t="n">
        <f aca="false">N81+Inputs!$E$22</f>
        <v>0.0165</v>
      </c>
      <c r="P81" s="151" t="n">
        <f aca="false">O81</f>
        <v>0.0165</v>
      </c>
      <c r="Q81" s="147" t="n">
        <f aca="false">VLOOKUP($A81,[1]!CurveTable,MATCH($Q$4,[1]!CurveType,0))</f>
        <v>0.01</v>
      </c>
      <c r="R81" s="148" t="n">
        <v>0</v>
      </c>
      <c r="S81" s="151" t="n">
        <f aca="false">R81</f>
        <v>0</v>
      </c>
      <c r="T81" s="152"/>
      <c r="U81" s="153" t="n">
        <f aca="false">G81+J81</f>
        <v>4.8545</v>
      </c>
      <c r="V81" s="154"/>
      <c r="W81" s="155" t="n">
        <f aca="false">VLOOKUP($A81,[1]!CurveTable,MATCH($W$4,[1]!CurveType,0))+$W$9</f>
        <v>0.37</v>
      </c>
      <c r="X81" s="155" t="n">
        <f aca="false">VLOOKUP($A81,[1]!CurveTable,MATCH($X$4,[1]!CurveType,0))+$X$9</f>
        <v>0.375</v>
      </c>
      <c r="Y81" s="139" t="n">
        <f aca="false">SQRT((X81^2*($A81-$C$3)+W81^2*(DAY(EOMONTH(A81,0))/2))/$AN81)</f>
        <v>0.373469523254954</v>
      </c>
      <c r="Z81" s="152"/>
      <c r="AA81" s="153" t="n">
        <f aca="false">G81+P81+S81</f>
        <v>4.171</v>
      </c>
      <c r="AB81" s="154"/>
      <c r="AC81" s="155" t="n">
        <f aca="false">VLOOKUP($A81,[1]!CurveTable,MATCH($AC$4,[1]!CurveType,0))+$AC$9</f>
        <v>0.185</v>
      </c>
      <c r="AD81" s="155" t="n">
        <f aca="false">VLOOKUP($A81,[1]!CurveTable,MATCH($AD$4,[1]!CurveType,0))+$AD$9</f>
        <v>0.19</v>
      </c>
      <c r="AE81" s="139" t="n">
        <f aca="false">SQRT((AD81^2*($A81-$C$3)+AC81^2*(DAY(EOMONTH(A81,0))/2))/$AN81)</f>
        <v>0.189231208906401</v>
      </c>
      <c r="AF81" s="152"/>
      <c r="AG81" s="156" t="n">
        <f aca="false">((Inputs!$F$20*(X81*AD81)*(A81-$C$3))+(Inputs!$F$19*W81*AC81*(DAY(EOMONTH(A81,0))/2)))/(AN81*Y81*AE81)</f>
        <v>0.750000175025589</v>
      </c>
      <c r="AH81" s="152"/>
      <c r="AI81" s="140" t="n">
        <f aca="false">Inputs!$B$15</f>
        <v>0.06</v>
      </c>
      <c r="AJ81" s="157"/>
      <c r="AK81" s="140" t="n">
        <f aca="false">IF((U81-AA81-AI81)&lt;0,0,(U81-AA81-AI81))</f>
        <v>0.6235</v>
      </c>
      <c r="AL81" s="157"/>
      <c r="AM81" s="158" t="n">
        <f aca="false">WORKDAY(EOMONTH(A81-1,-1),0)</f>
        <v>40268</v>
      </c>
      <c r="AN81" s="159" t="n">
        <f aca="false">AM81-$C$3</f>
        <v>-5658</v>
      </c>
      <c r="AO81" s="159" t="n">
        <f aca="false">AO80</f>
        <v>1</v>
      </c>
      <c r="AP81" s="160"/>
      <c r="AQ81" s="161" t="e">
        <f aca="false">SPRDOPT(U81,AA81,AI81,AX81,X81,AD81,AG81,AN81,AO81,0)</f>
        <v>#NAME?</v>
      </c>
      <c r="AR81" s="162" t="e">
        <f aca="false">AQ81*C81</f>
        <v>#NAME?</v>
      </c>
      <c r="AS81" s="163" t="e">
        <f aca="false">AQ81-AK81</f>
        <v>#NAME?</v>
      </c>
      <c r="AU81" s="112" t="n">
        <f aca="false">A82-A81</f>
        <v>31</v>
      </c>
      <c r="AV81" s="164" t="n">
        <f aca="false">CHOOSE(F$3,A82+24,A81+14)</f>
        <v>40313</v>
      </c>
      <c r="AW81" s="49" t="n">
        <f aca="false">AV81-C$3</f>
        <v>-5613</v>
      </c>
      <c r="AX81" s="155" t="n">
        <f aca="false">VLOOKUP($A81,[1]!CurveTable,MATCH(AX$4,[1]!CurveType,0))</f>
        <v>0.0529513876424028</v>
      </c>
      <c r="AY81" s="165" t="n">
        <f aca="false">1/(1+CHOOSE(F$3,(AX82+(Inputs!$B$14/10000))/2,(AX81+(Inputs!$B$14/10000))/2))^(2*AW81/365.25)</f>
        <v>2.23255751484084</v>
      </c>
      <c r="AZ81" s="49" t="n">
        <f aca="false">IF(AND(mthbeg&lt;=A81,mthend&gt;=A81),1,0)</f>
        <v>1</v>
      </c>
      <c r="BA81" s="111" t="n">
        <f aca="false">AU81*AZ81</f>
        <v>31</v>
      </c>
      <c r="BC81" s="142" t="n">
        <f aca="false">E81*$D81</f>
        <v>14186172.7747395</v>
      </c>
      <c r="BD81" s="142" t="n">
        <f aca="false">F81*$D81</f>
        <v>14376498.3028797</v>
      </c>
      <c r="BE81" s="142" t="n">
        <f aca="false">G81*$D81</f>
        <v>14376498.3028797</v>
      </c>
      <c r="BF81" s="142" t="n">
        <f aca="false">H81*$D81</f>
        <v>2422324.90360231</v>
      </c>
      <c r="BG81" s="142" t="n">
        <f aca="false">I81*$D81</f>
        <v>2422324.90360231</v>
      </c>
      <c r="BH81" s="142" t="n">
        <f aca="false">J81*$D81</f>
        <v>2422324.90360231</v>
      </c>
      <c r="BI81" s="142" t="n">
        <f aca="false">K81*$D81</f>
        <v>0</v>
      </c>
      <c r="BJ81" s="142" t="n">
        <f aca="false">L81*$D81</f>
        <v>0</v>
      </c>
      <c r="BK81" s="142" t="n">
        <f aca="false">M81*$D81</f>
        <v>0</v>
      </c>
      <c r="BL81" s="142" t="n">
        <f aca="false">N81*$D81</f>
        <v>57097.6584420544</v>
      </c>
      <c r="BM81" s="142" t="n">
        <f aca="false">O81*$D81</f>
        <v>57097.6584420544</v>
      </c>
      <c r="BN81" s="142" t="n">
        <f aca="false">P81*$D81</f>
        <v>57097.6584420544</v>
      </c>
      <c r="BO81" s="142" t="n">
        <f aca="false">Q81*$D81</f>
        <v>34604.641480033</v>
      </c>
      <c r="BP81" s="142" t="n">
        <f aca="false">R81*$D81</f>
        <v>0</v>
      </c>
      <c r="BQ81" s="142" t="n">
        <f aca="false">S81*$D81</f>
        <v>0</v>
      </c>
      <c r="BR81" s="142" t="n">
        <f aca="false">U81*$D81</f>
        <v>16798823.206482</v>
      </c>
      <c r="BS81" s="142" t="n">
        <f aca="false">AA81*$D81</f>
        <v>14433595.9613217</v>
      </c>
      <c r="BT81" s="142" t="n">
        <f aca="false">AI81*$D81</f>
        <v>207627.848880198</v>
      </c>
      <c r="BU81" s="142" t="n">
        <f aca="false">AK81*D81</f>
        <v>2157599.39628006</v>
      </c>
    </row>
    <row r="82" customFormat="false" ht="12.75" hidden="false" customHeight="false" outlineLevel="0" collapsed="false">
      <c r="A82" s="144" t="n">
        <f aca="false">EDATE(A81,1)</f>
        <v>40330</v>
      </c>
      <c r="B82" s="145" t="n">
        <f aca="false">Inputs!$B$8</f>
        <v>50000</v>
      </c>
      <c r="C82" s="146" t="n">
        <f aca="false">IF(AZ82=0,0,IF(AND(AZ82=1,$H$3=1),B82*AU82,IF($H$3=2,B82,"N/A")))</f>
        <v>1500000</v>
      </c>
      <c r="D82" s="146" t="n">
        <f aca="false">C82*AY82</f>
        <v>3339504.4492799</v>
      </c>
      <c r="E82" s="147" t="n">
        <f aca="false">VLOOKUP($A82,[1]!CurveTable,MATCH($E$4,[1]!CurveType,0))</f>
        <v>4.1375</v>
      </c>
      <c r="F82" s="148" t="n">
        <f aca="false">E82-Inputs!$B$16</f>
        <v>4.1925</v>
      </c>
      <c r="G82" s="149" t="n">
        <f aca="false">F82</f>
        <v>4.1925</v>
      </c>
      <c r="H82" s="147" t="n">
        <f aca="false">VLOOKUP($A82,[1]!CurveTable,MATCH($H$4,[1]!CurveType,0))</f>
        <v>0.8</v>
      </c>
      <c r="I82" s="148" t="n">
        <f aca="false">H82+Inputs!$B$22</f>
        <v>0.8</v>
      </c>
      <c r="J82" s="150" t="n">
        <f aca="false">I82</f>
        <v>0.8</v>
      </c>
      <c r="K82" s="147" t="n">
        <f aca="false">VLOOKUP($A82,[1]!CurveTable,MATCH($K$4,[1]!CurveType,0))</f>
        <v>0</v>
      </c>
      <c r="L82" s="148" t="n">
        <v>0</v>
      </c>
      <c r="M82" s="151" t="n">
        <f aca="false">L82</f>
        <v>0</v>
      </c>
      <c r="N82" s="147" t="n">
        <f aca="false">VLOOKUP($A82,[1]!CurveTable,MATCH($N$4,[1]!CurveType,0))</f>
        <v>0.014</v>
      </c>
      <c r="O82" s="148" t="n">
        <f aca="false">N82+Inputs!$E$22</f>
        <v>0.014</v>
      </c>
      <c r="P82" s="151" t="n">
        <f aca="false">O82</f>
        <v>0.014</v>
      </c>
      <c r="Q82" s="147" t="n">
        <f aca="false">VLOOKUP($A82,[1]!CurveTable,MATCH($Q$4,[1]!CurveType,0))</f>
        <v>0.01</v>
      </c>
      <c r="R82" s="148" t="n">
        <v>0</v>
      </c>
      <c r="S82" s="151" t="n">
        <f aca="false">R82</f>
        <v>0</v>
      </c>
      <c r="T82" s="152"/>
      <c r="U82" s="153" t="n">
        <f aca="false">G82+J82</f>
        <v>4.9925</v>
      </c>
      <c r="V82" s="154"/>
      <c r="W82" s="155" t="n">
        <f aca="false">VLOOKUP($A82,[1]!CurveTable,MATCH($W$4,[1]!CurveType,0))+$W$9</f>
        <v>0.37</v>
      </c>
      <c r="X82" s="155" t="n">
        <f aca="false">VLOOKUP($A82,[1]!CurveTable,MATCH($X$4,[1]!CurveType,0))+$X$9</f>
        <v>0.375</v>
      </c>
      <c r="Y82" s="139" t="n">
        <f aca="false">SQRT((X82^2*($A82-$C$3)+W82^2*(DAY(EOMONTH(A82,0))/2))/$AN82)</f>
        <v>0.373444178386813</v>
      </c>
      <c r="Z82" s="152"/>
      <c r="AA82" s="153" t="n">
        <f aca="false">G82+P82+S82</f>
        <v>4.2065</v>
      </c>
      <c r="AB82" s="154"/>
      <c r="AC82" s="155" t="n">
        <f aca="false">VLOOKUP($A82,[1]!CurveTable,MATCH($AC$4,[1]!CurveType,0))+$AC$9</f>
        <v>0.185</v>
      </c>
      <c r="AD82" s="155" t="n">
        <f aca="false">VLOOKUP($A82,[1]!CurveTable,MATCH($AD$4,[1]!CurveType,0))+$AD$9</f>
        <v>0.19</v>
      </c>
      <c r="AE82" s="139" t="n">
        <f aca="false">SQRT((AD82^2*($A82-$C$3)+AC82^2*(DAY(EOMONTH(A82,0))/2))/$AN82)</f>
        <v>0.189218187724496</v>
      </c>
      <c r="AF82" s="152"/>
      <c r="AG82" s="156" t="n">
        <f aca="false">((Inputs!$F$20*(X82*AD82)*(A82-$C$3))+(Inputs!$F$19*W82*AC82*(DAY(EOMONTH(A82,0))/2)))/(AN82*Y82*AE82)</f>
        <v>0.7500001702936</v>
      </c>
      <c r="AH82" s="152"/>
      <c r="AI82" s="140" t="n">
        <f aca="false">Inputs!$B$15</f>
        <v>0.06</v>
      </c>
      <c r="AJ82" s="157"/>
      <c r="AK82" s="140" t="n">
        <f aca="false">IF((U82-AA82-AI82)&lt;0,0,(U82-AA82-AI82))</f>
        <v>0.726</v>
      </c>
      <c r="AL82" s="157"/>
      <c r="AM82" s="158" t="n">
        <f aca="false">WORKDAY(EOMONTH(A82-1,-1),0)</f>
        <v>40298</v>
      </c>
      <c r="AN82" s="159" t="n">
        <f aca="false">AM82-$C$3</f>
        <v>-5628</v>
      </c>
      <c r="AO82" s="159" t="n">
        <f aca="false">AO81</f>
        <v>1</v>
      </c>
      <c r="AP82" s="160"/>
      <c r="AQ82" s="161" t="e">
        <f aca="false">SPRDOPT(U82,AA82,AI82,AX82,X82,AD82,AG82,AN82,AO82,0)</f>
        <v>#NAME?</v>
      </c>
      <c r="AR82" s="162" t="e">
        <f aca="false">AQ82*C82</f>
        <v>#NAME?</v>
      </c>
      <c r="AS82" s="163" t="e">
        <f aca="false">AQ82-AK82</f>
        <v>#NAME?</v>
      </c>
      <c r="AU82" s="112" t="n">
        <f aca="false">A83-A82</f>
        <v>30</v>
      </c>
      <c r="AV82" s="164" t="n">
        <f aca="false">CHOOSE(F$3,A83+24,A82+14)</f>
        <v>40344</v>
      </c>
      <c r="AW82" s="49" t="n">
        <f aca="false">AV82-C$3</f>
        <v>-5582</v>
      </c>
      <c r="AX82" s="155" t="n">
        <f aca="false">VLOOKUP($A82,[1]!CurveTable,MATCH(AX$4,[1]!CurveType,0))</f>
        <v>0.0530618935568148</v>
      </c>
      <c r="AY82" s="165" t="n">
        <f aca="false">1/(1+CHOOSE(F$3,(AX83+(Inputs!$B$14/10000))/2,(AX82+(Inputs!$B$14/10000))/2))^(2*AW82/365.25)</f>
        <v>2.22633629951993</v>
      </c>
      <c r="AZ82" s="49" t="n">
        <f aca="false">IF(AND(mthbeg&lt;=A82,mthend&gt;=A82),1,0)</f>
        <v>1</v>
      </c>
      <c r="BA82" s="111" t="n">
        <f aca="false">AU82*AZ82</f>
        <v>30</v>
      </c>
      <c r="BC82" s="142" t="n">
        <f aca="false">E82*$D82</f>
        <v>13817199.6588956</v>
      </c>
      <c r="BD82" s="142" t="n">
        <f aca="false">F82*$D82</f>
        <v>14000872.403606</v>
      </c>
      <c r="BE82" s="142" t="n">
        <f aca="false">G82*$D82</f>
        <v>14000872.403606</v>
      </c>
      <c r="BF82" s="142" t="n">
        <f aca="false">H82*$D82</f>
        <v>2671603.55942392</v>
      </c>
      <c r="BG82" s="142" t="n">
        <f aca="false">I82*$D82</f>
        <v>2671603.55942392</v>
      </c>
      <c r="BH82" s="142" t="n">
        <f aca="false">J82*$D82</f>
        <v>2671603.55942392</v>
      </c>
      <c r="BI82" s="142" t="n">
        <f aca="false">K82*$D82</f>
        <v>0</v>
      </c>
      <c r="BJ82" s="142" t="n">
        <f aca="false">L82*$D82</f>
        <v>0</v>
      </c>
      <c r="BK82" s="142" t="n">
        <f aca="false">M82*$D82</f>
        <v>0</v>
      </c>
      <c r="BL82" s="142" t="n">
        <f aca="false">N82*$D82</f>
        <v>46753.0622899186</v>
      </c>
      <c r="BM82" s="142" t="n">
        <f aca="false">O82*$D82</f>
        <v>46753.0622899186</v>
      </c>
      <c r="BN82" s="142" t="n">
        <f aca="false">P82*$D82</f>
        <v>46753.0622899186</v>
      </c>
      <c r="BO82" s="142" t="n">
        <f aca="false">Q82*$D82</f>
        <v>33395.044492799</v>
      </c>
      <c r="BP82" s="142" t="n">
        <f aca="false">R82*$D82</f>
        <v>0</v>
      </c>
      <c r="BQ82" s="142" t="n">
        <f aca="false">S82*$D82</f>
        <v>0</v>
      </c>
      <c r="BR82" s="142" t="n">
        <f aca="false">U82*$D82</f>
        <v>16672475.9630299</v>
      </c>
      <c r="BS82" s="142" t="n">
        <f aca="false">AA82*$D82</f>
        <v>14047625.4658959</v>
      </c>
      <c r="BT82" s="142" t="n">
        <f aca="false">AI82*$D82</f>
        <v>200370.266956794</v>
      </c>
      <c r="BU82" s="142" t="n">
        <f aca="false">AK82*D82</f>
        <v>2424480.23017721</v>
      </c>
    </row>
    <row r="83" customFormat="false" ht="12.75" hidden="false" customHeight="false" outlineLevel="0" collapsed="false">
      <c r="A83" s="144" t="n">
        <f aca="false">EDATE(A82,1)</f>
        <v>40360</v>
      </c>
      <c r="B83" s="145" t="n">
        <f aca="false">Inputs!$B$8</f>
        <v>50000</v>
      </c>
      <c r="C83" s="146" t="n">
        <f aca="false">IF(AZ83=0,0,IF(AND(AZ83=1,$H$3=1),B83*AU83,IF($H$3=2,B83,"N/A")))</f>
        <v>1550000</v>
      </c>
      <c r="D83" s="146" t="n">
        <f aca="false">C83*AY83</f>
        <v>3441454.85975005</v>
      </c>
      <c r="E83" s="147" t="n">
        <f aca="false">VLOOKUP($A83,[1]!CurveTable,MATCH($E$4,[1]!CurveType,0))</f>
        <v>4.1825</v>
      </c>
      <c r="F83" s="148" t="n">
        <f aca="false">E83-Inputs!$B$16</f>
        <v>4.2375</v>
      </c>
      <c r="G83" s="149" t="n">
        <f aca="false">F83</f>
        <v>4.2375</v>
      </c>
      <c r="H83" s="147" t="n">
        <f aca="false">VLOOKUP($A83,[1]!CurveTable,MATCH($H$4,[1]!CurveType,0))</f>
        <v>1</v>
      </c>
      <c r="I83" s="148" t="n">
        <f aca="false">H83+Inputs!$B$22</f>
        <v>1</v>
      </c>
      <c r="J83" s="150" t="n">
        <f aca="false">I83</f>
        <v>1</v>
      </c>
      <c r="K83" s="147" t="n">
        <f aca="false">VLOOKUP($A83,[1]!CurveTable,MATCH($K$4,[1]!CurveType,0))</f>
        <v>0</v>
      </c>
      <c r="L83" s="148" t="n">
        <v>0</v>
      </c>
      <c r="M83" s="151" t="n">
        <f aca="false">L83</f>
        <v>0</v>
      </c>
      <c r="N83" s="147" t="n">
        <f aca="false">VLOOKUP($A83,[1]!CurveTable,MATCH($N$4,[1]!CurveType,0))</f>
        <v>0.0115</v>
      </c>
      <c r="O83" s="148" t="n">
        <f aca="false">N83+Inputs!$E$22</f>
        <v>0.0115</v>
      </c>
      <c r="P83" s="151" t="n">
        <f aca="false">O83</f>
        <v>0.0115</v>
      </c>
      <c r="Q83" s="147" t="n">
        <f aca="false">VLOOKUP($A83,[1]!CurveTable,MATCH($Q$4,[1]!CurveType,0))</f>
        <v>0.01</v>
      </c>
      <c r="R83" s="148" t="n">
        <v>0</v>
      </c>
      <c r="S83" s="151" t="n">
        <f aca="false">R83</f>
        <v>0</v>
      </c>
      <c r="T83" s="152"/>
      <c r="U83" s="153" t="n">
        <f aca="false">G83+J83</f>
        <v>5.2375</v>
      </c>
      <c r="V83" s="154"/>
      <c r="W83" s="155" t="n">
        <f aca="false">VLOOKUP($A83,[1]!CurveTable,MATCH($W$4,[1]!CurveType,0))+$W$9</f>
        <v>0.37</v>
      </c>
      <c r="X83" s="155" t="n">
        <f aca="false">VLOOKUP($A83,[1]!CurveTable,MATCH($X$4,[1]!CurveType,0))+$X$9</f>
        <v>0.375</v>
      </c>
      <c r="Y83" s="139" t="n">
        <f aca="false">SQRT((X83^2*($A83-$C$3)+W83^2*(DAY(EOMONTH(A83,0))/2))/$AN83)</f>
        <v>0.373452808502851</v>
      </c>
      <c r="Z83" s="152"/>
      <c r="AA83" s="153" t="n">
        <f aca="false">G83+P83+S83</f>
        <v>4.249</v>
      </c>
      <c r="AB83" s="154"/>
      <c r="AC83" s="155" t="n">
        <f aca="false">VLOOKUP($A83,[1]!CurveTable,MATCH($AC$4,[1]!CurveType,0))+$AC$9</f>
        <v>0.185</v>
      </c>
      <c r="AD83" s="155" t="n">
        <f aca="false">VLOOKUP($A83,[1]!CurveTable,MATCH($AD$4,[1]!CurveType,0))+$AD$9</f>
        <v>0.19</v>
      </c>
      <c r="AE83" s="139" t="n">
        <f aca="false">SQRT((AD83^2*($A83-$C$3)+AC83^2*(DAY(EOMONTH(A83,0))/2))/$AN83)</f>
        <v>0.189222812879581</v>
      </c>
      <c r="AF83" s="152"/>
      <c r="AG83" s="156" t="n">
        <f aca="false">((Inputs!$F$20*(X83*AD83)*(A83-$C$3))+(Inputs!$F$19*W83*AC83*(DAY(EOMONTH(A83,0))/2)))/(AN83*Y83*AE83)</f>
        <v>0.750000176954056</v>
      </c>
      <c r="AH83" s="152"/>
      <c r="AI83" s="140" t="n">
        <f aca="false">Inputs!$B$15</f>
        <v>0.06</v>
      </c>
      <c r="AJ83" s="157"/>
      <c r="AK83" s="140" t="n">
        <f aca="false">IF((U83-AA83-AI83)&lt;0,0,(U83-AA83-AI83))</f>
        <v>0.9285</v>
      </c>
      <c r="AL83" s="157"/>
      <c r="AM83" s="158" t="n">
        <f aca="false">WORKDAY(EOMONTH(A83-1,-1),0)</f>
        <v>40329</v>
      </c>
      <c r="AN83" s="159" t="n">
        <f aca="false">AM83-$C$3</f>
        <v>-5597</v>
      </c>
      <c r="AO83" s="159" t="n">
        <f aca="false">AO82</f>
        <v>1</v>
      </c>
      <c r="AP83" s="160"/>
      <c r="AQ83" s="161" t="e">
        <f aca="false">SPRDOPT(U83,AA83,AI83,AX83,X83,AD83,AG83,AN83,AO83,0)</f>
        <v>#NAME?</v>
      </c>
      <c r="AR83" s="162" t="e">
        <f aca="false">AQ83*C83</f>
        <v>#NAME?</v>
      </c>
      <c r="AS83" s="163" t="e">
        <f aca="false">AQ83-AK83</f>
        <v>#NAME?</v>
      </c>
      <c r="AU83" s="112" t="n">
        <f aca="false">A84-A83</f>
        <v>31</v>
      </c>
      <c r="AV83" s="164" t="n">
        <f aca="false">CHOOSE(F$3,A84+24,A83+14)</f>
        <v>40374</v>
      </c>
      <c r="AW83" s="49" t="n">
        <f aca="false">AV83-C$3</f>
        <v>-5552</v>
      </c>
      <c r="AX83" s="155" t="n">
        <f aca="false">VLOOKUP($A83,[1]!CurveTable,MATCH(AX$4,[1]!CurveType,0))</f>
        <v>0.0531688347681865</v>
      </c>
      <c r="AY83" s="165" t="n">
        <f aca="false">1/(1+CHOOSE(F$3,(AX84+(Inputs!$B$14/10000))/2,(AX83+(Inputs!$B$14/10000))/2))^(2*AW83/365.25)</f>
        <v>2.22029345790326</v>
      </c>
      <c r="AZ83" s="49" t="n">
        <f aca="false">IF(AND(mthbeg&lt;=A83,mthend&gt;=A83),1,0)</f>
        <v>1</v>
      </c>
      <c r="BA83" s="111" t="n">
        <f aca="false">AU83*AZ83</f>
        <v>31</v>
      </c>
      <c r="BC83" s="142" t="n">
        <f aca="false">E83*$D83</f>
        <v>14393884.9509046</v>
      </c>
      <c r="BD83" s="142" t="n">
        <f aca="false">F83*$D83</f>
        <v>14583164.9681908</v>
      </c>
      <c r="BE83" s="142" t="n">
        <f aca="false">G83*$D83</f>
        <v>14583164.9681908</v>
      </c>
      <c r="BF83" s="142" t="n">
        <f aca="false">H83*$D83</f>
        <v>3441454.85975005</v>
      </c>
      <c r="BG83" s="142" t="n">
        <f aca="false">I83*$D83</f>
        <v>3441454.85975005</v>
      </c>
      <c r="BH83" s="142" t="n">
        <f aca="false">J83*$D83</f>
        <v>3441454.85975005</v>
      </c>
      <c r="BI83" s="142" t="n">
        <f aca="false">K83*$D83</f>
        <v>0</v>
      </c>
      <c r="BJ83" s="142" t="n">
        <f aca="false">L83*$D83</f>
        <v>0</v>
      </c>
      <c r="BK83" s="142" t="n">
        <f aca="false">M83*$D83</f>
        <v>0</v>
      </c>
      <c r="BL83" s="142" t="n">
        <f aca="false">N83*$D83</f>
        <v>39576.7308871256</v>
      </c>
      <c r="BM83" s="142" t="n">
        <f aca="false">O83*$D83</f>
        <v>39576.7308871256</v>
      </c>
      <c r="BN83" s="142" t="n">
        <f aca="false">P83*$D83</f>
        <v>39576.7308871256</v>
      </c>
      <c r="BO83" s="142" t="n">
        <f aca="false">Q83*$D83</f>
        <v>34414.5485975005</v>
      </c>
      <c r="BP83" s="142" t="n">
        <f aca="false">R83*$D83</f>
        <v>0</v>
      </c>
      <c r="BQ83" s="142" t="n">
        <f aca="false">S83*$D83</f>
        <v>0</v>
      </c>
      <c r="BR83" s="142" t="n">
        <f aca="false">U83*$D83</f>
        <v>18024619.8279409</v>
      </c>
      <c r="BS83" s="142" t="n">
        <f aca="false">AA83*$D83</f>
        <v>14622741.699078</v>
      </c>
      <c r="BT83" s="142" t="n">
        <f aca="false">AI83*$D83</f>
        <v>206487.291585003</v>
      </c>
      <c r="BU83" s="142" t="n">
        <f aca="false">AK83*D83</f>
        <v>3195390.83727792</v>
      </c>
    </row>
    <row r="84" customFormat="false" ht="12.75" hidden="false" customHeight="false" outlineLevel="0" collapsed="false">
      <c r="A84" s="144" t="n">
        <f aca="false">EDATE(A83,1)</f>
        <v>40391</v>
      </c>
      <c r="B84" s="145" t="n">
        <f aca="false">Inputs!$B$8</f>
        <v>50000</v>
      </c>
      <c r="C84" s="146" t="n">
        <f aca="false">IF(AZ84=0,0,IF(AND(AZ84=1,$H$3=1),B84*AU84,IF($H$3=2,B84,"N/A")))</f>
        <v>1550000</v>
      </c>
      <c r="D84" s="146" t="n">
        <f aca="false">C84*AY84</f>
        <v>3431740.95707485</v>
      </c>
      <c r="E84" s="147" t="n">
        <f aca="false">VLOOKUP($A84,[1]!CurveTable,MATCH($E$4,[1]!CurveType,0))</f>
        <v>4.2205</v>
      </c>
      <c r="F84" s="148" t="n">
        <f aca="false">E84-Inputs!$B$16</f>
        <v>4.2755</v>
      </c>
      <c r="G84" s="149" t="n">
        <f aca="false">F84</f>
        <v>4.2755</v>
      </c>
      <c r="H84" s="147" t="n">
        <f aca="false">VLOOKUP($A84,[1]!CurveTable,MATCH($H$4,[1]!CurveType,0))</f>
        <v>1</v>
      </c>
      <c r="I84" s="148" t="n">
        <f aca="false">H84+Inputs!$B$22</f>
        <v>1</v>
      </c>
      <c r="J84" s="150" t="n">
        <f aca="false">I84</f>
        <v>1</v>
      </c>
      <c r="K84" s="147" t="n">
        <f aca="false">VLOOKUP($A84,[1]!CurveTable,MATCH($K$4,[1]!CurveType,0))</f>
        <v>0</v>
      </c>
      <c r="L84" s="148" t="n">
        <v>0</v>
      </c>
      <c r="M84" s="151" t="n">
        <f aca="false">L84</f>
        <v>0</v>
      </c>
      <c r="N84" s="147" t="n">
        <f aca="false">VLOOKUP($A84,[1]!CurveTable,MATCH($N$4,[1]!CurveType,0))</f>
        <v>0.0115</v>
      </c>
      <c r="O84" s="148" t="n">
        <f aca="false">N84+Inputs!$E$22</f>
        <v>0.0115</v>
      </c>
      <c r="P84" s="151" t="n">
        <f aca="false">O84</f>
        <v>0.0115</v>
      </c>
      <c r="Q84" s="147" t="n">
        <f aca="false">VLOOKUP($A84,[1]!CurveTable,MATCH($Q$4,[1]!CurveType,0))</f>
        <v>0.01</v>
      </c>
      <c r="R84" s="148" t="n">
        <v>0</v>
      </c>
      <c r="S84" s="151" t="n">
        <f aca="false">R84</f>
        <v>0</v>
      </c>
      <c r="T84" s="152"/>
      <c r="U84" s="153" t="n">
        <f aca="false">G84+J84</f>
        <v>5.2755</v>
      </c>
      <c r="V84" s="154"/>
      <c r="W84" s="155" t="n">
        <f aca="false">VLOOKUP($A84,[1]!CurveTable,MATCH($W$4,[1]!CurveType,0))+$W$9</f>
        <v>0.37</v>
      </c>
      <c r="X84" s="155" t="n">
        <f aca="false">VLOOKUP($A84,[1]!CurveTable,MATCH($X$4,[1]!CurveType,0))+$X$9</f>
        <v>0.375</v>
      </c>
      <c r="Y84" s="139" t="n">
        <f aca="false">SQRT((X84^2*($A84-$C$3)+W84^2*(DAY(EOMONTH(A84,0))/2))/$AN84)</f>
        <v>0.373410631036792</v>
      </c>
      <c r="Z84" s="152"/>
      <c r="AA84" s="153" t="n">
        <f aca="false">G84+P84+S84</f>
        <v>4.287</v>
      </c>
      <c r="AB84" s="154"/>
      <c r="AC84" s="155" t="n">
        <f aca="false">VLOOKUP($A84,[1]!CurveTable,MATCH($AC$4,[1]!CurveType,0))+$AC$9</f>
        <v>0.185</v>
      </c>
      <c r="AD84" s="155" t="n">
        <f aca="false">VLOOKUP($A84,[1]!CurveTable,MATCH($AD$4,[1]!CurveType,0))+$AD$9</f>
        <v>0.19</v>
      </c>
      <c r="AE84" s="139" t="n">
        <f aca="false">SQRT((AD84^2*($A84-$C$3)+AC84^2*(DAY(EOMONTH(A84,0))/2))/$AN84)</f>
        <v>0.189201479957116</v>
      </c>
      <c r="AF84" s="152"/>
      <c r="AG84" s="156" t="n">
        <f aca="false">((Inputs!$F$20*(X84*AD84)*(A84-$C$3))+(Inputs!$F$19*W84*AC84*(DAY(EOMONTH(A84,0))/2)))/(AN84*Y84*AE84)</f>
        <v>0.750000177950473</v>
      </c>
      <c r="AH84" s="152"/>
      <c r="AI84" s="140" t="n">
        <f aca="false">Inputs!$B$15</f>
        <v>0.06</v>
      </c>
      <c r="AJ84" s="157"/>
      <c r="AK84" s="140" t="n">
        <f aca="false">IF((U84-AA84-AI84)&lt;0,0,(U84-AA84-AI84))</f>
        <v>0.9285</v>
      </c>
      <c r="AL84" s="157"/>
      <c r="AM84" s="158" t="n">
        <f aca="false">WORKDAY(EOMONTH(A84-1,-1),0)</f>
        <v>40359</v>
      </c>
      <c r="AN84" s="159" t="n">
        <f aca="false">AM84-$C$3</f>
        <v>-5567</v>
      </c>
      <c r="AO84" s="159" t="n">
        <f aca="false">AO83</f>
        <v>1</v>
      </c>
      <c r="AP84" s="160"/>
      <c r="AQ84" s="161" t="e">
        <f aca="false">SPRDOPT(U84,AA84,AI84,AX84,X84,AD84,AG84,AN84,AO84,0)</f>
        <v>#NAME?</v>
      </c>
      <c r="AR84" s="162" t="e">
        <f aca="false">AQ84*C84</f>
        <v>#NAME?</v>
      </c>
      <c r="AS84" s="163" t="e">
        <f aca="false">AQ84-AK84</f>
        <v>#NAME?</v>
      </c>
      <c r="AU84" s="112" t="n">
        <f aca="false">A85-A84</f>
        <v>31</v>
      </c>
      <c r="AV84" s="164" t="n">
        <f aca="false">CHOOSE(F$3,A85+24,A84+14)</f>
        <v>40405</v>
      </c>
      <c r="AW84" s="49" t="n">
        <f aca="false">AV84-C$3</f>
        <v>-5521</v>
      </c>
      <c r="AX84" s="155" t="n">
        <f aca="false">VLOOKUP($A84,[1]!CurveTable,MATCH(AX$4,[1]!CurveType,0))</f>
        <v>0.0532793406906089</v>
      </c>
      <c r="AY84" s="165" t="n">
        <f aca="false">1/(1+CHOOSE(F$3,(AX85+(Inputs!$B$14/10000))/2,(AX84+(Inputs!$B$14/10000))/2))^(2*AW84/365.25)</f>
        <v>2.21402642391926</v>
      </c>
      <c r="AZ84" s="49" t="n">
        <f aca="false">IF(AND(mthbeg&lt;=A84,mthend&gt;=A84),1,0)</f>
        <v>1</v>
      </c>
      <c r="BA84" s="111" t="n">
        <f aca="false">AU84*AZ84</f>
        <v>31</v>
      </c>
      <c r="BC84" s="142" t="n">
        <f aca="false">E84*$D84</f>
        <v>14483662.7093344</v>
      </c>
      <c r="BD84" s="142" t="n">
        <f aca="false">F84*$D84</f>
        <v>14672408.4619735</v>
      </c>
      <c r="BE84" s="142" t="n">
        <f aca="false">G84*$D84</f>
        <v>14672408.4619735</v>
      </c>
      <c r="BF84" s="142" t="n">
        <f aca="false">H84*$D84</f>
        <v>3431740.95707485</v>
      </c>
      <c r="BG84" s="142" t="n">
        <f aca="false">I84*$D84</f>
        <v>3431740.95707485</v>
      </c>
      <c r="BH84" s="142" t="n">
        <f aca="false">J84*$D84</f>
        <v>3431740.95707485</v>
      </c>
      <c r="BI84" s="142" t="n">
        <f aca="false">K84*$D84</f>
        <v>0</v>
      </c>
      <c r="BJ84" s="142" t="n">
        <f aca="false">L84*$D84</f>
        <v>0</v>
      </c>
      <c r="BK84" s="142" t="n">
        <f aca="false">M84*$D84</f>
        <v>0</v>
      </c>
      <c r="BL84" s="142" t="n">
        <f aca="false">N84*$D84</f>
        <v>39465.0210063608</v>
      </c>
      <c r="BM84" s="142" t="n">
        <f aca="false">O84*$D84</f>
        <v>39465.0210063608</v>
      </c>
      <c r="BN84" s="142" t="n">
        <f aca="false">P84*$D84</f>
        <v>39465.0210063608</v>
      </c>
      <c r="BO84" s="142" t="n">
        <f aca="false">Q84*$D84</f>
        <v>34317.4095707485</v>
      </c>
      <c r="BP84" s="142" t="n">
        <f aca="false">R84*$D84</f>
        <v>0</v>
      </c>
      <c r="BQ84" s="142" t="n">
        <f aca="false">S84*$D84</f>
        <v>0</v>
      </c>
      <c r="BR84" s="142" t="n">
        <f aca="false">U84*$D84</f>
        <v>18104149.4190484</v>
      </c>
      <c r="BS84" s="142" t="n">
        <f aca="false">AA84*$D84</f>
        <v>14711873.4829799</v>
      </c>
      <c r="BT84" s="142" t="n">
        <f aca="false">AI84*$D84</f>
        <v>205904.457424491</v>
      </c>
      <c r="BU84" s="142" t="n">
        <f aca="false">AK84*D84</f>
        <v>3186371.478644</v>
      </c>
    </row>
    <row r="85" customFormat="false" ht="12.75" hidden="false" customHeight="false" outlineLevel="0" collapsed="false">
      <c r="A85" s="144" t="n">
        <f aca="false">EDATE(A84,1)</f>
        <v>40422</v>
      </c>
      <c r="B85" s="145" t="n">
        <f aca="false">Inputs!$B$8</f>
        <v>50000</v>
      </c>
      <c r="C85" s="146" t="n">
        <f aca="false">IF(AZ85=0,0,IF(AND(AZ85=1,$H$3=1),B85*AU85,IF($H$3=2,B85,"N/A")))</f>
        <v>1500000</v>
      </c>
      <c r="D85" s="146" t="n">
        <f aca="false">C85*AY85</f>
        <v>3311604.82143833</v>
      </c>
      <c r="E85" s="147" t="n">
        <f aca="false">VLOOKUP($A85,[1]!CurveTable,MATCH($E$4,[1]!CurveType,0))</f>
        <v>4.2145</v>
      </c>
      <c r="F85" s="148" t="n">
        <f aca="false">E85-Inputs!$B$16</f>
        <v>4.2695</v>
      </c>
      <c r="G85" s="149" t="n">
        <f aca="false">F85</f>
        <v>4.2695</v>
      </c>
      <c r="H85" s="147" t="n">
        <f aca="false">VLOOKUP($A85,[1]!CurveTable,MATCH($H$4,[1]!CurveType,0))</f>
        <v>0.6</v>
      </c>
      <c r="I85" s="148" t="n">
        <f aca="false">H85+Inputs!$B$22</f>
        <v>0.6</v>
      </c>
      <c r="J85" s="150" t="n">
        <f aca="false">I85</f>
        <v>0.6</v>
      </c>
      <c r="K85" s="147" t="n">
        <f aca="false">VLOOKUP($A85,[1]!CurveTable,MATCH($K$4,[1]!CurveType,0))</f>
        <v>0</v>
      </c>
      <c r="L85" s="148" t="n">
        <v>0</v>
      </c>
      <c r="M85" s="151" t="n">
        <f aca="false">L85</f>
        <v>0</v>
      </c>
      <c r="N85" s="147" t="n">
        <f aca="false">VLOOKUP($A85,[1]!CurveTable,MATCH($N$4,[1]!CurveType,0))</f>
        <v>0.0115</v>
      </c>
      <c r="O85" s="148" t="n">
        <f aca="false">N85+Inputs!$E$22</f>
        <v>0.0115</v>
      </c>
      <c r="P85" s="151" t="n">
        <f aca="false">O85</f>
        <v>0.0115</v>
      </c>
      <c r="Q85" s="147" t="n">
        <f aca="false">VLOOKUP($A85,[1]!CurveTable,MATCH($Q$4,[1]!CurveType,0))</f>
        <v>0.01</v>
      </c>
      <c r="R85" s="148" t="n">
        <v>0</v>
      </c>
      <c r="S85" s="151" t="n">
        <f aca="false">R85</f>
        <v>0</v>
      </c>
      <c r="T85" s="152"/>
      <c r="U85" s="153" t="n">
        <f aca="false">G85+J85</f>
        <v>4.8695</v>
      </c>
      <c r="V85" s="154"/>
      <c r="W85" s="155" t="n">
        <f aca="false">VLOOKUP($A85,[1]!CurveTable,MATCH($W$4,[1]!CurveType,0))+$W$9</f>
        <v>0.37</v>
      </c>
      <c r="X85" s="155" t="n">
        <f aca="false">VLOOKUP($A85,[1]!CurveTable,MATCH($X$4,[1]!CurveType,0))+$X$9</f>
        <v>0.375</v>
      </c>
      <c r="Y85" s="139" t="n">
        <f aca="false">SQRT((X85^2*($A85-$C$3)+W85^2*(DAY(EOMONTH(A85,0))/2))/$AN85)</f>
        <v>0.373418268212312</v>
      </c>
      <c r="Z85" s="152"/>
      <c r="AA85" s="153" t="n">
        <f aca="false">G85+P85+S85</f>
        <v>4.281</v>
      </c>
      <c r="AB85" s="154"/>
      <c r="AC85" s="155" t="n">
        <f aca="false">VLOOKUP($A85,[1]!CurveTable,MATCH($AC$4,[1]!CurveType,0))+$AC$9</f>
        <v>0.185</v>
      </c>
      <c r="AD85" s="155" t="n">
        <f aca="false">VLOOKUP($A85,[1]!CurveTable,MATCH($AD$4,[1]!CurveType,0))+$AD$9</f>
        <v>0.19</v>
      </c>
      <c r="AE85" s="139" t="n">
        <f aca="false">SQRT((AD85^2*($A85-$C$3)+AC85^2*(DAY(EOMONTH(A85,0))/2))/$AN85)</f>
        <v>0.189205167890199</v>
      </c>
      <c r="AF85" s="152"/>
      <c r="AG85" s="156" t="n">
        <f aca="false">((Inputs!$F$20*(X85*AD85)*(A85-$C$3))+(Inputs!$F$19*W85*AC85*(DAY(EOMONTH(A85,0))/2)))/(AN85*Y85*AE85)</f>
        <v>0.750000173155023</v>
      </c>
      <c r="AH85" s="152"/>
      <c r="AI85" s="140" t="n">
        <f aca="false">Inputs!$B$15</f>
        <v>0.06</v>
      </c>
      <c r="AJ85" s="157"/>
      <c r="AK85" s="140" t="n">
        <f aca="false">IF((U85-AA85-AI85)&lt;0,0,(U85-AA85-AI85))</f>
        <v>0.5285</v>
      </c>
      <c r="AL85" s="157"/>
      <c r="AM85" s="158" t="n">
        <f aca="false">WORKDAY(EOMONTH(A85-1,-1),0)</f>
        <v>40390</v>
      </c>
      <c r="AN85" s="159" t="n">
        <f aca="false">AM85-$C$3</f>
        <v>-5536</v>
      </c>
      <c r="AO85" s="159" t="n">
        <f aca="false">AO84</f>
        <v>1</v>
      </c>
      <c r="AP85" s="160"/>
      <c r="AQ85" s="161" t="e">
        <f aca="false">SPRDOPT(U85,AA85,AI85,AX85,X85,AD85,AG85,AN85,AO85,0)</f>
        <v>#NAME?</v>
      </c>
      <c r="AR85" s="162" t="e">
        <f aca="false">AQ85*C85</f>
        <v>#NAME?</v>
      </c>
      <c r="AS85" s="163" t="e">
        <f aca="false">AQ85-AK85</f>
        <v>#NAME?</v>
      </c>
      <c r="AU85" s="112" t="n">
        <f aca="false">A86-A85</f>
        <v>30</v>
      </c>
      <c r="AV85" s="164" t="n">
        <f aca="false">CHOOSE(F$3,A86+24,A85+14)</f>
        <v>40436</v>
      </c>
      <c r="AW85" s="49" t="n">
        <f aca="false">AV85-C$3</f>
        <v>-5490</v>
      </c>
      <c r="AX85" s="155" t="n">
        <f aca="false">VLOOKUP($A85,[1]!CurveTable,MATCH(AX$4,[1]!CurveType,0))</f>
        <v>0.0533898466171023</v>
      </c>
      <c r="AY85" s="165" t="n">
        <f aca="false">1/(1+CHOOSE(F$3,(AX86+(Inputs!$B$14/10000))/2,(AX85+(Inputs!$B$14/10000))/2))^(2*AW85/365.25)</f>
        <v>2.20773654762555</v>
      </c>
      <c r="AZ85" s="49" t="n">
        <f aca="false">IF(AND(mthbeg&lt;=A85,mthend&gt;=A85),1,0)</f>
        <v>1</v>
      </c>
      <c r="BA85" s="111" t="n">
        <f aca="false">AU85*AZ85</f>
        <v>30</v>
      </c>
      <c r="BC85" s="142" t="n">
        <f aca="false">E85*$D85</f>
        <v>13956758.5199518</v>
      </c>
      <c r="BD85" s="142" t="n">
        <f aca="false">F85*$D85</f>
        <v>14138896.7851309</v>
      </c>
      <c r="BE85" s="142" t="n">
        <f aca="false">G85*$D85</f>
        <v>14138896.7851309</v>
      </c>
      <c r="BF85" s="142" t="n">
        <f aca="false">H85*$D85</f>
        <v>1986962.892863</v>
      </c>
      <c r="BG85" s="142" t="n">
        <f aca="false">I85*$D85</f>
        <v>1986962.892863</v>
      </c>
      <c r="BH85" s="142" t="n">
        <f aca="false">J85*$D85</f>
        <v>1986962.892863</v>
      </c>
      <c r="BI85" s="142" t="n">
        <f aca="false">K85*$D85</f>
        <v>0</v>
      </c>
      <c r="BJ85" s="142" t="n">
        <f aca="false">L85*$D85</f>
        <v>0</v>
      </c>
      <c r="BK85" s="142" t="n">
        <f aca="false">M85*$D85</f>
        <v>0</v>
      </c>
      <c r="BL85" s="142" t="n">
        <f aca="false">N85*$D85</f>
        <v>38083.4554465407</v>
      </c>
      <c r="BM85" s="142" t="n">
        <f aca="false">O85*$D85</f>
        <v>38083.4554465407</v>
      </c>
      <c r="BN85" s="142" t="n">
        <f aca="false">P85*$D85</f>
        <v>38083.4554465407</v>
      </c>
      <c r="BO85" s="142" t="n">
        <f aca="false">Q85*$D85</f>
        <v>33116.0482143833</v>
      </c>
      <c r="BP85" s="142" t="n">
        <f aca="false">R85*$D85</f>
        <v>0</v>
      </c>
      <c r="BQ85" s="142" t="n">
        <f aca="false">S85*$D85</f>
        <v>0</v>
      </c>
      <c r="BR85" s="142" t="n">
        <f aca="false">U85*$D85</f>
        <v>16125859.6779939</v>
      </c>
      <c r="BS85" s="142" t="n">
        <f aca="false">AA85*$D85</f>
        <v>14176980.2405775</v>
      </c>
      <c r="BT85" s="142" t="n">
        <f aca="false">AI85*$D85</f>
        <v>198696.2892863</v>
      </c>
      <c r="BU85" s="142" t="n">
        <f aca="false">AK85*D85</f>
        <v>1750183.14813015</v>
      </c>
    </row>
    <row r="86" customFormat="false" ht="12.75" hidden="false" customHeight="false" outlineLevel="0" collapsed="false">
      <c r="A86" s="144" t="n">
        <f aca="false">EDATE(A85,1)</f>
        <v>40452</v>
      </c>
      <c r="B86" s="145" t="n">
        <f aca="false">Inputs!$B$8</f>
        <v>50000</v>
      </c>
      <c r="C86" s="146" t="n">
        <f aca="false">IF(AZ86=0,0,IF(AND(AZ86=1,$H$3=1),B86*AU86,IF($H$3=2,B86,"N/A")))</f>
        <v>1550000</v>
      </c>
      <c r="D86" s="146" t="n">
        <f aca="false">C86*AY86</f>
        <v>3412523.5597431</v>
      </c>
      <c r="E86" s="147" t="n">
        <f aca="false">VLOOKUP($A86,[1]!CurveTable,MATCH($E$4,[1]!CurveType,0))</f>
        <v>4.2145</v>
      </c>
      <c r="F86" s="148" t="n">
        <f aca="false">E86-Inputs!$B$16</f>
        <v>4.2695</v>
      </c>
      <c r="G86" s="149" t="n">
        <f aca="false">F86</f>
        <v>4.2695</v>
      </c>
      <c r="H86" s="147" t="n">
        <f aca="false">VLOOKUP($A86,[1]!CurveTable,MATCH($H$4,[1]!CurveType,0))</f>
        <v>0.3</v>
      </c>
      <c r="I86" s="148" t="n">
        <f aca="false">H86+Inputs!$B$22</f>
        <v>0.3</v>
      </c>
      <c r="J86" s="150" t="n">
        <f aca="false">I86</f>
        <v>0.3</v>
      </c>
      <c r="K86" s="147" t="n">
        <f aca="false">VLOOKUP($A86,[1]!CurveTable,MATCH($K$4,[1]!CurveType,0))</f>
        <v>0</v>
      </c>
      <c r="L86" s="148" t="n">
        <v>0</v>
      </c>
      <c r="M86" s="151" t="n">
        <f aca="false">L86</f>
        <v>0</v>
      </c>
      <c r="N86" s="147" t="n">
        <f aca="false">VLOOKUP($A86,[1]!CurveTable,MATCH($N$4,[1]!CurveType,0))</f>
        <v>0.01</v>
      </c>
      <c r="O86" s="148" t="n">
        <f aca="false">N86+Inputs!$E$22</f>
        <v>0.01</v>
      </c>
      <c r="P86" s="151" t="n">
        <f aca="false">O86</f>
        <v>0.01</v>
      </c>
      <c r="Q86" s="147" t="n">
        <f aca="false">VLOOKUP($A86,[1]!CurveTable,MATCH($Q$4,[1]!CurveType,0))</f>
        <v>0.01</v>
      </c>
      <c r="R86" s="148" t="n">
        <v>0</v>
      </c>
      <c r="S86" s="151" t="n">
        <f aca="false">R86</f>
        <v>0</v>
      </c>
      <c r="T86" s="152"/>
      <c r="U86" s="153" t="n">
        <f aca="false">G86+J86</f>
        <v>4.5695</v>
      </c>
      <c r="V86" s="154"/>
      <c r="W86" s="155" t="n">
        <f aca="false">VLOOKUP($A86,[1]!CurveTable,MATCH($W$4,[1]!CurveType,0))+$W$9</f>
        <v>0.185</v>
      </c>
      <c r="X86" s="155" t="n">
        <f aca="false">VLOOKUP($A86,[1]!CurveTable,MATCH($X$4,[1]!CurveType,0))+$X$9</f>
        <v>0.19</v>
      </c>
      <c r="Y86" s="139" t="n">
        <f aca="false">SQRT((X86^2*($A86-$C$3)+W86^2*(DAY(EOMONTH(A86,0))/2))/$AN86)</f>
        <v>0.189209797345286</v>
      </c>
      <c r="Z86" s="152"/>
      <c r="AA86" s="153" t="n">
        <f aca="false">G86+P86+S86</f>
        <v>4.2795</v>
      </c>
      <c r="AB86" s="154"/>
      <c r="AC86" s="155" t="n">
        <f aca="false">VLOOKUP($A86,[1]!CurveTable,MATCH($AC$4,[1]!CurveType,0))+$AC$9</f>
        <v>0.185</v>
      </c>
      <c r="AD86" s="155" t="n">
        <f aca="false">VLOOKUP($A86,[1]!CurveTable,MATCH($AD$4,[1]!CurveType,0))+$AD$9</f>
        <v>0.19</v>
      </c>
      <c r="AE86" s="139" t="n">
        <f aca="false">SQRT((AD86^2*($A86-$C$3)+AC86^2*(DAY(EOMONTH(A86,0))/2))/$AN86)</f>
        <v>0.189209797345286</v>
      </c>
      <c r="AF86" s="152"/>
      <c r="AG86" s="156" t="n">
        <f aca="false">((Inputs!$F$20*(X86*AD86)*(A86-$C$3))+(Inputs!$F$19*W86*AC86*(DAY(EOMONTH(A86,0))/2)))/(AN86*Y86*AE86)</f>
        <v>0.75</v>
      </c>
      <c r="AH86" s="152"/>
      <c r="AI86" s="140" t="n">
        <f aca="false">Inputs!$B$15</f>
        <v>0.06</v>
      </c>
      <c r="AJ86" s="157"/>
      <c r="AK86" s="140" t="n">
        <f aca="false">IF((U86-AA86-AI86)&lt;0,0,(U86-AA86-AI86))</f>
        <v>0.23</v>
      </c>
      <c r="AL86" s="157"/>
      <c r="AM86" s="158" t="n">
        <f aca="false">WORKDAY(EOMONTH(A86-1,-1),0)</f>
        <v>40421</v>
      </c>
      <c r="AN86" s="159" t="n">
        <f aca="false">AM86-$C$3</f>
        <v>-5505</v>
      </c>
      <c r="AO86" s="159" t="n">
        <f aca="false">AO85</f>
        <v>1</v>
      </c>
      <c r="AP86" s="160"/>
      <c r="AQ86" s="161" t="e">
        <f aca="false">SPRDOPT(U86,AA86,AI86,AX86,X86,AD86,AG86,AN86,AO86,0)</f>
        <v>#NAME?</v>
      </c>
      <c r="AR86" s="162" t="e">
        <f aca="false">AQ86*C86</f>
        <v>#NAME?</v>
      </c>
      <c r="AS86" s="163" t="e">
        <f aca="false">AQ86-AK86</f>
        <v>#NAME?</v>
      </c>
      <c r="AU86" s="112" t="n">
        <f aca="false">A87-A86</f>
        <v>31</v>
      </c>
      <c r="AV86" s="164" t="n">
        <f aca="false">CHOOSE(F$3,A87+24,A86+14)</f>
        <v>40466</v>
      </c>
      <c r="AW86" s="49" t="n">
        <f aca="false">AV86-C$3</f>
        <v>-5460</v>
      </c>
      <c r="AX86" s="155" t="n">
        <f aca="false">VLOOKUP($A86,[1]!CurveTable,MATCH(AX$4,[1]!CurveType,0))</f>
        <v>0.0534967878401651</v>
      </c>
      <c r="AY86" s="165" t="n">
        <f aca="false">1/(1+CHOOSE(F$3,(AX87+(Inputs!$B$14/10000))/2,(AX86+(Inputs!$B$14/10000))/2))^(2*AW86/365.25)</f>
        <v>2.20162810306007</v>
      </c>
      <c r="AZ86" s="49" t="n">
        <f aca="false">IF(AND(mthbeg&lt;=A86,mthend&gt;=A86),1,0)</f>
        <v>1</v>
      </c>
      <c r="BA86" s="111" t="n">
        <f aca="false">AU86*AZ86</f>
        <v>31</v>
      </c>
      <c r="BC86" s="142" t="n">
        <f aca="false">E86*$D86</f>
        <v>14382080.5425373</v>
      </c>
      <c r="BD86" s="142" t="n">
        <f aca="false">F86*$D86</f>
        <v>14569769.3383232</v>
      </c>
      <c r="BE86" s="142" t="n">
        <f aca="false">G86*$D86</f>
        <v>14569769.3383232</v>
      </c>
      <c r="BF86" s="142" t="n">
        <f aca="false">H86*$D86</f>
        <v>1023757.06792293</v>
      </c>
      <c r="BG86" s="142" t="n">
        <f aca="false">I86*$D86</f>
        <v>1023757.06792293</v>
      </c>
      <c r="BH86" s="142" t="n">
        <f aca="false">J86*$D86</f>
        <v>1023757.06792293</v>
      </c>
      <c r="BI86" s="142" t="n">
        <f aca="false">K86*$D86</f>
        <v>0</v>
      </c>
      <c r="BJ86" s="142" t="n">
        <f aca="false">L86*$D86</f>
        <v>0</v>
      </c>
      <c r="BK86" s="142" t="n">
        <f aca="false">M86*$D86</f>
        <v>0</v>
      </c>
      <c r="BL86" s="142" t="n">
        <f aca="false">N86*$D86</f>
        <v>34125.2355974311</v>
      </c>
      <c r="BM86" s="142" t="n">
        <f aca="false">O86*$D86</f>
        <v>34125.2355974311</v>
      </c>
      <c r="BN86" s="142" t="n">
        <f aca="false">P86*$D86</f>
        <v>34125.2355974311</v>
      </c>
      <c r="BO86" s="142" t="n">
        <f aca="false">Q86*$D86</f>
        <v>34125.2355974311</v>
      </c>
      <c r="BP86" s="142" t="n">
        <f aca="false">R86*$D86</f>
        <v>0</v>
      </c>
      <c r="BQ86" s="142" t="n">
        <f aca="false">S86*$D86</f>
        <v>0</v>
      </c>
      <c r="BR86" s="142" t="n">
        <f aca="false">U86*$D86</f>
        <v>15593526.4062461</v>
      </c>
      <c r="BS86" s="142" t="n">
        <f aca="false">AA86*$D86</f>
        <v>14603894.5739206</v>
      </c>
      <c r="BT86" s="142" t="n">
        <f aca="false">AI86*$D86</f>
        <v>204751.413584586</v>
      </c>
      <c r="BU86" s="142" t="n">
        <f aca="false">AK86*D86</f>
        <v>784880.418740914</v>
      </c>
    </row>
    <row r="87" customFormat="false" ht="12.75" hidden="false" customHeight="false" outlineLevel="0" collapsed="false">
      <c r="A87" s="144" t="n">
        <f aca="false">EDATE(A86,1)</f>
        <v>40483</v>
      </c>
      <c r="B87" s="145" t="n">
        <f aca="false">Inputs!$B$8</f>
        <v>50000</v>
      </c>
      <c r="C87" s="146" t="n">
        <f aca="false">IF(AZ87=0,0,IF(AND(AZ87=1,$H$3=1),B87*AU87,IF($H$3=2,B87,"N/A")))</f>
        <v>1500000</v>
      </c>
      <c r="D87" s="146" t="n">
        <f aca="false">C87*AY87</f>
        <v>3292941.22759118</v>
      </c>
      <c r="E87" s="147" t="n">
        <f aca="false">VLOOKUP($A87,[1]!CurveTable,MATCH($E$4,[1]!CurveType,0))</f>
        <v>4.3625</v>
      </c>
      <c r="F87" s="148" t="n">
        <f aca="false">E87-Inputs!$B$16</f>
        <v>4.4175</v>
      </c>
      <c r="G87" s="149" t="n">
        <f aca="false">F87</f>
        <v>4.4175</v>
      </c>
      <c r="H87" s="147" t="n">
        <f aca="false">VLOOKUP($A87,[1]!CurveTable,MATCH($H$4,[1]!CurveType,0))</f>
        <v>0.22</v>
      </c>
      <c r="I87" s="148" t="n">
        <f aca="false">H87+Inputs!$B$22</f>
        <v>0.22</v>
      </c>
      <c r="J87" s="150" t="n">
        <f aca="false">I87</f>
        <v>0.22</v>
      </c>
      <c r="K87" s="147" t="n">
        <f aca="false">VLOOKUP($A87,[1]!CurveTable,MATCH($K$4,[1]!CurveType,0))</f>
        <v>0</v>
      </c>
      <c r="L87" s="148" t="n">
        <v>0</v>
      </c>
      <c r="M87" s="151" t="n">
        <f aca="false">L87</f>
        <v>0</v>
      </c>
      <c r="N87" s="147" t="n">
        <f aca="false">VLOOKUP($A87,[1]!CurveTable,MATCH($N$4,[1]!CurveType,0))</f>
        <v>0.011</v>
      </c>
      <c r="O87" s="148" t="n">
        <f aca="false">N87+Inputs!$E$22</f>
        <v>0.011</v>
      </c>
      <c r="P87" s="151" t="n">
        <f aca="false">O87</f>
        <v>0.011</v>
      </c>
      <c r="Q87" s="147" t="n">
        <f aca="false">VLOOKUP($A87,[1]!CurveTable,MATCH($Q$4,[1]!CurveType,0))</f>
        <v>0.0075</v>
      </c>
      <c r="R87" s="148" t="n">
        <v>0</v>
      </c>
      <c r="S87" s="151" t="n">
        <f aca="false">R87</f>
        <v>0</v>
      </c>
      <c r="T87" s="152"/>
      <c r="U87" s="153" t="n">
        <f aca="false">G87+J87</f>
        <v>4.6375</v>
      </c>
      <c r="V87" s="154"/>
      <c r="W87" s="155" t="n">
        <f aca="false">VLOOKUP($A87,[1]!CurveTable,MATCH($W$4,[1]!CurveType,0))+$W$9</f>
        <v>0.185</v>
      </c>
      <c r="X87" s="155" t="n">
        <f aca="false">VLOOKUP($A87,[1]!CurveTable,MATCH($X$4,[1]!CurveType,0))+$X$9</f>
        <v>0.19</v>
      </c>
      <c r="Y87" s="139" t="n">
        <f aca="false">SQRT((X87^2*($A87-$C$3)+W87^2*(DAY(EOMONTH(A87,0))/2))/$AN87)</f>
        <v>0.189196293417504</v>
      </c>
      <c r="Z87" s="152"/>
      <c r="AA87" s="153" t="n">
        <f aca="false">G87+P87+S87</f>
        <v>4.4285</v>
      </c>
      <c r="AB87" s="154"/>
      <c r="AC87" s="155" t="n">
        <f aca="false">VLOOKUP($A87,[1]!CurveTable,MATCH($AC$4,[1]!CurveType,0))+$AC$9</f>
        <v>0.185</v>
      </c>
      <c r="AD87" s="155" t="n">
        <f aca="false">VLOOKUP($A87,[1]!CurveTable,MATCH($AD$4,[1]!CurveType,0))+$AD$9</f>
        <v>0.19</v>
      </c>
      <c r="AE87" s="139" t="n">
        <f aca="false">SQRT((AD87^2*($A87-$C$3)+AC87^2*(DAY(EOMONTH(A87,0))/2))/$AN87)</f>
        <v>0.189196293417504</v>
      </c>
      <c r="AF87" s="152"/>
      <c r="AG87" s="156" t="n">
        <f aca="false">((Inputs!$F$20*(X87*AD87)*(A87-$C$3))+(Inputs!$F$19*W87*AC87*(DAY(EOMONTH(A87,0))/2)))/(AN87*Y87*AE87)</f>
        <v>0.75</v>
      </c>
      <c r="AH87" s="152"/>
      <c r="AI87" s="140" t="n">
        <f aca="false">Inputs!$B$15</f>
        <v>0.06</v>
      </c>
      <c r="AJ87" s="157"/>
      <c r="AK87" s="140" t="n">
        <f aca="false">IF((U87-AA87-AI87)&lt;0,0,(U87-AA87-AI87))</f>
        <v>0.149</v>
      </c>
      <c r="AL87" s="157"/>
      <c r="AM87" s="158" t="n">
        <f aca="false">WORKDAY(EOMONTH(A87-1,-1),0)</f>
        <v>40451</v>
      </c>
      <c r="AN87" s="159" t="n">
        <f aca="false">AM87-$C$3</f>
        <v>-5475</v>
      </c>
      <c r="AO87" s="159" t="n">
        <f aca="false">AO86</f>
        <v>1</v>
      </c>
      <c r="AP87" s="160"/>
      <c r="AQ87" s="161" t="e">
        <f aca="false">SPRDOPT(U87,AA87,AI87,AX87,X87,AD87,AG87,AN87,AO87,0)</f>
        <v>#NAME?</v>
      </c>
      <c r="AR87" s="162" t="e">
        <f aca="false">AQ87*C87</f>
        <v>#NAME?</v>
      </c>
      <c r="AS87" s="163" t="e">
        <f aca="false">AQ87-AK87</f>
        <v>#NAME?</v>
      </c>
      <c r="AU87" s="112" t="n">
        <f aca="false">A88-A87</f>
        <v>30</v>
      </c>
      <c r="AV87" s="164" t="n">
        <f aca="false">CHOOSE(F$3,A88+24,A87+14)</f>
        <v>40497</v>
      </c>
      <c r="AW87" s="49" t="n">
        <f aca="false">AV87-C$3</f>
        <v>-5429</v>
      </c>
      <c r="AX87" s="155" t="n">
        <f aca="false">VLOOKUP($A87,[1]!CurveTable,MATCH(AX$4,[1]!CurveType,0))</f>
        <v>0.0536072937746681</v>
      </c>
      <c r="AY87" s="165" t="n">
        <f aca="false">1/(1+CHOOSE(F$3,(AX88+(Inputs!$B$14/10000))/2,(AX87+(Inputs!$B$14/10000))/2))^(2*AW87/365.25)</f>
        <v>2.19529415172746</v>
      </c>
      <c r="AZ87" s="49" t="n">
        <f aca="false">IF(AND(mthbeg&lt;=A87,mthend&gt;=A87),1,0)</f>
        <v>1</v>
      </c>
      <c r="BA87" s="111" t="n">
        <f aca="false">AU87*AZ87</f>
        <v>30</v>
      </c>
      <c r="BC87" s="142" t="n">
        <f aca="false">E87*$D87</f>
        <v>14365456.1053665</v>
      </c>
      <c r="BD87" s="142" t="n">
        <f aca="false">F87*$D87</f>
        <v>14546567.872884</v>
      </c>
      <c r="BE87" s="142" t="n">
        <f aca="false">G87*$D87</f>
        <v>14546567.872884</v>
      </c>
      <c r="BF87" s="142" t="n">
        <f aca="false">H87*$D87</f>
        <v>724447.07007006</v>
      </c>
      <c r="BG87" s="142" t="n">
        <f aca="false">I87*$D87</f>
        <v>724447.07007006</v>
      </c>
      <c r="BH87" s="142" t="n">
        <f aca="false">J87*$D87</f>
        <v>724447.07007006</v>
      </c>
      <c r="BI87" s="142" t="n">
        <f aca="false">K87*$D87</f>
        <v>0</v>
      </c>
      <c r="BJ87" s="142" t="n">
        <f aca="false">L87*$D87</f>
        <v>0</v>
      </c>
      <c r="BK87" s="142" t="n">
        <f aca="false">M87*$D87</f>
        <v>0</v>
      </c>
      <c r="BL87" s="142" t="n">
        <f aca="false">N87*$D87</f>
        <v>36222.353503503</v>
      </c>
      <c r="BM87" s="142" t="n">
        <f aca="false">O87*$D87</f>
        <v>36222.353503503</v>
      </c>
      <c r="BN87" s="142" t="n">
        <f aca="false">P87*$D87</f>
        <v>36222.353503503</v>
      </c>
      <c r="BO87" s="142" t="n">
        <f aca="false">Q87*$D87</f>
        <v>24697.0592069339</v>
      </c>
      <c r="BP87" s="142" t="n">
        <f aca="false">R87*$D87</f>
        <v>0</v>
      </c>
      <c r="BQ87" s="142" t="n">
        <f aca="false">S87*$D87</f>
        <v>0</v>
      </c>
      <c r="BR87" s="142" t="n">
        <f aca="false">U87*$D87</f>
        <v>15271014.9429541</v>
      </c>
      <c r="BS87" s="142" t="n">
        <f aca="false">AA87*$D87</f>
        <v>14582790.2263876</v>
      </c>
      <c r="BT87" s="142" t="n">
        <f aca="false">AI87*$D87</f>
        <v>197576.473655471</v>
      </c>
      <c r="BU87" s="142" t="n">
        <f aca="false">AK87*D87</f>
        <v>490648.242911085</v>
      </c>
    </row>
    <row r="88" customFormat="false" ht="12.75" hidden="false" customHeight="false" outlineLevel="0" collapsed="false">
      <c r="A88" s="144" t="n">
        <f aca="false">EDATE(A87,1)</f>
        <v>40513</v>
      </c>
      <c r="B88" s="145" t="n">
        <f aca="false">Inputs!$B$8</f>
        <v>50000</v>
      </c>
      <c r="C88" s="146" t="n">
        <f aca="false">IF(AZ88=0,0,IF(AND(AZ88=1,$H$3=1),B88*AU88,IF($H$3=2,B88,"N/A")))</f>
        <v>1550000</v>
      </c>
      <c r="D88" s="146" t="n">
        <f aca="false">C88*AY88</f>
        <v>3393172.60270184</v>
      </c>
      <c r="E88" s="147" t="n">
        <f aca="false">VLOOKUP($A88,[1]!CurveTable,MATCH($E$4,[1]!CurveType,0))</f>
        <v>4.5145</v>
      </c>
      <c r="F88" s="148" t="n">
        <f aca="false">E88-Inputs!$B$16</f>
        <v>4.5695</v>
      </c>
      <c r="G88" s="149" t="n">
        <f aca="false">F88</f>
        <v>4.5695</v>
      </c>
      <c r="H88" s="147" t="n">
        <f aca="false">VLOOKUP($A88,[1]!CurveTable,MATCH($H$4,[1]!CurveType,0))</f>
        <v>0.2</v>
      </c>
      <c r="I88" s="148" t="n">
        <f aca="false">H88+Inputs!$B$22</f>
        <v>0.2</v>
      </c>
      <c r="J88" s="150" t="n">
        <f aca="false">I88</f>
        <v>0.2</v>
      </c>
      <c r="K88" s="147" t="n">
        <f aca="false">VLOOKUP($A88,[1]!CurveTable,MATCH($K$4,[1]!CurveType,0))</f>
        <v>0</v>
      </c>
      <c r="L88" s="148" t="n">
        <v>0</v>
      </c>
      <c r="M88" s="151" t="n">
        <f aca="false">L88</f>
        <v>0</v>
      </c>
      <c r="N88" s="147" t="n">
        <f aca="false">VLOOKUP($A88,[1]!CurveTable,MATCH($N$4,[1]!CurveType,0))</f>
        <v>0.011</v>
      </c>
      <c r="O88" s="148" t="n">
        <f aca="false">N88+Inputs!$E$22</f>
        <v>0.011</v>
      </c>
      <c r="P88" s="151" t="n">
        <f aca="false">O88</f>
        <v>0.011</v>
      </c>
      <c r="Q88" s="147" t="n">
        <f aca="false">VLOOKUP($A88,[1]!CurveTable,MATCH($Q$4,[1]!CurveType,0))</f>
        <v>0.0075</v>
      </c>
      <c r="R88" s="148" t="n">
        <v>0</v>
      </c>
      <c r="S88" s="151" t="n">
        <f aca="false">R88</f>
        <v>0</v>
      </c>
      <c r="T88" s="152"/>
      <c r="U88" s="153" t="n">
        <f aca="false">G88+J88</f>
        <v>4.7695</v>
      </c>
      <c r="V88" s="154"/>
      <c r="W88" s="155" t="n">
        <f aca="false">VLOOKUP($A88,[1]!CurveTable,MATCH($W$4,[1]!CurveType,0))+$W$9</f>
        <v>0.185</v>
      </c>
      <c r="X88" s="155" t="n">
        <f aca="false">VLOOKUP($A88,[1]!CurveTable,MATCH($X$4,[1]!CurveType,0))+$X$9</f>
        <v>0.19</v>
      </c>
      <c r="Y88" s="139" t="n">
        <f aca="false">SQRT((X88^2*($A88-$C$3)+W88^2*(DAY(EOMONTH(A88,0))/2))/$AN88)</f>
        <v>0.189200924430327</v>
      </c>
      <c r="Z88" s="152"/>
      <c r="AA88" s="153" t="n">
        <f aca="false">G88+P88+S88</f>
        <v>4.5805</v>
      </c>
      <c r="AB88" s="154"/>
      <c r="AC88" s="155" t="n">
        <f aca="false">VLOOKUP($A88,[1]!CurveTable,MATCH($AC$4,[1]!CurveType,0))+$AC$9</f>
        <v>0.185</v>
      </c>
      <c r="AD88" s="155" t="n">
        <f aca="false">VLOOKUP($A88,[1]!CurveTable,MATCH($AD$4,[1]!CurveType,0))+$AD$9</f>
        <v>0.19</v>
      </c>
      <c r="AE88" s="139" t="n">
        <f aca="false">SQRT((AD88^2*($A88-$C$3)+AC88^2*(DAY(EOMONTH(A88,0))/2))/$AN88)</f>
        <v>0.189200924430327</v>
      </c>
      <c r="AF88" s="152"/>
      <c r="AG88" s="156" t="n">
        <f aca="false">((Inputs!$F$20*(X88*AD88)*(A88-$C$3))+(Inputs!$F$19*W88*AC88*(DAY(EOMONTH(A88,0))/2)))/(AN88*Y88*AE88)</f>
        <v>0.75</v>
      </c>
      <c r="AH88" s="152"/>
      <c r="AI88" s="140" t="n">
        <f aca="false">Inputs!$B$15</f>
        <v>0.06</v>
      </c>
      <c r="AJ88" s="157"/>
      <c r="AK88" s="140" t="n">
        <f aca="false">IF((U88-AA88-AI88)&lt;0,0,(U88-AA88-AI88))</f>
        <v>0.129</v>
      </c>
      <c r="AL88" s="157"/>
      <c r="AM88" s="158" t="n">
        <f aca="false">WORKDAY(EOMONTH(A88-1,-1),0)</f>
        <v>40482</v>
      </c>
      <c r="AN88" s="159" t="n">
        <f aca="false">AM88-$C$3</f>
        <v>-5444</v>
      </c>
      <c r="AO88" s="159" t="n">
        <f aca="false">AO87</f>
        <v>1</v>
      </c>
      <c r="AP88" s="160"/>
      <c r="AQ88" s="161" t="e">
        <f aca="false">SPRDOPT(U88,AA88,AI88,AX88,X88,AD88,AG88,AN88,AO88,0)</f>
        <v>#NAME?</v>
      </c>
      <c r="AR88" s="162" t="e">
        <f aca="false">AQ88*C88</f>
        <v>#NAME?</v>
      </c>
      <c r="AS88" s="163" t="e">
        <f aca="false">AQ88-AK88</f>
        <v>#NAME?</v>
      </c>
      <c r="AU88" s="112" t="n">
        <f aca="false">A89-A88</f>
        <v>31</v>
      </c>
      <c r="AV88" s="164" t="n">
        <f aca="false">CHOOSE(F$3,A89+24,A88+14)</f>
        <v>40527</v>
      </c>
      <c r="AW88" s="49" t="n">
        <f aca="false">AV88-C$3</f>
        <v>-5399</v>
      </c>
      <c r="AX88" s="155" t="n">
        <f aca="false">VLOOKUP($A88,[1]!CurveTable,MATCH(AX$4,[1]!CurveType,0))</f>
        <v>0.0537142350054811</v>
      </c>
      <c r="AY88" s="165" t="n">
        <f aca="false">1/(1+CHOOSE(F$3,(AX89+(Inputs!$B$14/10000))/2,(AX88+(Inputs!$B$14/10000))/2))^(2*AW88/365.25)</f>
        <v>2.18914361464635</v>
      </c>
      <c r="AZ88" s="49" t="n">
        <f aca="false">IF(AND(mthbeg&lt;=A88,mthend&gt;=A88),1,0)</f>
        <v>1</v>
      </c>
      <c r="BA88" s="111" t="n">
        <f aca="false">AU88*AZ88</f>
        <v>31</v>
      </c>
      <c r="BC88" s="142" t="n">
        <f aca="false">E88*$D88</f>
        <v>15318477.7148975</v>
      </c>
      <c r="BD88" s="142" t="n">
        <f aca="false">F88*$D88</f>
        <v>15505102.2080461</v>
      </c>
      <c r="BE88" s="142" t="n">
        <f aca="false">G88*$D88</f>
        <v>15505102.2080461</v>
      </c>
      <c r="BF88" s="142" t="n">
        <f aca="false">H88*$D88</f>
        <v>678634.520540368</v>
      </c>
      <c r="BG88" s="142" t="n">
        <f aca="false">I88*$D88</f>
        <v>678634.520540368</v>
      </c>
      <c r="BH88" s="142" t="n">
        <f aca="false">J88*$D88</f>
        <v>678634.520540368</v>
      </c>
      <c r="BI88" s="142" t="n">
        <f aca="false">K88*$D88</f>
        <v>0</v>
      </c>
      <c r="BJ88" s="142" t="n">
        <f aca="false">L88*$D88</f>
        <v>0</v>
      </c>
      <c r="BK88" s="142" t="n">
        <f aca="false">M88*$D88</f>
        <v>0</v>
      </c>
      <c r="BL88" s="142" t="n">
        <f aca="false">N88*$D88</f>
        <v>37324.8986297203</v>
      </c>
      <c r="BM88" s="142" t="n">
        <f aca="false">O88*$D88</f>
        <v>37324.8986297203</v>
      </c>
      <c r="BN88" s="142" t="n">
        <f aca="false">P88*$D88</f>
        <v>37324.8986297203</v>
      </c>
      <c r="BO88" s="142" t="n">
        <f aca="false">Q88*$D88</f>
        <v>25448.7945202638</v>
      </c>
      <c r="BP88" s="142" t="n">
        <f aca="false">R88*$D88</f>
        <v>0</v>
      </c>
      <c r="BQ88" s="142" t="n">
        <f aca="false">S88*$D88</f>
        <v>0</v>
      </c>
      <c r="BR88" s="142" t="n">
        <f aca="false">U88*$D88</f>
        <v>16183736.7285864</v>
      </c>
      <c r="BS88" s="142" t="n">
        <f aca="false">AA88*$D88</f>
        <v>15542427.1066758</v>
      </c>
      <c r="BT88" s="142" t="n">
        <f aca="false">AI88*$D88</f>
        <v>203590.35616211</v>
      </c>
      <c r="BU88" s="142" t="n">
        <f aca="false">AK88*D88</f>
        <v>437719.265748538</v>
      </c>
    </row>
    <row r="89" customFormat="false" ht="12.75" hidden="false" customHeight="false" outlineLevel="0" collapsed="false">
      <c r="A89" s="144" t="n">
        <f aca="false">EDATE(A88,1)</f>
        <v>40544</v>
      </c>
      <c r="B89" s="145" t="n">
        <f aca="false">Inputs!$B$8</f>
        <v>50000</v>
      </c>
      <c r="C89" s="146" t="n">
        <f aca="false">IF(AZ89=0,0,IF(AND(AZ89=1,$H$3=1),B89*AU89,IF($H$3=2,B89,"N/A")))</f>
        <v>1550000</v>
      </c>
      <c r="D89" s="146" t="n">
        <f aca="false">C89*AY89</f>
        <v>3383288.45905531</v>
      </c>
      <c r="E89" s="147" t="n">
        <f aca="false">VLOOKUP($A89,[1]!CurveTable,MATCH($E$4,[1]!CurveType,0))</f>
        <v>4.5895</v>
      </c>
      <c r="F89" s="148" t="n">
        <f aca="false">E89-Inputs!$B$16</f>
        <v>4.6445</v>
      </c>
      <c r="G89" s="149" t="n">
        <f aca="false">F89</f>
        <v>4.6445</v>
      </c>
      <c r="H89" s="147" t="n">
        <f aca="false">VLOOKUP($A89,[1]!CurveTable,MATCH($H$4,[1]!CurveType,0))</f>
        <v>0.085</v>
      </c>
      <c r="I89" s="148" t="n">
        <f aca="false">H89+Inputs!$B$22</f>
        <v>0.085</v>
      </c>
      <c r="J89" s="150" t="n">
        <f aca="false">I89</f>
        <v>0.085</v>
      </c>
      <c r="K89" s="147" t="n">
        <f aca="false">VLOOKUP($A89,[1]!CurveTable,MATCH($K$4,[1]!CurveType,0))</f>
        <v>0</v>
      </c>
      <c r="L89" s="148" t="n">
        <v>0</v>
      </c>
      <c r="M89" s="151" t="n">
        <f aca="false">L89</f>
        <v>0</v>
      </c>
      <c r="N89" s="147" t="n">
        <f aca="false">VLOOKUP($A89,[1]!CurveTable,MATCH($N$4,[1]!CurveType,0))</f>
        <v>0.011</v>
      </c>
      <c r="O89" s="148" t="n">
        <f aca="false">N89+Inputs!$E$22</f>
        <v>0.011</v>
      </c>
      <c r="P89" s="151" t="n">
        <f aca="false">O89</f>
        <v>0.011</v>
      </c>
      <c r="Q89" s="147" t="n">
        <f aca="false">VLOOKUP($A89,[1]!CurveTable,MATCH($Q$4,[1]!CurveType,0))</f>
        <v>0.0075</v>
      </c>
      <c r="R89" s="148" t="n">
        <v>0</v>
      </c>
      <c r="S89" s="151" t="n">
        <f aca="false">R89</f>
        <v>0</v>
      </c>
      <c r="T89" s="152"/>
      <c r="U89" s="153" t="n">
        <f aca="false">G89+J89</f>
        <v>4.7295</v>
      </c>
      <c r="V89" s="154"/>
      <c r="W89" s="155" t="n">
        <f aca="false">VLOOKUP($A89,[1]!CurveTable,MATCH($W$4,[1]!CurveType,0))+$W$9</f>
        <v>0.185</v>
      </c>
      <c r="X89" s="155" t="n">
        <f aca="false">VLOOKUP($A89,[1]!CurveTable,MATCH($X$4,[1]!CurveType,0))+$X$9</f>
        <v>0.19</v>
      </c>
      <c r="Y89" s="139" t="n">
        <f aca="false">SQRT((X89^2*($A89-$C$3)+W89^2*(DAY(EOMONTH(A89,0))/2))/$AN89)</f>
        <v>0.189178864755913</v>
      </c>
      <c r="Z89" s="152"/>
      <c r="AA89" s="153" t="n">
        <f aca="false">G89+P89+S89</f>
        <v>4.6555</v>
      </c>
      <c r="AB89" s="154"/>
      <c r="AC89" s="155" t="n">
        <f aca="false">VLOOKUP($A89,[1]!CurveTable,MATCH($AC$4,[1]!CurveType,0))+$AC$9</f>
        <v>0.185</v>
      </c>
      <c r="AD89" s="155" t="n">
        <f aca="false">VLOOKUP($A89,[1]!CurveTable,MATCH($AD$4,[1]!CurveType,0))+$AD$9</f>
        <v>0.19</v>
      </c>
      <c r="AE89" s="139" t="n">
        <f aca="false">SQRT((AD89^2*($A89-$C$3)+AC89^2*(DAY(EOMONTH(A89,0))/2))/$AN89)</f>
        <v>0.189178864755913</v>
      </c>
      <c r="AF89" s="152"/>
      <c r="AG89" s="156" t="n">
        <f aca="false">((Inputs!$F$20*(X89*AD89)*(A89-$C$3))+(Inputs!$F$19*W89*AC89*(DAY(EOMONTH(A89,0))/2)))/(AN89*Y89*AE89)</f>
        <v>0.75</v>
      </c>
      <c r="AH89" s="152"/>
      <c r="AI89" s="140" t="n">
        <f aca="false">Inputs!$B$15</f>
        <v>0.06</v>
      </c>
      <c r="AJ89" s="157"/>
      <c r="AK89" s="140" t="n">
        <f aca="false">IF((U89-AA89-AI89)&lt;0,0,(U89-AA89-AI89))</f>
        <v>0.0139999999999998</v>
      </c>
      <c r="AL89" s="157"/>
      <c r="AM89" s="158" t="n">
        <f aca="false">WORKDAY(EOMONTH(A89-1,-1),0)</f>
        <v>40512</v>
      </c>
      <c r="AN89" s="159" t="n">
        <f aca="false">AM89-$C$3</f>
        <v>-5414</v>
      </c>
      <c r="AO89" s="159" t="n">
        <f aca="false">AO88</f>
        <v>1</v>
      </c>
      <c r="AP89" s="160"/>
      <c r="AQ89" s="161" t="e">
        <f aca="false">SPRDOPT(U89,AA89,AI89,AX89,X89,AD89,AG89,AN89,AO89,0)</f>
        <v>#NAME?</v>
      </c>
      <c r="AR89" s="162" t="e">
        <f aca="false">AQ89*C89</f>
        <v>#NAME?</v>
      </c>
      <c r="AS89" s="163" t="e">
        <f aca="false">AQ89-AK89</f>
        <v>#NAME?</v>
      </c>
      <c r="AU89" s="112" t="n">
        <f aca="false">A90-A89</f>
        <v>31</v>
      </c>
      <c r="AV89" s="164" t="n">
        <f aca="false">CHOOSE(F$3,A90+24,A89+14)</f>
        <v>40558</v>
      </c>
      <c r="AW89" s="49" t="n">
        <f aca="false">AV89-C$3</f>
        <v>-5368</v>
      </c>
      <c r="AX89" s="155" t="n">
        <f aca="false">VLOOKUP($A89,[1]!CurveTable,MATCH(AX$4,[1]!CurveType,0))</f>
        <v>0.0538247409479928</v>
      </c>
      <c r="AY89" s="165" t="n">
        <f aca="false">1/(1+CHOOSE(F$3,(AX90+(Inputs!$B$14/10000))/2,(AX89+(Inputs!$B$14/10000))/2))^(2*AW89/365.25)</f>
        <v>2.18276674777762</v>
      </c>
      <c r="AZ89" s="49" t="n">
        <f aca="false">IF(AND(mthbeg&lt;=A89,mthend&gt;=A89),1,0)</f>
        <v>1</v>
      </c>
      <c r="BA89" s="111" t="n">
        <f aca="false">AU89*AZ89</f>
        <v>31</v>
      </c>
      <c r="BC89" s="142" t="n">
        <f aca="false">E89*$D89</f>
        <v>15527602.3828344</v>
      </c>
      <c r="BD89" s="142" t="n">
        <f aca="false">F89*$D89</f>
        <v>15713683.2480824</v>
      </c>
      <c r="BE89" s="142" t="n">
        <f aca="false">G89*$D89</f>
        <v>15713683.2480824</v>
      </c>
      <c r="BF89" s="142" t="n">
        <f aca="false">H89*$D89</f>
        <v>287579.519019702</v>
      </c>
      <c r="BG89" s="142" t="n">
        <f aca="false">I89*$D89</f>
        <v>287579.519019702</v>
      </c>
      <c r="BH89" s="142" t="n">
        <f aca="false">J89*$D89</f>
        <v>287579.519019702</v>
      </c>
      <c r="BI89" s="142" t="n">
        <f aca="false">K89*$D89</f>
        <v>0</v>
      </c>
      <c r="BJ89" s="142" t="n">
        <f aca="false">L89*$D89</f>
        <v>0</v>
      </c>
      <c r="BK89" s="142" t="n">
        <f aca="false">M89*$D89</f>
        <v>0</v>
      </c>
      <c r="BL89" s="142" t="n">
        <f aca="false">N89*$D89</f>
        <v>37216.1730496084</v>
      </c>
      <c r="BM89" s="142" t="n">
        <f aca="false">O89*$D89</f>
        <v>37216.1730496084</v>
      </c>
      <c r="BN89" s="142" t="n">
        <f aca="false">P89*$D89</f>
        <v>37216.1730496084</v>
      </c>
      <c r="BO89" s="142" t="n">
        <f aca="false">Q89*$D89</f>
        <v>25374.6634429148</v>
      </c>
      <c r="BP89" s="142" t="n">
        <f aca="false">R89*$D89</f>
        <v>0</v>
      </c>
      <c r="BQ89" s="142" t="n">
        <f aca="false">S89*$D89</f>
        <v>0</v>
      </c>
      <c r="BR89" s="142" t="n">
        <f aca="false">U89*$D89</f>
        <v>16001262.7671021</v>
      </c>
      <c r="BS89" s="142" t="n">
        <f aca="false">AA89*$D89</f>
        <v>15750899.421132</v>
      </c>
      <c r="BT89" s="142" t="n">
        <f aca="false">AI89*$D89</f>
        <v>202997.307543319</v>
      </c>
      <c r="BU89" s="142" t="n">
        <f aca="false">AK89*D89</f>
        <v>47366.0384267739</v>
      </c>
    </row>
    <row r="90" customFormat="false" ht="12.75" hidden="false" customHeight="false" outlineLevel="0" collapsed="false">
      <c r="A90" s="144" t="n">
        <f aca="false">EDATE(A89,1)</f>
        <v>40575</v>
      </c>
      <c r="B90" s="145" t="n">
        <f aca="false">Inputs!$B$8</f>
        <v>50000</v>
      </c>
      <c r="C90" s="146" t="n">
        <f aca="false">IF(AZ90=0,0,IF(AND(AZ90=1,$H$3=1),B90*AU90,IF($H$3=2,B90,"N/A")))</f>
        <v>1400000</v>
      </c>
      <c r="D90" s="146" t="n">
        <f aca="false">C90*AY90</f>
        <v>3046915.92307785</v>
      </c>
      <c r="E90" s="147" t="n">
        <f aca="false">VLOOKUP($A90,[1]!CurveTable,MATCH($E$4,[1]!CurveType,0))</f>
        <v>4.5025</v>
      </c>
      <c r="F90" s="148" t="n">
        <f aca="false">E90-Inputs!$B$16</f>
        <v>4.5575</v>
      </c>
      <c r="G90" s="149" t="n">
        <f aca="false">F90</f>
        <v>4.5575</v>
      </c>
      <c r="H90" s="147" t="n">
        <f aca="false">VLOOKUP($A90,[1]!CurveTable,MATCH($H$4,[1]!CurveType,0))</f>
        <v>0.075</v>
      </c>
      <c r="I90" s="148" t="n">
        <f aca="false">H90+Inputs!$B$22</f>
        <v>0.075</v>
      </c>
      <c r="J90" s="150" t="n">
        <f aca="false">I90</f>
        <v>0.075</v>
      </c>
      <c r="K90" s="147" t="n">
        <f aca="false">VLOOKUP($A90,[1]!CurveTable,MATCH($K$4,[1]!CurveType,0))</f>
        <v>0</v>
      </c>
      <c r="L90" s="148" t="n">
        <v>0</v>
      </c>
      <c r="M90" s="151" t="n">
        <f aca="false">L90</f>
        <v>0</v>
      </c>
      <c r="N90" s="147" t="n">
        <f aca="false">VLOOKUP($A90,[1]!CurveTable,MATCH($N$4,[1]!CurveType,0))</f>
        <v>0.011</v>
      </c>
      <c r="O90" s="148" t="n">
        <f aca="false">N90+Inputs!$E$22</f>
        <v>0.011</v>
      </c>
      <c r="P90" s="151" t="n">
        <f aca="false">O90</f>
        <v>0.011</v>
      </c>
      <c r="Q90" s="147" t="n">
        <f aca="false">VLOOKUP($A90,[1]!CurveTable,MATCH($Q$4,[1]!CurveType,0))</f>
        <v>0.0075</v>
      </c>
      <c r="R90" s="148" t="n">
        <v>0</v>
      </c>
      <c r="S90" s="151" t="n">
        <f aca="false">R90</f>
        <v>0</v>
      </c>
      <c r="T90" s="152"/>
      <c r="U90" s="153" t="n">
        <f aca="false">G90+J90</f>
        <v>4.6325</v>
      </c>
      <c r="V90" s="154"/>
      <c r="W90" s="155" t="n">
        <f aca="false">VLOOKUP($A90,[1]!CurveTable,MATCH($W$4,[1]!CurveType,0))+$W$9</f>
        <v>0.185</v>
      </c>
      <c r="X90" s="155" t="n">
        <f aca="false">VLOOKUP($A90,[1]!CurveTable,MATCH($X$4,[1]!CurveType,0))+$X$9</f>
        <v>0.19</v>
      </c>
      <c r="Y90" s="139" t="n">
        <f aca="false">SQRT((X90^2*($A90-$C$3)+W90^2*(DAY(EOMONTH(A90,0))/2))/$AN90)</f>
        <v>0.189199330794733</v>
      </c>
      <c r="Z90" s="152"/>
      <c r="AA90" s="153" t="n">
        <f aca="false">G90+P90+S90</f>
        <v>4.5685</v>
      </c>
      <c r="AB90" s="154"/>
      <c r="AC90" s="155" t="n">
        <f aca="false">VLOOKUP($A90,[1]!CurveTable,MATCH($AC$4,[1]!CurveType,0))+$AC$9</f>
        <v>0.185</v>
      </c>
      <c r="AD90" s="155" t="n">
        <f aca="false">VLOOKUP($A90,[1]!CurveTable,MATCH($AD$4,[1]!CurveType,0))+$AD$9</f>
        <v>0.19</v>
      </c>
      <c r="AE90" s="139" t="n">
        <f aca="false">SQRT((AD90^2*($A90-$C$3)+AC90^2*(DAY(EOMONTH(A90,0))/2))/$AN90)</f>
        <v>0.189199330794733</v>
      </c>
      <c r="AF90" s="152"/>
      <c r="AG90" s="156" t="n">
        <f aca="false">((Inputs!$F$20*(X90*AD90)*(A90-$C$3))+(Inputs!$F$19*W90*AC90*(DAY(EOMONTH(A90,0))/2)))/(AN90*Y90*AE90)</f>
        <v>0.75</v>
      </c>
      <c r="AH90" s="152"/>
      <c r="AI90" s="140" t="n">
        <f aca="false">Inputs!$B$15</f>
        <v>0.06</v>
      </c>
      <c r="AJ90" s="157"/>
      <c r="AK90" s="140" t="n">
        <f aca="false">IF((U90-AA90-AI90)&lt;0,0,(U90-AA90-AI90))</f>
        <v>0.00400000000000006</v>
      </c>
      <c r="AL90" s="157"/>
      <c r="AM90" s="158" t="n">
        <f aca="false">WORKDAY(EOMONTH(A90-1,-1),0)</f>
        <v>40543</v>
      </c>
      <c r="AN90" s="159" t="n">
        <f aca="false">AM90-$C$3</f>
        <v>-5383</v>
      </c>
      <c r="AO90" s="159" t="n">
        <f aca="false">AO89</f>
        <v>1</v>
      </c>
      <c r="AP90" s="160"/>
      <c r="AQ90" s="161" t="e">
        <f aca="false">SPRDOPT(U90,AA90,AI90,AX90,X90,AD90,AG90,AN90,AO90,0)</f>
        <v>#NAME?</v>
      </c>
      <c r="AR90" s="162" t="e">
        <f aca="false">AQ90*C90</f>
        <v>#NAME?</v>
      </c>
      <c r="AS90" s="163" t="e">
        <f aca="false">AQ90-AK90</f>
        <v>#NAME?</v>
      </c>
      <c r="AU90" s="112" t="n">
        <f aca="false">A91-A90</f>
        <v>28</v>
      </c>
      <c r="AV90" s="164" t="n">
        <f aca="false">CHOOSE(F$3,A91+24,A90+14)</f>
        <v>40589</v>
      </c>
      <c r="AW90" s="49" t="n">
        <f aca="false">AV90-C$3</f>
        <v>-5337</v>
      </c>
      <c r="AX90" s="155" t="n">
        <f aca="false">VLOOKUP($A90,[1]!CurveTable,MATCH(AX$4,[1]!CurveType,0))</f>
        <v>0.0539352468945737</v>
      </c>
      <c r="AY90" s="165" t="n">
        <f aca="false">1/(1+CHOOSE(F$3,(AX91+(Inputs!$B$14/10000))/2,(AX90+(Inputs!$B$14/10000))/2))^(2*AW90/365.25)</f>
        <v>2.17636851648418</v>
      </c>
      <c r="AZ90" s="49" t="n">
        <f aca="false">IF(AND(mthbeg&lt;=A90,mthend&gt;=A90),1,0)</f>
        <v>1</v>
      </c>
      <c r="BA90" s="111" t="n">
        <f aca="false">AU90*AZ90</f>
        <v>28</v>
      </c>
      <c r="BC90" s="142" t="n">
        <f aca="false">E90*$D90</f>
        <v>13718738.943658</v>
      </c>
      <c r="BD90" s="142" t="n">
        <f aca="false">F90*$D90</f>
        <v>13886319.3194273</v>
      </c>
      <c r="BE90" s="142" t="n">
        <f aca="false">G90*$D90</f>
        <v>13886319.3194273</v>
      </c>
      <c r="BF90" s="142" t="n">
        <f aca="false">H90*$D90</f>
        <v>228518.694230839</v>
      </c>
      <c r="BG90" s="142" t="n">
        <f aca="false">I90*$D90</f>
        <v>228518.694230839</v>
      </c>
      <c r="BH90" s="142" t="n">
        <f aca="false">J90*$D90</f>
        <v>228518.694230839</v>
      </c>
      <c r="BI90" s="142" t="n">
        <f aca="false">K90*$D90</f>
        <v>0</v>
      </c>
      <c r="BJ90" s="142" t="n">
        <f aca="false">L90*$D90</f>
        <v>0</v>
      </c>
      <c r="BK90" s="142" t="n">
        <f aca="false">M90*$D90</f>
        <v>0</v>
      </c>
      <c r="BL90" s="142" t="n">
        <f aca="false">N90*$D90</f>
        <v>33516.0751538564</v>
      </c>
      <c r="BM90" s="142" t="n">
        <f aca="false">O90*$D90</f>
        <v>33516.0751538564</v>
      </c>
      <c r="BN90" s="142" t="n">
        <f aca="false">P90*$D90</f>
        <v>33516.0751538564</v>
      </c>
      <c r="BO90" s="142" t="n">
        <f aca="false">Q90*$D90</f>
        <v>22851.8694230839</v>
      </c>
      <c r="BP90" s="142" t="n">
        <f aca="false">R90*$D90</f>
        <v>0</v>
      </c>
      <c r="BQ90" s="142" t="n">
        <f aca="false">S90*$D90</f>
        <v>0</v>
      </c>
      <c r="BR90" s="142" t="n">
        <f aca="false">U90*$D90</f>
        <v>14114838.0136581</v>
      </c>
      <c r="BS90" s="142" t="n">
        <f aca="false">AA90*$D90</f>
        <v>13919835.3945812</v>
      </c>
      <c r="BT90" s="142" t="n">
        <f aca="false">AI90*$D90</f>
        <v>182814.955384671</v>
      </c>
      <c r="BU90" s="142" t="n">
        <f aca="false">AK90*D90</f>
        <v>12187.6636923116</v>
      </c>
    </row>
    <row r="91" customFormat="false" ht="12.75" hidden="false" customHeight="false" outlineLevel="0" collapsed="false">
      <c r="A91" s="144" t="n">
        <f aca="false">EDATE(A90,1)</f>
        <v>40603</v>
      </c>
      <c r="B91" s="145" t="n">
        <f aca="false">Inputs!$B$8</f>
        <v>50000</v>
      </c>
      <c r="C91" s="146" t="n">
        <f aca="false">IF(AZ91=0,0,IF(AND(AZ91=1,$H$3=1),B91*AU91,IF($H$3=2,B91,"N/A")))</f>
        <v>1550000</v>
      </c>
      <c r="D91" s="146" t="n">
        <f aca="false">C91*AY91</f>
        <v>3364385.60101277</v>
      </c>
      <c r="E91" s="147" t="n">
        <f aca="false">VLOOKUP($A91,[1]!CurveTable,MATCH($E$4,[1]!CurveType,0))</f>
        <v>4.3635</v>
      </c>
      <c r="F91" s="148" t="n">
        <f aca="false">E91-Inputs!$B$16</f>
        <v>4.4185</v>
      </c>
      <c r="G91" s="149" t="n">
        <f aca="false">F91</f>
        <v>4.4185</v>
      </c>
      <c r="H91" s="147" t="n">
        <f aca="false">VLOOKUP($A91,[1]!CurveTable,MATCH($H$4,[1]!CurveType,0))</f>
        <v>0.115</v>
      </c>
      <c r="I91" s="148" t="n">
        <f aca="false">H91+Inputs!$B$22</f>
        <v>0.115</v>
      </c>
      <c r="J91" s="150" t="n">
        <f aca="false">I91</f>
        <v>0.115</v>
      </c>
      <c r="K91" s="147" t="n">
        <f aca="false">VLOOKUP($A91,[1]!CurveTable,MATCH($K$4,[1]!CurveType,0))</f>
        <v>0</v>
      </c>
      <c r="L91" s="148" t="n">
        <v>0</v>
      </c>
      <c r="M91" s="151" t="n">
        <f aca="false">L91</f>
        <v>0</v>
      </c>
      <c r="N91" s="147" t="n">
        <f aca="false">VLOOKUP($A91,[1]!CurveTable,MATCH($N$4,[1]!CurveType,0))</f>
        <v>0.015</v>
      </c>
      <c r="O91" s="148" t="n">
        <f aca="false">N91+Inputs!$E$22</f>
        <v>0.015</v>
      </c>
      <c r="P91" s="151" t="n">
        <f aca="false">O91</f>
        <v>0.015</v>
      </c>
      <c r="Q91" s="147" t="n">
        <f aca="false">VLOOKUP($A91,[1]!CurveTable,MATCH($Q$4,[1]!CurveType,0))</f>
        <v>0.0075</v>
      </c>
      <c r="R91" s="148" t="n">
        <v>0</v>
      </c>
      <c r="S91" s="151" t="n">
        <f aca="false">R91</f>
        <v>0</v>
      </c>
      <c r="T91" s="152"/>
      <c r="U91" s="153" t="n">
        <f aca="false">G91+J91</f>
        <v>4.5335</v>
      </c>
      <c r="V91" s="154"/>
      <c r="W91" s="155" t="n">
        <f aca="false">VLOOKUP($A91,[1]!CurveTable,MATCH($W$4,[1]!CurveType,0))+$W$9</f>
        <v>0.18</v>
      </c>
      <c r="X91" s="155" t="n">
        <f aca="false">VLOOKUP($A91,[1]!CurveTable,MATCH($X$4,[1]!CurveType,0))+$X$9</f>
        <v>0.185</v>
      </c>
      <c r="Y91" s="139" t="n">
        <f aca="false">SQRT((X91^2*($A91-$C$3)+W91^2*(DAY(EOMONTH(A91,0))/2))/$AN91)</f>
        <v>0.184243633688003</v>
      </c>
      <c r="Z91" s="152"/>
      <c r="AA91" s="153" t="n">
        <f aca="false">G91+P91+S91</f>
        <v>4.4335</v>
      </c>
      <c r="AB91" s="154"/>
      <c r="AC91" s="155" t="n">
        <f aca="false">VLOOKUP($A91,[1]!CurveTable,MATCH($AC$4,[1]!CurveType,0))+$AC$9</f>
        <v>0.18</v>
      </c>
      <c r="AD91" s="155" t="n">
        <f aca="false">VLOOKUP($A91,[1]!CurveTable,MATCH($AD$4,[1]!CurveType,0))+$AD$9</f>
        <v>0.185</v>
      </c>
      <c r="AE91" s="139" t="n">
        <f aca="false">SQRT((AD91^2*($A91-$C$3)+AC91^2*(DAY(EOMONTH(A91,0))/2))/$AN91)</f>
        <v>0.184243633688003</v>
      </c>
      <c r="AF91" s="152"/>
      <c r="AG91" s="156" t="n">
        <f aca="false">((Inputs!$F$20*(X91*AD91)*(A91-$C$3))+(Inputs!$F$19*W91*AC91*(DAY(EOMONTH(A91,0))/2)))/(AN91*Y91*AE91)</f>
        <v>0.75</v>
      </c>
      <c r="AH91" s="152"/>
      <c r="AI91" s="140" t="n">
        <f aca="false">Inputs!$B$15</f>
        <v>0.06</v>
      </c>
      <c r="AJ91" s="157"/>
      <c r="AK91" s="140" t="n">
        <f aca="false">IF((U91-AA91-AI91)&lt;0,0,(U91-AA91-AI91))</f>
        <v>0.0400000000000005</v>
      </c>
      <c r="AL91" s="157"/>
      <c r="AM91" s="158" t="n">
        <f aca="false">WORKDAY(EOMONTH(A91-1,-1),0)</f>
        <v>40574</v>
      </c>
      <c r="AN91" s="159" t="n">
        <f aca="false">AM91-$C$3</f>
        <v>-5352</v>
      </c>
      <c r="AO91" s="159" t="n">
        <f aca="false">AO90</f>
        <v>1</v>
      </c>
      <c r="AP91" s="160"/>
      <c r="AQ91" s="161" t="e">
        <f aca="false">SPRDOPT(U91,AA91,AI91,AX91,X91,AD91,AG91,AN91,AO91,0)</f>
        <v>#NAME?</v>
      </c>
      <c r="AR91" s="162" t="e">
        <f aca="false">AQ91*C91</f>
        <v>#NAME?</v>
      </c>
      <c r="AS91" s="163" t="e">
        <f aca="false">AQ91-AK91</f>
        <v>#NAME?</v>
      </c>
      <c r="AU91" s="112" t="n">
        <f aca="false">A92-A91</f>
        <v>31</v>
      </c>
      <c r="AV91" s="164" t="n">
        <f aca="false">CHOOSE(F$3,A92+24,A91+14)</f>
        <v>40617</v>
      </c>
      <c r="AW91" s="49" t="n">
        <f aca="false">AV91-C$3</f>
        <v>-5309</v>
      </c>
      <c r="AX91" s="155" t="n">
        <f aca="false">VLOOKUP($A91,[1]!CurveTable,MATCH(AX$4,[1]!CurveType,0))</f>
        <v>0.0540350587207903</v>
      </c>
      <c r="AY91" s="165" t="n">
        <f aca="false">1/(1+CHOOSE(F$3,(AX92+(Inputs!$B$14/10000))/2,(AX91+(Inputs!$B$14/10000))/2))^(2*AW91/365.25)</f>
        <v>2.17057135549211</v>
      </c>
      <c r="AZ91" s="49" t="n">
        <f aca="false">IF(AND(mthbeg&lt;=A91,mthend&gt;=A91),1,0)</f>
        <v>1</v>
      </c>
      <c r="BA91" s="111" t="n">
        <f aca="false">AU91*AZ91</f>
        <v>31</v>
      </c>
      <c r="BC91" s="142" t="n">
        <f aca="false">E91*$D91</f>
        <v>14680496.5700192</v>
      </c>
      <c r="BD91" s="142" t="n">
        <f aca="false">F91*$D91</f>
        <v>14865537.7780749</v>
      </c>
      <c r="BE91" s="142" t="n">
        <f aca="false">G91*$D91</f>
        <v>14865537.7780749</v>
      </c>
      <c r="BF91" s="142" t="n">
        <f aca="false">H91*$D91</f>
        <v>386904.344116469</v>
      </c>
      <c r="BG91" s="142" t="n">
        <f aca="false">I91*$D91</f>
        <v>386904.344116469</v>
      </c>
      <c r="BH91" s="142" t="n">
        <f aca="false">J91*$D91</f>
        <v>386904.344116469</v>
      </c>
      <c r="BI91" s="142" t="n">
        <f aca="false">K91*$D91</f>
        <v>0</v>
      </c>
      <c r="BJ91" s="142" t="n">
        <f aca="false">L91*$D91</f>
        <v>0</v>
      </c>
      <c r="BK91" s="142" t="n">
        <f aca="false">M91*$D91</f>
        <v>0</v>
      </c>
      <c r="BL91" s="142" t="n">
        <f aca="false">N91*$D91</f>
        <v>50465.7840151916</v>
      </c>
      <c r="BM91" s="142" t="n">
        <f aca="false">O91*$D91</f>
        <v>50465.7840151916</v>
      </c>
      <c r="BN91" s="142" t="n">
        <f aca="false">P91*$D91</f>
        <v>50465.7840151916</v>
      </c>
      <c r="BO91" s="142" t="n">
        <f aca="false">Q91*$D91</f>
        <v>25232.8920075958</v>
      </c>
      <c r="BP91" s="142" t="n">
        <f aca="false">R91*$D91</f>
        <v>0</v>
      </c>
      <c r="BQ91" s="142" t="n">
        <f aca="false">S91*$D91</f>
        <v>0</v>
      </c>
      <c r="BR91" s="142" t="n">
        <f aca="false">U91*$D91</f>
        <v>15252442.1221914</v>
      </c>
      <c r="BS91" s="142" t="n">
        <f aca="false">AA91*$D91</f>
        <v>14916003.5620901</v>
      </c>
      <c r="BT91" s="142" t="n">
        <f aca="false">AI91*$D91</f>
        <v>201863.136060766</v>
      </c>
      <c r="BU91" s="142" t="n">
        <f aca="false">AK91*D91</f>
        <v>134575.424040513</v>
      </c>
    </row>
    <row r="92" customFormat="false" ht="12.75" hidden="false" customHeight="false" outlineLevel="0" collapsed="false">
      <c r="A92" s="144" t="n">
        <f aca="false">EDATE(A91,1)</f>
        <v>40634</v>
      </c>
      <c r="B92" s="145" t="n">
        <f aca="false">Inputs!$B$8</f>
        <v>50000</v>
      </c>
      <c r="C92" s="146" t="n">
        <f aca="false">IF(AZ92=0,0,IF(AND(AZ92=1,$H$3=1),B92*AU92,IF($H$3=2,B92,"N/A")))</f>
        <v>1500000</v>
      </c>
      <c r="D92" s="146" t="n">
        <f aca="false">C92*AY92</f>
        <v>3246199.93921602</v>
      </c>
      <c r="E92" s="147" t="n">
        <f aca="false">VLOOKUP($A92,[1]!CurveTable,MATCH($E$4,[1]!CurveType,0))</f>
        <v>4.2095</v>
      </c>
      <c r="F92" s="148" t="n">
        <f aca="false">E92-Inputs!$B$16</f>
        <v>4.2645</v>
      </c>
      <c r="G92" s="149" t="n">
        <f aca="false">F92</f>
        <v>4.2645</v>
      </c>
      <c r="H92" s="147" t="n">
        <f aca="false">VLOOKUP($A92,[1]!CurveTable,MATCH($H$4,[1]!CurveType,0))</f>
        <v>0.55</v>
      </c>
      <c r="I92" s="148" t="n">
        <f aca="false">H92+Inputs!$B$22</f>
        <v>0.55</v>
      </c>
      <c r="J92" s="150" t="n">
        <f aca="false">I92</f>
        <v>0.55</v>
      </c>
      <c r="K92" s="147" t="n">
        <f aca="false">VLOOKUP($A92,[1]!CurveTable,MATCH($K$4,[1]!CurveType,0))</f>
        <v>0</v>
      </c>
      <c r="L92" s="148" t="n">
        <v>0</v>
      </c>
      <c r="M92" s="151" t="n">
        <f aca="false">L92</f>
        <v>0</v>
      </c>
      <c r="N92" s="147" t="n">
        <f aca="false">VLOOKUP($A92,[1]!CurveTable,MATCH($N$4,[1]!CurveType,0))</f>
        <v>0.015</v>
      </c>
      <c r="O92" s="148" t="n">
        <f aca="false">N92+Inputs!$E$22</f>
        <v>0.015</v>
      </c>
      <c r="P92" s="151" t="n">
        <f aca="false">O92</f>
        <v>0.015</v>
      </c>
      <c r="Q92" s="147" t="n">
        <f aca="false">VLOOKUP($A92,[1]!CurveTable,MATCH($Q$4,[1]!CurveType,0))</f>
        <v>0.01</v>
      </c>
      <c r="R92" s="148" t="n">
        <v>0</v>
      </c>
      <c r="S92" s="151" t="n">
        <f aca="false">R92</f>
        <v>0</v>
      </c>
      <c r="T92" s="152"/>
      <c r="U92" s="153" t="n">
        <f aca="false">G92+J92</f>
        <v>4.8145</v>
      </c>
      <c r="V92" s="154"/>
      <c r="W92" s="155" t="n">
        <f aca="false">VLOOKUP($A92,[1]!CurveTable,MATCH($W$4,[1]!CurveType,0))+$W$9</f>
        <v>0.18</v>
      </c>
      <c r="X92" s="155" t="n">
        <f aca="false">VLOOKUP($A92,[1]!CurveTable,MATCH($X$4,[1]!CurveType,0))+$X$9</f>
        <v>0.185</v>
      </c>
      <c r="Y92" s="139" t="n">
        <f aca="false">SQRT((X92^2*($A92-$C$3)+W92^2*(DAY(EOMONTH(A92,0))/2))/$AN92)</f>
        <v>0.184195562539393</v>
      </c>
      <c r="Z92" s="152"/>
      <c r="AA92" s="153" t="n">
        <f aca="false">G92+P92+S92</f>
        <v>4.2795</v>
      </c>
      <c r="AB92" s="154"/>
      <c r="AC92" s="155" t="n">
        <f aca="false">VLOOKUP($A92,[1]!CurveTable,MATCH($AC$4,[1]!CurveType,0))+$AC$9</f>
        <v>0.18</v>
      </c>
      <c r="AD92" s="155" t="n">
        <f aca="false">VLOOKUP($A92,[1]!CurveTable,MATCH($AD$4,[1]!CurveType,0))+$AD$9</f>
        <v>0.185</v>
      </c>
      <c r="AE92" s="139" t="n">
        <f aca="false">SQRT((AD92^2*($A92-$C$3)+AC92^2*(DAY(EOMONTH(A92,0))/2))/$AN92)</f>
        <v>0.184195562539393</v>
      </c>
      <c r="AF92" s="152"/>
      <c r="AG92" s="156" t="n">
        <f aca="false">((Inputs!$F$20*(X92*AD92)*(A92-$C$3))+(Inputs!$F$19*W92*AC92*(DAY(EOMONTH(A92,0))/2)))/(AN92*Y92*AE92)</f>
        <v>0.75</v>
      </c>
      <c r="AH92" s="152"/>
      <c r="AI92" s="140" t="n">
        <f aca="false">Inputs!$B$15</f>
        <v>0.06</v>
      </c>
      <c r="AJ92" s="157"/>
      <c r="AK92" s="140" t="n">
        <f aca="false">IF((U92-AA92-AI92)&lt;0,0,(U92-AA92-AI92))</f>
        <v>0.475</v>
      </c>
      <c r="AL92" s="157"/>
      <c r="AM92" s="158" t="n">
        <f aca="false">WORKDAY(EOMONTH(A92-1,-1),0)</f>
        <v>40602</v>
      </c>
      <c r="AN92" s="159" t="n">
        <f aca="false">AM92-$C$3</f>
        <v>-5324</v>
      </c>
      <c r="AO92" s="159" t="n">
        <f aca="false">AO91</f>
        <v>1</v>
      </c>
      <c r="AP92" s="160"/>
      <c r="AQ92" s="161" t="e">
        <f aca="false">SPRDOPT(U92,AA92,AI92,AX92,X92,AD92,AG92,AN92,AO92,0)</f>
        <v>#NAME?</v>
      </c>
      <c r="AR92" s="162" t="e">
        <f aca="false">AQ92*C92</f>
        <v>#NAME?</v>
      </c>
      <c r="AS92" s="163" t="e">
        <f aca="false">AQ92-AK92</f>
        <v>#NAME?</v>
      </c>
      <c r="AU92" s="112" t="n">
        <f aca="false">A93-A92</f>
        <v>30</v>
      </c>
      <c r="AV92" s="164" t="n">
        <f aca="false">CHOOSE(F$3,A93+24,A92+14)</f>
        <v>40648</v>
      </c>
      <c r="AW92" s="49" t="n">
        <f aca="false">AV92-C$3</f>
        <v>-5278</v>
      </c>
      <c r="AX92" s="155" t="n">
        <f aca="false">VLOOKUP($A92,[1]!CurveTable,MATCH(AX$4,[1]!CurveType,0))</f>
        <v>0.0541455646751166</v>
      </c>
      <c r="AY92" s="165" t="n">
        <f aca="false">1/(1+CHOOSE(F$3,(AX93+(Inputs!$B$14/10000))/2,(AX92+(Inputs!$B$14/10000))/2))^(2*AW92/365.25)</f>
        <v>2.16413329281068</v>
      </c>
      <c r="AZ92" s="49" t="n">
        <f aca="false">IF(AND(mthbeg&lt;=A92,mthend&gt;=A92),1,0)</f>
        <v>1</v>
      </c>
      <c r="BA92" s="111" t="n">
        <f aca="false">AU92*AZ92</f>
        <v>30</v>
      </c>
      <c r="BC92" s="142" t="n">
        <f aca="false">E92*$D92</f>
        <v>13664878.6441298</v>
      </c>
      <c r="BD92" s="142" t="n">
        <f aca="false">F92*$D92</f>
        <v>13843419.6407867</v>
      </c>
      <c r="BE92" s="142" t="n">
        <f aca="false">G92*$D92</f>
        <v>13843419.6407867</v>
      </c>
      <c r="BF92" s="142" t="n">
        <f aca="false">H92*$D92</f>
        <v>1785409.96656881</v>
      </c>
      <c r="BG92" s="142" t="n">
        <f aca="false">I92*$D92</f>
        <v>1785409.96656881</v>
      </c>
      <c r="BH92" s="142" t="n">
        <f aca="false">J92*$D92</f>
        <v>1785409.96656881</v>
      </c>
      <c r="BI92" s="142" t="n">
        <f aca="false">K92*$D92</f>
        <v>0</v>
      </c>
      <c r="BJ92" s="142" t="n">
        <f aca="false">L92*$D92</f>
        <v>0</v>
      </c>
      <c r="BK92" s="142" t="n">
        <f aca="false">M92*$D92</f>
        <v>0</v>
      </c>
      <c r="BL92" s="142" t="n">
        <f aca="false">N92*$D92</f>
        <v>48692.9990882403</v>
      </c>
      <c r="BM92" s="142" t="n">
        <f aca="false">O92*$D92</f>
        <v>48692.9990882403</v>
      </c>
      <c r="BN92" s="142" t="n">
        <f aca="false">P92*$D92</f>
        <v>48692.9990882403</v>
      </c>
      <c r="BO92" s="142" t="n">
        <f aca="false">Q92*$D92</f>
        <v>32461.9993921602</v>
      </c>
      <c r="BP92" s="142" t="n">
        <f aca="false">R92*$D92</f>
        <v>0</v>
      </c>
      <c r="BQ92" s="142" t="n">
        <f aca="false">S92*$D92</f>
        <v>0</v>
      </c>
      <c r="BR92" s="142" t="n">
        <f aca="false">U92*$D92</f>
        <v>15628829.6073555</v>
      </c>
      <c r="BS92" s="142" t="n">
        <f aca="false">AA92*$D92</f>
        <v>13892112.6398749</v>
      </c>
      <c r="BT92" s="142" t="n">
        <f aca="false">AI92*$D92</f>
        <v>194771.996352961</v>
      </c>
      <c r="BU92" s="142" t="n">
        <f aca="false">AK92*D92</f>
        <v>1541944.97112761</v>
      </c>
    </row>
    <row r="93" customFormat="false" ht="12.75" hidden="false" customHeight="false" outlineLevel="0" collapsed="false">
      <c r="A93" s="144" t="n">
        <f aca="false">EDATE(A92,1)</f>
        <v>40664</v>
      </c>
      <c r="B93" s="145" t="n">
        <f aca="false">Inputs!$B$8</f>
        <v>50000</v>
      </c>
      <c r="C93" s="146" t="n">
        <f aca="false">IF(AZ93=0,0,IF(AND(AZ93=1,$H$3=1),B93*AU93,IF($H$3=2,B93,"N/A")))</f>
        <v>1550000</v>
      </c>
      <c r="D93" s="146" t="n">
        <f aca="false">C93*AY93</f>
        <v>3344719.26306435</v>
      </c>
      <c r="E93" s="147" t="n">
        <f aca="false">VLOOKUP($A93,[1]!CurveTable,MATCH($E$4,[1]!CurveType,0))</f>
        <v>4.2145</v>
      </c>
      <c r="F93" s="148" t="n">
        <f aca="false">E93-Inputs!$B$16</f>
        <v>4.2695</v>
      </c>
      <c r="G93" s="149" t="n">
        <f aca="false">F93</f>
        <v>4.2695</v>
      </c>
      <c r="H93" s="147" t="n">
        <f aca="false">VLOOKUP($A93,[1]!CurveTable,MATCH($H$4,[1]!CurveType,0))</f>
        <v>0.7</v>
      </c>
      <c r="I93" s="148" t="n">
        <f aca="false">H93+Inputs!$B$22</f>
        <v>0.7</v>
      </c>
      <c r="J93" s="150" t="n">
        <f aca="false">I93</f>
        <v>0.7</v>
      </c>
      <c r="K93" s="147" t="n">
        <f aca="false">VLOOKUP($A93,[1]!CurveTable,MATCH($K$4,[1]!CurveType,0))</f>
        <v>0</v>
      </c>
      <c r="L93" s="148" t="n">
        <v>0</v>
      </c>
      <c r="M93" s="151" t="n">
        <f aca="false">L93</f>
        <v>0</v>
      </c>
      <c r="N93" s="147" t="n">
        <f aca="false">VLOOKUP($A93,[1]!CurveTable,MATCH($N$4,[1]!CurveType,0))</f>
        <v>0.0175</v>
      </c>
      <c r="O93" s="148" t="n">
        <f aca="false">N93+Inputs!$E$22</f>
        <v>0.0175</v>
      </c>
      <c r="P93" s="151" t="n">
        <f aca="false">O93</f>
        <v>0.0175</v>
      </c>
      <c r="Q93" s="147" t="n">
        <f aca="false">VLOOKUP($A93,[1]!CurveTable,MATCH($Q$4,[1]!CurveType,0))</f>
        <v>0.01</v>
      </c>
      <c r="R93" s="148" t="n">
        <v>0</v>
      </c>
      <c r="S93" s="151" t="n">
        <f aca="false">R93</f>
        <v>0</v>
      </c>
      <c r="T93" s="152"/>
      <c r="U93" s="153" t="n">
        <f aca="false">G93+J93</f>
        <v>4.9695</v>
      </c>
      <c r="V93" s="154"/>
      <c r="W93" s="155" t="n">
        <f aca="false">VLOOKUP($A93,[1]!CurveTable,MATCH($W$4,[1]!CurveType,0))+$W$9</f>
        <v>0.36</v>
      </c>
      <c r="X93" s="155" t="n">
        <f aca="false">VLOOKUP($A93,[1]!CurveTable,MATCH($X$4,[1]!CurveType,0))+$X$9</f>
        <v>0.365</v>
      </c>
      <c r="Y93" s="139" t="n">
        <f aca="false">SQRT((X93^2*($A93-$C$3)+W93^2*(DAY(EOMONTH(A93,0))/2))/$AN93)</f>
        <v>0.363407772022414</v>
      </c>
      <c r="Z93" s="152"/>
      <c r="AA93" s="153" t="n">
        <f aca="false">G93+P93+S93</f>
        <v>4.287</v>
      </c>
      <c r="AB93" s="154"/>
      <c r="AC93" s="155" t="n">
        <f aca="false">VLOOKUP($A93,[1]!CurveTable,MATCH($AC$4,[1]!CurveType,0))+$AC$9</f>
        <v>0.18</v>
      </c>
      <c r="AD93" s="155" t="n">
        <f aca="false">VLOOKUP($A93,[1]!CurveTable,MATCH($AD$4,[1]!CurveType,0))+$AD$9</f>
        <v>0.185</v>
      </c>
      <c r="AE93" s="139" t="n">
        <f aca="false">SQRT((AD93^2*($A93-$C$3)+AC93^2*(DAY(EOMONTH(A93,0))/2))/$AN93)</f>
        <v>0.184200084864078</v>
      </c>
      <c r="AF93" s="152"/>
      <c r="AG93" s="156" t="n">
        <f aca="false">((Inputs!$F$20*(X93*AD93)*(A93-$C$3))+(Inputs!$F$19*W93*AC93*(DAY(EOMONTH(A93,0))/2)))/(AN93*Y93*AE93)</f>
        <v>0.750000197345355</v>
      </c>
      <c r="AH93" s="152"/>
      <c r="AI93" s="140" t="n">
        <f aca="false">Inputs!$B$15</f>
        <v>0.06</v>
      </c>
      <c r="AJ93" s="157"/>
      <c r="AK93" s="140" t="n">
        <f aca="false">IF((U93-AA93-AI93)&lt;0,0,(U93-AA93-AI93))</f>
        <v>0.6225</v>
      </c>
      <c r="AL93" s="157"/>
      <c r="AM93" s="158" t="n">
        <f aca="false">WORKDAY(EOMONTH(A93-1,-1),0)</f>
        <v>40633</v>
      </c>
      <c r="AN93" s="159" t="n">
        <f aca="false">AM93-$C$3</f>
        <v>-5293</v>
      </c>
      <c r="AO93" s="159" t="n">
        <f aca="false">AO92</f>
        <v>1</v>
      </c>
      <c r="AP93" s="160"/>
      <c r="AQ93" s="161" t="e">
        <f aca="false">SPRDOPT(U93,AA93,AI93,AX93,X93,AD93,AG93,AN93,AO93,0)</f>
        <v>#NAME?</v>
      </c>
      <c r="AR93" s="162" t="e">
        <f aca="false">AQ93*C93</f>
        <v>#NAME?</v>
      </c>
      <c r="AS93" s="163" t="e">
        <f aca="false">AQ93-AK93</f>
        <v>#NAME?</v>
      </c>
      <c r="AU93" s="112" t="n">
        <f aca="false">A94-A93</f>
        <v>31</v>
      </c>
      <c r="AV93" s="164" t="n">
        <f aca="false">CHOOSE(F$3,A94+24,A93+14)</f>
        <v>40678</v>
      </c>
      <c r="AW93" s="49" t="n">
        <f aca="false">AV93-C$3</f>
        <v>-5248</v>
      </c>
      <c r="AX93" s="155" t="n">
        <f aca="false">VLOOKUP($A93,[1]!CurveTable,MATCH(AX$4,[1]!CurveType,0))</f>
        <v>0.0542525059251124</v>
      </c>
      <c r="AY93" s="165" t="n">
        <f aca="false">1/(1+CHOOSE(F$3,(AX94+(Inputs!$B$14/10000))/2,(AX93+(Inputs!$B$14/10000))/2))^(2*AW93/365.25)</f>
        <v>2.15788339552539</v>
      </c>
      <c r="AZ93" s="49" t="n">
        <f aca="false">IF(AND(mthbeg&lt;=A93,mthend&gt;=A93),1,0)</f>
        <v>1</v>
      </c>
      <c r="BA93" s="111" t="n">
        <f aca="false">AU93*AZ93</f>
        <v>31</v>
      </c>
      <c r="BC93" s="142" t="n">
        <f aca="false">E93*$D93</f>
        <v>14096319.3341847</v>
      </c>
      <c r="BD93" s="142" t="n">
        <f aca="false">F93*$D93</f>
        <v>14280278.8936533</v>
      </c>
      <c r="BE93" s="142" t="n">
        <f aca="false">G93*$D93</f>
        <v>14280278.8936533</v>
      </c>
      <c r="BF93" s="142" t="n">
        <f aca="false">H93*$D93</f>
        <v>2341303.48414505</v>
      </c>
      <c r="BG93" s="142" t="n">
        <f aca="false">I93*$D93</f>
        <v>2341303.48414505</v>
      </c>
      <c r="BH93" s="142" t="n">
        <f aca="false">J93*$D93</f>
        <v>2341303.48414505</v>
      </c>
      <c r="BI93" s="142" t="n">
        <f aca="false">K93*$D93</f>
        <v>0</v>
      </c>
      <c r="BJ93" s="142" t="n">
        <f aca="false">L93*$D93</f>
        <v>0</v>
      </c>
      <c r="BK93" s="142" t="n">
        <f aca="false">M93*$D93</f>
        <v>0</v>
      </c>
      <c r="BL93" s="142" t="n">
        <f aca="false">N93*$D93</f>
        <v>58532.5871036262</v>
      </c>
      <c r="BM93" s="142" t="n">
        <f aca="false">O93*$D93</f>
        <v>58532.5871036262</v>
      </c>
      <c r="BN93" s="142" t="n">
        <f aca="false">P93*$D93</f>
        <v>58532.5871036262</v>
      </c>
      <c r="BO93" s="142" t="n">
        <f aca="false">Q93*$D93</f>
        <v>33447.1926306435</v>
      </c>
      <c r="BP93" s="142" t="n">
        <f aca="false">R93*$D93</f>
        <v>0</v>
      </c>
      <c r="BQ93" s="142" t="n">
        <f aca="false">S93*$D93</f>
        <v>0</v>
      </c>
      <c r="BR93" s="142" t="n">
        <f aca="false">U93*$D93</f>
        <v>16621582.3777983</v>
      </c>
      <c r="BS93" s="142" t="n">
        <f aca="false">AA93*$D93</f>
        <v>14338811.4807569</v>
      </c>
      <c r="BT93" s="142" t="n">
        <f aca="false">AI93*$D93</f>
        <v>200683.155783861</v>
      </c>
      <c r="BU93" s="142" t="n">
        <f aca="false">AK93*D93</f>
        <v>2082087.74125756</v>
      </c>
    </row>
    <row r="94" customFormat="false" ht="12.75" hidden="false" customHeight="false" outlineLevel="0" collapsed="false">
      <c r="A94" s="144" t="n">
        <f aca="false">EDATE(A93,1)</f>
        <v>40695</v>
      </c>
      <c r="B94" s="145" t="n">
        <f aca="false">Inputs!$B$8</f>
        <v>50000</v>
      </c>
      <c r="C94" s="146" t="n">
        <f aca="false">IF(AZ94=0,0,IF(AND(AZ94=1,$H$3=1),B94*AU94,IF($H$3=2,B94,"N/A")))</f>
        <v>1500000</v>
      </c>
      <c r="D94" s="146" t="n">
        <f aca="false">C94*AY94</f>
        <v>3227107.94513185</v>
      </c>
      <c r="E94" s="147" t="n">
        <f aca="false">VLOOKUP($A94,[1]!CurveTable,MATCH($E$4,[1]!CurveType,0))</f>
        <v>4.2525</v>
      </c>
      <c r="F94" s="148" t="n">
        <f aca="false">E94-Inputs!$B$16</f>
        <v>4.3075</v>
      </c>
      <c r="G94" s="149" t="n">
        <f aca="false">F94</f>
        <v>4.3075</v>
      </c>
      <c r="H94" s="147" t="n">
        <f aca="false">VLOOKUP($A94,[1]!CurveTable,MATCH($H$4,[1]!CurveType,0))</f>
        <v>0.8</v>
      </c>
      <c r="I94" s="148" t="n">
        <f aca="false">H94+Inputs!$B$22</f>
        <v>0.8</v>
      </c>
      <c r="J94" s="150" t="n">
        <f aca="false">I94</f>
        <v>0.8</v>
      </c>
      <c r="K94" s="147" t="n">
        <f aca="false">VLOOKUP($A94,[1]!CurveTable,MATCH($K$4,[1]!CurveType,0))</f>
        <v>0</v>
      </c>
      <c r="L94" s="148" t="n">
        <v>0</v>
      </c>
      <c r="M94" s="151" t="n">
        <f aca="false">L94</f>
        <v>0</v>
      </c>
      <c r="N94" s="147" t="n">
        <f aca="false">VLOOKUP($A94,[1]!CurveTable,MATCH($N$4,[1]!CurveType,0))</f>
        <v>0.015</v>
      </c>
      <c r="O94" s="148" t="n">
        <f aca="false">N94+Inputs!$E$22</f>
        <v>0.015</v>
      </c>
      <c r="P94" s="151" t="n">
        <f aca="false">O94</f>
        <v>0.015</v>
      </c>
      <c r="Q94" s="147" t="n">
        <f aca="false">VLOOKUP($A94,[1]!CurveTable,MATCH($Q$4,[1]!CurveType,0))</f>
        <v>0.01</v>
      </c>
      <c r="R94" s="148" t="n">
        <v>0</v>
      </c>
      <c r="S94" s="151" t="n">
        <f aca="false">R94</f>
        <v>0</v>
      </c>
      <c r="T94" s="152"/>
      <c r="U94" s="153" t="n">
        <f aca="false">G94+J94</f>
        <v>5.1075</v>
      </c>
      <c r="V94" s="154"/>
      <c r="W94" s="155" t="n">
        <f aca="false">VLOOKUP($A94,[1]!CurveTable,MATCH($W$4,[1]!CurveType,0))+$W$9</f>
        <v>0.36</v>
      </c>
      <c r="X94" s="155" t="n">
        <f aca="false">VLOOKUP($A94,[1]!CurveTable,MATCH($X$4,[1]!CurveType,0))+$X$9</f>
        <v>0.365</v>
      </c>
      <c r="Y94" s="139" t="n">
        <f aca="false">SQRT((X94^2*($A94-$C$3)+W94^2*(DAY(EOMONTH(A94,0))/2))/$AN94)</f>
        <v>0.363380787353843</v>
      </c>
      <c r="Z94" s="152"/>
      <c r="AA94" s="153" t="n">
        <f aca="false">G94+P94+S94</f>
        <v>4.3225</v>
      </c>
      <c r="AB94" s="154"/>
      <c r="AC94" s="155" t="n">
        <f aca="false">VLOOKUP($A94,[1]!CurveTable,MATCH($AC$4,[1]!CurveType,0))+$AC$9</f>
        <v>0.18</v>
      </c>
      <c r="AD94" s="155" t="n">
        <f aca="false">VLOOKUP($A94,[1]!CurveTable,MATCH($AD$4,[1]!CurveType,0))+$AD$9</f>
        <v>0.185</v>
      </c>
      <c r="AE94" s="139" t="n">
        <f aca="false">SQRT((AD94^2*($A94-$C$3)+AC94^2*(DAY(EOMONTH(A94,0))/2))/$AN94)</f>
        <v>0.18418621823277</v>
      </c>
      <c r="AF94" s="152"/>
      <c r="AG94" s="156" t="n">
        <f aca="false">((Inputs!$F$20*(X94*AD94)*(A94-$C$3))+(Inputs!$F$19*W94*AC94*(DAY(EOMONTH(A94,0))/2)))/(AN94*Y94*AE94)</f>
        <v>0.750000192082273</v>
      </c>
      <c r="AH94" s="152"/>
      <c r="AI94" s="140" t="n">
        <f aca="false">Inputs!$B$15</f>
        <v>0.06</v>
      </c>
      <c r="AJ94" s="157"/>
      <c r="AK94" s="140" t="n">
        <f aca="false">IF((U94-AA94-AI94)&lt;0,0,(U94-AA94-AI94))</f>
        <v>0.725</v>
      </c>
      <c r="AL94" s="157"/>
      <c r="AM94" s="158" t="n">
        <f aca="false">WORKDAY(EOMONTH(A94-1,-1),0)</f>
        <v>40663</v>
      </c>
      <c r="AN94" s="159" t="n">
        <f aca="false">AM94-$C$3</f>
        <v>-5263</v>
      </c>
      <c r="AO94" s="159" t="n">
        <f aca="false">AO93</f>
        <v>1</v>
      </c>
      <c r="AP94" s="160"/>
      <c r="AQ94" s="161" t="e">
        <f aca="false">SPRDOPT(U94,AA94,AI94,AX94,X94,AD94,AG94,AN94,AO94,0)</f>
        <v>#NAME?</v>
      </c>
      <c r="AR94" s="162" t="e">
        <f aca="false">AQ94*C94</f>
        <v>#NAME?</v>
      </c>
      <c r="AS94" s="163" t="e">
        <f aca="false">AQ94-AK94</f>
        <v>#NAME?</v>
      </c>
      <c r="AU94" s="112" t="n">
        <f aca="false">A95-A94</f>
        <v>30</v>
      </c>
      <c r="AV94" s="164" t="n">
        <f aca="false">CHOOSE(F$3,A95+24,A94+14)</f>
        <v>40709</v>
      </c>
      <c r="AW94" s="49" t="n">
        <f aca="false">AV94-C$3</f>
        <v>-5217</v>
      </c>
      <c r="AX94" s="155" t="n">
        <f aca="false">VLOOKUP($A94,[1]!CurveTable,MATCH(AX$4,[1]!CurveType,0))</f>
        <v>0.0543630118874447</v>
      </c>
      <c r="AY94" s="165" t="n">
        <f aca="false">1/(1+CHOOSE(F$3,(AX95+(Inputs!$B$14/10000))/2,(AX94+(Inputs!$B$14/10000))/2))^(2*AW94/365.25)</f>
        <v>2.15140529675457</v>
      </c>
      <c r="AZ94" s="49" t="n">
        <f aca="false">IF(AND(mthbeg&lt;=A94,mthend&gt;=A94),1,0)</f>
        <v>1</v>
      </c>
      <c r="BA94" s="111" t="n">
        <f aca="false">AU94*AZ94</f>
        <v>30</v>
      </c>
      <c r="BC94" s="142" t="n">
        <f aca="false">E94*$D94</f>
        <v>13723276.5366732</v>
      </c>
      <c r="BD94" s="142" t="n">
        <f aca="false">F94*$D94</f>
        <v>13900767.4736555</v>
      </c>
      <c r="BE94" s="142" t="n">
        <f aca="false">G94*$D94</f>
        <v>13900767.4736555</v>
      </c>
      <c r="BF94" s="142" t="n">
        <f aca="false">H94*$D94</f>
        <v>2581686.35610548</v>
      </c>
      <c r="BG94" s="142" t="n">
        <f aca="false">I94*$D94</f>
        <v>2581686.35610548</v>
      </c>
      <c r="BH94" s="142" t="n">
        <f aca="false">J94*$D94</f>
        <v>2581686.35610548</v>
      </c>
      <c r="BI94" s="142" t="n">
        <f aca="false">K94*$D94</f>
        <v>0</v>
      </c>
      <c r="BJ94" s="142" t="n">
        <f aca="false">L94*$D94</f>
        <v>0</v>
      </c>
      <c r="BK94" s="142" t="n">
        <f aca="false">M94*$D94</f>
        <v>0</v>
      </c>
      <c r="BL94" s="142" t="n">
        <f aca="false">N94*$D94</f>
        <v>48406.6191769778</v>
      </c>
      <c r="BM94" s="142" t="n">
        <f aca="false">O94*$D94</f>
        <v>48406.6191769778</v>
      </c>
      <c r="BN94" s="142" t="n">
        <f aca="false">P94*$D94</f>
        <v>48406.6191769778</v>
      </c>
      <c r="BO94" s="142" t="n">
        <f aca="false">Q94*$D94</f>
        <v>32271.0794513185</v>
      </c>
      <c r="BP94" s="142" t="n">
        <f aca="false">R94*$D94</f>
        <v>0</v>
      </c>
      <c r="BQ94" s="142" t="n">
        <f aca="false">S94*$D94</f>
        <v>0</v>
      </c>
      <c r="BR94" s="142" t="n">
        <f aca="false">U94*$D94</f>
        <v>16482453.8297609</v>
      </c>
      <c r="BS94" s="142" t="n">
        <f aca="false">AA94*$D94</f>
        <v>13949174.0928324</v>
      </c>
      <c r="BT94" s="142" t="n">
        <f aca="false">AI94*$D94</f>
        <v>193626.476707911</v>
      </c>
      <c r="BU94" s="142" t="n">
        <f aca="false">AK94*D94</f>
        <v>2339653.26022059</v>
      </c>
    </row>
    <row r="95" customFormat="false" ht="12.75" hidden="false" customHeight="false" outlineLevel="0" collapsed="false">
      <c r="A95" s="144" t="n">
        <f aca="false">EDATE(A94,1)</f>
        <v>40725</v>
      </c>
      <c r="B95" s="145" t="n">
        <f aca="false">Inputs!$B$8</f>
        <v>50000</v>
      </c>
      <c r="C95" s="146" t="n">
        <f aca="false">IF(AZ95=0,0,IF(AND(AZ95=1,$H$3=1),B95*AU95,IF($H$3=2,B95,"N/A")))</f>
        <v>1550000</v>
      </c>
      <c r="D95" s="146" t="n">
        <f aca="false">C95*AY95</f>
        <v>3324931.68933495</v>
      </c>
      <c r="E95" s="147" t="n">
        <f aca="false">VLOOKUP($A95,[1]!CurveTable,MATCH($E$4,[1]!CurveType,0))</f>
        <v>4.2975</v>
      </c>
      <c r="F95" s="148" t="n">
        <f aca="false">E95-Inputs!$B$16</f>
        <v>4.3525</v>
      </c>
      <c r="G95" s="149" t="n">
        <f aca="false">F95</f>
        <v>4.3525</v>
      </c>
      <c r="H95" s="147" t="n">
        <f aca="false">VLOOKUP($A95,[1]!CurveTable,MATCH($H$4,[1]!CurveType,0))</f>
        <v>1</v>
      </c>
      <c r="I95" s="148" t="n">
        <f aca="false">H95+Inputs!$B$22</f>
        <v>1</v>
      </c>
      <c r="J95" s="150" t="n">
        <f aca="false">I95</f>
        <v>1</v>
      </c>
      <c r="K95" s="147" t="n">
        <f aca="false">VLOOKUP($A95,[1]!CurveTable,MATCH($K$4,[1]!CurveType,0))</f>
        <v>0</v>
      </c>
      <c r="L95" s="148" t="n">
        <v>0</v>
      </c>
      <c r="M95" s="151" t="n">
        <f aca="false">L95</f>
        <v>0</v>
      </c>
      <c r="N95" s="147" t="n">
        <f aca="false">VLOOKUP($A95,[1]!CurveTable,MATCH($N$4,[1]!CurveType,0))</f>
        <v>0.0125</v>
      </c>
      <c r="O95" s="148" t="n">
        <f aca="false">N95+Inputs!$E$22</f>
        <v>0.0125</v>
      </c>
      <c r="P95" s="151" t="n">
        <f aca="false">O95</f>
        <v>0.0125</v>
      </c>
      <c r="Q95" s="147" t="n">
        <f aca="false">VLOOKUP($A95,[1]!CurveTable,MATCH($Q$4,[1]!CurveType,0))</f>
        <v>0.01</v>
      </c>
      <c r="R95" s="148" t="n">
        <v>0</v>
      </c>
      <c r="S95" s="151" t="n">
        <f aca="false">R95</f>
        <v>0</v>
      </c>
      <c r="T95" s="152"/>
      <c r="U95" s="153" t="n">
        <f aca="false">G95+J95</f>
        <v>5.3525</v>
      </c>
      <c r="V95" s="154"/>
      <c r="W95" s="155" t="n">
        <f aca="false">VLOOKUP($A95,[1]!CurveTable,MATCH($W$4,[1]!CurveType,0))+$W$9</f>
        <v>0.36</v>
      </c>
      <c r="X95" s="155" t="n">
        <f aca="false">VLOOKUP($A95,[1]!CurveTable,MATCH($X$4,[1]!CurveType,0))+$X$9</f>
        <v>0.365</v>
      </c>
      <c r="Y95" s="139" t="n">
        <f aca="false">SQRT((X95^2*($A95-$C$3)+W95^2*(DAY(EOMONTH(A95,0))/2))/$AN95)</f>
        <v>0.363389167058505</v>
      </c>
      <c r="Z95" s="152"/>
      <c r="AA95" s="153" t="n">
        <f aca="false">G95+P95+S95</f>
        <v>4.365</v>
      </c>
      <c r="AB95" s="154"/>
      <c r="AC95" s="155" t="n">
        <f aca="false">VLOOKUP($A95,[1]!CurveTable,MATCH($AC$4,[1]!CurveType,0))+$AC$9</f>
        <v>0.18</v>
      </c>
      <c r="AD95" s="155" t="n">
        <f aca="false">VLOOKUP($A95,[1]!CurveTable,MATCH($AD$4,[1]!CurveType,0))+$AD$9</f>
        <v>0.185</v>
      </c>
      <c r="AE95" s="139" t="n">
        <f aca="false">SQRT((AD95^2*($A95-$C$3)+AC95^2*(DAY(EOMONTH(A95,0))/2))/$AN95)</f>
        <v>0.184190738149011</v>
      </c>
      <c r="AF95" s="152"/>
      <c r="AG95" s="156" t="n">
        <f aca="false">((Inputs!$F$20*(X95*AD95)*(A95-$C$3))+(Inputs!$F$19*W95*AC95*(DAY(EOMONTH(A95,0))/2)))/(AN95*Y95*AE95)</f>
        <v>0.750000199673201</v>
      </c>
      <c r="AH95" s="152"/>
      <c r="AI95" s="140" t="n">
        <f aca="false">Inputs!$B$15</f>
        <v>0.06</v>
      </c>
      <c r="AJ95" s="157"/>
      <c r="AK95" s="140" t="n">
        <f aca="false">IF((U95-AA95-AI95)&lt;0,0,(U95-AA95-AI95))</f>
        <v>0.9275</v>
      </c>
      <c r="AL95" s="157"/>
      <c r="AM95" s="158" t="n">
        <f aca="false">WORKDAY(EOMONTH(A95-1,-1),0)</f>
        <v>40694</v>
      </c>
      <c r="AN95" s="159" t="n">
        <f aca="false">AM95-$C$3</f>
        <v>-5232</v>
      </c>
      <c r="AO95" s="159" t="n">
        <f aca="false">AO94</f>
        <v>1</v>
      </c>
      <c r="AP95" s="160"/>
      <c r="AQ95" s="161" t="e">
        <f aca="false">SPRDOPT(U95,AA95,AI95,AX95,X95,AD95,AG95,AN95,AO95,0)</f>
        <v>#NAME?</v>
      </c>
      <c r="AR95" s="162" t="e">
        <f aca="false">AQ95*C95</f>
        <v>#NAME?</v>
      </c>
      <c r="AS95" s="163" t="e">
        <f aca="false">AQ95-AK95</f>
        <v>#NAME?</v>
      </c>
      <c r="AU95" s="112" t="n">
        <f aca="false">A96-A95</f>
        <v>31</v>
      </c>
      <c r="AV95" s="164" t="n">
        <f aca="false">CHOOSE(F$3,A96+24,A95+14)</f>
        <v>40739</v>
      </c>
      <c r="AW95" s="49" t="n">
        <f aca="false">AV95-C$3</f>
        <v>-5187</v>
      </c>
      <c r="AX95" s="155" t="n">
        <f aca="false">VLOOKUP($A95,[1]!CurveTable,MATCH(AX$4,[1]!CurveType,0))</f>
        <v>0.0544699531451891</v>
      </c>
      <c r="AY95" s="165" t="n">
        <f aca="false">1/(1+CHOOSE(F$3,(AX96+(Inputs!$B$14/10000))/2,(AX95+(Inputs!$B$14/10000))/2))^(2*AW95/365.25)</f>
        <v>2.14511721892578</v>
      </c>
      <c r="AZ95" s="49" t="n">
        <f aca="false">IF(AND(mthbeg&lt;=A95,mthend&gt;=A95),1,0)</f>
        <v>1</v>
      </c>
      <c r="BA95" s="111" t="n">
        <f aca="false">AU95*AZ95</f>
        <v>31</v>
      </c>
      <c r="BC95" s="142" t="n">
        <f aca="false">E95*$D95</f>
        <v>14288893.934917</v>
      </c>
      <c r="BD95" s="142" t="n">
        <f aca="false">F95*$D95</f>
        <v>14471765.1778304</v>
      </c>
      <c r="BE95" s="142" t="n">
        <f aca="false">G95*$D95</f>
        <v>14471765.1778304</v>
      </c>
      <c r="BF95" s="142" t="n">
        <f aca="false">H95*$D95</f>
        <v>3324931.68933495</v>
      </c>
      <c r="BG95" s="142" t="n">
        <f aca="false">I95*$D95</f>
        <v>3324931.68933495</v>
      </c>
      <c r="BH95" s="142" t="n">
        <f aca="false">J95*$D95</f>
        <v>3324931.68933495</v>
      </c>
      <c r="BI95" s="142" t="n">
        <f aca="false">K95*$D95</f>
        <v>0</v>
      </c>
      <c r="BJ95" s="142" t="n">
        <f aca="false">L95*$D95</f>
        <v>0</v>
      </c>
      <c r="BK95" s="142" t="n">
        <f aca="false">M95*$D95</f>
        <v>0</v>
      </c>
      <c r="BL95" s="142" t="n">
        <f aca="false">N95*$D95</f>
        <v>41561.6461166869</v>
      </c>
      <c r="BM95" s="142" t="n">
        <f aca="false">O95*$D95</f>
        <v>41561.6461166869</v>
      </c>
      <c r="BN95" s="142" t="n">
        <f aca="false">P95*$D95</f>
        <v>41561.6461166869</v>
      </c>
      <c r="BO95" s="142" t="n">
        <f aca="false">Q95*$D95</f>
        <v>33249.3168933495</v>
      </c>
      <c r="BP95" s="142" t="n">
        <f aca="false">R95*$D95</f>
        <v>0</v>
      </c>
      <c r="BQ95" s="142" t="n">
        <f aca="false">S95*$D95</f>
        <v>0</v>
      </c>
      <c r="BR95" s="142" t="n">
        <f aca="false">U95*$D95</f>
        <v>17796696.8671653</v>
      </c>
      <c r="BS95" s="142" t="n">
        <f aca="false">AA95*$D95</f>
        <v>14513326.8239471</v>
      </c>
      <c r="BT95" s="142" t="n">
        <f aca="false">AI95*$D95</f>
        <v>199495.901360097</v>
      </c>
      <c r="BU95" s="142" t="n">
        <f aca="false">AK95*D95</f>
        <v>3083874.14185817</v>
      </c>
    </row>
    <row r="96" customFormat="false" ht="12.75" hidden="false" customHeight="false" outlineLevel="0" collapsed="false">
      <c r="A96" s="144" t="n">
        <f aca="false">EDATE(A95,1)</f>
        <v>40756</v>
      </c>
      <c r="B96" s="145" t="n">
        <f aca="false">Inputs!$B$8</f>
        <v>50000</v>
      </c>
      <c r="C96" s="146" t="n">
        <f aca="false">IF(AZ96=0,0,IF(AND(AZ96=1,$H$3=1),B96*AU96,IF($H$3=2,B96,"N/A")))</f>
        <v>1550000</v>
      </c>
      <c r="D96" s="146" t="n">
        <f aca="false">C96*AY96</f>
        <v>3314830.38767198</v>
      </c>
      <c r="E96" s="147" t="n">
        <f aca="false">VLOOKUP($A96,[1]!CurveTable,MATCH($E$4,[1]!CurveType,0))</f>
        <v>4.3355</v>
      </c>
      <c r="F96" s="148" t="n">
        <f aca="false">E96-Inputs!$B$16</f>
        <v>4.3905</v>
      </c>
      <c r="G96" s="149" t="n">
        <f aca="false">F96</f>
        <v>4.3905</v>
      </c>
      <c r="H96" s="147" t="n">
        <f aca="false">VLOOKUP($A96,[1]!CurveTable,MATCH($H$4,[1]!CurveType,0))</f>
        <v>1</v>
      </c>
      <c r="I96" s="148" t="n">
        <f aca="false">H96+Inputs!$B$22</f>
        <v>1</v>
      </c>
      <c r="J96" s="150" t="n">
        <f aca="false">I96</f>
        <v>1</v>
      </c>
      <c r="K96" s="147" t="n">
        <f aca="false">VLOOKUP($A96,[1]!CurveTable,MATCH($K$4,[1]!CurveType,0))</f>
        <v>0</v>
      </c>
      <c r="L96" s="148" t="n">
        <v>0</v>
      </c>
      <c r="M96" s="151" t="n">
        <f aca="false">L96</f>
        <v>0</v>
      </c>
      <c r="N96" s="147" t="n">
        <f aca="false">VLOOKUP($A96,[1]!CurveTable,MATCH($N$4,[1]!CurveType,0))</f>
        <v>0.0125</v>
      </c>
      <c r="O96" s="148" t="n">
        <f aca="false">N96+Inputs!$E$22</f>
        <v>0.0125</v>
      </c>
      <c r="P96" s="151" t="n">
        <f aca="false">O96</f>
        <v>0.0125</v>
      </c>
      <c r="Q96" s="147" t="n">
        <f aca="false">VLOOKUP($A96,[1]!CurveTable,MATCH($Q$4,[1]!CurveType,0))</f>
        <v>0.01</v>
      </c>
      <c r="R96" s="148" t="n">
        <v>0</v>
      </c>
      <c r="S96" s="151" t="n">
        <f aca="false">R96</f>
        <v>0</v>
      </c>
      <c r="T96" s="152"/>
      <c r="U96" s="153" t="n">
        <f aca="false">G96+J96</f>
        <v>5.3905</v>
      </c>
      <c r="V96" s="154"/>
      <c r="W96" s="155" t="n">
        <f aca="false">VLOOKUP($A96,[1]!CurveTable,MATCH($W$4,[1]!CurveType,0))+$W$9</f>
        <v>0.36</v>
      </c>
      <c r="X96" s="155" t="n">
        <f aca="false">VLOOKUP($A96,[1]!CurveTable,MATCH($X$4,[1]!CurveType,0))+$X$9</f>
        <v>0.365</v>
      </c>
      <c r="Y96" s="139" t="n">
        <f aca="false">SQRT((X96^2*($A96-$C$3)+W96^2*(DAY(EOMONTH(A96,0))/2))/$AN96)</f>
        <v>0.363344615868758</v>
      </c>
      <c r="Z96" s="152"/>
      <c r="AA96" s="153" t="n">
        <f aca="false">G96+P96+S96</f>
        <v>4.403</v>
      </c>
      <c r="AB96" s="154"/>
      <c r="AC96" s="155" t="n">
        <f aca="false">VLOOKUP($A96,[1]!CurveTable,MATCH($AC$4,[1]!CurveType,0))+$AC$9</f>
        <v>0.18</v>
      </c>
      <c r="AD96" s="155" t="n">
        <f aca="false">VLOOKUP($A96,[1]!CurveTable,MATCH($AD$4,[1]!CurveType,0))+$AD$9</f>
        <v>0.185</v>
      </c>
      <c r="AE96" s="139" t="n">
        <f aca="false">SQRT((AD96^2*($A96-$C$3)+AC96^2*(DAY(EOMONTH(A96,0))/2))/$AN96)</f>
        <v>0.184168199746238</v>
      </c>
      <c r="AF96" s="152"/>
      <c r="AG96" s="156" t="n">
        <f aca="false">((Inputs!$F$20*(X96*AD96)*(A96-$C$3))+(Inputs!$F$19*W96*AC96*(DAY(EOMONTH(A96,0))/2)))/(AN96*Y96*AE96)</f>
        <v>0.750000200877378</v>
      </c>
      <c r="AH96" s="152"/>
      <c r="AI96" s="140" t="n">
        <f aca="false">Inputs!$B$15</f>
        <v>0.06</v>
      </c>
      <c r="AJ96" s="157"/>
      <c r="AK96" s="140" t="n">
        <f aca="false">IF((U96-AA96-AI96)&lt;0,0,(U96-AA96-AI96))</f>
        <v>0.9275</v>
      </c>
      <c r="AL96" s="157"/>
      <c r="AM96" s="158" t="n">
        <f aca="false">WORKDAY(EOMONTH(A96-1,-1),0)</f>
        <v>40724</v>
      </c>
      <c r="AN96" s="159" t="n">
        <f aca="false">AM96-$C$3</f>
        <v>-5202</v>
      </c>
      <c r="AO96" s="159" t="n">
        <f aca="false">AO95</f>
        <v>1</v>
      </c>
      <c r="AP96" s="160"/>
      <c r="AQ96" s="161" t="e">
        <f aca="false">SPRDOPT(U96,AA96,AI96,AX96,X96,AD96,AG96,AN96,AO96,0)</f>
        <v>#NAME?</v>
      </c>
      <c r="AR96" s="162" t="e">
        <f aca="false">AQ96*C96</f>
        <v>#NAME?</v>
      </c>
      <c r="AS96" s="163" t="e">
        <f aca="false">AQ96-AK96</f>
        <v>#NAME?</v>
      </c>
      <c r="AU96" s="112" t="n">
        <f aca="false">A97-A96</f>
        <v>31</v>
      </c>
      <c r="AV96" s="164" t="n">
        <f aca="false">CHOOSE(F$3,A97+24,A96+14)</f>
        <v>40770</v>
      </c>
      <c r="AW96" s="49" t="n">
        <f aca="false">AV96-C$3</f>
        <v>-5156</v>
      </c>
      <c r="AX96" s="155" t="n">
        <f aca="false">VLOOKUP($A96,[1]!CurveTable,MATCH(AX$4,[1]!CurveType,0))</f>
        <v>0.0545804591155274</v>
      </c>
      <c r="AY96" s="165" t="n">
        <f aca="false">1/(1+CHOOSE(F$3,(AX97+(Inputs!$B$14/10000))/2,(AX96+(Inputs!$B$14/10000))/2))^(2*AW96/365.25)</f>
        <v>2.13860025011095</v>
      </c>
      <c r="AZ96" s="49" t="n">
        <f aca="false">IF(AND(mthbeg&lt;=A96,mthend&gt;=A96),1,0)</f>
        <v>1</v>
      </c>
      <c r="BA96" s="111" t="n">
        <f aca="false">AU96*AZ96</f>
        <v>31</v>
      </c>
      <c r="BC96" s="142" t="n">
        <f aca="false">E96*$D96</f>
        <v>14371447.1457519</v>
      </c>
      <c r="BD96" s="142" t="n">
        <f aca="false">F96*$D96</f>
        <v>14553762.8170738</v>
      </c>
      <c r="BE96" s="142" t="n">
        <f aca="false">G96*$D96</f>
        <v>14553762.8170738</v>
      </c>
      <c r="BF96" s="142" t="n">
        <f aca="false">H96*$D96</f>
        <v>3314830.38767198</v>
      </c>
      <c r="BG96" s="142" t="n">
        <f aca="false">I96*$D96</f>
        <v>3314830.38767198</v>
      </c>
      <c r="BH96" s="142" t="n">
        <f aca="false">J96*$D96</f>
        <v>3314830.38767198</v>
      </c>
      <c r="BI96" s="142" t="n">
        <f aca="false">K96*$D96</f>
        <v>0</v>
      </c>
      <c r="BJ96" s="142" t="n">
        <f aca="false">L96*$D96</f>
        <v>0</v>
      </c>
      <c r="BK96" s="142" t="n">
        <f aca="false">M96*$D96</f>
        <v>0</v>
      </c>
      <c r="BL96" s="142" t="n">
        <f aca="false">N96*$D96</f>
        <v>41435.3798458997</v>
      </c>
      <c r="BM96" s="142" t="n">
        <f aca="false">O96*$D96</f>
        <v>41435.3798458997</v>
      </c>
      <c r="BN96" s="142" t="n">
        <f aca="false">P96*$D96</f>
        <v>41435.3798458997</v>
      </c>
      <c r="BO96" s="142" t="n">
        <f aca="false">Q96*$D96</f>
        <v>33148.3038767198</v>
      </c>
      <c r="BP96" s="142" t="n">
        <f aca="false">R96*$D96</f>
        <v>0</v>
      </c>
      <c r="BQ96" s="142" t="n">
        <f aca="false">S96*$D96</f>
        <v>0</v>
      </c>
      <c r="BR96" s="142" t="n">
        <f aca="false">U96*$D96</f>
        <v>17868593.2047458</v>
      </c>
      <c r="BS96" s="142" t="n">
        <f aca="false">AA96*$D96</f>
        <v>14595198.1969197</v>
      </c>
      <c r="BT96" s="142" t="n">
        <f aca="false">AI96*$D96</f>
        <v>198889.823260319</v>
      </c>
      <c r="BU96" s="142" t="n">
        <f aca="false">AK96*D96</f>
        <v>3074505.18456576</v>
      </c>
    </row>
    <row r="97" customFormat="false" ht="12.75" hidden="false" customHeight="false" outlineLevel="0" collapsed="false">
      <c r="A97" s="144" t="n">
        <f aca="false">EDATE(A96,1)</f>
        <v>40787</v>
      </c>
      <c r="B97" s="145" t="n">
        <f aca="false">Inputs!$B$8</f>
        <v>50000</v>
      </c>
      <c r="C97" s="146" t="n">
        <f aca="false">IF(AZ97=0,0,IF(AND(AZ97=1,$H$3=1),B97*AU97,IF($H$3=2,B97,"N/A")))</f>
        <v>1500000</v>
      </c>
      <c r="D97" s="146" t="n">
        <f aca="false">C97*AY97</f>
        <v>3198095.96235292</v>
      </c>
      <c r="E97" s="147" t="n">
        <f aca="false">VLOOKUP($A97,[1]!CurveTable,MATCH($E$4,[1]!CurveType,0))</f>
        <v>4.3295</v>
      </c>
      <c r="F97" s="148" t="n">
        <f aca="false">E97-Inputs!$B$16</f>
        <v>4.3845</v>
      </c>
      <c r="G97" s="149" t="n">
        <f aca="false">F97</f>
        <v>4.3845</v>
      </c>
      <c r="H97" s="147" t="n">
        <f aca="false">VLOOKUP($A97,[1]!CurveTable,MATCH($H$4,[1]!CurveType,0))</f>
        <v>0.6</v>
      </c>
      <c r="I97" s="148" t="n">
        <f aca="false">H97+Inputs!$B$22</f>
        <v>0.6</v>
      </c>
      <c r="J97" s="150" t="n">
        <f aca="false">I97</f>
        <v>0.6</v>
      </c>
      <c r="K97" s="147" t="n">
        <f aca="false">VLOOKUP($A97,[1]!CurveTable,MATCH($K$4,[1]!CurveType,0))</f>
        <v>0</v>
      </c>
      <c r="L97" s="148" t="n">
        <v>0</v>
      </c>
      <c r="M97" s="151" t="n">
        <f aca="false">L97</f>
        <v>0</v>
      </c>
      <c r="N97" s="147" t="n">
        <f aca="false">VLOOKUP($A97,[1]!CurveTable,MATCH($N$4,[1]!CurveType,0))</f>
        <v>0.0125</v>
      </c>
      <c r="O97" s="148" t="n">
        <f aca="false">N97+Inputs!$E$22</f>
        <v>0.0125</v>
      </c>
      <c r="P97" s="151" t="n">
        <f aca="false">O97</f>
        <v>0.0125</v>
      </c>
      <c r="Q97" s="147" t="n">
        <f aca="false">VLOOKUP($A97,[1]!CurveTable,MATCH($Q$4,[1]!CurveType,0))</f>
        <v>0.01</v>
      </c>
      <c r="R97" s="148" t="n">
        <v>0</v>
      </c>
      <c r="S97" s="151" t="n">
        <f aca="false">R97</f>
        <v>0</v>
      </c>
      <c r="T97" s="152"/>
      <c r="U97" s="153" t="n">
        <f aca="false">G97+J97</f>
        <v>4.9845</v>
      </c>
      <c r="V97" s="154"/>
      <c r="W97" s="155" t="n">
        <f aca="false">VLOOKUP($A97,[1]!CurveTable,MATCH($W$4,[1]!CurveType,0))+$W$9</f>
        <v>0.36</v>
      </c>
      <c r="X97" s="155" t="n">
        <f aca="false">VLOOKUP($A97,[1]!CurveTable,MATCH($X$4,[1]!CurveType,0))+$X$9</f>
        <v>0.365</v>
      </c>
      <c r="Y97" s="139" t="n">
        <f aca="false">SQRT((X97^2*($A97-$C$3)+W97^2*(DAY(EOMONTH(A97,0))/2))/$AN97)</f>
        <v>0.363351913752516</v>
      </c>
      <c r="Z97" s="152"/>
      <c r="AA97" s="153" t="n">
        <f aca="false">G97+P97+S97</f>
        <v>4.397</v>
      </c>
      <c r="AB97" s="154"/>
      <c r="AC97" s="155" t="n">
        <f aca="false">VLOOKUP($A97,[1]!CurveTable,MATCH($AC$4,[1]!CurveType,0))+$AC$9</f>
        <v>0.18</v>
      </c>
      <c r="AD97" s="155" t="n">
        <f aca="false">VLOOKUP($A97,[1]!CurveTable,MATCH($AD$4,[1]!CurveType,0))+$AD$9</f>
        <v>0.185</v>
      </c>
      <c r="AE97" s="139" t="n">
        <f aca="false">SQRT((AD97^2*($A97-$C$3)+AC97^2*(DAY(EOMONTH(A97,0))/2))/$AN97)</f>
        <v>0.184171707253998</v>
      </c>
      <c r="AF97" s="152"/>
      <c r="AG97" s="156" t="n">
        <f aca="false">((Inputs!$F$20*(X97*AD97)*(A97-$C$3))+(Inputs!$F$19*W97*AC97*(DAY(EOMONTH(A97,0))/2)))/(AN97*Y97*AE97)</f>
        <v>0.75000019554031</v>
      </c>
      <c r="AH97" s="152"/>
      <c r="AI97" s="140" t="n">
        <f aca="false">Inputs!$B$15</f>
        <v>0.06</v>
      </c>
      <c r="AJ97" s="157"/>
      <c r="AK97" s="140" t="n">
        <f aca="false">IF((U97-AA97-AI97)&lt;0,0,(U97-AA97-AI97))</f>
        <v>0.527499999999999</v>
      </c>
      <c r="AL97" s="157"/>
      <c r="AM97" s="158" t="n">
        <f aca="false">WORKDAY(EOMONTH(A97-1,-1),0)</f>
        <v>40755</v>
      </c>
      <c r="AN97" s="159" t="n">
        <f aca="false">AM97-$C$3</f>
        <v>-5171</v>
      </c>
      <c r="AO97" s="159" t="n">
        <f aca="false">AO96</f>
        <v>1</v>
      </c>
      <c r="AP97" s="160"/>
      <c r="AQ97" s="161" t="e">
        <f aca="false">SPRDOPT(U97,AA97,AI97,AX97,X97,AD97,AG97,AN97,AO97,0)</f>
        <v>#NAME?</v>
      </c>
      <c r="AR97" s="162" t="e">
        <f aca="false">AQ97*C97</f>
        <v>#NAME?</v>
      </c>
      <c r="AS97" s="163" t="e">
        <f aca="false">AQ97-AK97</f>
        <v>#NAME?</v>
      </c>
      <c r="AU97" s="112" t="n">
        <f aca="false">A98-A97</f>
        <v>30</v>
      </c>
      <c r="AV97" s="164" t="n">
        <f aca="false">CHOOSE(F$3,A98+24,A97+14)</f>
        <v>40801</v>
      </c>
      <c r="AW97" s="49" t="n">
        <f aca="false">AV97-C$3</f>
        <v>-5125</v>
      </c>
      <c r="AX97" s="155" t="n">
        <f aca="false">VLOOKUP($A97,[1]!CurveTable,MATCH(AX$4,[1]!CurveType,0))</f>
        <v>0.0546909650899341</v>
      </c>
      <c r="AY97" s="165" t="n">
        <f aca="false">1/(1+CHOOSE(F$3,(AX98+(Inputs!$B$14/10000))/2,(AX97+(Inputs!$B$14/10000))/2))^(2*AW97/365.25)</f>
        <v>2.13206397490195</v>
      </c>
      <c r="AZ97" s="49" t="n">
        <f aca="false">IF(AND(mthbeg&lt;=A97,mthend&gt;=A97),1,0)</f>
        <v>1</v>
      </c>
      <c r="BA97" s="111" t="n">
        <f aca="false">AU97*AZ97</f>
        <v>30</v>
      </c>
      <c r="BC97" s="142" t="n">
        <f aca="false">E97*$D97</f>
        <v>13846156.469007</v>
      </c>
      <c r="BD97" s="142" t="n">
        <f aca="false">F97*$D97</f>
        <v>14022051.7469364</v>
      </c>
      <c r="BE97" s="142" t="n">
        <f aca="false">G97*$D97</f>
        <v>14022051.7469364</v>
      </c>
      <c r="BF97" s="142" t="n">
        <f aca="false">H97*$D97</f>
        <v>1918857.57741175</v>
      </c>
      <c r="BG97" s="142" t="n">
        <f aca="false">I97*$D97</f>
        <v>1918857.57741175</v>
      </c>
      <c r="BH97" s="142" t="n">
        <f aca="false">J97*$D97</f>
        <v>1918857.57741175</v>
      </c>
      <c r="BI97" s="142" t="n">
        <f aca="false">K97*$D97</f>
        <v>0</v>
      </c>
      <c r="BJ97" s="142" t="n">
        <f aca="false">L97*$D97</f>
        <v>0</v>
      </c>
      <c r="BK97" s="142" t="n">
        <f aca="false">M97*$D97</f>
        <v>0</v>
      </c>
      <c r="BL97" s="142" t="n">
        <f aca="false">N97*$D97</f>
        <v>39976.1995294115</v>
      </c>
      <c r="BM97" s="142" t="n">
        <f aca="false">O97*$D97</f>
        <v>39976.1995294115</v>
      </c>
      <c r="BN97" s="142" t="n">
        <f aca="false">P97*$D97</f>
        <v>39976.1995294115</v>
      </c>
      <c r="BO97" s="142" t="n">
        <f aca="false">Q97*$D97</f>
        <v>31980.9596235292</v>
      </c>
      <c r="BP97" s="142" t="n">
        <f aca="false">R97*$D97</f>
        <v>0</v>
      </c>
      <c r="BQ97" s="142" t="n">
        <f aca="false">S97*$D97</f>
        <v>0</v>
      </c>
      <c r="BR97" s="142" t="n">
        <f aca="false">U97*$D97</f>
        <v>15940909.3243481</v>
      </c>
      <c r="BS97" s="142" t="n">
        <f aca="false">AA97*$D97</f>
        <v>14062027.9464658</v>
      </c>
      <c r="BT97" s="142" t="n">
        <f aca="false">AI97*$D97</f>
        <v>191885.757741175</v>
      </c>
      <c r="BU97" s="142" t="n">
        <f aca="false">AK97*D97</f>
        <v>1686995.62014116</v>
      </c>
    </row>
    <row r="98" customFormat="false" ht="12.75" hidden="false" customHeight="false" outlineLevel="0" collapsed="false">
      <c r="A98" s="144" t="n">
        <f aca="false">EDATE(A97,1)</f>
        <v>40817</v>
      </c>
      <c r="B98" s="145" t="n">
        <f aca="false">Inputs!$B$8</f>
        <v>50000</v>
      </c>
      <c r="C98" s="146" t="n">
        <f aca="false">IF(AZ98=0,0,IF(AND(AZ98=1,$H$3=1),B98*AU98,IF($H$3=2,B98,"N/A")))</f>
        <v>1550000</v>
      </c>
      <c r="D98" s="146" t="n">
        <f aca="false">C98*AY98</f>
        <v>3294866.69603183</v>
      </c>
      <c r="E98" s="147" t="n">
        <f aca="false">VLOOKUP($A98,[1]!CurveTable,MATCH($E$4,[1]!CurveType,0))</f>
        <v>4.3295</v>
      </c>
      <c r="F98" s="148" t="n">
        <f aca="false">E98-Inputs!$B$16</f>
        <v>4.3845</v>
      </c>
      <c r="G98" s="149" t="n">
        <f aca="false">F98</f>
        <v>4.3845</v>
      </c>
      <c r="H98" s="147" t="n">
        <f aca="false">VLOOKUP($A98,[1]!CurveTable,MATCH($H$4,[1]!CurveType,0))</f>
        <v>0.3</v>
      </c>
      <c r="I98" s="148" t="n">
        <f aca="false">H98+Inputs!$B$22</f>
        <v>0.3</v>
      </c>
      <c r="J98" s="150" t="n">
        <f aca="false">I98</f>
        <v>0.3</v>
      </c>
      <c r="K98" s="147" t="n">
        <f aca="false">VLOOKUP($A98,[1]!CurveTable,MATCH($K$4,[1]!CurveType,0))</f>
        <v>0</v>
      </c>
      <c r="L98" s="148" t="n">
        <v>0</v>
      </c>
      <c r="M98" s="151" t="n">
        <f aca="false">L98</f>
        <v>0</v>
      </c>
      <c r="N98" s="147" t="n">
        <f aca="false">VLOOKUP($A98,[1]!CurveTable,MATCH($N$4,[1]!CurveType,0))</f>
        <v>0.011</v>
      </c>
      <c r="O98" s="148" t="n">
        <f aca="false">N98+Inputs!$E$22</f>
        <v>0.011</v>
      </c>
      <c r="P98" s="151" t="n">
        <f aca="false">O98</f>
        <v>0.011</v>
      </c>
      <c r="Q98" s="147" t="n">
        <f aca="false">VLOOKUP($A98,[1]!CurveTable,MATCH($Q$4,[1]!CurveType,0))</f>
        <v>0.01</v>
      </c>
      <c r="R98" s="148" t="n">
        <v>0</v>
      </c>
      <c r="S98" s="151" t="n">
        <f aca="false">R98</f>
        <v>0</v>
      </c>
      <c r="T98" s="152"/>
      <c r="U98" s="153" t="n">
        <f aca="false">G98+J98</f>
        <v>4.6845</v>
      </c>
      <c r="V98" s="154"/>
      <c r="W98" s="155" t="n">
        <f aca="false">VLOOKUP($A98,[1]!CurveTable,MATCH($W$4,[1]!CurveType,0))+$W$9</f>
        <v>0.18</v>
      </c>
      <c r="X98" s="155" t="n">
        <f aca="false">VLOOKUP($A98,[1]!CurveTable,MATCH($X$4,[1]!CurveType,0))+$X$9</f>
        <v>0.185</v>
      </c>
      <c r="Y98" s="139" t="n">
        <f aca="false">SQRT((X98^2*($A98-$C$3)+W98^2*(DAY(EOMONTH(A98,0))/2))/$AN98)</f>
        <v>0.184176220914087</v>
      </c>
      <c r="Z98" s="152"/>
      <c r="AA98" s="153" t="n">
        <f aca="false">G98+P98+S98</f>
        <v>4.3955</v>
      </c>
      <c r="AB98" s="154"/>
      <c r="AC98" s="155" t="n">
        <f aca="false">VLOOKUP($A98,[1]!CurveTable,MATCH($AC$4,[1]!CurveType,0))+$AC$9</f>
        <v>0.18</v>
      </c>
      <c r="AD98" s="155" t="n">
        <f aca="false">VLOOKUP($A98,[1]!CurveTable,MATCH($AD$4,[1]!CurveType,0))+$AD$9</f>
        <v>0.185</v>
      </c>
      <c r="AE98" s="139" t="n">
        <f aca="false">SQRT((AD98^2*($A98-$C$3)+AC98^2*(DAY(EOMONTH(A98,0))/2))/$AN98)</f>
        <v>0.184176220914087</v>
      </c>
      <c r="AF98" s="152"/>
      <c r="AG98" s="156" t="n">
        <f aca="false">((Inputs!$F$20*(X98*AD98)*(A98-$C$3))+(Inputs!$F$19*W98*AC98*(DAY(EOMONTH(A98,0))/2)))/(AN98*Y98*AE98)</f>
        <v>0.75</v>
      </c>
      <c r="AH98" s="152"/>
      <c r="AI98" s="140" t="n">
        <f aca="false">Inputs!$B$15</f>
        <v>0.06</v>
      </c>
      <c r="AJ98" s="157"/>
      <c r="AK98" s="140" t="n">
        <f aca="false">IF((U98-AA98-AI98)&lt;0,0,(U98-AA98-AI98))</f>
        <v>0.229</v>
      </c>
      <c r="AL98" s="157"/>
      <c r="AM98" s="158" t="n">
        <f aca="false">WORKDAY(EOMONTH(A98-1,-1),0)</f>
        <v>40786</v>
      </c>
      <c r="AN98" s="159" t="n">
        <f aca="false">AM98-$C$3</f>
        <v>-5140</v>
      </c>
      <c r="AO98" s="159" t="n">
        <f aca="false">AO97</f>
        <v>1</v>
      </c>
      <c r="AP98" s="160"/>
      <c r="AQ98" s="161" t="e">
        <f aca="false">SPRDOPT(U98,AA98,AI98,AX98,X98,AD98,AG98,AN98,AO98,0)</f>
        <v>#NAME?</v>
      </c>
      <c r="AR98" s="162" t="e">
        <f aca="false">AQ98*C98</f>
        <v>#NAME?</v>
      </c>
      <c r="AS98" s="163" t="e">
        <f aca="false">AQ98-AK98</f>
        <v>#NAME?</v>
      </c>
      <c r="AU98" s="112" t="n">
        <f aca="false">A99-A98</f>
        <v>31</v>
      </c>
      <c r="AV98" s="164" t="n">
        <f aca="false">CHOOSE(F$3,A99+24,A98+14)</f>
        <v>40831</v>
      </c>
      <c r="AW98" s="49" t="n">
        <f aca="false">AV98-C$3</f>
        <v>-5095</v>
      </c>
      <c r="AX98" s="155" t="n">
        <f aca="false">VLOOKUP($A98,[1]!CurveTable,MATCH(AX$4,[1]!CurveType,0))</f>
        <v>0.054797906359362</v>
      </c>
      <c r="AY98" s="165" t="n">
        <f aca="false">1/(1+CHOOSE(F$3,(AX99+(Inputs!$B$14/10000))/2,(AX98+(Inputs!$B$14/10000))/2))^(2*AW98/365.25)</f>
        <v>2.12572044905279</v>
      </c>
      <c r="AZ98" s="49" t="n">
        <f aca="false">IF(AND(mthbeg&lt;=A98,mthend&gt;=A98),1,0)</f>
        <v>1</v>
      </c>
      <c r="BA98" s="111" t="n">
        <f aca="false">AU98*AZ98</f>
        <v>31</v>
      </c>
      <c r="BC98" s="142" t="n">
        <f aca="false">E98*$D98</f>
        <v>14265125.3604698</v>
      </c>
      <c r="BD98" s="142" t="n">
        <f aca="false">F98*$D98</f>
        <v>14446343.0287515</v>
      </c>
      <c r="BE98" s="142" t="n">
        <f aca="false">G98*$D98</f>
        <v>14446343.0287515</v>
      </c>
      <c r="BF98" s="142" t="n">
        <f aca="false">H98*$D98</f>
        <v>988460.008809548</v>
      </c>
      <c r="BG98" s="142" t="n">
        <f aca="false">I98*$D98</f>
        <v>988460.008809548</v>
      </c>
      <c r="BH98" s="142" t="n">
        <f aca="false">J98*$D98</f>
        <v>988460.008809548</v>
      </c>
      <c r="BI98" s="142" t="n">
        <f aca="false">K98*$D98</f>
        <v>0</v>
      </c>
      <c r="BJ98" s="142" t="n">
        <f aca="false">L98*$D98</f>
        <v>0</v>
      </c>
      <c r="BK98" s="142" t="n">
        <f aca="false">M98*$D98</f>
        <v>0</v>
      </c>
      <c r="BL98" s="142" t="n">
        <f aca="false">N98*$D98</f>
        <v>36243.5336563501</v>
      </c>
      <c r="BM98" s="142" t="n">
        <f aca="false">O98*$D98</f>
        <v>36243.5336563501</v>
      </c>
      <c r="BN98" s="142" t="n">
        <f aca="false">P98*$D98</f>
        <v>36243.5336563501</v>
      </c>
      <c r="BO98" s="142" t="n">
        <f aca="false">Q98*$D98</f>
        <v>32948.6669603183</v>
      </c>
      <c r="BP98" s="142" t="n">
        <f aca="false">R98*$D98</f>
        <v>0</v>
      </c>
      <c r="BQ98" s="142" t="n">
        <f aca="false">S98*$D98</f>
        <v>0</v>
      </c>
      <c r="BR98" s="142" t="n">
        <f aca="false">U98*$D98</f>
        <v>15434803.0375611</v>
      </c>
      <c r="BS98" s="142" t="n">
        <f aca="false">AA98*$D98</f>
        <v>14482586.5624079</v>
      </c>
      <c r="BT98" s="142" t="n">
        <f aca="false">AI98*$D98</f>
        <v>197692.00176191</v>
      </c>
      <c r="BU98" s="142" t="n">
        <f aca="false">AK98*D98</f>
        <v>754524.473391287</v>
      </c>
    </row>
    <row r="99" customFormat="false" ht="12.75" hidden="false" customHeight="false" outlineLevel="0" collapsed="false">
      <c r="A99" s="144" t="n">
        <f aca="false">EDATE(A98,1)</f>
        <v>40848</v>
      </c>
      <c r="B99" s="145" t="n">
        <f aca="false">Inputs!$B$8</f>
        <v>50000</v>
      </c>
      <c r="C99" s="146" t="n">
        <f aca="false">IF(AZ99=0,0,IF(AND(AZ99=1,$H$3=1),B99*AU99,IF($H$3=2,B99,"N/A")))</f>
        <v>1500000</v>
      </c>
      <c r="D99" s="146" t="n">
        <f aca="false">C99*AY99</f>
        <v>3178214.13999059</v>
      </c>
      <c r="E99" s="147" t="n">
        <f aca="false">VLOOKUP($A99,[1]!CurveTable,MATCH($E$4,[1]!CurveType,0))</f>
        <v>4.4775</v>
      </c>
      <c r="F99" s="148" t="n">
        <f aca="false">E99-Inputs!$B$16</f>
        <v>4.5325</v>
      </c>
      <c r="G99" s="149" t="n">
        <f aca="false">F99</f>
        <v>4.5325</v>
      </c>
      <c r="H99" s="147" t="n">
        <f aca="false">VLOOKUP($A99,[1]!CurveTable,MATCH($H$4,[1]!CurveType,0))</f>
        <v>0.23</v>
      </c>
      <c r="I99" s="148" t="n">
        <f aca="false">H99+Inputs!$B$22</f>
        <v>0.23</v>
      </c>
      <c r="J99" s="150" t="n">
        <f aca="false">I99</f>
        <v>0.23</v>
      </c>
      <c r="K99" s="147" t="n">
        <f aca="false">VLOOKUP($A99,[1]!CurveTable,MATCH($K$4,[1]!CurveType,0))</f>
        <v>0</v>
      </c>
      <c r="L99" s="148" t="n">
        <v>0</v>
      </c>
      <c r="M99" s="151" t="n">
        <f aca="false">L99</f>
        <v>0</v>
      </c>
      <c r="N99" s="147" t="n">
        <f aca="false">VLOOKUP($A99,[1]!CurveTable,MATCH($N$4,[1]!CurveType,0))</f>
        <v>0.012</v>
      </c>
      <c r="O99" s="148" t="n">
        <f aca="false">N99+Inputs!$E$22</f>
        <v>0.012</v>
      </c>
      <c r="P99" s="151" t="n">
        <f aca="false">O99</f>
        <v>0.012</v>
      </c>
      <c r="Q99" s="147" t="n">
        <f aca="false">VLOOKUP($A99,[1]!CurveTable,MATCH($Q$4,[1]!CurveType,0))</f>
        <v>0.0075</v>
      </c>
      <c r="R99" s="148" t="n">
        <v>0</v>
      </c>
      <c r="S99" s="151" t="n">
        <f aca="false">R99</f>
        <v>0</v>
      </c>
      <c r="T99" s="152"/>
      <c r="U99" s="153" t="n">
        <f aca="false">G99+J99</f>
        <v>4.7625</v>
      </c>
      <c r="V99" s="154"/>
      <c r="W99" s="155" t="n">
        <f aca="false">VLOOKUP($A99,[1]!CurveTable,MATCH($W$4,[1]!CurveType,0))+$W$9</f>
        <v>0.18</v>
      </c>
      <c r="X99" s="155" t="n">
        <f aca="false">VLOOKUP($A99,[1]!CurveTable,MATCH($X$4,[1]!CurveType,0))+$X$9</f>
        <v>0.185</v>
      </c>
      <c r="Y99" s="139" t="n">
        <f aca="false">SQRT((X99^2*($A99-$C$3)+W99^2*(DAY(EOMONTH(A99,0))/2))/$AN99)</f>
        <v>0.184161797109708</v>
      </c>
      <c r="Z99" s="152"/>
      <c r="AA99" s="153" t="n">
        <f aca="false">G99+P99+S99</f>
        <v>4.5445</v>
      </c>
      <c r="AB99" s="154"/>
      <c r="AC99" s="155" t="n">
        <f aca="false">VLOOKUP($A99,[1]!CurveTable,MATCH($AC$4,[1]!CurveType,0))+$AC$9</f>
        <v>0.18</v>
      </c>
      <c r="AD99" s="155" t="n">
        <f aca="false">VLOOKUP($A99,[1]!CurveTable,MATCH($AD$4,[1]!CurveType,0))+$AD$9</f>
        <v>0.185</v>
      </c>
      <c r="AE99" s="139" t="n">
        <f aca="false">SQRT((AD99^2*($A99-$C$3)+AC99^2*(DAY(EOMONTH(A99,0))/2))/$AN99)</f>
        <v>0.184161797109708</v>
      </c>
      <c r="AF99" s="152"/>
      <c r="AG99" s="156" t="n">
        <f aca="false">((Inputs!$F$20*(X99*AD99)*(A99-$C$3))+(Inputs!$F$19*W99*AC99*(DAY(EOMONTH(A99,0))/2)))/(AN99*Y99*AE99)</f>
        <v>0.75</v>
      </c>
      <c r="AH99" s="152"/>
      <c r="AI99" s="140" t="n">
        <f aca="false">Inputs!$B$15</f>
        <v>0.06</v>
      </c>
      <c r="AJ99" s="157"/>
      <c r="AK99" s="140" t="n">
        <f aca="false">IF((U99-AA99-AI99)&lt;0,0,(U99-AA99-AI99))</f>
        <v>0.158000000000001</v>
      </c>
      <c r="AL99" s="157"/>
      <c r="AM99" s="158" t="n">
        <f aca="false">WORKDAY(EOMONTH(A99-1,-1),0)</f>
        <v>40816</v>
      </c>
      <c r="AN99" s="159" t="n">
        <f aca="false">AM99-$C$3</f>
        <v>-5110</v>
      </c>
      <c r="AO99" s="159" t="n">
        <f aca="false">AO98</f>
        <v>1</v>
      </c>
      <c r="AP99" s="160"/>
      <c r="AQ99" s="161" t="e">
        <f aca="false">SPRDOPT(U99,AA99,AI99,AX99,X99,AD99,AG99,AN99,AO99,0)</f>
        <v>#NAME?</v>
      </c>
      <c r="AR99" s="162" t="e">
        <f aca="false">AQ99*C99</f>
        <v>#NAME?</v>
      </c>
      <c r="AS99" s="163" t="e">
        <f aca="false">AQ99-AK99</f>
        <v>#NAME?</v>
      </c>
      <c r="AU99" s="112" t="n">
        <f aca="false">A100-A99</f>
        <v>30</v>
      </c>
      <c r="AV99" s="164" t="n">
        <f aca="false">CHOOSE(F$3,A100+24,A99+14)</f>
        <v>40862</v>
      </c>
      <c r="AW99" s="49" t="n">
        <f aca="false">AV99-C$3</f>
        <v>-5064</v>
      </c>
      <c r="AX99" s="155" t="n">
        <f aca="false">VLOOKUP($A99,[1]!CurveTable,MATCH(AX$4,[1]!CurveType,0))</f>
        <v>0.0548966041805214</v>
      </c>
      <c r="AY99" s="165" t="n">
        <f aca="false">1/(1+CHOOSE(F$3,(AX100+(Inputs!$B$14/10000))/2,(AX99+(Inputs!$B$14/10000))/2))^(2*AW99/365.25)</f>
        <v>2.1188094266604</v>
      </c>
      <c r="AZ99" s="49" t="n">
        <f aca="false">IF(AND(mthbeg&lt;=A99,mthend&gt;=A99),1,0)</f>
        <v>1</v>
      </c>
      <c r="BA99" s="111" t="n">
        <f aca="false">AU99*AZ99</f>
        <v>30</v>
      </c>
      <c r="BC99" s="142" t="n">
        <f aca="false">E99*$D99</f>
        <v>14230453.8118079</v>
      </c>
      <c r="BD99" s="142" t="n">
        <f aca="false">F99*$D99</f>
        <v>14405255.5895074</v>
      </c>
      <c r="BE99" s="142" t="n">
        <f aca="false">G99*$D99</f>
        <v>14405255.5895074</v>
      </c>
      <c r="BF99" s="142" t="n">
        <f aca="false">H99*$D99</f>
        <v>730989.252197837</v>
      </c>
      <c r="BG99" s="142" t="n">
        <f aca="false">I99*$D99</f>
        <v>730989.252197837</v>
      </c>
      <c r="BH99" s="142" t="n">
        <f aca="false">J99*$D99</f>
        <v>730989.252197837</v>
      </c>
      <c r="BI99" s="142" t="n">
        <f aca="false">K99*$D99</f>
        <v>0</v>
      </c>
      <c r="BJ99" s="142" t="n">
        <f aca="false">L99*$D99</f>
        <v>0</v>
      </c>
      <c r="BK99" s="142" t="n">
        <f aca="false">M99*$D99</f>
        <v>0</v>
      </c>
      <c r="BL99" s="142" t="n">
        <f aca="false">N99*$D99</f>
        <v>38138.5696798871</v>
      </c>
      <c r="BM99" s="142" t="n">
        <f aca="false">O99*$D99</f>
        <v>38138.5696798871</v>
      </c>
      <c r="BN99" s="142" t="n">
        <f aca="false">P99*$D99</f>
        <v>38138.5696798871</v>
      </c>
      <c r="BO99" s="142" t="n">
        <f aca="false">Q99*$D99</f>
        <v>23836.6060499294</v>
      </c>
      <c r="BP99" s="142" t="n">
        <f aca="false">R99*$D99</f>
        <v>0</v>
      </c>
      <c r="BQ99" s="142" t="n">
        <f aca="false">S99*$D99</f>
        <v>0</v>
      </c>
      <c r="BR99" s="142" t="n">
        <f aca="false">U99*$D99</f>
        <v>15136244.8417052</v>
      </c>
      <c r="BS99" s="142" t="n">
        <f aca="false">AA99*$D99</f>
        <v>14443394.1591873</v>
      </c>
      <c r="BT99" s="142" t="n">
        <f aca="false">AI99*$D99</f>
        <v>190692.848399436</v>
      </c>
      <c r="BU99" s="142" t="n">
        <f aca="false">AK99*D99</f>
        <v>502157.834118517</v>
      </c>
    </row>
    <row r="100" customFormat="false" ht="12.75" hidden="false" customHeight="false" outlineLevel="0" collapsed="false">
      <c r="A100" s="144" t="n">
        <f aca="false">EDATE(A99,1)</f>
        <v>40878</v>
      </c>
      <c r="B100" s="145" t="n">
        <f aca="false">Inputs!$B$8</f>
        <v>50000</v>
      </c>
      <c r="C100" s="146" t="n">
        <f aca="false">IF(AZ100=0,0,IF(AND(AZ100=1,$H$3=1),B100*AU100,IF($H$3=2,B100,"N/A")))</f>
        <v>1550000</v>
      </c>
      <c r="D100" s="146" t="n">
        <f aca="false">C100*AY100</f>
        <v>3272050.18136825</v>
      </c>
      <c r="E100" s="147" t="n">
        <f aca="false">VLOOKUP($A100,[1]!CurveTable,MATCH($E$4,[1]!CurveType,0))</f>
        <v>4.6295</v>
      </c>
      <c r="F100" s="148" t="n">
        <f aca="false">E100-Inputs!$B$16</f>
        <v>4.6845</v>
      </c>
      <c r="G100" s="149" t="n">
        <f aca="false">F100</f>
        <v>4.6845</v>
      </c>
      <c r="H100" s="147" t="n">
        <f aca="false">VLOOKUP($A100,[1]!CurveTable,MATCH($H$4,[1]!CurveType,0))</f>
        <v>0.26</v>
      </c>
      <c r="I100" s="148" t="n">
        <f aca="false">H100+Inputs!$B$22</f>
        <v>0.26</v>
      </c>
      <c r="J100" s="150" t="n">
        <f aca="false">I100</f>
        <v>0.26</v>
      </c>
      <c r="K100" s="147" t="n">
        <f aca="false">VLOOKUP($A100,[1]!CurveTable,MATCH($K$4,[1]!CurveType,0))</f>
        <v>0</v>
      </c>
      <c r="L100" s="148" t="n">
        <v>0</v>
      </c>
      <c r="M100" s="151" t="n">
        <f aca="false">L100</f>
        <v>0</v>
      </c>
      <c r="N100" s="147" t="n">
        <f aca="false">VLOOKUP($A100,[1]!CurveTable,MATCH($N$4,[1]!CurveType,0))</f>
        <v>0.012</v>
      </c>
      <c r="O100" s="148" t="n">
        <f aca="false">N100+Inputs!$E$22</f>
        <v>0.012</v>
      </c>
      <c r="P100" s="151" t="n">
        <f aca="false">O100</f>
        <v>0.012</v>
      </c>
      <c r="Q100" s="147" t="n">
        <f aca="false">VLOOKUP($A100,[1]!CurveTable,MATCH($Q$4,[1]!CurveType,0))</f>
        <v>0.0075</v>
      </c>
      <c r="R100" s="148" t="n">
        <v>0</v>
      </c>
      <c r="S100" s="151" t="n">
        <f aca="false">R100</f>
        <v>0</v>
      </c>
      <c r="T100" s="152"/>
      <c r="U100" s="153" t="n">
        <f aca="false">G100+J100</f>
        <v>4.9445</v>
      </c>
      <c r="V100" s="154"/>
      <c r="W100" s="155" t="n">
        <f aca="false">VLOOKUP($A100,[1]!CurveTable,MATCH($W$4,[1]!CurveType,0))+$W$9</f>
        <v>0.18</v>
      </c>
      <c r="X100" s="155" t="n">
        <f aca="false">VLOOKUP($A100,[1]!CurveTable,MATCH($X$4,[1]!CurveType,0))+$X$9</f>
        <v>0.185</v>
      </c>
      <c r="Y100" s="139" t="n">
        <f aca="false">SQRT((X100^2*($A100-$C$3)+W100^2*(DAY(EOMONTH(A100,0))/2))/$AN100)</f>
        <v>0.184166304737724</v>
      </c>
      <c r="Z100" s="152"/>
      <c r="AA100" s="153" t="n">
        <f aca="false">G100+P100+S100</f>
        <v>4.6965</v>
      </c>
      <c r="AB100" s="154"/>
      <c r="AC100" s="155" t="n">
        <f aca="false">VLOOKUP($A100,[1]!CurveTable,MATCH($AC$4,[1]!CurveType,0))+$AC$9</f>
        <v>0.18</v>
      </c>
      <c r="AD100" s="155" t="n">
        <f aca="false">VLOOKUP($A100,[1]!CurveTable,MATCH($AD$4,[1]!CurveType,0))+$AD$9</f>
        <v>0.185</v>
      </c>
      <c r="AE100" s="139" t="n">
        <f aca="false">SQRT((AD100^2*($A100-$C$3)+AC100^2*(DAY(EOMONTH(A100,0))/2))/$AN100)</f>
        <v>0.184166304737724</v>
      </c>
      <c r="AF100" s="152"/>
      <c r="AG100" s="156" t="n">
        <f aca="false">((Inputs!$F$20*(X100*AD100)*(A100-$C$3))+(Inputs!$F$19*W100*AC100*(DAY(EOMONTH(A100,0))/2)))/(AN100*Y100*AE100)</f>
        <v>0.75</v>
      </c>
      <c r="AH100" s="152"/>
      <c r="AI100" s="140" t="n">
        <f aca="false">Inputs!$B$15</f>
        <v>0.06</v>
      </c>
      <c r="AJ100" s="157"/>
      <c r="AK100" s="140" t="n">
        <f aca="false">IF((U100-AA100-AI100)&lt;0,0,(U100-AA100-AI100))</f>
        <v>0.188</v>
      </c>
      <c r="AL100" s="157"/>
      <c r="AM100" s="158" t="n">
        <f aca="false">WORKDAY(EOMONTH(A100-1,-1),0)</f>
        <v>40847</v>
      </c>
      <c r="AN100" s="159" t="n">
        <f aca="false">AM100-$C$3</f>
        <v>-5079</v>
      </c>
      <c r="AO100" s="159" t="n">
        <f aca="false">AO99</f>
        <v>1</v>
      </c>
      <c r="AP100" s="160"/>
      <c r="AQ100" s="161" t="e">
        <f aca="false">SPRDOPT(U100,AA100,AI100,AX100,X100,AD100,AG100,AN100,AO100,0)</f>
        <v>#NAME?</v>
      </c>
      <c r="AR100" s="162" t="e">
        <f aca="false">AQ100*C100</f>
        <v>#NAME?</v>
      </c>
      <c r="AS100" s="163" t="e">
        <f aca="false">AQ100-AK100</f>
        <v>#NAME?</v>
      </c>
      <c r="AU100" s="112" t="n">
        <f aca="false">A101-A100</f>
        <v>31</v>
      </c>
      <c r="AV100" s="164" t="n">
        <f aca="false">CHOOSE(F$3,A101+24,A100+14)</f>
        <v>40892</v>
      </c>
      <c r="AW100" s="49" t="n">
        <f aca="false">AV100-C$3</f>
        <v>-5034</v>
      </c>
      <c r="AX100" s="155" t="n">
        <f aca="false">VLOOKUP($A100,[1]!CurveTable,MATCH(AX$4,[1]!CurveType,0))</f>
        <v>0.0549529390506351</v>
      </c>
      <c r="AY100" s="165" t="n">
        <f aca="false">1/(1+CHOOSE(F$3,(AX101+(Inputs!$B$14/10000))/2,(AX100+(Inputs!$B$14/10000))/2))^(2*AW100/365.25)</f>
        <v>2.11100011701177</v>
      </c>
      <c r="AZ100" s="49" t="n">
        <f aca="false">IF(AND(mthbeg&lt;=A100,mthend&gt;=A100),1,0)</f>
        <v>1</v>
      </c>
      <c r="BA100" s="111" t="n">
        <f aca="false">AU100*AZ100</f>
        <v>31</v>
      </c>
      <c r="BC100" s="142" t="n">
        <f aca="false">E100*$D100</f>
        <v>15147956.3146443</v>
      </c>
      <c r="BD100" s="142" t="n">
        <f aca="false">F100*$D100</f>
        <v>15327919.0746195</v>
      </c>
      <c r="BE100" s="142" t="n">
        <f aca="false">G100*$D100</f>
        <v>15327919.0746195</v>
      </c>
      <c r="BF100" s="142" t="n">
        <f aca="false">H100*$D100</f>
        <v>850733.047155744</v>
      </c>
      <c r="BG100" s="142" t="n">
        <f aca="false">I100*$D100</f>
        <v>850733.047155744</v>
      </c>
      <c r="BH100" s="142" t="n">
        <f aca="false">J100*$D100</f>
        <v>850733.047155744</v>
      </c>
      <c r="BI100" s="142" t="n">
        <f aca="false">K100*$D100</f>
        <v>0</v>
      </c>
      <c r="BJ100" s="142" t="n">
        <f aca="false">L100*$D100</f>
        <v>0</v>
      </c>
      <c r="BK100" s="142" t="n">
        <f aca="false">M100*$D100</f>
        <v>0</v>
      </c>
      <c r="BL100" s="142" t="n">
        <f aca="false">N100*$D100</f>
        <v>39264.602176419</v>
      </c>
      <c r="BM100" s="142" t="n">
        <f aca="false">O100*$D100</f>
        <v>39264.602176419</v>
      </c>
      <c r="BN100" s="142" t="n">
        <f aca="false">P100*$D100</f>
        <v>39264.602176419</v>
      </c>
      <c r="BO100" s="142" t="n">
        <f aca="false">Q100*$D100</f>
        <v>24540.3763602618</v>
      </c>
      <c r="BP100" s="142" t="n">
        <f aca="false">R100*$D100</f>
        <v>0</v>
      </c>
      <c r="BQ100" s="142" t="n">
        <f aca="false">S100*$D100</f>
        <v>0</v>
      </c>
      <c r="BR100" s="142" t="n">
        <f aca="false">U100*$D100</f>
        <v>16178652.1217753</v>
      </c>
      <c r="BS100" s="142" t="n">
        <f aca="false">AA100*$D100</f>
        <v>15367183.676796</v>
      </c>
      <c r="BT100" s="142" t="n">
        <f aca="false">AI100*$D100</f>
        <v>196323.010882095</v>
      </c>
      <c r="BU100" s="142" t="n">
        <f aca="false">AK100*D100</f>
        <v>615145.434097231</v>
      </c>
    </row>
    <row r="101" customFormat="false" ht="12.75" hidden="false" customHeight="false" outlineLevel="0" collapsed="false">
      <c r="A101" s="144" t="n">
        <f aca="false">EDATE(A100,1)</f>
        <v>40909</v>
      </c>
      <c r="B101" s="145" t="n">
        <f aca="false">Inputs!$B$8</f>
        <v>50000</v>
      </c>
      <c r="C101" s="146" t="n">
        <f aca="false">IF(AZ101=0,0,IF(AND(AZ101=1,$H$3=1),B101*AU101,IF($H$3=2,B101,"N/A")))</f>
        <v>1550000</v>
      </c>
      <c r="D101" s="146" t="n">
        <f aca="false">C101*AY101</f>
        <v>3259558.2241819</v>
      </c>
      <c r="E101" s="147" t="n">
        <f aca="false">VLOOKUP($A101,[1]!CurveTable,MATCH($E$4,[1]!CurveType,0))</f>
        <v>4.707</v>
      </c>
      <c r="F101" s="148" t="n">
        <f aca="false">E101-Inputs!$B$16</f>
        <v>4.762</v>
      </c>
      <c r="G101" s="149" t="n">
        <f aca="false">F101</f>
        <v>4.762</v>
      </c>
      <c r="H101" s="147" t="n">
        <f aca="false">VLOOKUP($A101,[1]!CurveTable,MATCH($H$4,[1]!CurveType,0))</f>
        <v>0.085</v>
      </c>
      <c r="I101" s="148" t="n">
        <f aca="false">H101+Inputs!$B$22</f>
        <v>0.085</v>
      </c>
      <c r="J101" s="150" t="n">
        <f aca="false">I101</f>
        <v>0.085</v>
      </c>
      <c r="K101" s="147" t="n">
        <f aca="false">VLOOKUP($A101,[1]!CurveTable,MATCH($K$4,[1]!CurveType,0))</f>
        <v>0</v>
      </c>
      <c r="L101" s="148" t="n">
        <v>0</v>
      </c>
      <c r="M101" s="151" t="n">
        <f aca="false">L101</f>
        <v>0</v>
      </c>
      <c r="N101" s="147" t="n">
        <f aca="false">VLOOKUP($A101,[1]!CurveTable,MATCH($N$4,[1]!CurveType,0))</f>
        <v>0.012</v>
      </c>
      <c r="O101" s="148" t="n">
        <f aca="false">N101+Inputs!$E$22</f>
        <v>0.012</v>
      </c>
      <c r="P101" s="151" t="n">
        <f aca="false">O101</f>
        <v>0.012</v>
      </c>
      <c r="Q101" s="147" t="n">
        <f aca="false">VLOOKUP($A101,[1]!CurveTable,MATCH($Q$4,[1]!CurveType,0))</f>
        <v>0.0075</v>
      </c>
      <c r="R101" s="148" t="n">
        <v>0</v>
      </c>
      <c r="S101" s="151" t="n">
        <f aca="false">R101</f>
        <v>0</v>
      </c>
      <c r="T101" s="152"/>
      <c r="U101" s="153" t="n">
        <f aca="false">G101+J101</f>
        <v>4.847</v>
      </c>
      <c r="V101" s="154"/>
      <c r="W101" s="155" t="n">
        <f aca="false">VLOOKUP($A101,[1]!CurveTable,MATCH($W$4,[1]!CurveType,0))+$W$9</f>
        <v>0.18</v>
      </c>
      <c r="X101" s="155" t="n">
        <f aca="false">VLOOKUP($A101,[1]!CurveTable,MATCH($X$4,[1]!CurveType,0))+$X$9</f>
        <v>0.185</v>
      </c>
      <c r="Y101" s="139" t="n">
        <f aca="false">SQRT((X101^2*($A101-$C$3)+W101^2*(DAY(EOMONTH(A101,0))/2))/$AN101)</f>
        <v>0.184142935023081</v>
      </c>
      <c r="Z101" s="152"/>
      <c r="AA101" s="153" t="n">
        <f aca="false">G101+P101+S101</f>
        <v>4.774</v>
      </c>
      <c r="AB101" s="154"/>
      <c r="AC101" s="155" t="n">
        <f aca="false">VLOOKUP($A101,[1]!CurveTable,MATCH($AC$4,[1]!CurveType,0))+$AC$9</f>
        <v>0.18</v>
      </c>
      <c r="AD101" s="155" t="n">
        <f aca="false">VLOOKUP($A101,[1]!CurveTable,MATCH($AD$4,[1]!CurveType,0))+$AD$9</f>
        <v>0.185</v>
      </c>
      <c r="AE101" s="139" t="n">
        <f aca="false">SQRT((AD101^2*($A101-$C$3)+AC101^2*(DAY(EOMONTH(A101,0))/2))/$AN101)</f>
        <v>0.184142935023081</v>
      </c>
      <c r="AF101" s="152"/>
      <c r="AG101" s="156" t="n">
        <f aca="false">((Inputs!$F$20*(X101*AD101)*(A101-$C$3))+(Inputs!$F$19*W101*AC101*(DAY(EOMONTH(A101,0))/2)))/(AN101*Y101*AE101)</f>
        <v>0.75</v>
      </c>
      <c r="AH101" s="152"/>
      <c r="AI101" s="140" t="n">
        <f aca="false">Inputs!$B$15</f>
        <v>0.06</v>
      </c>
      <c r="AJ101" s="157"/>
      <c r="AK101" s="140" t="n">
        <f aca="false">IF((U101-AA101-AI101)&lt;0,0,(U101-AA101-AI101))</f>
        <v>0.0130000000000004</v>
      </c>
      <c r="AL101" s="157"/>
      <c r="AM101" s="158" t="n">
        <f aca="false">WORKDAY(EOMONTH(A101-1,-1),0)</f>
        <v>40877</v>
      </c>
      <c r="AN101" s="159" t="n">
        <f aca="false">AM101-$C$3</f>
        <v>-5049</v>
      </c>
      <c r="AO101" s="159" t="n">
        <f aca="false">AO100</f>
        <v>1</v>
      </c>
      <c r="AP101" s="160"/>
      <c r="AQ101" s="161" t="e">
        <f aca="false">SPRDOPT(U101,AA101,AI101,AX101,X101,AD101,AG101,AN101,AO101,0)</f>
        <v>#NAME?</v>
      </c>
      <c r="AR101" s="162" t="e">
        <f aca="false">AQ101*C101</f>
        <v>#NAME?</v>
      </c>
      <c r="AS101" s="163" t="e">
        <f aca="false">AQ101-AK101</f>
        <v>#NAME?</v>
      </c>
      <c r="AU101" s="112" t="n">
        <f aca="false">A102-A101</f>
        <v>31</v>
      </c>
      <c r="AV101" s="164" t="n">
        <f aca="false">CHOOSE(F$3,A102+24,A101+14)</f>
        <v>40923</v>
      </c>
      <c r="AW101" s="49" t="n">
        <f aca="false">AV101-C$3</f>
        <v>-5003</v>
      </c>
      <c r="AX101" s="155" t="n">
        <f aca="false">VLOOKUP($A101,[1]!CurveTable,MATCH(AX$4,[1]!CurveType,0))</f>
        <v>0.0550111517508634</v>
      </c>
      <c r="AY101" s="165" t="n">
        <f aca="false">1/(1+CHOOSE(F$3,(AX102+(Inputs!$B$14/10000))/2,(AX101+(Inputs!$B$14/10000))/2))^(2*AW101/365.25)</f>
        <v>2.10294078979477</v>
      </c>
      <c r="AZ101" s="49" t="n">
        <f aca="false">IF(AND(mthbeg&lt;=A101,mthend&gt;=A101),1,0)</f>
        <v>1</v>
      </c>
      <c r="BA101" s="111" t="n">
        <f aca="false">AU101*AZ101</f>
        <v>31</v>
      </c>
      <c r="BC101" s="142" t="n">
        <f aca="false">E101*$D101</f>
        <v>15342740.5612242</v>
      </c>
      <c r="BD101" s="142" t="n">
        <f aca="false">F101*$D101</f>
        <v>15522016.2635542</v>
      </c>
      <c r="BE101" s="142" t="n">
        <f aca="false">G101*$D101</f>
        <v>15522016.2635542</v>
      </c>
      <c r="BF101" s="142" t="n">
        <f aca="false">H101*$D101</f>
        <v>277062.449055461</v>
      </c>
      <c r="BG101" s="142" t="n">
        <f aca="false">I101*$D101</f>
        <v>277062.449055461</v>
      </c>
      <c r="BH101" s="142" t="n">
        <f aca="false">J101*$D101</f>
        <v>277062.449055461</v>
      </c>
      <c r="BI101" s="142" t="n">
        <f aca="false">K101*$D101</f>
        <v>0</v>
      </c>
      <c r="BJ101" s="142" t="n">
        <f aca="false">L101*$D101</f>
        <v>0</v>
      </c>
      <c r="BK101" s="142" t="n">
        <f aca="false">M101*$D101</f>
        <v>0</v>
      </c>
      <c r="BL101" s="142" t="n">
        <f aca="false">N101*$D101</f>
        <v>39114.6986901828</v>
      </c>
      <c r="BM101" s="142" t="n">
        <f aca="false">O101*$D101</f>
        <v>39114.6986901828</v>
      </c>
      <c r="BN101" s="142" t="n">
        <f aca="false">P101*$D101</f>
        <v>39114.6986901828</v>
      </c>
      <c r="BO101" s="142" t="n">
        <f aca="false">Q101*$D101</f>
        <v>24446.6866813642</v>
      </c>
      <c r="BP101" s="142" t="n">
        <f aca="false">R101*$D101</f>
        <v>0</v>
      </c>
      <c r="BQ101" s="142" t="n">
        <f aca="false">S101*$D101</f>
        <v>0</v>
      </c>
      <c r="BR101" s="142" t="n">
        <f aca="false">U101*$D101</f>
        <v>15799078.7126096</v>
      </c>
      <c r="BS101" s="142" t="n">
        <f aca="false">AA101*$D101</f>
        <v>15561130.9622444</v>
      </c>
      <c r="BT101" s="142" t="n">
        <f aca="false">AI101*$D101</f>
        <v>195573.493450914</v>
      </c>
      <c r="BU101" s="142" t="n">
        <f aca="false">AK101*D101</f>
        <v>42374.256914366</v>
      </c>
    </row>
    <row r="102" customFormat="false" ht="12.75" hidden="false" customHeight="false" outlineLevel="0" collapsed="false">
      <c r="A102" s="144" t="n">
        <f aca="false">EDATE(A101,1)</f>
        <v>40940</v>
      </c>
      <c r="B102" s="145" t="n">
        <f aca="false">Inputs!$B$8</f>
        <v>50000</v>
      </c>
      <c r="C102" s="146" t="n">
        <f aca="false">IF(AZ102=0,0,IF(AND(AZ102=1,$H$3=1),B102*AU102,IF($H$3=2,B102,"N/A")))</f>
        <v>1450000</v>
      </c>
      <c r="D102" s="146" t="n">
        <f aca="false">C102*AY102</f>
        <v>3037593.45627362</v>
      </c>
      <c r="E102" s="147" t="n">
        <f aca="false">VLOOKUP($A102,[1]!CurveTable,MATCH($E$4,[1]!CurveType,0))</f>
        <v>4.62</v>
      </c>
      <c r="F102" s="148" t="n">
        <f aca="false">E102-Inputs!$B$16</f>
        <v>4.675</v>
      </c>
      <c r="G102" s="149" t="n">
        <f aca="false">F102</f>
        <v>4.675</v>
      </c>
      <c r="H102" s="147" t="n">
        <f aca="false">VLOOKUP($A102,[1]!CurveTable,MATCH($H$4,[1]!CurveType,0))</f>
        <v>0.075</v>
      </c>
      <c r="I102" s="148" t="n">
        <f aca="false">H102+Inputs!$B$22</f>
        <v>0.075</v>
      </c>
      <c r="J102" s="150" t="n">
        <f aca="false">I102</f>
        <v>0.075</v>
      </c>
      <c r="K102" s="147" t="n">
        <f aca="false">VLOOKUP($A102,[1]!CurveTable,MATCH($K$4,[1]!CurveType,0))</f>
        <v>0</v>
      </c>
      <c r="L102" s="148" t="n">
        <v>0</v>
      </c>
      <c r="M102" s="151" t="n">
        <f aca="false">L102</f>
        <v>0</v>
      </c>
      <c r="N102" s="147" t="n">
        <f aca="false">VLOOKUP($A102,[1]!CurveTable,MATCH($N$4,[1]!CurveType,0))</f>
        <v>0.012</v>
      </c>
      <c r="O102" s="148" t="n">
        <f aca="false">N102+Inputs!$E$22</f>
        <v>0.012</v>
      </c>
      <c r="P102" s="151" t="n">
        <f aca="false">O102</f>
        <v>0.012</v>
      </c>
      <c r="Q102" s="147" t="n">
        <f aca="false">VLOOKUP($A102,[1]!CurveTable,MATCH($Q$4,[1]!CurveType,0))</f>
        <v>0.0075</v>
      </c>
      <c r="R102" s="148" t="n">
        <v>0</v>
      </c>
      <c r="S102" s="151" t="n">
        <f aca="false">R102</f>
        <v>0</v>
      </c>
      <c r="T102" s="152"/>
      <c r="U102" s="153" t="n">
        <f aca="false">G102+J102</f>
        <v>4.75</v>
      </c>
      <c r="V102" s="154"/>
      <c r="W102" s="155" t="n">
        <f aca="false">VLOOKUP($A102,[1]!CurveTable,MATCH($W$4,[1]!CurveType,0))+$W$9</f>
        <v>0.175</v>
      </c>
      <c r="X102" s="155" t="n">
        <f aca="false">VLOOKUP($A102,[1]!CurveTable,MATCH($X$4,[1]!CurveType,0))+$X$9</f>
        <v>0.18</v>
      </c>
      <c r="Y102" s="139" t="n">
        <f aca="false">SQRT((X102^2*($A102-$C$3)+W102^2*(DAY(EOMONTH(A102,0))/2))/$AN102)</f>
        <v>0.179178374522075</v>
      </c>
      <c r="Z102" s="152"/>
      <c r="AA102" s="153" t="n">
        <f aca="false">G102+P102+S102</f>
        <v>4.687</v>
      </c>
      <c r="AB102" s="154"/>
      <c r="AC102" s="155" t="n">
        <f aca="false">VLOOKUP($A102,[1]!CurveTable,MATCH($AC$4,[1]!CurveType,0))+$AC$9</f>
        <v>0.175</v>
      </c>
      <c r="AD102" s="155" t="n">
        <f aca="false">VLOOKUP($A102,[1]!CurveTable,MATCH($AD$4,[1]!CurveType,0))+$AD$9</f>
        <v>0.18</v>
      </c>
      <c r="AE102" s="139" t="n">
        <f aca="false">SQRT((AD102^2*($A102-$C$3)+AC102^2*(DAY(EOMONTH(A102,0))/2))/$AN102)</f>
        <v>0.179178374522075</v>
      </c>
      <c r="AF102" s="152"/>
      <c r="AG102" s="156" t="n">
        <f aca="false">((Inputs!$F$20*(X102*AD102)*(A102-$C$3))+(Inputs!$F$19*W102*AC102*(DAY(EOMONTH(A102,0))/2)))/(AN102*Y102*AE102)</f>
        <v>0.75</v>
      </c>
      <c r="AH102" s="152"/>
      <c r="AI102" s="140" t="n">
        <f aca="false">Inputs!$B$15</f>
        <v>0.06</v>
      </c>
      <c r="AJ102" s="157"/>
      <c r="AK102" s="140" t="n">
        <f aca="false">IF((U102-AA102-AI102)&lt;0,0,(U102-AA102-AI102))</f>
        <v>0.00300000000000061</v>
      </c>
      <c r="AL102" s="157"/>
      <c r="AM102" s="158" t="n">
        <f aca="false">WORKDAY(EOMONTH(A102-1,-1),0)</f>
        <v>40908</v>
      </c>
      <c r="AN102" s="159" t="n">
        <f aca="false">AM102-$C$3</f>
        <v>-5018</v>
      </c>
      <c r="AO102" s="159" t="n">
        <f aca="false">AO101</f>
        <v>1</v>
      </c>
      <c r="AP102" s="160"/>
      <c r="AQ102" s="161" t="e">
        <f aca="false">SPRDOPT(U102,AA102,AI102,AX102,X102,AD102,AG102,AN102,AO102,0)</f>
        <v>#NAME?</v>
      </c>
      <c r="AR102" s="162" t="e">
        <f aca="false">AQ102*C102</f>
        <v>#NAME?</v>
      </c>
      <c r="AS102" s="163" t="e">
        <f aca="false">AQ102-AK102</f>
        <v>#NAME?</v>
      </c>
      <c r="AU102" s="112" t="n">
        <f aca="false">A103-A102</f>
        <v>29</v>
      </c>
      <c r="AV102" s="164" t="n">
        <f aca="false">CHOOSE(F$3,A103+24,A102+14)</f>
        <v>40954</v>
      </c>
      <c r="AW102" s="49" t="n">
        <f aca="false">AV102-C$3</f>
        <v>-4972</v>
      </c>
      <c r="AX102" s="155" t="n">
        <f aca="false">VLOOKUP($A102,[1]!CurveTable,MATCH(AX$4,[1]!CurveType,0))</f>
        <v>0.05506936445222</v>
      </c>
      <c r="AY102" s="165" t="n">
        <f aca="false">1/(1+CHOOSE(F$3,(AX103+(Inputs!$B$14/10000))/2,(AX102+(Inputs!$B$14/10000))/2))^(2*AW102/365.25)</f>
        <v>2.09489203880939</v>
      </c>
      <c r="AZ102" s="49" t="n">
        <f aca="false">IF(AND(mthbeg&lt;=A102,mthend&gt;=A102),1,0)</f>
        <v>1</v>
      </c>
      <c r="BA102" s="111" t="n">
        <f aca="false">AU102*AZ102</f>
        <v>29</v>
      </c>
      <c r="BC102" s="142" t="n">
        <f aca="false">E102*$D102</f>
        <v>14033681.7679841</v>
      </c>
      <c r="BD102" s="142" t="n">
        <f aca="false">F102*$D102</f>
        <v>14200749.4080792</v>
      </c>
      <c r="BE102" s="142" t="n">
        <f aca="false">G102*$D102</f>
        <v>14200749.4080792</v>
      </c>
      <c r="BF102" s="142" t="n">
        <f aca="false">H102*$D102</f>
        <v>227819.509220522</v>
      </c>
      <c r="BG102" s="142" t="n">
        <f aca="false">I102*$D102</f>
        <v>227819.509220522</v>
      </c>
      <c r="BH102" s="142" t="n">
        <f aca="false">J102*$D102</f>
        <v>227819.509220522</v>
      </c>
      <c r="BI102" s="142" t="n">
        <f aca="false">K102*$D102</f>
        <v>0</v>
      </c>
      <c r="BJ102" s="142" t="n">
        <f aca="false">L102*$D102</f>
        <v>0</v>
      </c>
      <c r="BK102" s="142" t="n">
        <f aca="false">M102*$D102</f>
        <v>0</v>
      </c>
      <c r="BL102" s="142" t="n">
        <f aca="false">N102*$D102</f>
        <v>36451.1214752835</v>
      </c>
      <c r="BM102" s="142" t="n">
        <f aca="false">O102*$D102</f>
        <v>36451.1214752835</v>
      </c>
      <c r="BN102" s="142" t="n">
        <f aca="false">P102*$D102</f>
        <v>36451.1214752835</v>
      </c>
      <c r="BO102" s="142" t="n">
        <f aca="false">Q102*$D102</f>
        <v>22781.9509220522</v>
      </c>
      <c r="BP102" s="142" t="n">
        <f aca="false">R102*$D102</f>
        <v>0</v>
      </c>
      <c r="BQ102" s="142" t="n">
        <f aca="false">S102*$D102</f>
        <v>0</v>
      </c>
      <c r="BR102" s="142" t="n">
        <f aca="false">U102*$D102</f>
        <v>14428568.9172997</v>
      </c>
      <c r="BS102" s="142" t="n">
        <f aca="false">AA102*$D102</f>
        <v>14237200.5295545</v>
      </c>
      <c r="BT102" s="142" t="n">
        <f aca="false">AI102*$D102</f>
        <v>182255.607376417</v>
      </c>
      <c r="BU102" s="142" t="n">
        <f aca="false">AK102*D102</f>
        <v>9112.78036882273</v>
      </c>
    </row>
    <row r="103" customFormat="false" ht="12.75" hidden="false" customHeight="false" outlineLevel="0" collapsed="false">
      <c r="A103" s="144" t="n">
        <f aca="false">EDATE(A102,1)</f>
        <v>40969</v>
      </c>
      <c r="B103" s="145" t="n">
        <f aca="false">Inputs!$B$8</f>
        <v>50000</v>
      </c>
      <c r="C103" s="146" t="n">
        <f aca="false">IF(AZ103=0,0,IF(AND(AZ103=1,$H$3=1),B103*AU103,IF($H$3=2,B103,"N/A")))</f>
        <v>1550000</v>
      </c>
      <c r="D103" s="146" t="n">
        <f aca="false">C103*AY103</f>
        <v>3235426.97031318</v>
      </c>
      <c r="E103" s="147" t="n">
        <f aca="false">VLOOKUP($A103,[1]!CurveTable,MATCH($E$4,[1]!CurveType,0))</f>
        <v>4.481</v>
      </c>
      <c r="F103" s="148" t="n">
        <f aca="false">E103-Inputs!$B$16</f>
        <v>4.536</v>
      </c>
      <c r="G103" s="149" t="n">
        <f aca="false">F103</f>
        <v>4.536</v>
      </c>
      <c r="H103" s="147" t="n">
        <f aca="false">VLOOKUP($A103,[1]!CurveTable,MATCH($H$4,[1]!CurveType,0))</f>
        <v>0.115</v>
      </c>
      <c r="I103" s="148" t="n">
        <f aca="false">H103+Inputs!$B$22</f>
        <v>0.115</v>
      </c>
      <c r="J103" s="150" t="n">
        <f aca="false">I103</f>
        <v>0.115</v>
      </c>
      <c r="K103" s="147" t="n">
        <f aca="false">VLOOKUP($A103,[1]!CurveTable,MATCH($K$4,[1]!CurveType,0))</f>
        <v>0</v>
      </c>
      <c r="L103" s="148" t="n">
        <v>0</v>
      </c>
      <c r="M103" s="151" t="n">
        <f aca="false">L103</f>
        <v>0</v>
      </c>
      <c r="N103" s="147" t="n">
        <f aca="false">VLOOKUP($A103,[1]!CurveTable,MATCH($N$4,[1]!CurveType,0))</f>
        <v>0.016</v>
      </c>
      <c r="O103" s="148" t="n">
        <f aca="false">N103+Inputs!$E$22</f>
        <v>0.016</v>
      </c>
      <c r="P103" s="151" t="n">
        <f aca="false">O103</f>
        <v>0.016</v>
      </c>
      <c r="Q103" s="147" t="n">
        <f aca="false">VLOOKUP($A103,[1]!CurveTable,MATCH($Q$4,[1]!CurveType,0))</f>
        <v>0.0075</v>
      </c>
      <c r="R103" s="148" t="n">
        <v>0</v>
      </c>
      <c r="S103" s="151" t="n">
        <f aca="false">R103</f>
        <v>0</v>
      </c>
      <c r="T103" s="152"/>
      <c r="U103" s="153" t="n">
        <f aca="false">G103+J103</f>
        <v>4.651</v>
      </c>
      <c r="V103" s="154"/>
      <c r="W103" s="155" t="n">
        <f aca="false">VLOOKUP($A103,[1]!CurveTable,MATCH($W$4,[1]!CurveType,0))+$W$9</f>
        <v>0.17</v>
      </c>
      <c r="X103" s="155" t="n">
        <f aca="false">VLOOKUP($A103,[1]!CurveTable,MATCH($X$4,[1]!CurveType,0))+$X$9</f>
        <v>0.175</v>
      </c>
      <c r="Y103" s="139" t="n">
        <f aca="false">SQRT((X103^2*($A103-$C$3)+W103^2*(DAY(EOMONTH(A103,0))/2))/$AN103)</f>
        <v>0.174215233155442</v>
      </c>
      <c r="Z103" s="152"/>
      <c r="AA103" s="153" t="n">
        <f aca="false">G103+P103+S103</f>
        <v>4.552</v>
      </c>
      <c r="AB103" s="154"/>
      <c r="AC103" s="155" t="n">
        <f aca="false">VLOOKUP($A103,[1]!CurveTable,MATCH($AC$4,[1]!CurveType,0))+$AC$9</f>
        <v>0.17</v>
      </c>
      <c r="AD103" s="155" t="n">
        <f aca="false">VLOOKUP($A103,[1]!CurveTable,MATCH($AD$4,[1]!CurveType,0))+$AD$9</f>
        <v>0.175</v>
      </c>
      <c r="AE103" s="139" t="n">
        <f aca="false">SQRT((AD103^2*($A103-$C$3)+AC103^2*(DAY(EOMONTH(A103,0))/2))/$AN103)</f>
        <v>0.174215233155442</v>
      </c>
      <c r="AF103" s="152"/>
      <c r="AG103" s="156" t="n">
        <f aca="false">((Inputs!$F$20*(X103*AD103)*(A103-$C$3))+(Inputs!$F$19*W103*AC103*(DAY(EOMONTH(A103,0))/2)))/(AN103*Y103*AE103)</f>
        <v>0.75</v>
      </c>
      <c r="AH103" s="152"/>
      <c r="AI103" s="140" t="n">
        <f aca="false">Inputs!$B$15</f>
        <v>0.06</v>
      </c>
      <c r="AJ103" s="157"/>
      <c r="AK103" s="140" t="n">
        <f aca="false">IF((U103-AA103-AI103)&lt;0,0,(U103-AA103-AI103))</f>
        <v>0.0390000000000002</v>
      </c>
      <c r="AL103" s="157"/>
      <c r="AM103" s="158" t="n">
        <f aca="false">WORKDAY(EOMONTH(A103-1,-1),0)</f>
        <v>40939</v>
      </c>
      <c r="AN103" s="159" t="n">
        <f aca="false">AM103-$C$3</f>
        <v>-4987</v>
      </c>
      <c r="AO103" s="159" t="n">
        <f aca="false">AO102</f>
        <v>1</v>
      </c>
      <c r="AP103" s="160"/>
      <c r="AQ103" s="161" t="e">
        <f aca="false">SPRDOPT(U103,AA103,AI103,AX103,X103,AD103,AG103,AN103,AO103,0)</f>
        <v>#NAME?</v>
      </c>
      <c r="AR103" s="162" t="e">
        <f aca="false">AQ103*C103</f>
        <v>#NAME?</v>
      </c>
      <c r="AS103" s="163" t="e">
        <f aca="false">AQ103-AK103</f>
        <v>#NAME?</v>
      </c>
      <c r="AU103" s="112" t="n">
        <f aca="false">A104-A103</f>
        <v>31</v>
      </c>
      <c r="AV103" s="164" t="n">
        <f aca="false">CHOOSE(F$3,A104+24,A103+14)</f>
        <v>40983</v>
      </c>
      <c r="AW103" s="49" t="n">
        <f aca="false">AV103-C$3</f>
        <v>-4943</v>
      </c>
      <c r="AX103" s="155" t="n">
        <f aca="false">VLOOKUP($A103,[1]!CurveTable,MATCH(AX$4,[1]!CurveType,0))</f>
        <v>0.0551238214964465</v>
      </c>
      <c r="AY103" s="165" t="n">
        <f aca="false">1/(1+CHOOSE(F$3,(AX104+(Inputs!$B$14/10000))/2,(AX103+(Inputs!$B$14/10000))/2))^(2*AW103/365.25)</f>
        <v>2.08737223891173</v>
      </c>
      <c r="AZ103" s="49" t="n">
        <f aca="false">IF(AND(mthbeg&lt;=A103,mthend&gt;=A103),1,0)</f>
        <v>1</v>
      </c>
      <c r="BA103" s="111" t="n">
        <f aca="false">AU103*AZ103</f>
        <v>31</v>
      </c>
      <c r="BC103" s="142" t="n">
        <f aca="false">E103*$D103</f>
        <v>14497948.2539734</v>
      </c>
      <c r="BD103" s="142" t="n">
        <f aca="false">F103*$D103</f>
        <v>14675896.7373406</v>
      </c>
      <c r="BE103" s="142" t="n">
        <f aca="false">G103*$D103</f>
        <v>14675896.7373406</v>
      </c>
      <c r="BF103" s="142" t="n">
        <f aca="false">H103*$D103</f>
        <v>372074.101586016</v>
      </c>
      <c r="BG103" s="142" t="n">
        <f aca="false">I103*$D103</f>
        <v>372074.101586016</v>
      </c>
      <c r="BH103" s="142" t="n">
        <f aca="false">J103*$D103</f>
        <v>372074.101586016</v>
      </c>
      <c r="BI103" s="142" t="n">
        <f aca="false">K103*$D103</f>
        <v>0</v>
      </c>
      <c r="BJ103" s="142" t="n">
        <f aca="false">L103*$D103</f>
        <v>0</v>
      </c>
      <c r="BK103" s="142" t="n">
        <f aca="false">M103*$D103</f>
        <v>0</v>
      </c>
      <c r="BL103" s="142" t="n">
        <f aca="false">N103*$D103</f>
        <v>51766.8315250109</v>
      </c>
      <c r="BM103" s="142" t="n">
        <f aca="false">O103*$D103</f>
        <v>51766.8315250109</v>
      </c>
      <c r="BN103" s="142" t="n">
        <f aca="false">P103*$D103</f>
        <v>51766.8315250109</v>
      </c>
      <c r="BO103" s="142" t="n">
        <f aca="false">Q103*$D103</f>
        <v>24265.7022773488</v>
      </c>
      <c r="BP103" s="142" t="n">
        <f aca="false">R103*$D103</f>
        <v>0</v>
      </c>
      <c r="BQ103" s="142" t="n">
        <f aca="false">S103*$D103</f>
        <v>0</v>
      </c>
      <c r="BR103" s="142" t="n">
        <f aca="false">U103*$D103</f>
        <v>15047970.8389266</v>
      </c>
      <c r="BS103" s="142" t="n">
        <f aca="false">AA103*$D103</f>
        <v>14727663.5688656</v>
      </c>
      <c r="BT103" s="142" t="n">
        <f aca="false">AI103*$D103</f>
        <v>194125.618218791</v>
      </c>
      <c r="BU103" s="142" t="n">
        <f aca="false">AK103*D103</f>
        <v>126181.651842215</v>
      </c>
    </row>
    <row r="104" customFormat="false" ht="12.75" hidden="false" customHeight="false" outlineLevel="0" collapsed="false">
      <c r="A104" s="144" t="n">
        <f aca="false">EDATE(A103,1)</f>
        <v>41000</v>
      </c>
      <c r="B104" s="145" t="n">
        <f aca="false">Inputs!$B$8</f>
        <v>50000</v>
      </c>
      <c r="C104" s="146" t="n">
        <f aca="false">IF(AZ104=0,0,IF(AND(AZ104=1,$H$3=1),B104*AU104,IF($H$3=2,B104,"N/A")))</f>
        <v>1500000</v>
      </c>
      <c r="D104" s="146" t="n">
        <f aca="false">C104*AY104</f>
        <v>3119016.42712502</v>
      </c>
      <c r="E104" s="147" t="n">
        <f aca="false">VLOOKUP($A104,[1]!CurveTable,MATCH($E$4,[1]!CurveType,0))</f>
        <v>4.327</v>
      </c>
      <c r="F104" s="148" t="n">
        <f aca="false">E104-Inputs!$B$16</f>
        <v>4.382</v>
      </c>
      <c r="G104" s="149" t="n">
        <f aca="false">F104</f>
        <v>4.382</v>
      </c>
      <c r="H104" s="147" t="n">
        <f aca="false">VLOOKUP($A104,[1]!CurveTable,MATCH($H$4,[1]!CurveType,0))</f>
        <v>0.55</v>
      </c>
      <c r="I104" s="148" t="n">
        <f aca="false">H104+Inputs!$B$22</f>
        <v>0.55</v>
      </c>
      <c r="J104" s="150" t="n">
        <f aca="false">I104</f>
        <v>0.55</v>
      </c>
      <c r="K104" s="147" t="n">
        <f aca="false">VLOOKUP($A104,[1]!CurveTable,MATCH($K$4,[1]!CurveType,0))</f>
        <v>0</v>
      </c>
      <c r="L104" s="148" t="n">
        <v>0</v>
      </c>
      <c r="M104" s="151" t="n">
        <f aca="false">L104</f>
        <v>0</v>
      </c>
      <c r="N104" s="147" t="n">
        <f aca="false">VLOOKUP($A104,[1]!CurveTable,MATCH($N$4,[1]!CurveType,0))</f>
        <v>0.016</v>
      </c>
      <c r="O104" s="148" t="n">
        <f aca="false">N104+Inputs!$E$22</f>
        <v>0.016</v>
      </c>
      <c r="P104" s="151" t="n">
        <f aca="false">O104</f>
        <v>0.016</v>
      </c>
      <c r="Q104" s="147" t="n">
        <f aca="false">VLOOKUP($A104,[1]!CurveTable,MATCH($Q$4,[1]!CurveType,0))</f>
        <v>0.01</v>
      </c>
      <c r="R104" s="148" t="n">
        <v>0</v>
      </c>
      <c r="S104" s="151" t="n">
        <f aca="false">R104</f>
        <v>0</v>
      </c>
      <c r="T104" s="152"/>
      <c r="U104" s="153" t="n">
        <f aca="false">G104+J104</f>
        <v>4.932</v>
      </c>
      <c r="V104" s="154"/>
      <c r="W104" s="155" t="n">
        <f aca="false">VLOOKUP($A104,[1]!CurveTable,MATCH($W$4,[1]!CurveType,0))+$W$9</f>
        <v>0.17</v>
      </c>
      <c r="X104" s="155" t="n">
        <f aca="false">VLOOKUP($A104,[1]!CurveTable,MATCH($X$4,[1]!CurveType,0))+$X$9</f>
        <v>0.175</v>
      </c>
      <c r="Y104" s="139" t="n">
        <f aca="false">SQRT((X104^2*($A104-$C$3)+W104^2*(DAY(EOMONTH(A104,0))/2))/$AN104)</f>
        <v>0.174183538842542</v>
      </c>
      <c r="Z104" s="152"/>
      <c r="AA104" s="153" t="n">
        <f aca="false">G104+P104+S104</f>
        <v>4.398</v>
      </c>
      <c r="AB104" s="154"/>
      <c r="AC104" s="155" t="n">
        <f aca="false">VLOOKUP($A104,[1]!CurveTable,MATCH($AC$4,[1]!CurveType,0))+$AC$9</f>
        <v>0.17</v>
      </c>
      <c r="AD104" s="155" t="n">
        <f aca="false">VLOOKUP($A104,[1]!CurveTable,MATCH($AD$4,[1]!CurveType,0))+$AD$9</f>
        <v>0.175</v>
      </c>
      <c r="AE104" s="139" t="n">
        <f aca="false">SQRT((AD104^2*($A104-$C$3)+AC104^2*(DAY(EOMONTH(A104,0))/2))/$AN104)</f>
        <v>0.174183538842542</v>
      </c>
      <c r="AF104" s="152"/>
      <c r="AG104" s="156" t="n">
        <f aca="false">((Inputs!$F$20*(X104*AD104)*(A104-$C$3))+(Inputs!$F$19*W104*AC104*(DAY(EOMONTH(A104,0))/2)))/(AN104*Y104*AE104)</f>
        <v>0.75</v>
      </c>
      <c r="AH104" s="152"/>
      <c r="AI104" s="140" t="n">
        <f aca="false">Inputs!$B$15</f>
        <v>0.06</v>
      </c>
      <c r="AJ104" s="157"/>
      <c r="AK104" s="140" t="n">
        <f aca="false">IF((U104-AA104-AI104)&lt;0,0,(U104-AA104-AI104))</f>
        <v>0.474</v>
      </c>
      <c r="AL104" s="157"/>
      <c r="AM104" s="158" t="n">
        <f aca="false">WORKDAY(EOMONTH(A104-1,-1),0)</f>
        <v>40968</v>
      </c>
      <c r="AN104" s="159" t="n">
        <f aca="false">AM104-$C$3</f>
        <v>-4958</v>
      </c>
      <c r="AO104" s="159" t="n">
        <f aca="false">AO103</f>
        <v>1</v>
      </c>
      <c r="AP104" s="160"/>
      <c r="AQ104" s="161" t="e">
        <f aca="false">SPRDOPT(U104,AA104,AI104,AX104,X104,AD104,AG104,AN104,AO104,0)</f>
        <v>#NAME?</v>
      </c>
      <c r="AR104" s="162" t="e">
        <f aca="false">AQ104*C104</f>
        <v>#NAME?</v>
      </c>
      <c r="AS104" s="163" t="e">
        <f aca="false">AQ104-AK104</f>
        <v>#NAME?</v>
      </c>
      <c r="AU104" s="112" t="n">
        <f aca="false">A105-A104</f>
        <v>30</v>
      </c>
      <c r="AV104" s="164" t="n">
        <f aca="false">CHOOSE(F$3,A105+24,A104+14)</f>
        <v>41014</v>
      </c>
      <c r="AW104" s="49" t="n">
        <f aca="false">AV104-C$3</f>
        <v>-4912</v>
      </c>
      <c r="AX104" s="155" t="n">
        <f aca="false">VLOOKUP($A104,[1]!CurveTable,MATCH(AX$4,[1]!CurveType,0))</f>
        <v>0.0551820341999876</v>
      </c>
      <c r="AY104" s="165" t="n">
        <f aca="false">1/(1+CHOOSE(F$3,(AX105+(Inputs!$B$14/10000))/2,(AX104+(Inputs!$B$14/10000))/2))^(2*AW104/365.25)</f>
        <v>2.07934428475001</v>
      </c>
      <c r="AZ104" s="49" t="n">
        <f aca="false">IF(AND(mthbeg&lt;=A104,mthend&gt;=A104),1,0)</f>
        <v>1</v>
      </c>
      <c r="BA104" s="111" t="n">
        <f aca="false">AU104*AZ104</f>
        <v>30</v>
      </c>
      <c r="BC104" s="142" t="n">
        <f aca="false">E104*$D104</f>
        <v>13495984.08017</v>
      </c>
      <c r="BD104" s="142" t="n">
        <f aca="false">F104*$D104</f>
        <v>13667529.9836618</v>
      </c>
      <c r="BE104" s="142" t="n">
        <f aca="false">G104*$D104</f>
        <v>13667529.9836618</v>
      </c>
      <c r="BF104" s="142" t="n">
        <f aca="false">H104*$D104</f>
        <v>1715459.03491876</v>
      </c>
      <c r="BG104" s="142" t="n">
        <f aca="false">I104*$D104</f>
        <v>1715459.03491876</v>
      </c>
      <c r="BH104" s="142" t="n">
        <f aca="false">J104*$D104</f>
        <v>1715459.03491876</v>
      </c>
      <c r="BI104" s="142" t="n">
        <f aca="false">K104*$D104</f>
        <v>0</v>
      </c>
      <c r="BJ104" s="142" t="n">
        <f aca="false">L104*$D104</f>
        <v>0</v>
      </c>
      <c r="BK104" s="142" t="n">
        <f aca="false">M104*$D104</f>
        <v>0</v>
      </c>
      <c r="BL104" s="142" t="n">
        <f aca="false">N104*$D104</f>
        <v>49904.2628340003</v>
      </c>
      <c r="BM104" s="142" t="n">
        <f aca="false">O104*$D104</f>
        <v>49904.2628340003</v>
      </c>
      <c r="BN104" s="142" t="n">
        <f aca="false">P104*$D104</f>
        <v>49904.2628340003</v>
      </c>
      <c r="BO104" s="142" t="n">
        <f aca="false">Q104*$D104</f>
        <v>31190.1642712502</v>
      </c>
      <c r="BP104" s="142" t="n">
        <f aca="false">R104*$D104</f>
        <v>0</v>
      </c>
      <c r="BQ104" s="142" t="n">
        <f aca="false">S104*$D104</f>
        <v>0</v>
      </c>
      <c r="BR104" s="142" t="n">
        <f aca="false">U104*$D104</f>
        <v>15382989.0185806</v>
      </c>
      <c r="BS104" s="142" t="n">
        <f aca="false">AA104*$D104</f>
        <v>13717434.2464958</v>
      </c>
      <c r="BT104" s="142" t="n">
        <f aca="false">AI104*$D104</f>
        <v>187140.985627501</v>
      </c>
      <c r="BU104" s="142" t="n">
        <f aca="false">AK104*D104</f>
        <v>1478413.78645726</v>
      </c>
    </row>
    <row r="105" customFormat="false" ht="12.75" hidden="false" customHeight="false" outlineLevel="0" collapsed="false">
      <c r="A105" s="144" t="n">
        <f aca="false">EDATE(A104,1)</f>
        <v>41030</v>
      </c>
      <c r="B105" s="145" t="n">
        <f aca="false">Inputs!$B$8</f>
        <v>50000</v>
      </c>
      <c r="C105" s="146" t="n">
        <f aca="false">IF(AZ105=0,0,IF(AND(AZ105=1,$H$3=1),B105*AU105,IF($H$3=2,B105,"N/A")))</f>
        <v>1550000</v>
      </c>
      <c r="D105" s="146" t="n">
        <f aca="false">C105*AY105</f>
        <v>3210957.81284698</v>
      </c>
      <c r="E105" s="147" t="n">
        <f aca="false">VLOOKUP($A105,[1]!CurveTable,MATCH($E$4,[1]!CurveType,0))</f>
        <v>4.332</v>
      </c>
      <c r="F105" s="148" t="n">
        <f aca="false">E105-Inputs!$B$16</f>
        <v>4.387</v>
      </c>
      <c r="G105" s="149" t="n">
        <f aca="false">F105</f>
        <v>4.387</v>
      </c>
      <c r="H105" s="147" t="n">
        <f aca="false">VLOOKUP($A105,[1]!CurveTable,MATCH($H$4,[1]!CurveType,0))</f>
        <v>0.7</v>
      </c>
      <c r="I105" s="148" t="n">
        <f aca="false">H105+Inputs!$B$22</f>
        <v>0.7</v>
      </c>
      <c r="J105" s="150" t="n">
        <f aca="false">I105</f>
        <v>0.7</v>
      </c>
      <c r="K105" s="147" t="n">
        <f aca="false">VLOOKUP($A105,[1]!CurveTable,MATCH($K$4,[1]!CurveType,0))</f>
        <v>0</v>
      </c>
      <c r="L105" s="148" t="n">
        <v>0</v>
      </c>
      <c r="M105" s="151" t="n">
        <f aca="false">L105</f>
        <v>0</v>
      </c>
      <c r="N105" s="147" t="n">
        <f aca="false">VLOOKUP($A105,[1]!CurveTable,MATCH($N$4,[1]!CurveType,0))</f>
        <v>0.0185</v>
      </c>
      <c r="O105" s="148" t="n">
        <f aca="false">N105+Inputs!$E$22</f>
        <v>0.0185</v>
      </c>
      <c r="P105" s="151" t="n">
        <f aca="false">O105</f>
        <v>0.0185</v>
      </c>
      <c r="Q105" s="147" t="n">
        <f aca="false">VLOOKUP($A105,[1]!CurveTable,MATCH($Q$4,[1]!CurveType,0))</f>
        <v>0.01</v>
      </c>
      <c r="R105" s="148" t="n">
        <v>0</v>
      </c>
      <c r="S105" s="151" t="n">
        <f aca="false">R105</f>
        <v>0</v>
      </c>
      <c r="T105" s="152"/>
      <c r="U105" s="153" t="n">
        <f aca="false">G105+J105</f>
        <v>5.087</v>
      </c>
      <c r="V105" s="154"/>
      <c r="W105" s="155" t="n">
        <f aca="false">VLOOKUP($A105,[1]!CurveTable,MATCH($W$4,[1]!CurveType,0))+$W$9</f>
        <v>0.34</v>
      </c>
      <c r="X105" s="155" t="n">
        <f aca="false">VLOOKUP($A105,[1]!CurveTable,MATCH($X$4,[1]!CurveType,0))+$X$9</f>
        <v>0.345</v>
      </c>
      <c r="Y105" s="139" t="n">
        <f aca="false">SQRT((X105^2*($A105-$C$3)+W105^2*(DAY(EOMONTH(A105,0))/2))/$AN105)</f>
        <v>0.343383810987154</v>
      </c>
      <c r="Z105" s="152"/>
      <c r="AA105" s="153" t="n">
        <f aca="false">G105+P105+S105</f>
        <v>4.4055</v>
      </c>
      <c r="AB105" s="154"/>
      <c r="AC105" s="155" t="n">
        <f aca="false">VLOOKUP($A105,[1]!CurveTable,MATCH($AC$4,[1]!CurveType,0))+$AC$9</f>
        <v>0.17</v>
      </c>
      <c r="AD105" s="155" t="n">
        <f aca="false">VLOOKUP($A105,[1]!CurveTable,MATCH($AD$4,[1]!CurveType,0))+$AD$9</f>
        <v>0.175</v>
      </c>
      <c r="AE105" s="139" t="n">
        <f aca="false">SQRT((AD105^2*($A105-$C$3)+AC105^2*(DAY(EOMONTH(A105,0))/2))/$AN105)</f>
        <v>0.174187813458983</v>
      </c>
      <c r="AF105" s="152"/>
      <c r="AG105" s="156" t="n">
        <f aca="false">((Inputs!$F$20*(X105*AD105)*(A105-$C$3))+(Inputs!$F$19*W105*AC105*(DAY(EOMONTH(A105,0))/2)))/(AN105*Y105*AE105)</f>
        <v>0.750000236745572</v>
      </c>
      <c r="AH105" s="152"/>
      <c r="AI105" s="140" t="n">
        <f aca="false">Inputs!$B$15</f>
        <v>0.06</v>
      </c>
      <c r="AJ105" s="157"/>
      <c r="AK105" s="140" t="n">
        <f aca="false">IF((U105-AA105-AI105)&lt;0,0,(U105-AA105-AI105))</f>
        <v>0.6215</v>
      </c>
      <c r="AL105" s="157"/>
      <c r="AM105" s="158" t="n">
        <f aca="false">WORKDAY(EOMONTH(A105-1,-1),0)</f>
        <v>40999</v>
      </c>
      <c r="AN105" s="159" t="n">
        <f aca="false">AM105-$C$3</f>
        <v>-4927</v>
      </c>
      <c r="AO105" s="159" t="n">
        <f aca="false">AO104</f>
        <v>1</v>
      </c>
      <c r="AP105" s="160"/>
      <c r="AQ105" s="161" t="e">
        <f aca="false">SPRDOPT(U105,AA105,AI105,AX105,X105,AD105,AG105,AN105,AO105,0)</f>
        <v>#NAME?</v>
      </c>
      <c r="AR105" s="162" t="e">
        <f aca="false">AQ105*C105</f>
        <v>#NAME?</v>
      </c>
      <c r="AS105" s="163" t="e">
        <f aca="false">AQ105-AK105</f>
        <v>#NAME?</v>
      </c>
      <c r="AU105" s="112" t="n">
        <f aca="false">A106-A105</f>
        <v>31</v>
      </c>
      <c r="AV105" s="164" t="n">
        <f aca="false">CHOOSE(F$3,A106+24,A105+14)</f>
        <v>41044</v>
      </c>
      <c r="AW105" s="49" t="n">
        <f aca="false">AV105-C$3</f>
        <v>-4882</v>
      </c>
      <c r="AX105" s="155" t="n">
        <f aca="false">VLOOKUP($A105,[1]!CurveTable,MATCH(AX$4,[1]!CurveType,0))</f>
        <v>0.055238369075457</v>
      </c>
      <c r="AY105" s="165" t="n">
        <f aca="false">1/(1+CHOOSE(F$3,(AX106+(Inputs!$B$14/10000))/2,(AX105+(Inputs!$B$14/10000))/2))^(2*AW105/365.25)</f>
        <v>2.07158568570773</v>
      </c>
      <c r="AZ105" s="49" t="n">
        <f aca="false">IF(AND(mthbeg&lt;=A105,mthend&gt;=A105),1,0)</f>
        <v>1</v>
      </c>
      <c r="BA105" s="111" t="n">
        <f aca="false">AU105*AZ105</f>
        <v>31</v>
      </c>
      <c r="BC105" s="142" t="n">
        <f aca="false">E105*$D105</f>
        <v>13909869.2452531</v>
      </c>
      <c r="BD105" s="142" t="n">
        <f aca="false">F105*$D105</f>
        <v>14086471.9249597</v>
      </c>
      <c r="BE105" s="142" t="n">
        <f aca="false">G105*$D105</f>
        <v>14086471.9249597</v>
      </c>
      <c r="BF105" s="142" t="n">
        <f aca="false">H105*$D105</f>
        <v>2247670.46899289</v>
      </c>
      <c r="BG105" s="142" t="n">
        <f aca="false">I105*$D105</f>
        <v>2247670.46899289</v>
      </c>
      <c r="BH105" s="142" t="n">
        <f aca="false">J105*$D105</f>
        <v>2247670.46899289</v>
      </c>
      <c r="BI105" s="142" t="n">
        <f aca="false">K105*$D105</f>
        <v>0</v>
      </c>
      <c r="BJ105" s="142" t="n">
        <f aca="false">L105*$D105</f>
        <v>0</v>
      </c>
      <c r="BK105" s="142" t="n">
        <f aca="false">M105*$D105</f>
        <v>0</v>
      </c>
      <c r="BL105" s="142" t="n">
        <f aca="false">N105*$D105</f>
        <v>59402.7195376692</v>
      </c>
      <c r="BM105" s="142" t="n">
        <f aca="false">O105*$D105</f>
        <v>59402.7195376692</v>
      </c>
      <c r="BN105" s="142" t="n">
        <f aca="false">P105*$D105</f>
        <v>59402.7195376692</v>
      </c>
      <c r="BO105" s="142" t="n">
        <f aca="false">Q105*$D105</f>
        <v>32109.5781284698</v>
      </c>
      <c r="BP105" s="142" t="n">
        <f aca="false">R105*$D105</f>
        <v>0</v>
      </c>
      <c r="BQ105" s="142" t="n">
        <f aca="false">S105*$D105</f>
        <v>0</v>
      </c>
      <c r="BR105" s="142" t="n">
        <f aca="false">U105*$D105</f>
        <v>16334142.3939526</v>
      </c>
      <c r="BS105" s="142" t="n">
        <f aca="false">AA105*$D105</f>
        <v>14145874.6444974</v>
      </c>
      <c r="BT105" s="142" t="n">
        <f aca="false">AI105*$D105</f>
        <v>192657.468770819</v>
      </c>
      <c r="BU105" s="142" t="n">
        <f aca="false">AK105*D105</f>
        <v>1995610.2806844</v>
      </c>
    </row>
    <row r="106" customFormat="false" ht="12.75" hidden="false" customHeight="false" outlineLevel="0" collapsed="false">
      <c r="A106" s="144" t="n">
        <f aca="false">EDATE(A105,1)</f>
        <v>41061</v>
      </c>
      <c r="B106" s="145" t="n">
        <f aca="false">Inputs!$B$8</f>
        <v>50000</v>
      </c>
      <c r="C106" s="146" t="n">
        <f aca="false">IF(AZ106=0,0,IF(AND(AZ106=1,$H$3=1),B106*AU106,IF($H$3=2,B106,"N/A")))</f>
        <v>1500000</v>
      </c>
      <c r="D106" s="146" t="n">
        <f aca="false">C106*AY106</f>
        <v>3095368.96777</v>
      </c>
      <c r="E106" s="147" t="n">
        <f aca="false">VLOOKUP($A106,[1]!CurveTable,MATCH($E$4,[1]!CurveType,0))</f>
        <v>4.37</v>
      </c>
      <c r="F106" s="148" t="n">
        <f aca="false">E106-Inputs!$B$16</f>
        <v>4.425</v>
      </c>
      <c r="G106" s="149" t="n">
        <f aca="false">F106</f>
        <v>4.425</v>
      </c>
      <c r="H106" s="147" t="n">
        <f aca="false">VLOOKUP($A106,[1]!CurveTable,MATCH($H$4,[1]!CurveType,0))</f>
        <v>0.8</v>
      </c>
      <c r="I106" s="148" t="n">
        <f aca="false">H106+Inputs!$B$22</f>
        <v>0.8</v>
      </c>
      <c r="J106" s="150" t="n">
        <f aca="false">I106</f>
        <v>0.8</v>
      </c>
      <c r="K106" s="147" t="n">
        <f aca="false">VLOOKUP($A106,[1]!CurveTable,MATCH($K$4,[1]!CurveType,0))</f>
        <v>0</v>
      </c>
      <c r="L106" s="148" t="n">
        <v>0</v>
      </c>
      <c r="M106" s="151" t="n">
        <f aca="false">L106</f>
        <v>0</v>
      </c>
      <c r="N106" s="147" t="n">
        <f aca="false">VLOOKUP($A106,[1]!CurveTable,MATCH($N$4,[1]!CurveType,0))</f>
        <v>0.016</v>
      </c>
      <c r="O106" s="148" t="n">
        <f aca="false">N106+Inputs!$E$22</f>
        <v>0.016</v>
      </c>
      <c r="P106" s="151" t="n">
        <f aca="false">O106</f>
        <v>0.016</v>
      </c>
      <c r="Q106" s="147" t="n">
        <f aca="false">VLOOKUP($A106,[1]!CurveTable,MATCH($Q$4,[1]!CurveType,0))</f>
        <v>0.01</v>
      </c>
      <c r="R106" s="148" t="n">
        <v>0</v>
      </c>
      <c r="S106" s="151" t="n">
        <f aca="false">R106</f>
        <v>0</v>
      </c>
      <c r="T106" s="152"/>
      <c r="U106" s="153" t="n">
        <f aca="false">G106+J106</f>
        <v>5.225</v>
      </c>
      <c r="V106" s="154"/>
      <c r="W106" s="155" t="n">
        <f aca="false">VLOOKUP($A106,[1]!CurveTable,MATCH($W$4,[1]!CurveType,0))+$W$9</f>
        <v>0.34</v>
      </c>
      <c r="X106" s="155" t="n">
        <f aca="false">VLOOKUP($A106,[1]!CurveTable,MATCH($X$4,[1]!CurveType,0))+$X$9</f>
        <v>0.345</v>
      </c>
      <c r="Y106" s="139" t="n">
        <f aca="false">SQRT((X106^2*($A106-$C$3)+W106^2*(DAY(EOMONTH(A106,0))/2))/$AN106)</f>
        <v>0.343355680513401</v>
      </c>
      <c r="Z106" s="152"/>
      <c r="AA106" s="153" t="n">
        <f aca="false">G106+P106+S106</f>
        <v>4.441</v>
      </c>
      <c r="AB106" s="154"/>
      <c r="AC106" s="155" t="n">
        <f aca="false">VLOOKUP($A106,[1]!CurveTable,MATCH($AC$4,[1]!CurveType,0))+$AC$9</f>
        <v>0.17</v>
      </c>
      <c r="AD106" s="155" t="n">
        <f aca="false">VLOOKUP($A106,[1]!CurveTable,MATCH($AD$4,[1]!CurveType,0))+$AD$9</f>
        <v>0.175</v>
      </c>
      <c r="AE106" s="139" t="n">
        <f aca="false">SQRT((AD106^2*($A106-$C$3)+AC106^2*(DAY(EOMONTH(A106,0))/2))/$AN106)</f>
        <v>0.174173344373176</v>
      </c>
      <c r="AF106" s="152"/>
      <c r="AG106" s="156" t="n">
        <f aca="false">((Inputs!$F$20*(X106*AD106)*(A106-$C$3))+(Inputs!$F$19*W106*AC106*(DAY(EOMONTH(A106,0))/2)))/(AN106*Y106*AE106)</f>
        <v>0.750000230531933</v>
      </c>
      <c r="AH106" s="152"/>
      <c r="AI106" s="140" t="n">
        <f aca="false">Inputs!$B$15</f>
        <v>0.06</v>
      </c>
      <c r="AJ106" s="157"/>
      <c r="AK106" s="140" t="n">
        <f aca="false">IF((U106-AA106-AI106)&lt;0,0,(U106-AA106-AI106))</f>
        <v>0.724</v>
      </c>
      <c r="AL106" s="157"/>
      <c r="AM106" s="158" t="n">
        <f aca="false">WORKDAY(EOMONTH(A106-1,-1),0)</f>
        <v>41029</v>
      </c>
      <c r="AN106" s="159" t="n">
        <f aca="false">AM106-$C$3</f>
        <v>-4897</v>
      </c>
      <c r="AO106" s="159" t="n">
        <f aca="false">AO105</f>
        <v>1</v>
      </c>
      <c r="AP106" s="160"/>
      <c r="AQ106" s="161" t="e">
        <f aca="false">SPRDOPT(U106,AA106,AI106,AX106,X106,AD106,AG106,AN106,AO106,0)</f>
        <v>#NAME?</v>
      </c>
      <c r="AR106" s="162" t="e">
        <f aca="false">AQ106*C106</f>
        <v>#NAME?</v>
      </c>
      <c r="AS106" s="163" t="e">
        <f aca="false">AQ106-AK106</f>
        <v>#NAME?</v>
      </c>
      <c r="AU106" s="112" t="n">
        <f aca="false">A107-A106</f>
        <v>30</v>
      </c>
      <c r="AV106" s="164" t="n">
        <f aca="false">CHOOSE(F$3,A107+24,A106+14)</f>
        <v>41075</v>
      </c>
      <c r="AW106" s="49" t="n">
        <f aca="false">AV106-C$3</f>
        <v>-4851</v>
      </c>
      <c r="AX106" s="155" t="n">
        <f aca="false">VLOOKUP($A106,[1]!CurveTable,MATCH(AX$4,[1]!CurveType,0))</f>
        <v>0.055296581781219</v>
      </c>
      <c r="AY106" s="165" t="n">
        <f aca="false">1/(1+CHOOSE(F$3,(AX107+(Inputs!$B$14/10000))/2,(AX106+(Inputs!$B$14/10000))/2))^(2*AW106/365.25)</f>
        <v>2.06357931184667</v>
      </c>
      <c r="AZ106" s="49" t="n">
        <f aca="false">IF(AND(mthbeg&lt;=A106,mthend&gt;=A106),1,0)</f>
        <v>1</v>
      </c>
      <c r="BA106" s="111" t="n">
        <f aca="false">AU106*AZ106</f>
        <v>30</v>
      </c>
      <c r="BC106" s="142" t="n">
        <f aca="false">E106*$D106</f>
        <v>13526762.3891549</v>
      </c>
      <c r="BD106" s="142" t="n">
        <f aca="false">F106*$D106</f>
        <v>13697007.6823822</v>
      </c>
      <c r="BE106" s="142" t="n">
        <f aca="false">G106*$D106</f>
        <v>13697007.6823822</v>
      </c>
      <c r="BF106" s="142" t="n">
        <f aca="false">H106*$D106</f>
        <v>2476295.174216</v>
      </c>
      <c r="BG106" s="142" t="n">
        <f aca="false">I106*$D106</f>
        <v>2476295.174216</v>
      </c>
      <c r="BH106" s="142" t="n">
        <f aca="false">J106*$D106</f>
        <v>2476295.174216</v>
      </c>
      <c r="BI106" s="142" t="n">
        <f aca="false">K106*$D106</f>
        <v>0</v>
      </c>
      <c r="BJ106" s="142" t="n">
        <f aca="false">L106*$D106</f>
        <v>0</v>
      </c>
      <c r="BK106" s="142" t="n">
        <f aca="false">M106*$D106</f>
        <v>0</v>
      </c>
      <c r="BL106" s="142" t="n">
        <f aca="false">N106*$D106</f>
        <v>49525.90348432</v>
      </c>
      <c r="BM106" s="142" t="n">
        <f aca="false">O106*$D106</f>
        <v>49525.90348432</v>
      </c>
      <c r="BN106" s="142" t="n">
        <f aca="false">P106*$D106</f>
        <v>49525.90348432</v>
      </c>
      <c r="BO106" s="142" t="n">
        <f aca="false">Q106*$D106</f>
        <v>30953.6896777</v>
      </c>
      <c r="BP106" s="142" t="n">
        <f aca="false">R106*$D106</f>
        <v>0</v>
      </c>
      <c r="BQ106" s="142" t="n">
        <f aca="false">S106*$D106</f>
        <v>0</v>
      </c>
      <c r="BR106" s="142" t="n">
        <f aca="false">U106*$D106</f>
        <v>16173302.8565982</v>
      </c>
      <c r="BS106" s="142" t="n">
        <f aca="false">AA106*$D106</f>
        <v>13746533.5858666</v>
      </c>
      <c r="BT106" s="142" t="n">
        <f aca="false">AI106*$D106</f>
        <v>185722.1380662</v>
      </c>
      <c r="BU106" s="142" t="n">
        <f aca="false">AK106*D106</f>
        <v>2241047.13266548</v>
      </c>
    </row>
    <row r="107" customFormat="false" ht="12.75" hidden="false" customHeight="false" outlineLevel="0" collapsed="false">
      <c r="A107" s="144" t="n">
        <f aca="false">EDATE(A106,1)</f>
        <v>41091</v>
      </c>
      <c r="B107" s="145" t="n">
        <f aca="false">Inputs!$B$8</f>
        <v>50000</v>
      </c>
      <c r="C107" s="146" t="n">
        <f aca="false">IF(AZ107=0,0,IF(AND(AZ107=1,$H$3=1),B107*AU107,IF($H$3=2,B107,"N/A")))</f>
        <v>1550000</v>
      </c>
      <c r="D107" s="146" t="n">
        <f aca="false">C107*AY107</f>
        <v>3186554.80241234</v>
      </c>
      <c r="E107" s="147" t="n">
        <f aca="false">VLOOKUP($A107,[1]!CurveTable,MATCH($E$4,[1]!CurveType,0))</f>
        <v>4.415</v>
      </c>
      <c r="F107" s="148" t="n">
        <f aca="false">E107-Inputs!$B$16</f>
        <v>4.47</v>
      </c>
      <c r="G107" s="149" t="n">
        <f aca="false">F107</f>
        <v>4.47</v>
      </c>
      <c r="H107" s="147" t="n">
        <f aca="false">VLOOKUP($A107,[1]!CurveTable,MATCH($H$4,[1]!CurveType,0))</f>
        <v>1</v>
      </c>
      <c r="I107" s="148" t="n">
        <f aca="false">H107+Inputs!$B$22</f>
        <v>1</v>
      </c>
      <c r="J107" s="150" t="n">
        <f aca="false">I107</f>
        <v>1</v>
      </c>
      <c r="K107" s="147" t="n">
        <f aca="false">VLOOKUP($A107,[1]!CurveTable,MATCH($K$4,[1]!CurveType,0))</f>
        <v>0</v>
      </c>
      <c r="L107" s="148" t="n">
        <v>0</v>
      </c>
      <c r="M107" s="151" t="n">
        <f aca="false">L107</f>
        <v>0</v>
      </c>
      <c r="N107" s="147" t="n">
        <f aca="false">VLOOKUP($A107,[1]!CurveTable,MATCH($N$4,[1]!CurveType,0))</f>
        <v>0.0135</v>
      </c>
      <c r="O107" s="148" t="n">
        <f aca="false">N107+Inputs!$E$22</f>
        <v>0.0135</v>
      </c>
      <c r="P107" s="151" t="n">
        <f aca="false">O107</f>
        <v>0.0135</v>
      </c>
      <c r="Q107" s="147" t="n">
        <f aca="false">VLOOKUP($A107,[1]!CurveTable,MATCH($Q$4,[1]!CurveType,0))</f>
        <v>0.01</v>
      </c>
      <c r="R107" s="148" t="n">
        <v>0</v>
      </c>
      <c r="S107" s="151" t="n">
        <f aca="false">R107</f>
        <v>0</v>
      </c>
      <c r="T107" s="152"/>
      <c r="U107" s="153" t="n">
        <f aca="false">G107+J107</f>
        <v>5.47</v>
      </c>
      <c r="V107" s="154"/>
      <c r="W107" s="155" t="n">
        <f aca="false">VLOOKUP($A107,[1]!CurveTable,MATCH($W$4,[1]!CurveType,0))+$W$9</f>
        <v>0.34</v>
      </c>
      <c r="X107" s="155" t="n">
        <f aca="false">VLOOKUP($A107,[1]!CurveTable,MATCH($X$4,[1]!CurveType,0))+$X$9</f>
        <v>0.345</v>
      </c>
      <c r="Y107" s="139" t="n">
        <f aca="false">SQRT((X107^2*($A107-$C$3)+W107^2*(DAY(EOMONTH(A107,0))/2))/$AN107)</f>
        <v>0.343363502220027</v>
      </c>
      <c r="Z107" s="152"/>
      <c r="AA107" s="153" t="n">
        <f aca="false">G107+P107+S107</f>
        <v>4.4835</v>
      </c>
      <c r="AB107" s="154"/>
      <c r="AC107" s="155" t="n">
        <f aca="false">VLOOKUP($A107,[1]!CurveTable,MATCH($AC$4,[1]!CurveType,0))+$AC$9</f>
        <v>0.17</v>
      </c>
      <c r="AD107" s="155" t="n">
        <f aca="false">VLOOKUP($A107,[1]!CurveTable,MATCH($AD$4,[1]!CurveType,0))+$AD$9</f>
        <v>0.175</v>
      </c>
      <c r="AE107" s="139" t="n">
        <f aca="false">SQRT((AD107^2*($A107-$C$3)+AC107^2*(DAY(EOMONTH(A107,0))/2))/$AN107)</f>
        <v>0.174177607882145</v>
      </c>
      <c r="AF107" s="152"/>
      <c r="AG107" s="156" t="n">
        <f aca="false">((Inputs!$F$20*(X107*AD107)*(A107-$C$3))+(Inputs!$F$19*W107*AC107*(DAY(EOMONTH(A107,0))/2)))/(AN107*Y107*AE107)</f>
        <v>0.750000239750827</v>
      </c>
      <c r="AH107" s="152"/>
      <c r="AI107" s="140" t="n">
        <f aca="false">Inputs!$B$15</f>
        <v>0.06</v>
      </c>
      <c r="AJ107" s="157"/>
      <c r="AK107" s="140" t="n">
        <f aca="false">IF((U107-AA107-AI107)&lt;0,0,(U107-AA107-AI107))</f>
        <v>0.9265</v>
      </c>
      <c r="AL107" s="157"/>
      <c r="AM107" s="158" t="n">
        <f aca="false">WORKDAY(EOMONTH(A107-1,-1),0)</f>
        <v>41060</v>
      </c>
      <c r="AN107" s="159" t="n">
        <f aca="false">AM107-$C$3</f>
        <v>-4866</v>
      </c>
      <c r="AO107" s="159" t="n">
        <f aca="false">AO106</f>
        <v>1</v>
      </c>
      <c r="AP107" s="160"/>
      <c r="AQ107" s="161" t="e">
        <f aca="false">SPRDOPT(U107,AA107,AI107,AX107,X107,AD107,AG107,AN107,AO107,0)</f>
        <v>#NAME?</v>
      </c>
      <c r="AR107" s="162" t="e">
        <f aca="false">AQ107*C107</f>
        <v>#NAME?</v>
      </c>
      <c r="AS107" s="163" t="e">
        <f aca="false">AQ107-AK107</f>
        <v>#NAME?</v>
      </c>
      <c r="AU107" s="112" t="n">
        <f aca="false">A108-A107</f>
        <v>31</v>
      </c>
      <c r="AV107" s="164" t="n">
        <f aca="false">CHOOSE(F$3,A108+24,A107+14)</f>
        <v>41105</v>
      </c>
      <c r="AW107" s="49" t="n">
        <f aca="false">AV107-C$3</f>
        <v>-4821</v>
      </c>
      <c r="AX107" s="155" t="n">
        <f aca="false">VLOOKUP($A107,[1]!CurveTable,MATCH(AX$4,[1]!CurveType,0))</f>
        <v>0.0553529166588374</v>
      </c>
      <c r="AY107" s="165" t="n">
        <f aca="false">1/(1+CHOOSE(F$3,(AX108+(Inputs!$B$14/10000))/2,(AX107+(Inputs!$B$14/10000))/2))^(2*AW107/365.25)</f>
        <v>2.05584180800796</v>
      </c>
      <c r="AZ107" s="49" t="n">
        <f aca="false">IF(AND(mthbeg&lt;=A107,mthend&gt;=A107),1,0)</f>
        <v>1</v>
      </c>
      <c r="BA107" s="111" t="n">
        <f aca="false">AU107*AZ107</f>
        <v>31</v>
      </c>
      <c r="BC107" s="142" t="n">
        <f aca="false">E107*$D107</f>
        <v>14068639.4526505</v>
      </c>
      <c r="BD107" s="142" t="n">
        <f aca="false">F107*$D107</f>
        <v>14243899.9667832</v>
      </c>
      <c r="BE107" s="142" t="n">
        <f aca="false">G107*$D107</f>
        <v>14243899.9667832</v>
      </c>
      <c r="BF107" s="142" t="n">
        <f aca="false">H107*$D107</f>
        <v>3186554.80241234</v>
      </c>
      <c r="BG107" s="142" t="n">
        <f aca="false">I107*$D107</f>
        <v>3186554.80241234</v>
      </c>
      <c r="BH107" s="142" t="n">
        <f aca="false">J107*$D107</f>
        <v>3186554.80241234</v>
      </c>
      <c r="BI107" s="142" t="n">
        <f aca="false">K107*$D107</f>
        <v>0</v>
      </c>
      <c r="BJ107" s="142" t="n">
        <f aca="false">L107*$D107</f>
        <v>0</v>
      </c>
      <c r="BK107" s="142" t="n">
        <f aca="false">M107*$D107</f>
        <v>0</v>
      </c>
      <c r="BL107" s="142" t="n">
        <f aca="false">N107*$D107</f>
        <v>43018.4898325666</v>
      </c>
      <c r="BM107" s="142" t="n">
        <f aca="false">O107*$D107</f>
        <v>43018.4898325666</v>
      </c>
      <c r="BN107" s="142" t="n">
        <f aca="false">P107*$D107</f>
        <v>43018.4898325666</v>
      </c>
      <c r="BO107" s="142" t="n">
        <f aca="false">Q107*$D107</f>
        <v>31865.5480241234</v>
      </c>
      <c r="BP107" s="142" t="n">
        <f aca="false">R107*$D107</f>
        <v>0</v>
      </c>
      <c r="BQ107" s="142" t="n">
        <f aca="false">S107*$D107</f>
        <v>0</v>
      </c>
      <c r="BR107" s="142" t="n">
        <f aca="false">U107*$D107</f>
        <v>17430454.7691955</v>
      </c>
      <c r="BS107" s="142" t="n">
        <f aca="false">AA107*$D107</f>
        <v>14286918.4566157</v>
      </c>
      <c r="BT107" s="142" t="n">
        <f aca="false">AI107*$D107</f>
        <v>191193.28814474</v>
      </c>
      <c r="BU107" s="142" t="n">
        <f aca="false">AK107*D107</f>
        <v>2952343.02443503</v>
      </c>
    </row>
    <row r="108" customFormat="false" ht="12.75" hidden="false" customHeight="false" outlineLevel="0" collapsed="false">
      <c r="A108" s="144" t="n">
        <f aca="false">EDATE(A107,1)</f>
        <v>41122</v>
      </c>
      <c r="B108" s="145" t="n">
        <f aca="false">Inputs!$B$8</f>
        <v>50000</v>
      </c>
      <c r="C108" s="146" t="n">
        <f aca="false">IF(AZ108=0,0,IF(AND(AZ108=1,$H$3=1),B108*AU108,IF($H$3=2,B108,"N/A")))</f>
        <v>1550000</v>
      </c>
      <c r="D108" s="146" t="n">
        <f aca="false">C108*AY108</f>
        <v>3174179.04615987</v>
      </c>
      <c r="E108" s="147" t="n">
        <f aca="false">VLOOKUP($A108,[1]!CurveTable,MATCH($E$4,[1]!CurveType,0))</f>
        <v>4.453</v>
      </c>
      <c r="F108" s="148" t="n">
        <f aca="false">E108-Inputs!$B$16</f>
        <v>4.508</v>
      </c>
      <c r="G108" s="149" t="n">
        <f aca="false">F108</f>
        <v>4.508</v>
      </c>
      <c r="H108" s="147" t="n">
        <f aca="false">VLOOKUP($A108,[1]!CurveTable,MATCH($H$4,[1]!CurveType,0))</f>
        <v>1</v>
      </c>
      <c r="I108" s="148" t="n">
        <f aca="false">H108+Inputs!$B$22</f>
        <v>1</v>
      </c>
      <c r="J108" s="150" t="n">
        <f aca="false">I108</f>
        <v>1</v>
      </c>
      <c r="K108" s="147" t="n">
        <f aca="false">VLOOKUP($A108,[1]!CurveTable,MATCH($K$4,[1]!CurveType,0))</f>
        <v>0</v>
      </c>
      <c r="L108" s="148" t="n">
        <v>0</v>
      </c>
      <c r="M108" s="151" t="n">
        <f aca="false">L108</f>
        <v>0</v>
      </c>
      <c r="N108" s="147" t="n">
        <f aca="false">VLOOKUP($A108,[1]!CurveTable,MATCH($N$4,[1]!CurveType,0))</f>
        <v>0.0135</v>
      </c>
      <c r="O108" s="148" t="n">
        <f aca="false">N108+Inputs!$E$22</f>
        <v>0.0135</v>
      </c>
      <c r="P108" s="151" t="n">
        <f aca="false">O108</f>
        <v>0.0135</v>
      </c>
      <c r="Q108" s="147" t="n">
        <f aca="false">VLOOKUP($A108,[1]!CurveTable,MATCH($Q$4,[1]!CurveType,0))</f>
        <v>0.01</v>
      </c>
      <c r="R108" s="148" t="n">
        <v>0</v>
      </c>
      <c r="S108" s="151" t="n">
        <f aca="false">R108</f>
        <v>0</v>
      </c>
      <c r="T108" s="152"/>
      <c r="U108" s="153" t="n">
        <f aca="false">G108+J108</f>
        <v>5.508</v>
      </c>
      <c r="V108" s="154"/>
      <c r="W108" s="155" t="n">
        <f aca="false">VLOOKUP($A108,[1]!CurveTable,MATCH($W$4,[1]!CurveType,0))+$W$9</f>
        <v>0.34</v>
      </c>
      <c r="X108" s="155" t="n">
        <f aca="false">VLOOKUP($A108,[1]!CurveTable,MATCH($X$4,[1]!CurveType,0))+$X$9</f>
        <v>0.345</v>
      </c>
      <c r="Y108" s="139" t="n">
        <f aca="false">SQRT((X108^2*($A108-$C$3)+W108^2*(DAY(EOMONTH(A108,0))/2))/$AN108)</f>
        <v>0.343317482991149</v>
      </c>
      <c r="Z108" s="152"/>
      <c r="AA108" s="153" t="n">
        <f aca="false">G108+P108+S108</f>
        <v>4.5215</v>
      </c>
      <c r="AB108" s="154"/>
      <c r="AC108" s="155" t="n">
        <f aca="false">VLOOKUP($A108,[1]!CurveTable,MATCH($AC$4,[1]!CurveType,0))+$AC$9</f>
        <v>0.17</v>
      </c>
      <c r="AD108" s="155" t="n">
        <f aca="false">VLOOKUP($A108,[1]!CurveTable,MATCH($AD$4,[1]!CurveType,0))+$AD$9</f>
        <v>0.175</v>
      </c>
      <c r="AE108" s="139" t="n">
        <f aca="false">SQRT((AD108^2*($A108-$C$3)+AC108^2*(DAY(EOMONTH(A108,0))/2))/$AN108)</f>
        <v>0.17415431369714</v>
      </c>
      <c r="AF108" s="152"/>
      <c r="AG108" s="156" t="n">
        <f aca="false">((Inputs!$F$20*(X108*AD108)*(A108-$C$3))+(Inputs!$F$19*W108*AC108*(DAY(EOMONTH(A108,0))/2)))/(AN108*Y108*AE108)</f>
        <v>0.750000241307516</v>
      </c>
      <c r="AH108" s="152"/>
      <c r="AI108" s="140" t="n">
        <f aca="false">Inputs!$B$15</f>
        <v>0.06</v>
      </c>
      <c r="AJ108" s="157"/>
      <c r="AK108" s="140" t="n">
        <f aca="false">IF((U108-AA108-AI108)&lt;0,0,(U108-AA108-AI108))</f>
        <v>0.9265</v>
      </c>
      <c r="AL108" s="157"/>
      <c r="AM108" s="158" t="n">
        <f aca="false">WORKDAY(EOMONTH(A108-1,-1),0)</f>
        <v>41090</v>
      </c>
      <c r="AN108" s="159" t="n">
        <f aca="false">AM108-$C$3</f>
        <v>-4836</v>
      </c>
      <c r="AO108" s="159" t="n">
        <f aca="false">AO107</f>
        <v>1</v>
      </c>
      <c r="AP108" s="160"/>
      <c r="AQ108" s="161" t="e">
        <f aca="false">SPRDOPT(U108,AA108,AI108,AX108,X108,AD108,AG108,AN108,AO108,0)</f>
        <v>#NAME?</v>
      </c>
      <c r="AR108" s="162" t="e">
        <f aca="false">AQ108*C108</f>
        <v>#NAME?</v>
      </c>
      <c r="AS108" s="163" t="e">
        <f aca="false">AQ108-AK108</f>
        <v>#NAME?</v>
      </c>
      <c r="AU108" s="112" t="n">
        <f aca="false">A109-A108</f>
        <v>31</v>
      </c>
      <c r="AV108" s="164" t="n">
        <f aca="false">CHOOSE(F$3,A109+24,A108+14)</f>
        <v>41136</v>
      </c>
      <c r="AW108" s="49" t="n">
        <f aca="false">AV108-C$3</f>
        <v>-4790</v>
      </c>
      <c r="AX108" s="155" t="n">
        <f aca="false">VLOOKUP($A108,[1]!CurveTable,MATCH(AX$4,[1]!CurveType,0))</f>
        <v>0.0554111293668198</v>
      </c>
      <c r="AY108" s="165" t="n">
        <f aca="false">1/(1+CHOOSE(F$3,(AX109+(Inputs!$B$14/10000))/2,(AX108+(Inputs!$B$14/10000))/2))^(2*AW108/365.25)</f>
        <v>2.0478574491354</v>
      </c>
      <c r="AZ108" s="49" t="n">
        <f aca="false">IF(AND(mthbeg&lt;=A108,mthend&gt;=A108),1,0)</f>
        <v>1</v>
      </c>
      <c r="BA108" s="111" t="n">
        <f aca="false">AU108*AZ108</f>
        <v>31</v>
      </c>
      <c r="BC108" s="142" t="n">
        <f aca="false">E108*$D108</f>
        <v>14134619.2925499</v>
      </c>
      <c r="BD108" s="142" t="n">
        <f aca="false">F108*$D108</f>
        <v>14309199.1400887</v>
      </c>
      <c r="BE108" s="142" t="n">
        <f aca="false">G108*$D108</f>
        <v>14309199.1400887</v>
      </c>
      <c r="BF108" s="142" t="n">
        <f aca="false">H108*$D108</f>
        <v>3174179.04615987</v>
      </c>
      <c r="BG108" s="142" t="n">
        <f aca="false">I108*$D108</f>
        <v>3174179.04615987</v>
      </c>
      <c r="BH108" s="142" t="n">
        <f aca="false">J108*$D108</f>
        <v>3174179.04615987</v>
      </c>
      <c r="BI108" s="142" t="n">
        <f aca="false">K108*$D108</f>
        <v>0</v>
      </c>
      <c r="BJ108" s="142" t="n">
        <f aca="false">L108*$D108</f>
        <v>0</v>
      </c>
      <c r="BK108" s="142" t="n">
        <f aca="false">M108*$D108</f>
        <v>0</v>
      </c>
      <c r="BL108" s="142" t="n">
        <f aca="false">N108*$D108</f>
        <v>42851.4171231582</v>
      </c>
      <c r="BM108" s="142" t="n">
        <f aca="false">O108*$D108</f>
        <v>42851.4171231582</v>
      </c>
      <c r="BN108" s="142" t="n">
        <f aca="false">P108*$D108</f>
        <v>42851.4171231582</v>
      </c>
      <c r="BO108" s="142" t="n">
        <f aca="false">Q108*$D108</f>
        <v>31741.7904615987</v>
      </c>
      <c r="BP108" s="142" t="n">
        <f aca="false">R108*$D108</f>
        <v>0</v>
      </c>
      <c r="BQ108" s="142" t="n">
        <f aca="false">S108*$D108</f>
        <v>0</v>
      </c>
      <c r="BR108" s="142" t="n">
        <f aca="false">U108*$D108</f>
        <v>17483378.1862485</v>
      </c>
      <c r="BS108" s="142" t="n">
        <f aca="false">AA108*$D108</f>
        <v>14352050.5572118</v>
      </c>
      <c r="BT108" s="142" t="n">
        <f aca="false">AI108*$D108</f>
        <v>190450.742769592</v>
      </c>
      <c r="BU108" s="142" t="n">
        <f aca="false">AK108*D108</f>
        <v>2940876.88626712</v>
      </c>
    </row>
    <row r="109" customFormat="false" ht="12.75" hidden="false" customHeight="false" outlineLevel="0" collapsed="false">
      <c r="A109" s="144" t="n">
        <f aca="false">EDATE(A108,1)</f>
        <v>41153</v>
      </c>
      <c r="B109" s="145" t="n">
        <f aca="false">Inputs!$B$8</f>
        <v>50000</v>
      </c>
      <c r="C109" s="146" t="n">
        <f aca="false">IF(AZ109=0,0,IF(AND(AZ109=1,$H$3=1),B109*AU109,IF($H$3=2,B109,"N/A")))</f>
        <v>1500000</v>
      </c>
      <c r="D109" s="146" t="n">
        <f aca="false">C109*AY109</f>
        <v>3059826.66438562</v>
      </c>
      <c r="E109" s="147" t="n">
        <f aca="false">VLOOKUP($A109,[1]!CurveTable,MATCH($E$4,[1]!CurveType,0))</f>
        <v>4.447</v>
      </c>
      <c r="F109" s="148" t="n">
        <f aca="false">E109-Inputs!$B$16</f>
        <v>4.502</v>
      </c>
      <c r="G109" s="149" t="n">
        <f aca="false">F109</f>
        <v>4.502</v>
      </c>
      <c r="H109" s="147" t="n">
        <f aca="false">VLOOKUP($A109,[1]!CurveTable,MATCH($H$4,[1]!CurveType,0))</f>
        <v>0.6</v>
      </c>
      <c r="I109" s="148" t="n">
        <f aca="false">H109+Inputs!$B$22</f>
        <v>0.6</v>
      </c>
      <c r="J109" s="150" t="n">
        <f aca="false">I109</f>
        <v>0.6</v>
      </c>
      <c r="K109" s="147" t="n">
        <f aca="false">VLOOKUP($A109,[1]!CurveTable,MATCH($K$4,[1]!CurveType,0))</f>
        <v>0</v>
      </c>
      <c r="L109" s="148" t="n">
        <v>0</v>
      </c>
      <c r="M109" s="151" t="n">
        <f aca="false">L109</f>
        <v>0</v>
      </c>
      <c r="N109" s="147" t="n">
        <f aca="false">VLOOKUP($A109,[1]!CurveTable,MATCH($N$4,[1]!CurveType,0))</f>
        <v>0.0135</v>
      </c>
      <c r="O109" s="148" t="n">
        <f aca="false">N109+Inputs!$E$22</f>
        <v>0.0135</v>
      </c>
      <c r="P109" s="151" t="n">
        <f aca="false">O109</f>
        <v>0.0135</v>
      </c>
      <c r="Q109" s="147" t="n">
        <f aca="false">VLOOKUP($A109,[1]!CurveTable,MATCH($Q$4,[1]!CurveType,0))</f>
        <v>0.01</v>
      </c>
      <c r="R109" s="148" t="n">
        <v>0</v>
      </c>
      <c r="S109" s="151" t="n">
        <f aca="false">R109</f>
        <v>0</v>
      </c>
      <c r="T109" s="152"/>
      <c r="U109" s="153" t="n">
        <f aca="false">G109+J109</f>
        <v>5.102</v>
      </c>
      <c r="V109" s="154"/>
      <c r="W109" s="155" t="n">
        <f aca="false">VLOOKUP($A109,[1]!CurveTable,MATCH($W$4,[1]!CurveType,0))+$W$9</f>
        <v>0.34</v>
      </c>
      <c r="X109" s="155" t="n">
        <f aca="false">VLOOKUP($A109,[1]!CurveTable,MATCH($X$4,[1]!CurveType,0))+$X$9</f>
        <v>0.345</v>
      </c>
      <c r="Y109" s="139" t="n">
        <f aca="false">SQRT((X109^2*($A109-$C$3)+W109^2*(DAY(EOMONTH(A109,0))/2))/$AN109)</f>
        <v>0.343324120348255</v>
      </c>
      <c r="Z109" s="152"/>
      <c r="AA109" s="153" t="n">
        <f aca="false">G109+P109+S109</f>
        <v>4.5155</v>
      </c>
      <c r="AB109" s="154"/>
      <c r="AC109" s="155" t="n">
        <f aca="false">VLOOKUP($A109,[1]!CurveTable,MATCH($AC$4,[1]!CurveType,0))+$AC$9</f>
        <v>0.17</v>
      </c>
      <c r="AD109" s="155" t="n">
        <f aca="false">VLOOKUP($A109,[1]!CurveTable,MATCH($AD$4,[1]!CurveType,0))+$AD$9</f>
        <v>0.175</v>
      </c>
      <c r="AE109" s="139" t="n">
        <f aca="false">SQRT((AD109^2*($A109-$C$3)+AC109^2*(DAY(EOMONTH(A109,0))/2))/$AN109)</f>
        <v>0.174157478344364</v>
      </c>
      <c r="AF109" s="152"/>
      <c r="AG109" s="156" t="n">
        <f aca="false">((Inputs!$F$20*(X109*AD109)*(A109-$C$3))+(Inputs!$F$19*W109*AC109*(DAY(EOMONTH(A109,0))/2)))/(AN109*Y109*AE109)</f>
        <v>0.750000235002278</v>
      </c>
      <c r="AH109" s="152"/>
      <c r="AI109" s="140" t="n">
        <f aca="false">Inputs!$B$15</f>
        <v>0.06</v>
      </c>
      <c r="AJ109" s="157"/>
      <c r="AK109" s="140" t="n">
        <f aca="false">IF((U109-AA109-AI109)&lt;0,0,(U109-AA109-AI109))</f>
        <v>0.5265</v>
      </c>
      <c r="AL109" s="157"/>
      <c r="AM109" s="158" t="n">
        <f aca="false">WORKDAY(EOMONTH(A109-1,-1),0)</f>
        <v>41121</v>
      </c>
      <c r="AN109" s="159" t="n">
        <f aca="false">AM109-$C$3</f>
        <v>-4805</v>
      </c>
      <c r="AO109" s="159" t="n">
        <f aca="false">AO108</f>
        <v>1</v>
      </c>
      <c r="AP109" s="160"/>
      <c r="AQ109" s="161" t="e">
        <f aca="false">SPRDOPT(U109,AA109,AI109,AX109,X109,AD109,AG109,AN109,AO109,0)</f>
        <v>#NAME?</v>
      </c>
      <c r="AR109" s="162" t="e">
        <f aca="false">AQ109*C109</f>
        <v>#NAME?</v>
      </c>
      <c r="AS109" s="163" t="e">
        <f aca="false">AQ109-AK109</f>
        <v>#NAME?</v>
      </c>
      <c r="AU109" s="112" t="n">
        <f aca="false">A110-A109</f>
        <v>30</v>
      </c>
      <c r="AV109" s="164" t="n">
        <f aca="false">CHOOSE(F$3,A110+24,A109+14)</f>
        <v>41167</v>
      </c>
      <c r="AW109" s="49" t="n">
        <f aca="false">AV109-C$3</f>
        <v>-4759</v>
      </c>
      <c r="AX109" s="155" t="n">
        <f aca="false">VLOOKUP($A109,[1]!CurveTable,MATCH(AX$4,[1]!CurveType,0))</f>
        <v>0.0554693420759311</v>
      </c>
      <c r="AY109" s="165" t="n">
        <f aca="false">1/(1+CHOOSE(F$3,(AX110+(Inputs!$B$14/10000))/2,(AX109+(Inputs!$B$14/10000))/2))^(2*AW109/365.25)</f>
        <v>2.03988444292375</v>
      </c>
      <c r="AZ109" s="49" t="n">
        <f aca="false">IF(AND(mthbeg&lt;=A109,mthend&gt;=A109),1,0)</f>
        <v>1</v>
      </c>
      <c r="BA109" s="111" t="n">
        <f aca="false">AU109*AZ109</f>
        <v>30</v>
      </c>
      <c r="BC109" s="142" t="n">
        <f aca="false">E109*$D109</f>
        <v>13607049.1765228</v>
      </c>
      <c r="BD109" s="142" t="n">
        <f aca="false">F109*$D109</f>
        <v>13775339.6430641</v>
      </c>
      <c r="BE109" s="142" t="n">
        <f aca="false">G109*$D109</f>
        <v>13775339.6430641</v>
      </c>
      <c r="BF109" s="142" t="n">
        <f aca="false">H109*$D109</f>
        <v>1835895.99863137</v>
      </c>
      <c r="BG109" s="142" t="n">
        <f aca="false">I109*$D109</f>
        <v>1835895.99863137</v>
      </c>
      <c r="BH109" s="142" t="n">
        <f aca="false">J109*$D109</f>
        <v>1835895.99863137</v>
      </c>
      <c r="BI109" s="142" t="n">
        <f aca="false">K109*$D109</f>
        <v>0</v>
      </c>
      <c r="BJ109" s="142" t="n">
        <f aca="false">L109*$D109</f>
        <v>0</v>
      </c>
      <c r="BK109" s="142" t="n">
        <f aca="false">M109*$D109</f>
        <v>0</v>
      </c>
      <c r="BL109" s="142" t="n">
        <f aca="false">N109*$D109</f>
        <v>41307.6599692058</v>
      </c>
      <c r="BM109" s="142" t="n">
        <f aca="false">O109*$D109</f>
        <v>41307.6599692058</v>
      </c>
      <c r="BN109" s="142" t="n">
        <f aca="false">P109*$D109</f>
        <v>41307.6599692058</v>
      </c>
      <c r="BO109" s="142" t="n">
        <f aca="false">Q109*$D109</f>
        <v>30598.2666438562</v>
      </c>
      <c r="BP109" s="142" t="n">
        <f aca="false">R109*$D109</f>
        <v>0</v>
      </c>
      <c r="BQ109" s="142" t="n">
        <f aca="false">S109*$D109</f>
        <v>0</v>
      </c>
      <c r="BR109" s="142" t="n">
        <f aca="false">U109*$D109</f>
        <v>15611235.6416954</v>
      </c>
      <c r="BS109" s="142" t="n">
        <f aca="false">AA109*$D109</f>
        <v>13816647.3030333</v>
      </c>
      <c r="BT109" s="142" t="n">
        <f aca="false">AI109*$D109</f>
        <v>183589.599863137</v>
      </c>
      <c r="BU109" s="142" t="n">
        <f aca="false">AK109*D109</f>
        <v>1610998.73879903</v>
      </c>
    </row>
    <row r="110" customFormat="false" ht="12.75" hidden="false" customHeight="false" outlineLevel="0" collapsed="false">
      <c r="A110" s="144" t="n">
        <f aca="false">EDATE(A109,1)</f>
        <v>41183</v>
      </c>
      <c r="B110" s="145" t="n">
        <f aca="false">Inputs!$B$8</f>
        <v>50000</v>
      </c>
      <c r="C110" s="146" t="n">
        <f aca="false">IF(AZ110=0,0,IF(AND(AZ110=1,$H$3=1),B110*AU110,IF($H$3=2,B110,"N/A")))</f>
        <v>1550000</v>
      </c>
      <c r="D110" s="146" t="n">
        <f aca="false">C110*AY110</f>
        <v>3149878.29213032</v>
      </c>
      <c r="E110" s="147" t="n">
        <f aca="false">VLOOKUP($A110,[1]!CurveTable,MATCH($E$4,[1]!CurveType,0))</f>
        <v>4.447</v>
      </c>
      <c r="F110" s="148" t="n">
        <f aca="false">E110-Inputs!$B$16</f>
        <v>4.502</v>
      </c>
      <c r="G110" s="149" t="n">
        <f aca="false">F110</f>
        <v>4.502</v>
      </c>
      <c r="H110" s="147" t="n">
        <f aca="false">VLOOKUP($A110,[1]!CurveTable,MATCH($H$4,[1]!CurveType,0))</f>
        <v>0.3</v>
      </c>
      <c r="I110" s="148" t="n">
        <f aca="false">H110+Inputs!$B$22</f>
        <v>0.3</v>
      </c>
      <c r="J110" s="150" t="n">
        <f aca="false">I110</f>
        <v>0.3</v>
      </c>
      <c r="K110" s="147" t="n">
        <f aca="false">VLOOKUP($A110,[1]!CurveTable,MATCH($K$4,[1]!CurveType,0))</f>
        <v>0</v>
      </c>
      <c r="L110" s="148" t="n">
        <v>0</v>
      </c>
      <c r="M110" s="151" t="n">
        <f aca="false">L110</f>
        <v>0</v>
      </c>
      <c r="N110" s="147" t="n">
        <f aca="false">VLOOKUP($A110,[1]!CurveTable,MATCH($N$4,[1]!CurveType,0))</f>
        <v>0.012</v>
      </c>
      <c r="O110" s="148" t="n">
        <f aca="false">N110+Inputs!$E$22</f>
        <v>0.012</v>
      </c>
      <c r="P110" s="151" t="n">
        <f aca="false">O110</f>
        <v>0.012</v>
      </c>
      <c r="Q110" s="147" t="n">
        <f aca="false">VLOOKUP($A110,[1]!CurveTable,MATCH($Q$4,[1]!CurveType,0))</f>
        <v>0.01</v>
      </c>
      <c r="R110" s="148" t="n">
        <v>0</v>
      </c>
      <c r="S110" s="151" t="n">
        <f aca="false">R110</f>
        <v>0</v>
      </c>
      <c r="T110" s="152"/>
      <c r="U110" s="153" t="n">
        <f aca="false">G110+J110</f>
        <v>4.802</v>
      </c>
      <c r="V110" s="154"/>
      <c r="W110" s="155" t="n">
        <f aca="false">VLOOKUP($A110,[1]!CurveTable,MATCH($W$4,[1]!CurveType,0))+$W$9</f>
        <v>0.17</v>
      </c>
      <c r="X110" s="155" t="n">
        <f aca="false">VLOOKUP($A110,[1]!CurveTable,MATCH($X$4,[1]!CurveType,0))+$X$9</f>
        <v>0.175</v>
      </c>
      <c r="Y110" s="139" t="n">
        <f aca="false">SQRT((X110^2*($A110-$C$3)+W110^2*(DAY(EOMONTH(A110,0))/2))/$AN110)</f>
        <v>0.174161721382183</v>
      </c>
      <c r="Z110" s="152"/>
      <c r="AA110" s="153" t="n">
        <f aca="false">G110+P110+S110</f>
        <v>4.514</v>
      </c>
      <c r="AB110" s="154"/>
      <c r="AC110" s="155" t="n">
        <f aca="false">VLOOKUP($A110,[1]!CurveTable,MATCH($AC$4,[1]!CurveType,0))+$AC$9</f>
        <v>0.17</v>
      </c>
      <c r="AD110" s="155" t="n">
        <f aca="false">VLOOKUP($A110,[1]!CurveTable,MATCH($AD$4,[1]!CurveType,0))+$AD$9</f>
        <v>0.175</v>
      </c>
      <c r="AE110" s="139" t="n">
        <f aca="false">SQRT((AD110^2*($A110-$C$3)+AC110^2*(DAY(EOMONTH(A110,0))/2))/$AN110)</f>
        <v>0.174161721382183</v>
      </c>
      <c r="AF110" s="152"/>
      <c r="AG110" s="156" t="n">
        <f aca="false">((Inputs!$F$20*(X110*AD110)*(A110-$C$3))+(Inputs!$F$19*W110*AC110*(DAY(EOMONTH(A110,0))/2)))/(AN110*Y110*AE110)</f>
        <v>0.75</v>
      </c>
      <c r="AH110" s="152"/>
      <c r="AI110" s="140" t="n">
        <f aca="false">Inputs!$B$15</f>
        <v>0.06</v>
      </c>
      <c r="AJ110" s="157"/>
      <c r="AK110" s="140" t="n">
        <f aca="false">IF((U110-AA110-AI110)&lt;0,0,(U110-AA110-AI110))</f>
        <v>0.228</v>
      </c>
      <c r="AL110" s="157"/>
      <c r="AM110" s="158" t="n">
        <f aca="false">WORKDAY(EOMONTH(A110-1,-1),0)</f>
        <v>41152</v>
      </c>
      <c r="AN110" s="159" t="n">
        <f aca="false">AM110-$C$3</f>
        <v>-4774</v>
      </c>
      <c r="AO110" s="159" t="n">
        <f aca="false">AO109</f>
        <v>1</v>
      </c>
      <c r="AP110" s="160"/>
      <c r="AQ110" s="161" t="e">
        <f aca="false">SPRDOPT(U110,AA110,AI110,AX110,X110,AD110,AG110,AN110,AO110,0)</f>
        <v>#NAME?</v>
      </c>
      <c r="AR110" s="162" t="e">
        <f aca="false">AQ110*C110</f>
        <v>#NAME?</v>
      </c>
      <c r="AS110" s="163" t="e">
        <f aca="false">AQ110-AK110</f>
        <v>#NAME?</v>
      </c>
      <c r="AU110" s="112" t="n">
        <f aca="false">A111-A110</f>
        <v>31</v>
      </c>
      <c r="AV110" s="164" t="n">
        <f aca="false">CHOOSE(F$3,A111+24,A110+14)</f>
        <v>41197</v>
      </c>
      <c r="AW110" s="49" t="n">
        <f aca="false">AV110-C$3</f>
        <v>-4729</v>
      </c>
      <c r="AX110" s="155" t="n">
        <f aca="false">VLOOKUP($A110,[1]!CurveTable,MATCH(AX$4,[1]!CurveType,0))</f>
        <v>0.0555256769567904</v>
      </c>
      <c r="AY110" s="165" t="n">
        <f aca="false">1/(1+CHOOSE(F$3,(AX111+(Inputs!$B$14/10000))/2,(AX110+(Inputs!$B$14/10000))/2))^(2*AW110/365.25)</f>
        <v>2.03217954330989</v>
      </c>
      <c r="AZ110" s="49" t="n">
        <f aca="false">IF(AND(mthbeg&lt;=A110,mthend&gt;=A110),1,0)</f>
        <v>1</v>
      </c>
      <c r="BA110" s="111" t="n">
        <f aca="false">AU110*AZ110</f>
        <v>31</v>
      </c>
      <c r="BC110" s="142" t="n">
        <f aca="false">E110*$D110</f>
        <v>14007508.7651035</v>
      </c>
      <c r="BD110" s="142" t="n">
        <f aca="false">F110*$D110</f>
        <v>14180752.0711707</v>
      </c>
      <c r="BE110" s="142" t="n">
        <f aca="false">G110*$D110</f>
        <v>14180752.0711707</v>
      </c>
      <c r="BF110" s="142" t="n">
        <f aca="false">H110*$D110</f>
        <v>944963.487639097</v>
      </c>
      <c r="BG110" s="142" t="n">
        <f aca="false">I110*$D110</f>
        <v>944963.487639097</v>
      </c>
      <c r="BH110" s="142" t="n">
        <f aca="false">J110*$D110</f>
        <v>944963.487639097</v>
      </c>
      <c r="BI110" s="142" t="n">
        <f aca="false">K110*$D110</f>
        <v>0</v>
      </c>
      <c r="BJ110" s="142" t="n">
        <f aca="false">L110*$D110</f>
        <v>0</v>
      </c>
      <c r="BK110" s="142" t="n">
        <f aca="false">M110*$D110</f>
        <v>0</v>
      </c>
      <c r="BL110" s="142" t="n">
        <f aca="false">N110*$D110</f>
        <v>37798.5395055639</v>
      </c>
      <c r="BM110" s="142" t="n">
        <f aca="false">O110*$D110</f>
        <v>37798.5395055639</v>
      </c>
      <c r="BN110" s="142" t="n">
        <f aca="false">P110*$D110</f>
        <v>37798.5395055639</v>
      </c>
      <c r="BO110" s="142" t="n">
        <f aca="false">Q110*$D110</f>
        <v>31498.7829213032</v>
      </c>
      <c r="BP110" s="142" t="n">
        <f aca="false">R110*$D110</f>
        <v>0</v>
      </c>
      <c r="BQ110" s="142" t="n">
        <f aca="false">S110*$D110</f>
        <v>0</v>
      </c>
      <c r="BR110" s="142" t="n">
        <f aca="false">U110*$D110</f>
        <v>15125715.5588098</v>
      </c>
      <c r="BS110" s="142" t="n">
        <f aca="false">AA110*$D110</f>
        <v>14218550.6106763</v>
      </c>
      <c r="BT110" s="142" t="n">
        <f aca="false">AI110*$D110</f>
        <v>188992.697527819</v>
      </c>
      <c r="BU110" s="142" t="n">
        <f aca="false">AK110*D110</f>
        <v>718172.250605714</v>
      </c>
    </row>
    <row r="111" customFormat="false" ht="12.75" hidden="false" customHeight="false" outlineLevel="0" collapsed="false">
      <c r="A111" s="144" t="n">
        <f aca="false">EDATE(A110,1)</f>
        <v>41214</v>
      </c>
      <c r="B111" s="145" t="n">
        <f aca="false">Inputs!$B$8</f>
        <v>50000</v>
      </c>
      <c r="C111" s="146" t="n">
        <f aca="false">IF(AZ111=0,0,IF(AND(AZ111=1,$H$3=1),B111*AU111,IF($H$3=2,B111,"N/A")))</f>
        <v>1500000</v>
      </c>
      <c r="D111" s="146" t="n">
        <f aca="false">C111*AY111</f>
        <v>3036343.79495112</v>
      </c>
      <c r="E111" s="147" t="n">
        <f aca="false">VLOOKUP($A111,[1]!CurveTable,MATCH($E$4,[1]!CurveType,0))</f>
        <v>4.595</v>
      </c>
      <c r="F111" s="148" t="n">
        <f aca="false">E111-Inputs!$B$16</f>
        <v>4.65</v>
      </c>
      <c r="G111" s="149" t="n">
        <f aca="false">F111</f>
        <v>4.65</v>
      </c>
      <c r="H111" s="147" t="n">
        <f aca="false">VLOOKUP($A111,[1]!CurveTable,MATCH($H$4,[1]!CurveType,0))</f>
        <v>0.23</v>
      </c>
      <c r="I111" s="148" t="n">
        <f aca="false">H111+Inputs!$B$22</f>
        <v>0.23</v>
      </c>
      <c r="J111" s="150" t="n">
        <f aca="false">I111</f>
        <v>0.23</v>
      </c>
      <c r="K111" s="147" t="n">
        <f aca="false">VLOOKUP($A111,[1]!CurveTable,MATCH($K$4,[1]!CurveType,0))</f>
        <v>0</v>
      </c>
      <c r="L111" s="148" t="n">
        <v>0</v>
      </c>
      <c r="M111" s="151" t="n">
        <f aca="false">L111</f>
        <v>0</v>
      </c>
      <c r="N111" s="147" t="n">
        <f aca="false">VLOOKUP($A111,[1]!CurveTable,MATCH($N$4,[1]!CurveType,0))</f>
        <v>0.013</v>
      </c>
      <c r="O111" s="148" t="n">
        <f aca="false">N111+Inputs!$E$22</f>
        <v>0.013</v>
      </c>
      <c r="P111" s="151" t="n">
        <f aca="false">O111</f>
        <v>0.013</v>
      </c>
      <c r="Q111" s="147" t="n">
        <f aca="false">VLOOKUP($A111,[1]!CurveTable,MATCH($Q$4,[1]!CurveType,0))</f>
        <v>0.0075</v>
      </c>
      <c r="R111" s="148" t="n">
        <v>0</v>
      </c>
      <c r="S111" s="151" t="n">
        <f aca="false">R111</f>
        <v>0</v>
      </c>
      <c r="T111" s="152"/>
      <c r="U111" s="153" t="n">
        <f aca="false">G111+J111</f>
        <v>4.88</v>
      </c>
      <c r="V111" s="154"/>
      <c r="W111" s="155" t="n">
        <f aca="false">VLOOKUP($A111,[1]!CurveTable,MATCH($W$4,[1]!CurveType,0))+$W$9</f>
        <v>0.17</v>
      </c>
      <c r="X111" s="155" t="n">
        <f aca="false">VLOOKUP($A111,[1]!CurveTable,MATCH($X$4,[1]!CurveType,0))+$X$9</f>
        <v>0.175</v>
      </c>
      <c r="Y111" s="139" t="n">
        <f aca="false">SQRT((X111^2*($A111-$C$3)+W111^2*(DAY(EOMONTH(A111,0))/2))/$AN111)</f>
        <v>0.174146618365178</v>
      </c>
      <c r="Z111" s="152"/>
      <c r="AA111" s="153" t="n">
        <f aca="false">G111+P111+S111</f>
        <v>4.663</v>
      </c>
      <c r="AB111" s="154"/>
      <c r="AC111" s="155" t="n">
        <f aca="false">VLOOKUP($A111,[1]!CurveTable,MATCH($AC$4,[1]!CurveType,0))+$AC$9</f>
        <v>0.17</v>
      </c>
      <c r="AD111" s="155" t="n">
        <f aca="false">VLOOKUP($A111,[1]!CurveTable,MATCH($AD$4,[1]!CurveType,0))+$AD$9</f>
        <v>0.175</v>
      </c>
      <c r="AE111" s="139" t="n">
        <f aca="false">SQRT((AD111^2*($A111-$C$3)+AC111^2*(DAY(EOMONTH(A111,0))/2))/$AN111)</f>
        <v>0.174146618365178</v>
      </c>
      <c r="AF111" s="152"/>
      <c r="AG111" s="156" t="n">
        <f aca="false">((Inputs!$F$20*(X111*AD111)*(A111-$C$3))+(Inputs!$F$19*W111*AC111*(DAY(EOMONTH(A111,0))/2)))/(AN111*Y111*AE111)</f>
        <v>0.75</v>
      </c>
      <c r="AH111" s="152"/>
      <c r="AI111" s="140" t="n">
        <f aca="false">Inputs!$B$15</f>
        <v>0.06</v>
      </c>
      <c r="AJ111" s="157"/>
      <c r="AK111" s="140" t="n">
        <f aca="false">IF((U111-AA111-AI111)&lt;0,0,(U111-AA111-AI111))</f>
        <v>0.157000000000001</v>
      </c>
      <c r="AL111" s="157"/>
      <c r="AM111" s="158" t="n">
        <f aca="false">WORKDAY(EOMONTH(A111-1,-1),0)</f>
        <v>41182</v>
      </c>
      <c r="AN111" s="159" t="n">
        <f aca="false">AM111-$C$3</f>
        <v>-4744</v>
      </c>
      <c r="AO111" s="159" t="n">
        <f aca="false">AO110</f>
        <v>1</v>
      </c>
      <c r="AP111" s="160"/>
      <c r="AQ111" s="161" t="e">
        <f aca="false">SPRDOPT(U111,AA111,AI111,AX111,X111,AD111,AG111,AN111,AO111,0)</f>
        <v>#NAME?</v>
      </c>
      <c r="AR111" s="162" t="e">
        <f aca="false">AQ111*C111</f>
        <v>#NAME?</v>
      </c>
      <c r="AS111" s="163" t="e">
        <f aca="false">AQ111-AK111</f>
        <v>#NAME?</v>
      </c>
      <c r="AU111" s="112" t="n">
        <f aca="false">A112-A111</f>
        <v>30</v>
      </c>
      <c r="AV111" s="164" t="n">
        <f aca="false">CHOOSE(F$3,A112+24,A111+14)</f>
        <v>41228</v>
      </c>
      <c r="AW111" s="49" t="n">
        <f aca="false">AV111-C$3</f>
        <v>-4698</v>
      </c>
      <c r="AX111" s="155" t="n">
        <f aca="false">VLOOKUP($A111,[1]!CurveTable,MATCH(AX$4,[1]!CurveType,0))</f>
        <v>0.0555838896681218</v>
      </c>
      <c r="AY111" s="165" t="n">
        <f aca="false">1/(1+CHOOSE(F$3,(AX112+(Inputs!$B$14/10000))/2,(AX111+(Inputs!$B$14/10000))/2))^(2*AW111/365.25)</f>
        <v>2.02422919663408</v>
      </c>
      <c r="AZ111" s="49" t="n">
        <f aca="false">IF(AND(mthbeg&lt;=A111,mthend&gt;=A111),1,0)</f>
        <v>1</v>
      </c>
      <c r="BA111" s="111" t="n">
        <f aca="false">AU111*AZ111</f>
        <v>30</v>
      </c>
      <c r="BC111" s="142" t="n">
        <f aca="false">E111*$D111</f>
        <v>13951999.7378004</v>
      </c>
      <c r="BD111" s="142" t="n">
        <f aca="false">F111*$D111</f>
        <v>14118998.6465227</v>
      </c>
      <c r="BE111" s="142" t="n">
        <f aca="false">G111*$D111</f>
        <v>14118998.6465227</v>
      </c>
      <c r="BF111" s="142" t="n">
        <f aca="false">H111*$D111</f>
        <v>698359.072838758</v>
      </c>
      <c r="BG111" s="142" t="n">
        <f aca="false">I111*$D111</f>
        <v>698359.072838758</v>
      </c>
      <c r="BH111" s="142" t="n">
        <f aca="false">J111*$D111</f>
        <v>698359.072838758</v>
      </c>
      <c r="BI111" s="142" t="n">
        <f aca="false">K111*$D111</f>
        <v>0</v>
      </c>
      <c r="BJ111" s="142" t="n">
        <f aca="false">L111*$D111</f>
        <v>0</v>
      </c>
      <c r="BK111" s="142" t="n">
        <f aca="false">M111*$D111</f>
        <v>0</v>
      </c>
      <c r="BL111" s="142" t="n">
        <f aca="false">N111*$D111</f>
        <v>39472.4693343646</v>
      </c>
      <c r="BM111" s="142" t="n">
        <f aca="false">O111*$D111</f>
        <v>39472.4693343646</v>
      </c>
      <c r="BN111" s="142" t="n">
        <f aca="false">P111*$D111</f>
        <v>39472.4693343646</v>
      </c>
      <c r="BO111" s="142" t="n">
        <f aca="false">Q111*$D111</f>
        <v>22772.5784621334</v>
      </c>
      <c r="BP111" s="142" t="n">
        <f aca="false">R111*$D111</f>
        <v>0</v>
      </c>
      <c r="BQ111" s="142" t="n">
        <f aca="false">S111*$D111</f>
        <v>0</v>
      </c>
      <c r="BR111" s="142" t="n">
        <f aca="false">U111*$D111</f>
        <v>14817357.7193615</v>
      </c>
      <c r="BS111" s="142" t="n">
        <f aca="false">AA111*$D111</f>
        <v>14158471.1158571</v>
      </c>
      <c r="BT111" s="142" t="n">
        <f aca="false">AI111*$D111</f>
        <v>182180.627697067</v>
      </c>
      <c r="BU111" s="142" t="n">
        <f aca="false">AK111*D111</f>
        <v>476705.975807328</v>
      </c>
    </row>
    <row r="112" customFormat="false" ht="12.75" hidden="false" customHeight="false" outlineLevel="0" collapsed="false">
      <c r="A112" s="144" t="n">
        <f aca="false">EDATE(A111,1)</f>
        <v>41244</v>
      </c>
      <c r="B112" s="145" t="n">
        <f aca="false">Inputs!$B$8</f>
        <v>50000</v>
      </c>
      <c r="C112" s="146" t="n">
        <f aca="false">IF(AZ112=0,0,IF(AND(AZ112=1,$H$3=1),B112*AU112,IF($H$3=2,B112,"N/A")))</f>
        <v>1550000</v>
      </c>
      <c r="D112" s="146" t="n">
        <f aca="false">C112*AY112</f>
        <v>3125646.9658007</v>
      </c>
      <c r="E112" s="147" t="n">
        <f aca="false">VLOOKUP($A112,[1]!CurveTable,MATCH($E$4,[1]!CurveType,0))</f>
        <v>4.747</v>
      </c>
      <c r="F112" s="148" t="n">
        <f aca="false">E112-Inputs!$B$16</f>
        <v>4.802</v>
      </c>
      <c r="G112" s="149" t="n">
        <f aca="false">F112</f>
        <v>4.802</v>
      </c>
      <c r="H112" s="147" t="n">
        <f aca="false">VLOOKUP($A112,[1]!CurveTable,MATCH($H$4,[1]!CurveType,0))</f>
        <v>0.26</v>
      </c>
      <c r="I112" s="148" t="n">
        <f aca="false">H112+Inputs!$B$22</f>
        <v>0.26</v>
      </c>
      <c r="J112" s="150" t="n">
        <f aca="false">I112</f>
        <v>0.26</v>
      </c>
      <c r="K112" s="147" t="n">
        <f aca="false">VLOOKUP($A112,[1]!CurveTable,MATCH($K$4,[1]!CurveType,0))</f>
        <v>0</v>
      </c>
      <c r="L112" s="148" t="n">
        <v>0</v>
      </c>
      <c r="M112" s="151" t="n">
        <f aca="false">L112</f>
        <v>0</v>
      </c>
      <c r="N112" s="147" t="n">
        <f aca="false">VLOOKUP($A112,[1]!CurveTable,MATCH($N$4,[1]!CurveType,0))</f>
        <v>0.013</v>
      </c>
      <c r="O112" s="148" t="n">
        <f aca="false">N112+Inputs!$E$22</f>
        <v>0.013</v>
      </c>
      <c r="P112" s="151" t="n">
        <f aca="false">O112</f>
        <v>0.013</v>
      </c>
      <c r="Q112" s="147" t="n">
        <f aca="false">VLOOKUP($A112,[1]!CurveTable,MATCH($Q$4,[1]!CurveType,0))</f>
        <v>0.0075</v>
      </c>
      <c r="R112" s="148" t="n">
        <v>0</v>
      </c>
      <c r="S112" s="151" t="n">
        <f aca="false">R112</f>
        <v>0</v>
      </c>
      <c r="T112" s="152"/>
      <c r="U112" s="153" t="n">
        <f aca="false">G112+J112</f>
        <v>5.062</v>
      </c>
      <c r="V112" s="154"/>
      <c r="W112" s="155" t="n">
        <f aca="false">VLOOKUP($A112,[1]!CurveTable,MATCH($W$4,[1]!CurveType,0))+$W$9</f>
        <v>0.17</v>
      </c>
      <c r="X112" s="155" t="n">
        <f aca="false">VLOOKUP($A112,[1]!CurveTable,MATCH($X$4,[1]!CurveType,0))+$X$9</f>
        <v>0.175</v>
      </c>
      <c r="Y112" s="139" t="n">
        <f aca="false">SQRT((X112^2*($A112-$C$3)+W112^2*(DAY(EOMONTH(A112,0))/2))/$AN112)</f>
        <v>0.174150845155103</v>
      </c>
      <c r="Z112" s="152"/>
      <c r="AA112" s="153" t="n">
        <f aca="false">G112+P112+S112</f>
        <v>4.815</v>
      </c>
      <c r="AB112" s="154"/>
      <c r="AC112" s="155" t="n">
        <f aca="false">VLOOKUP($A112,[1]!CurveTable,MATCH($AC$4,[1]!CurveType,0))+$AC$9</f>
        <v>0.17</v>
      </c>
      <c r="AD112" s="155" t="n">
        <f aca="false">VLOOKUP($A112,[1]!CurveTable,MATCH($AD$4,[1]!CurveType,0))+$AD$9</f>
        <v>0.175</v>
      </c>
      <c r="AE112" s="139" t="n">
        <f aca="false">SQRT((AD112^2*($A112-$C$3)+AC112^2*(DAY(EOMONTH(A112,0))/2))/$AN112)</f>
        <v>0.174150845155103</v>
      </c>
      <c r="AF112" s="152"/>
      <c r="AG112" s="156" t="n">
        <f aca="false">((Inputs!$F$20*(X112*AD112)*(A112-$C$3))+(Inputs!$F$19*W112*AC112*(DAY(EOMONTH(A112,0))/2)))/(AN112*Y112*AE112)</f>
        <v>0.75</v>
      </c>
      <c r="AH112" s="152"/>
      <c r="AI112" s="140" t="n">
        <f aca="false">Inputs!$B$15</f>
        <v>0.06</v>
      </c>
      <c r="AJ112" s="157"/>
      <c r="AK112" s="140" t="n">
        <f aca="false">IF((U112-AA112-AI112)&lt;0,0,(U112-AA112-AI112))</f>
        <v>0.187</v>
      </c>
      <c r="AL112" s="157"/>
      <c r="AM112" s="158" t="n">
        <f aca="false">WORKDAY(EOMONTH(A112-1,-1),0)</f>
        <v>41213</v>
      </c>
      <c r="AN112" s="159" t="n">
        <f aca="false">AM112-$C$3</f>
        <v>-4713</v>
      </c>
      <c r="AO112" s="159" t="n">
        <f aca="false">AO111</f>
        <v>1</v>
      </c>
      <c r="AP112" s="160"/>
      <c r="AQ112" s="161" t="e">
        <f aca="false">SPRDOPT(U112,AA112,AI112,AX112,X112,AD112,AG112,AN112,AO112,0)</f>
        <v>#NAME?</v>
      </c>
      <c r="AR112" s="162" t="e">
        <f aca="false">AQ112*C112</f>
        <v>#NAME?</v>
      </c>
      <c r="AS112" s="163" t="e">
        <f aca="false">AQ112-AK112</f>
        <v>#NAME?</v>
      </c>
      <c r="AU112" s="112" t="n">
        <f aca="false">A113-A112</f>
        <v>31</v>
      </c>
      <c r="AV112" s="164" t="n">
        <f aca="false">CHOOSE(F$3,A113+24,A112+14)</f>
        <v>41258</v>
      </c>
      <c r="AW112" s="49" t="n">
        <f aca="false">AV112-C$3</f>
        <v>-4668</v>
      </c>
      <c r="AX112" s="155" t="n">
        <f aca="false">VLOOKUP($A112,[1]!CurveTable,MATCH(AX$4,[1]!CurveType,0))</f>
        <v>0.0556402245511296</v>
      </c>
      <c r="AY112" s="165" t="n">
        <f aca="false">1/(1+CHOOSE(F$3,(AX113+(Inputs!$B$14/10000))/2,(AX112+(Inputs!$B$14/10000))/2))^(2*AW112/365.25)</f>
        <v>2.01654642954884</v>
      </c>
      <c r="AZ112" s="49" t="n">
        <f aca="false">IF(AND(mthbeg&lt;=A112,mthend&gt;=A112),1,0)</f>
        <v>1</v>
      </c>
      <c r="BA112" s="111" t="n">
        <f aca="false">AU112*AZ112</f>
        <v>31</v>
      </c>
      <c r="BC112" s="142" t="n">
        <f aca="false">E112*$D112</f>
        <v>14837446.1466559</v>
      </c>
      <c r="BD112" s="142" t="n">
        <f aca="false">F112*$D112</f>
        <v>15009356.729775</v>
      </c>
      <c r="BE112" s="142" t="n">
        <f aca="false">G112*$D112</f>
        <v>15009356.729775</v>
      </c>
      <c r="BF112" s="142" t="n">
        <f aca="false">H112*$D112</f>
        <v>812668.211108182</v>
      </c>
      <c r="BG112" s="142" t="n">
        <f aca="false">I112*$D112</f>
        <v>812668.211108182</v>
      </c>
      <c r="BH112" s="142" t="n">
        <f aca="false">J112*$D112</f>
        <v>812668.211108182</v>
      </c>
      <c r="BI112" s="142" t="n">
        <f aca="false">K112*$D112</f>
        <v>0</v>
      </c>
      <c r="BJ112" s="142" t="n">
        <f aca="false">L112*$D112</f>
        <v>0</v>
      </c>
      <c r="BK112" s="142" t="n">
        <f aca="false">M112*$D112</f>
        <v>0</v>
      </c>
      <c r="BL112" s="142" t="n">
        <f aca="false">N112*$D112</f>
        <v>40633.4105554091</v>
      </c>
      <c r="BM112" s="142" t="n">
        <f aca="false">O112*$D112</f>
        <v>40633.4105554091</v>
      </c>
      <c r="BN112" s="142" t="n">
        <f aca="false">P112*$D112</f>
        <v>40633.4105554091</v>
      </c>
      <c r="BO112" s="142" t="n">
        <f aca="false">Q112*$D112</f>
        <v>23442.3522435052</v>
      </c>
      <c r="BP112" s="142" t="n">
        <f aca="false">R112*$D112</f>
        <v>0</v>
      </c>
      <c r="BQ112" s="142" t="n">
        <f aca="false">S112*$D112</f>
        <v>0</v>
      </c>
      <c r="BR112" s="142" t="n">
        <f aca="false">U112*$D112</f>
        <v>15822024.9408831</v>
      </c>
      <c r="BS112" s="142" t="n">
        <f aca="false">AA112*$D112</f>
        <v>15049990.1403304</v>
      </c>
      <c r="BT112" s="142" t="n">
        <f aca="false">AI112*$D112</f>
        <v>187538.817948042</v>
      </c>
      <c r="BU112" s="142" t="n">
        <f aca="false">AK112*D112</f>
        <v>584495.98260473</v>
      </c>
    </row>
    <row r="113" customFormat="false" ht="12.75" hidden="false" customHeight="false" outlineLevel="0" collapsed="false">
      <c r="A113" s="144" t="n">
        <f aca="false">EDATE(A112,1)</f>
        <v>41275</v>
      </c>
      <c r="B113" s="145" t="n">
        <f aca="false">Inputs!$B$8</f>
        <v>50000</v>
      </c>
      <c r="C113" s="146" t="n">
        <f aca="false">IF(AZ113=0,0,IF(AND(AZ113=1,$H$3=1),B113*AU113,IF($H$3=2,B113,"N/A")))</f>
        <v>1550000</v>
      </c>
      <c r="D113" s="146" t="n">
        <f aca="false">C113*AY113</f>
        <v>3113359.70175063</v>
      </c>
      <c r="E113" s="147" t="n">
        <f aca="false">VLOOKUP($A113,[1]!CurveTable,MATCH($E$4,[1]!CurveType,0))</f>
        <v>4.8245</v>
      </c>
      <c r="F113" s="148" t="n">
        <f aca="false">E113-Inputs!$B$16</f>
        <v>4.8795</v>
      </c>
      <c r="G113" s="149" t="n">
        <f aca="false">F113</f>
        <v>4.8795</v>
      </c>
      <c r="H113" s="147" t="n">
        <f aca="false">VLOOKUP($A113,[1]!CurveTable,MATCH($H$4,[1]!CurveType,0))</f>
        <v>0.085</v>
      </c>
      <c r="I113" s="148" t="n">
        <f aca="false">H113+Inputs!$B$22</f>
        <v>0.085</v>
      </c>
      <c r="J113" s="150" t="n">
        <f aca="false">I113</f>
        <v>0.085</v>
      </c>
      <c r="K113" s="147" t="n">
        <f aca="false">VLOOKUP($A113,[1]!CurveTable,MATCH($K$4,[1]!CurveType,0))</f>
        <v>0</v>
      </c>
      <c r="L113" s="148" t="n">
        <v>0</v>
      </c>
      <c r="M113" s="151" t="n">
        <f aca="false">L113</f>
        <v>0</v>
      </c>
      <c r="N113" s="147" t="n">
        <f aca="false">VLOOKUP($A113,[1]!CurveTable,MATCH($N$4,[1]!CurveType,0))</f>
        <v>0.013</v>
      </c>
      <c r="O113" s="148" t="n">
        <f aca="false">N113+Inputs!$E$22</f>
        <v>0.013</v>
      </c>
      <c r="P113" s="151" t="n">
        <f aca="false">O113</f>
        <v>0.013</v>
      </c>
      <c r="Q113" s="147" t="n">
        <f aca="false">VLOOKUP($A113,[1]!CurveTable,MATCH($Q$4,[1]!CurveType,0))</f>
        <v>0.0075</v>
      </c>
      <c r="R113" s="148" t="n">
        <v>0</v>
      </c>
      <c r="S113" s="151" t="n">
        <f aca="false">R113</f>
        <v>0</v>
      </c>
      <c r="T113" s="152"/>
      <c r="U113" s="153" t="n">
        <f aca="false">G113+J113</f>
        <v>4.9645</v>
      </c>
      <c r="V113" s="154"/>
      <c r="W113" s="155" t="n">
        <f aca="false">VLOOKUP($A113,[1]!CurveTable,MATCH($W$4,[1]!CurveType,0))+$W$9</f>
        <v>0.17</v>
      </c>
      <c r="X113" s="155" t="n">
        <f aca="false">VLOOKUP($A113,[1]!CurveTable,MATCH($X$4,[1]!CurveType,0))+$X$9</f>
        <v>0.175</v>
      </c>
      <c r="Y113" s="139" t="n">
        <f aca="false">SQRT((X113^2*($A113-$C$3)+W113^2*(DAY(EOMONTH(A113,0))/2))/$AN113)</f>
        <v>0.174126614684518</v>
      </c>
      <c r="Z113" s="152"/>
      <c r="AA113" s="153" t="n">
        <f aca="false">G113+P113+S113</f>
        <v>4.8925</v>
      </c>
      <c r="AB113" s="154"/>
      <c r="AC113" s="155" t="n">
        <f aca="false">VLOOKUP($A113,[1]!CurveTable,MATCH($AC$4,[1]!CurveType,0))+$AC$9</f>
        <v>0.17</v>
      </c>
      <c r="AD113" s="155" t="n">
        <f aca="false">VLOOKUP($A113,[1]!CurveTable,MATCH($AD$4,[1]!CurveType,0))+$AD$9</f>
        <v>0.175</v>
      </c>
      <c r="AE113" s="139" t="n">
        <f aca="false">SQRT((AD113^2*($A113-$C$3)+AC113^2*(DAY(EOMONTH(A113,0))/2))/$AN113)</f>
        <v>0.174126614684518</v>
      </c>
      <c r="AF113" s="152"/>
      <c r="AG113" s="156" t="n">
        <f aca="false">((Inputs!$F$20*(X113*AD113)*(A113-$C$3))+(Inputs!$F$19*W113*AC113*(DAY(EOMONTH(A113,0))/2)))/(AN113*Y113*AE113)</f>
        <v>0.75</v>
      </c>
      <c r="AH113" s="152"/>
      <c r="AI113" s="140" t="n">
        <f aca="false">Inputs!$B$15</f>
        <v>0.06</v>
      </c>
      <c r="AJ113" s="157"/>
      <c r="AK113" s="140" t="n">
        <f aca="false">IF((U113-AA113-AI113)&lt;0,0,(U113-AA113-AI113))</f>
        <v>0.0120000000000001</v>
      </c>
      <c r="AL113" s="157"/>
      <c r="AM113" s="158" t="n">
        <f aca="false">WORKDAY(EOMONTH(A113-1,-1),0)</f>
        <v>41243</v>
      </c>
      <c r="AN113" s="159" t="n">
        <f aca="false">AM113-$C$3</f>
        <v>-4683</v>
      </c>
      <c r="AO113" s="159" t="n">
        <f aca="false">AO112</f>
        <v>1</v>
      </c>
      <c r="AP113" s="160"/>
      <c r="AQ113" s="161" t="e">
        <f aca="false">SPRDOPT(U113,AA113,AI113,AX113,X113,AD113,AG113,AN113,AO113,0)</f>
        <v>#NAME?</v>
      </c>
      <c r="AR113" s="162" t="e">
        <f aca="false">AQ113*C113</f>
        <v>#NAME?</v>
      </c>
      <c r="AS113" s="163" t="e">
        <f aca="false">AQ113-AK113</f>
        <v>#NAME?</v>
      </c>
      <c r="AU113" s="112" t="n">
        <f aca="false">A114-A113</f>
        <v>31</v>
      </c>
      <c r="AV113" s="164" t="n">
        <f aca="false">CHOOSE(F$3,A114+24,A113+14)</f>
        <v>41289</v>
      </c>
      <c r="AW113" s="49" t="n">
        <f aca="false">AV113-C$3</f>
        <v>-4637</v>
      </c>
      <c r="AX113" s="155" t="n">
        <f aca="false">VLOOKUP($A113,[1]!CurveTable,MATCH(AX$4,[1]!CurveType,0))</f>
        <v>0.0556984372646814</v>
      </c>
      <c r="AY113" s="165" t="n">
        <f aca="false">1/(1+CHOOSE(F$3,(AX114+(Inputs!$B$14/10000))/2,(AX113+(Inputs!$B$14/10000))/2))^(2*AW113/365.25)</f>
        <v>2.00861916241976</v>
      </c>
      <c r="AZ113" s="49" t="n">
        <f aca="false">IF(AND(mthbeg&lt;=A113,mthend&gt;=A113),1,0)</f>
        <v>1</v>
      </c>
      <c r="BA113" s="111" t="n">
        <f aca="false">AU113*AZ113</f>
        <v>31</v>
      </c>
      <c r="BC113" s="142" t="n">
        <f aca="false">E113*$D113</f>
        <v>15020403.8810959</v>
      </c>
      <c r="BD113" s="142" t="n">
        <f aca="false">F113*$D113</f>
        <v>15191638.6646922</v>
      </c>
      <c r="BE113" s="142" t="n">
        <f aca="false">G113*$D113</f>
        <v>15191638.6646922</v>
      </c>
      <c r="BF113" s="142" t="n">
        <f aca="false">H113*$D113</f>
        <v>264635.574648804</v>
      </c>
      <c r="BG113" s="142" t="n">
        <f aca="false">I113*$D113</f>
        <v>264635.574648804</v>
      </c>
      <c r="BH113" s="142" t="n">
        <f aca="false">J113*$D113</f>
        <v>264635.574648804</v>
      </c>
      <c r="BI113" s="142" t="n">
        <f aca="false">K113*$D113</f>
        <v>0</v>
      </c>
      <c r="BJ113" s="142" t="n">
        <f aca="false">L113*$D113</f>
        <v>0</v>
      </c>
      <c r="BK113" s="142" t="n">
        <f aca="false">M113*$D113</f>
        <v>0</v>
      </c>
      <c r="BL113" s="142" t="n">
        <f aca="false">N113*$D113</f>
        <v>40473.6761227583</v>
      </c>
      <c r="BM113" s="142" t="n">
        <f aca="false">O113*$D113</f>
        <v>40473.6761227583</v>
      </c>
      <c r="BN113" s="142" t="n">
        <f aca="false">P113*$D113</f>
        <v>40473.6761227583</v>
      </c>
      <c r="BO113" s="142" t="n">
        <f aca="false">Q113*$D113</f>
        <v>23350.1977631298</v>
      </c>
      <c r="BP113" s="142" t="n">
        <f aca="false">R113*$D113</f>
        <v>0</v>
      </c>
      <c r="BQ113" s="142" t="n">
        <f aca="false">S113*$D113</f>
        <v>0</v>
      </c>
      <c r="BR113" s="142" t="n">
        <f aca="false">U113*$D113</f>
        <v>15456274.239341</v>
      </c>
      <c r="BS113" s="142" t="n">
        <f aca="false">AA113*$D113</f>
        <v>15232112.340815</v>
      </c>
      <c r="BT113" s="142" t="n">
        <f aca="false">AI113*$D113</f>
        <v>186801.582105038</v>
      </c>
      <c r="BU113" s="142" t="n">
        <f aca="false">AK113*D113</f>
        <v>37360.3164210078</v>
      </c>
    </row>
    <row r="114" customFormat="false" ht="12.75" hidden="false" customHeight="false" outlineLevel="0" collapsed="false">
      <c r="A114" s="144" t="n">
        <f aca="false">EDATE(A113,1)</f>
        <v>41306</v>
      </c>
      <c r="B114" s="145" t="n">
        <f aca="false">Inputs!$B$8</f>
        <v>50000</v>
      </c>
      <c r="C114" s="146" t="n">
        <f aca="false">IF(AZ114=0,0,IF(AND(AZ114=1,$H$3=1),B114*AU114,IF($H$3=2,B114,"N/A")))</f>
        <v>1400000</v>
      </c>
      <c r="D114" s="146" t="n">
        <f aca="false">C114*AY114</f>
        <v>2800985.29664441</v>
      </c>
      <c r="E114" s="147" t="n">
        <f aca="false">VLOOKUP($A114,[1]!CurveTable,MATCH($E$4,[1]!CurveType,0))</f>
        <v>4.7375</v>
      </c>
      <c r="F114" s="148" t="n">
        <f aca="false">E114-Inputs!$B$16</f>
        <v>4.7925</v>
      </c>
      <c r="G114" s="149" t="n">
        <f aca="false">F114</f>
        <v>4.7925</v>
      </c>
      <c r="H114" s="147" t="n">
        <f aca="false">VLOOKUP($A114,[1]!CurveTable,MATCH($H$4,[1]!CurveType,0))</f>
        <v>0.075</v>
      </c>
      <c r="I114" s="148" t="n">
        <f aca="false">H114+Inputs!$B$22</f>
        <v>0.075</v>
      </c>
      <c r="J114" s="150" t="n">
        <f aca="false">I114</f>
        <v>0.075</v>
      </c>
      <c r="K114" s="147" t="n">
        <f aca="false">VLOOKUP($A114,[1]!CurveTable,MATCH($K$4,[1]!CurveType,0))</f>
        <v>0</v>
      </c>
      <c r="L114" s="148" t="n">
        <v>0</v>
      </c>
      <c r="M114" s="151" t="n">
        <f aca="false">L114</f>
        <v>0</v>
      </c>
      <c r="N114" s="147" t="n">
        <f aca="false">VLOOKUP($A114,[1]!CurveTable,MATCH($N$4,[1]!CurveType,0))</f>
        <v>0.013</v>
      </c>
      <c r="O114" s="148" t="n">
        <f aca="false">N114+Inputs!$E$22</f>
        <v>0.013</v>
      </c>
      <c r="P114" s="151" t="n">
        <f aca="false">O114</f>
        <v>0.013</v>
      </c>
      <c r="Q114" s="147" t="n">
        <f aca="false">VLOOKUP($A114,[1]!CurveTable,MATCH($Q$4,[1]!CurveType,0))</f>
        <v>0.0075</v>
      </c>
      <c r="R114" s="148" t="n">
        <v>0</v>
      </c>
      <c r="S114" s="151" t="n">
        <f aca="false">R114</f>
        <v>0</v>
      </c>
      <c r="T114" s="152"/>
      <c r="U114" s="153" t="n">
        <f aca="false">G114+J114</f>
        <v>4.8675</v>
      </c>
      <c r="V114" s="154"/>
      <c r="W114" s="155" t="n">
        <f aca="false">VLOOKUP($A114,[1]!CurveTable,MATCH($W$4,[1]!CurveType,0))+$W$9</f>
        <v>0.17</v>
      </c>
      <c r="X114" s="155" t="n">
        <f aca="false">VLOOKUP($A114,[1]!CurveTable,MATCH($X$4,[1]!CurveType,0))+$X$9</f>
        <v>0.175</v>
      </c>
      <c r="Y114" s="139" t="n">
        <f aca="false">SQRT((X114^2*($A114-$C$3)+W114^2*(DAY(EOMONTH(A114,0))/2))/$AN114)</f>
        <v>0.174147536802496</v>
      </c>
      <c r="Z114" s="152"/>
      <c r="AA114" s="153" t="n">
        <f aca="false">G114+P114+S114</f>
        <v>4.8055</v>
      </c>
      <c r="AB114" s="154"/>
      <c r="AC114" s="155" t="n">
        <f aca="false">VLOOKUP($A114,[1]!CurveTable,MATCH($AC$4,[1]!CurveType,0))+$AC$9</f>
        <v>0.17</v>
      </c>
      <c r="AD114" s="155" t="n">
        <f aca="false">VLOOKUP($A114,[1]!CurveTable,MATCH($AD$4,[1]!CurveType,0))+$AD$9</f>
        <v>0.175</v>
      </c>
      <c r="AE114" s="139" t="n">
        <f aca="false">SQRT((AD114^2*($A114-$C$3)+AC114^2*(DAY(EOMONTH(A114,0))/2))/$AN114)</f>
        <v>0.174147536802496</v>
      </c>
      <c r="AF114" s="152"/>
      <c r="AG114" s="156" t="n">
        <f aca="false">((Inputs!$F$20*(X114*AD114)*(A114-$C$3))+(Inputs!$F$19*W114*AC114*(DAY(EOMONTH(A114,0))/2)))/(AN114*Y114*AE114)</f>
        <v>0.75</v>
      </c>
      <c r="AH114" s="152"/>
      <c r="AI114" s="140" t="n">
        <f aca="false">Inputs!$B$15</f>
        <v>0.06</v>
      </c>
      <c r="AJ114" s="157"/>
      <c r="AK114" s="140" t="n">
        <f aca="false">IF((U114-AA114-AI114)&lt;0,0,(U114-AA114-AI114))</f>
        <v>0.00200000000000028</v>
      </c>
      <c r="AL114" s="157"/>
      <c r="AM114" s="158" t="n">
        <f aca="false">WORKDAY(EOMONTH(A114-1,-1),0)</f>
        <v>41274</v>
      </c>
      <c r="AN114" s="159" t="n">
        <f aca="false">AM114-$C$3</f>
        <v>-4652</v>
      </c>
      <c r="AO114" s="159" t="n">
        <f aca="false">AO113</f>
        <v>1</v>
      </c>
      <c r="AP114" s="160"/>
      <c r="AQ114" s="161" t="e">
        <f aca="false">SPRDOPT(U114,AA114,AI114,AX114,X114,AD114,AG114,AN114,AO114,0)</f>
        <v>#NAME?</v>
      </c>
      <c r="AR114" s="162" t="e">
        <f aca="false">AQ114*C114</f>
        <v>#NAME?</v>
      </c>
      <c r="AS114" s="163" t="e">
        <f aca="false">AQ114-AK114</f>
        <v>#NAME?</v>
      </c>
      <c r="AU114" s="112" t="n">
        <f aca="false">A115-A114</f>
        <v>28</v>
      </c>
      <c r="AV114" s="164" t="n">
        <f aca="false">CHOOSE(F$3,A115+24,A114+14)</f>
        <v>41320</v>
      </c>
      <c r="AW114" s="49" t="n">
        <f aca="false">AV114-C$3</f>
        <v>-4606</v>
      </c>
      <c r="AX114" s="155" t="n">
        <f aca="false">VLOOKUP($A114,[1]!CurveTable,MATCH(AX$4,[1]!CurveType,0))</f>
        <v>0.0557566499793611</v>
      </c>
      <c r="AY114" s="165" t="n">
        <f aca="false">1/(1+CHOOSE(F$3,(AX115+(Inputs!$B$14/10000))/2,(AX114+(Inputs!$B$14/10000))/2))^(2*AW114/365.25)</f>
        <v>2.00070378331744</v>
      </c>
      <c r="AZ114" s="49" t="n">
        <f aca="false">IF(AND(mthbeg&lt;=A114,mthend&gt;=A114),1,0)</f>
        <v>1</v>
      </c>
      <c r="BA114" s="111" t="n">
        <f aca="false">AU114*AZ114</f>
        <v>28</v>
      </c>
      <c r="BC114" s="142" t="n">
        <f aca="false">E114*$D114</f>
        <v>13269667.8428529</v>
      </c>
      <c r="BD114" s="142" t="n">
        <f aca="false">F114*$D114</f>
        <v>13423722.0341683</v>
      </c>
      <c r="BE114" s="142" t="n">
        <f aca="false">G114*$D114</f>
        <v>13423722.0341683</v>
      </c>
      <c r="BF114" s="142" t="n">
        <f aca="false">H114*$D114</f>
        <v>210073.897248331</v>
      </c>
      <c r="BG114" s="142" t="n">
        <f aca="false">I114*$D114</f>
        <v>210073.897248331</v>
      </c>
      <c r="BH114" s="142" t="n">
        <f aca="false">J114*$D114</f>
        <v>210073.897248331</v>
      </c>
      <c r="BI114" s="142" t="n">
        <f aca="false">K114*$D114</f>
        <v>0</v>
      </c>
      <c r="BJ114" s="142" t="n">
        <f aca="false">L114*$D114</f>
        <v>0</v>
      </c>
      <c r="BK114" s="142" t="n">
        <f aca="false">M114*$D114</f>
        <v>0</v>
      </c>
      <c r="BL114" s="142" t="n">
        <f aca="false">N114*$D114</f>
        <v>36412.8088563773</v>
      </c>
      <c r="BM114" s="142" t="n">
        <f aca="false">O114*$D114</f>
        <v>36412.8088563773</v>
      </c>
      <c r="BN114" s="142" t="n">
        <f aca="false">P114*$D114</f>
        <v>36412.8088563773</v>
      </c>
      <c r="BO114" s="142" t="n">
        <f aca="false">Q114*$D114</f>
        <v>21007.3897248331</v>
      </c>
      <c r="BP114" s="142" t="n">
        <f aca="false">R114*$D114</f>
        <v>0</v>
      </c>
      <c r="BQ114" s="142" t="n">
        <f aca="false">S114*$D114</f>
        <v>0</v>
      </c>
      <c r="BR114" s="142" t="n">
        <f aca="false">U114*$D114</f>
        <v>13633795.9314167</v>
      </c>
      <c r="BS114" s="142" t="n">
        <f aca="false">AA114*$D114</f>
        <v>13460134.8430247</v>
      </c>
      <c r="BT114" s="142" t="n">
        <f aca="false">AI114*$D114</f>
        <v>168059.117798665</v>
      </c>
      <c r="BU114" s="142" t="n">
        <f aca="false">AK114*D114</f>
        <v>5601.9705932896</v>
      </c>
    </row>
    <row r="115" customFormat="false" ht="12.75" hidden="false" customHeight="false" outlineLevel="0" collapsed="false">
      <c r="A115" s="144" t="n">
        <f aca="false">EDATE(A114,1)</f>
        <v>41334</v>
      </c>
      <c r="B115" s="145" t="n">
        <f aca="false">Inputs!$B$8</f>
        <v>50000</v>
      </c>
      <c r="C115" s="146" t="n">
        <f aca="false">IF(AZ115=0,0,IF(AND(AZ115=1,$H$3=1),B115*AU115,IF($H$3=2,B115,"N/A")))</f>
        <v>1550000</v>
      </c>
      <c r="D115" s="146" t="n">
        <f aca="false">C115*AY115</f>
        <v>3090025.30823976</v>
      </c>
      <c r="E115" s="147" t="n">
        <f aca="false">VLOOKUP($A115,[1]!CurveTable,MATCH($E$4,[1]!CurveType,0))</f>
        <v>4.5985</v>
      </c>
      <c r="F115" s="148" t="n">
        <f aca="false">E115-Inputs!$B$16</f>
        <v>4.6535</v>
      </c>
      <c r="G115" s="149" t="n">
        <f aca="false">F115</f>
        <v>4.6535</v>
      </c>
      <c r="H115" s="147" t="n">
        <f aca="false">VLOOKUP($A115,[1]!CurveTable,MATCH($H$4,[1]!CurveType,0))</f>
        <v>0.115</v>
      </c>
      <c r="I115" s="148" t="n">
        <f aca="false">H115+Inputs!$B$22</f>
        <v>0.115</v>
      </c>
      <c r="J115" s="150" t="n">
        <f aca="false">I115</f>
        <v>0.115</v>
      </c>
      <c r="K115" s="147" t="n">
        <f aca="false">VLOOKUP($A115,[1]!CurveTable,MATCH($K$4,[1]!CurveType,0))</f>
        <v>0</v>
      </c>
      <c r="L115" s="148" t="n">
        <v>0</v>
      </c>
      <c r="M115" s="151" t="n">
        <f aca="false">L115</f>
        <v>0</v>
      </c>
      <c r="N115" s="147" t="n">
        <f aca="false">VLOOKUP($A115,[1]!CurveTable,MATCH($N$4,[1]!CurveType,0))</f>
        <v>0.017</v>
      </c>
      <c r="O115" s="148" t="n">
        <f aca="false">N115+Inputs!$E$22</f>
        <v>0.017</v>
      </c>
      <c r="P115" s="151" t="n">
        <f aca="false">O115</f>
        <v>0.017</v>
      </c>
      <c r="Q115" s="147" t="n">
        <f aca="false">VLOOKUP($A115,[1]!CurveTable,MATCH($Q$4,[1]!CurveType,0))</f>
        <v>0.0075</v>
      </c>
      <c r="R115" s="148" t="n">
        <v>0</v>
      </c>
      <c r="S115" s="151" t="n">
        <f aca="false">R115</f>
        <v>0</v>
      </c>
      <c r="T115" s="152"/>
      <c r="U115" s="153" t="n">
        <f aca="false">G115+J115</f>
        <v>4.7685</v>
      </c>
      <c r="V115" s="154"/>
      <c r="W115" s="155" t="n">
        <f aca="false">VLOOKUP($A115,[1]!CurveTable,MATCH($W$4,[1]!CurveType,0))+$W$9</f>
        <v>0.17</v>
      </c>
      <c r="X115" s="155" t="n">
        <f aca="false">VLOOKUP($A115,[1]!CurveTable,MATCH($X$4,[1]!CurveType,0))+$X$9</f>
        <v>0.175</v>
      </c>
      <c r="Y115" s="139" t="n">
        <f aca="false">SQRT((X115^2*($A115-$C$3)+W115^2*(DAY(EOMONTH(A115,0))/2))/$AN115)</f>
        <v>0.174171951988701</v>
      </c>
      <c r="Z115" s="152"/>
      <c r="AA115" s="153" t="n">
        <f aca="false">G115+P115+S115</f>
        <v>4.6705</v>
      </c>
      <c r="AB115" s="154"/>
      <c r="AC115" s="155" t="n">
        <f aca="false">VLOOKUP($A115,[1]!CurveTable,MATCH($AC$4,[1]!CurveType,0))+$AC$9</f>
        <v>0.17</v>
      </c>
      <c r="AD115" s="155" t="n">
        <f aca="false">VLOOKUP($A115,[1]!CurveTable,MATCH($AD$4,[1]!CurveType,0))+$AD$9</f>
        <v>0.175</v>
      </c>
      <c r="AE115" s="139" t="n">
        <f aca="false">SQRT((AD115^2*($A115-$C$3)+AC115^2*(DAY(EOMONTH(A115,0))/2))/$AN115)</f>
        <v>0.174171951988701</v>
      </c>
      <c r="AF115" s="152"/>
      <c r="AG115" s="156" t="n">
        <f aca="false">((Inputs!$F$20*(X115*AD115)*(A115-$C$3))+(Inputs!$F$19*W115*AC115*(DAY(EOMONTH(A115,0))/2)))/(AN115*Y115*AE115)</f>
        <v>0.75</v>
      </c>
      <c r="AH115" s="152"/>
      <c r="AI115" s="140" t="n">
        <f aca="false">Inputs!$B$15</f>
        <v>0.06</v>
      </c>
      <c r="AJ115" s="157"/>
      <c r="AK115" s="140" t="n">
        <f aca="false">IF((U115-AA115-AI115)&lt;0,0,(U115-AA115-AI115))</f>
        <v>0.0379999999999999</v>
      </c>
      <c r="AL115" s="157"/>
      <c r="AM115" s="158" t="n">
        <f aca="false">WORKDAY(EOMONTH(A115-1,-1),0)</f>
        <v>41305</v>
      </c>
      <c r="AN115" s="159" t="n">
        <f aca="false">AM115-$C$3</f>
        <v>-4621</v>
      </c>
      <c r="AO115" s="159" t="n">
        <f aca="false">AO114</f>
        <v>1</v>
      </c>
      <c r="AP115" s="160"/>
      <c r="AQ115" s="161" t="e">
        <f aca="false">SPRDOPT(U115,AA115,AI115,AX115,X115,AD115,AG115,AN115,AO115,0)</f>
        <v>#NAME?</v>
      </c>
      <c r="AR115" s="162" t="e">
        <f aca="false">AQ115*C115</f>
        <v>#NAME?</v>
      </c>
      <c r="AS115" s="163" t="e">
        <f aca="false">AQ115-AK115</f>
        <v>#NAME?</v>
      </c>
      <c r="AU115" s="112" t="n">
        <f aca="false">A116-A115</f>
        <v>31</v>
      </c>
      <c r="AV115" s="164" t="n">
        <f aca="false">CHOOSE(F$3,A116+24,A115+14)</f>
        <v>41348</v>
      </c>
      <c r="AW115" s="49" t="n">
        <f aca="false">AV115-C$3</f>
        <v>-4578</v>
      </c>
      <c r="AX115" s="155" t="n">
        <f aca="false">VLOOKUP($A115,[1]!CurveTable,MATCH(AX$4,[1]!CurveType,0))</f>
        <v>0.0558092292064938</v>
      </c>
      <c r="AY115" s="165" t="n">
        <f aca="false">1/(1+CHOOSE(F$3,(AX116+(Inputs!$B$14/10000))/2,(AX115+(Inputs!$B$14/10000))/2))^(2*AW115/365.25)</f>
        <v>1.9935647149934</v>
      </c>
      <c r="AZ115" s="49" t="n">
        <f aca="false">IF(AND(mthbeg&lt;=A115,mthend&gt;=A115),1,0)</f>
        <v>1</v>
      </c>
      <c r="BA115" s="111" t="n">
        <f aca="false">AU115*AZ115</f>
        <v>31</v>
      </c>
      <c r="BC115" s="142" t="n">
        <f aca="false">E115*$D115</f>
        <v>14209481.3799406</v>
      </c>
      <c r="BD115" s="142" t="n">
        <f aca="false">F115*$D115</f>
        <v>14379432.7718937</v>
      </c>
      <c r="BE115" s="142" t="n">
        <f aca="false">G115*$D115</f>
        <v>14379432.7718937</v>
      </c>
      <c r="BF115" s="142" t="n">
        <f aca="false">H115*$D115</f>
        <v>355352.910447573</v>
      </c>
      <c r="BG115" s="142" t="n">
        <f aca="false">I115*$D115</f>
        <v>355352.910447573</v>
      </c>
      <c r="BH115" s="142" t="n">
        <f aca="false">J115*$D115</f>
        <v>355352.910447573</v>
      </c>
      <c r="BI115" s="142" t="n">
        <f aca="false">K115*$D115</f>
        <v>0</v>
      </c>
      <c r="BJ115" s="142" t="n">
        <f aca="false">L115*$D115</f>
        <v>0</v>
      </c>
      <c r="BK115" s="142" t="n">
        <f aca="false">M115*$D115</f>
        <v>0</v>
      </c>
      <c r="BL115" s="142" t="n">
        <f aca="false">N115*$D115</f>
        <v>52530.430240076</v>
      </c>
      <c r="BM115" s="142" t="n">
        <f aca="false">O115*$D115</f>
        <v>52530.430240076</v>
      </c>
      <c r="BN115" s="142" t="n">
        <f aca="false">P115*$D115</f>
        <v>52530.430240076</v>
      </c>
      <c r="BO115" s="142" t="n">
        <f aca="false">Q115*$D115</f>
        <v>23175.1898117982</v>
      </c>
      <c r="BP115" s="142" t="n">
        <f aca="false">R115*$D115</f>
        <v>0</v>
      </c>
      <c r="BQ115" s="142" t="n">
        <f aca="false">S115*$D115</f>
        <v>0</v>
      </c>
      <c r="BR115" s="142" t="n">
        <f aca="false">U115*$D115</f>
        <v>14734785.6823413</v>
      </c>
      <c r="BS115" s="142" t="n">
        <f aca="false">AA115*$D115</f>
        <v>14431963.2021338</v>
      </c>
      <c r="BT115" s="142" t="n">
        <f aca="false">AI115*$D115</f>
        <v>185401.518494386</v>
      </c>
      <c r="BU115" s="142" t="n">
        <f aca="false">AK115*D115</f>
        <v>117420.961713111</v>
      </c>
    </row>
    <row r="116" customFormat="false" ht="12.75" hidden="false" customHeight="false" outlineLevel="0" collapsed="false">
      <c r="A116" s="144" t="n">
        <f aca="false">EDATE(A115,1)</f>
        <v>41365</v>
      </c>
      <c r="B116" s="145" t="n">
        <f aca="false">Inputs!$B$8</f>
        <v>50000</v>
      </c>
      <c r="C116" s="146" t="n">
        <f aca="false">IF(AZ116=0,0,IF(AND(AZ116=1,$H$3=1),B116*AU116,IF($H$3=2,B116,"N/A")))</f>
        <v>1500000</v>
      </c>
      <c r="D116" s="146" t="n">
        <f aca="false">C116*AY116</f>
        <v>2978508.38129615</v>
      </c>
      <c r="E116" s="147" t="n">
        <f aca="false">VLOOKUP($A116,[1]!CurveTable,MATCH($E$4,[1]!CurveType,0))</f>
        <v>4.4445</v>
      </c>
      <c r="F116" s="148" t="n">
        <f aca="false">E116-Inputs!$B$16</f>
        <v>4.4995</v>
      </c>
      <c r="G116" s="149" t="n">
        <f aca="false">F116</f>
        <v>4.4995</v>
      </c>
      <c r="H116" s="147" t="n">
        <f aca="false">VLOOKUP($A116,[1]!CurveTable,MATCH($H$4,[1]!CurveType,0))</f>
        <v>0.55</v>
      </c>
      <c r="I116" s="148" t="n">
        <f aca="false">H116+Inputs!$B$22</f>
        <v>0.55</v>
      </c>
      <c r="J116" s="150" t="n">
        <f aca="false">I116</f>
        <v>0.55</v>
      </c>
      <c r="K116" s="147" t="n">
        <f aca="false">VLOOKUP($A116,[1]!CurveTable,MATCH($K$4,[1]!CurveType,0))</f>
        <v>0</v>
      </c>
      <c r="L116" s="148" t="n">
        <v>0</v>
      </c>
      <c r="M116" s="151" t="n">
        <f aca="false">L116</f>
        <v>0</v>
      </c>
      <c r="N116" s="147" t="n">
        <f aca="false">VLOOKUP($A116,[1]!CurveTable,MATCH($N$4,[1]!CurveType,0))</f>
        <v>0.017</v>
      </c>
      <c r="O116" s="148" t="n">
        <f aca="false">N116+Inputs!$E$22</f>
        <v>0.017</v>
      </c>
      <c r="P116" s="151" t="n">
        <f aca="false">O116</f>
        <v>0.017</v>
      </c>
      <c r="Q116" s="147" t="n">
        <f aca="false">VLOOKUP($A116,[1]!CurveTable,MATCH($Q$4,[1]!CurveType,0))</f>
        <v>0.01</v>
      </c>
      <c r="R116" s="148" t="n">
        <v>0</v>
      </c>
      <c r="S116" s="151" t="n">
        <f aca="false">R116</f>
        <v>0</v>
      </c>
      <c r="T116" s="152"/>
      <c r="U116" s="153" t="n">
        <f aca="false">G116+J116</f>
        <v>5.0495</v>
      </c>
      <c r="V116" s="154"/>
      <c r="W116" s="155" t="n">
        <f aca="false">VLOOKUP($A116,[1]!CurveTable,MATCH($W$4,[1]!CurveType,0))+$W$9</f>
        <v>0.17</v>
      </c>
      <c r="X116" s="155" t="n">
        <f aca="false">VLOOKUP($A116,[1]!CurveTable,MATCH($X$4,[1]!CurveType,0))+$X$9</f>
        <v>0.175</v>
      </c>
      <c r="Y116" s="139" t="n">
        <f aca="false">SQRT((X116^2*($A116-$C$3)+W116^2*(DAY(EOMONTH(A116,0))/2))/$AN116)</f>
        <v>0.1741184914783</v>
      </c>
      <c r="Z116" s="152"/>
      <c r="AA116" s="153" t="n">
        <f aca="false">G116+P116+S116</f>
        <v>4.5165</v>
      </c>
      <c r="AB116" s="154"/>
      <c r="AC116" s="155" t="n">
        <f aca="false">VLOOKUP($A116,[1]!CurveTable,MATCH($AC$4,[1]!CurveType,0))+$AC$9</f>
        <v>0.17</v>
      </c>
      <c r="AD116" s="155" t="n">
        <f aca="false">VLOOKUP($A116,[1]!CurveTable,MATCH($AD$4,[1]!CurveType,0))+$AD$9</f>
        <v>0.175</v>
      </c>
      <c r="AE116" s="139" t="n">
        <f aca="false">SQRT((AD116^2*($A116-$C$3)+AC116^2*(DAY(EOMONTH(A116,0))/2))/$AN116)</f>
        <v>0.1741184914783</v>
      </c>
      <c r="AF116" s="152"/>
      <c r="AG116" s="156" t="n">
        <f aca="false">((Inputs!$F$20*(X116*AD116)*(A116-$C$3))+(Inputs!$F$19*W116*AC116*(DAY(EOMONTH(A116,0))/2)))/(AN116*Y116*AE116)</f>
        <v>0.75</v>
      </c>
      <c r="AH116" s="152"/>
      <c r="AI116" s="140" t="n">
        <f aca="false">Inputs!$B$15</f>
        <v>0.06</v>
      </c>
      <c r="AJ116" s="157"/>
      <c r="AK116" s="140" t="n">
        <f aca="false">IF((U116-AA116-AI116)&lt;0,0,(U116-AA116-AI116))</f>
        <v>0.473</v>
      </c>
      <c r="AL116" s="157"/>
      <c r="AM116" s="158" t="n">
        <f aca="false">WORKDAY(EOMONTH(A116-1,-1),0)</f>
        <v>41333</v>
      </c>
      <c r="AN116" s="159" t="n">
        <f aca="false">AM116-$C$3</f>
        <v>-4593</v>
      </c>
      <c r="AO116" s="159" t="n">
        <f aca="false">AO115</f>
        <v>1</v>
      </c>
      <c r="AP116" s="160"/>
      <c r="AQ116" s="161" t="e">
        <f aca="false">SPRDOPT(U116,AA116,AI116,AX116,X116,AD116,AG116,AN116,AO116,0)</f>
        <v>#NAME?</v>
      </c>
      <c r="AR116" s="162" t="e">
        <f aca="false">AQ116*C116</f>
        <v>#NAME?</v>
      </c>
      <c r="AS116" s="163" t="e">
        <f aca="false">AQ116-AK116</f>
        <v>#NAME?</v>
      </c>
      <c r="AU116" s="112" t="n">
        <f aca="false">A117-A116</f>
        <v>30</v>
      </c>
      <c r="AV116" s="164" t="n">
        <f aca="false">CHOOSE(F$3,A117+24,A116+14)</f>
        <v>41379</v>
      </c>
      <c r="AW116" s="49" t="n">
        <f aca="false">AV116-C$3</f>
        <v>-4547</v>
      </c>
      <c r="AX116" s="155" t="n">
        <f aca="false">VLOOKUP($A116,[1]!CurveTable,MATCH(AX$4,[1]!CurveType,0))</f>
        <v>0.0558674419233212</v>
      </c>
      <c r="AY116" s="165" t="n">
        <f aca="false">1/(1+CHOOSE(F$3,(AX117+(Inputs!$B$14/10000))/2,(AX116+(Inputs!$B$14/10000))/2))^(2*AW116/365.25)</f>
        <v>1.98567225419743</v>
      </c>
      <c r="AZ116" s="49" t="n">
        <f aca="false">IF(AND(mthbeg&lt;=A116,mthend&gt;=A116),1,0)</f>
        <v>1</v>
      </c>
      <c r="BA116" s="111" t="n">
        <f aca="false">AU116*AZ116</f>
        <v>30</v>
      </c>
      <c r="BC116" s="142" t="n">
        <f aca="false">E116*$D116</f>
        <v>13237980.5006707</v>
      </c>
      <c r="BD116" s="142" t="n">
        <f aca="false">F116*$D116</f>
        <v>13401798.461642</v>
      </c>
      <c r="BE116" s="142" t="n">
        <f aca="false">G116*$D116</f>
        <v>13401798.461642</v>
      </c>
      <c r="BF116" s="142" t="n">
        <f aca="false">H116*$D116</f>
        <v>1638179.60971288</v>
      </c>
      <c r="BG116" s="142" t="n">
        <f aca="false">I116*$D116</f>
        <v>1638179.60971288</v>
      </c>
      <c r="BH116" s="142" t="n">
        <f aca="false">J116*$D116</f>
        <v>1638179.60971288</v>
      </c>
      <c r="BI116" s="142" t="n">
        <f aca="false">K116*$D116</f>
        <v>0</v>
      </c>
      <c r="BJ116" s="142" t="n">
        <f aca="false">L116*$D116</f>
        <v>0</v>
      </c>
      <c r="BK116" s="142" t="n">
        <f aca="false">M116*$D116</f>
        <v>0</v>
      </c>
      <c r="BL116" s="142" t="n">
        <f aca="false">N116*$D116</f>
        <v>50634.6424820345</v>
      </c>
      <c r="BM116" s="142" t="n">
        <f aca="false">O116*$D116</f>
        <v>50634.6424820345</v>
      </c>
      <c r="BN116" s="142" t="n">
        <f aca="false">P116*$D116</f>
        <v>50634.6424820345</v>
      </c>
      <c r="BO116" s="142" t="n">
        <f aca="false">Q116*$D116</f>
        <v>29785.0838129615</v>
      </c>
      <c r="BP116" s="142" t="n">
        <f aca="false">R116*$D116</f>
        <v>0</v>
      </c>
      <c r="BQ116" s="142" t="n">
        <f aca="false">S116*$D116</f>
        <v>0</v>
      </c>
      <c r="BR116" s="142" t="n">
        <f aca="false">U116*$D116</f>
        <v>15039978.0713549</v>
      </c>
      <c r="BS116" s="142" t="n">
        <f aca="false">AA116*$D116</f>
        <v>13452433.1041241</v>
      </c>
      <c r="BT116" s="142" t="n">
        <f aca="false">AI116*$D116</f>
        <v>178710.502877769</v>
      </c>
      <c r="BU116" s="142" t="n">
        <f aca="false">AK116*D116</f>
        <v>1408834.46435308</v>
      </c>
    </row>
    <row r="117" customFormat="false" ht="12.75" hidden="false" customHeight="false" outlineLevel="0" collapsed="false">
      <c r="A117" s="144" t="n">
        <f aca="false">EDATE(A116,1)</f>
        <v>41395</v>
      </c>
      <c r="B117" s="145" t="n">
        <f aca="false">Inputs!$B$8</f>
        <v>50000</v>
      </c>
      <c r="C117" s="146" t="n">
        <f aca="false">IF(AZ117=0,0,IF(AND(AZ117=1,$H$3=1),B117*AU117,IF($H$3=2,B117,"N/A")))</f>
        <v>1550000</v>
      </c>
      <c r="D117" s="146" t="n">
        <f aca="false">C117*AY117</f>
        <v>3065971.29736985</v>
      </c>
      <c r="E117" s="147" t="n">
        <f aca="false">VLOOKUP($A117,[1]!CurveTable,MATCH($E$4,[1]!CurveType,0))</f>
        <v>4.4495</v>
      </c>
      <c r="F117" s="148" t="n">
        <f aca="false">E117-Inputs!$B$16</f>
        <v>4.5045</v>
      </c>
      <c r="G117" s="149" t="n">
        <f aca="false">F117</f>
        <v>4.5045</v>
      </c>
      <c r="H117" s="147" t="n">
        <f aca="false">VLOOKUP($A117,[1]!CurveTable,MATCH($H$4,[1]!CurveType,0))</f>
        <v>0.7</v>
      </c>
      <c r="I117" s="148" t="n">
        <f aca="false">H117+Inputs!$B$22</f>
        <v>0.7</v>
      </c>
      <c r="J117" s="150" t="n">
        <f aca="false">I117</f>
        <v>0.7</v>
      </c>
      <c r="K117" s="147" t="n">
        <f aca="false">VLOOKUP($A117,[1]!CurveTable,MATCH($K$4,[1]!CurveType,0))</f>
        <v>0</v>
      </c>
      <c r="L117" s="148" t="n">
        <v>0</v>
      </c>
      <c r="M117" s="151" t="n">
        <f aca="false">L117</f>
        <v>0</v>
      </c>
      <c r="N117" s="147" t="n">
        <f aca="false">VLOOKUP($A117,[1]!CurveTable,MATCH($N$4,[1]!CurveType,0))</f>
        <v>0.0195</v>
      </c>
      <c r="O117" s="148" t="n">
        <f aca="false">N117+Inputs!$E$22</f>
        <v>0.0195</v>
      </c>
      <c r="P117" s="151" t="n">
        <f aca="false">O117</f>
        <v>0.0195</v>
      </c>
      <c r="Q117" s="147" t="n">
        <f aca="false">VLOOKUP($A117,[1]!CurveTable,MATCH($Q$4,[1]!CurveType,0))</f>
        <v>0.01</v>
      </c>
      <c r="R117" s="148" t="n">
        <v>0</v>
      </c>
      <c r="S117" s="151" t="n">
        <f aca="false">R117</f>
        <v>0</v>
      </c>
      <c r="T117" s="152"/>
      <c r="U117" s="153" t="n">
        <f aca="false">G117+J117</f>
        <v>5.2045</v>
      </c>
      <c r="V117" s="154"/>
      <c r="W117" s="155" t="n">
        <f aca="false">VLOOKUP($A117,[1]!CurveTable,MATCH($W$4,[1]!CurveType,0))+$W$9</f>
        <v>0.34</v>
      </c>
      <c r="X117" s="155" t="n">
        <f aca="false">VLOOKUP($A117,[1]!CurveTable,MATCH($X$4,[1]!CurveType,0))+$X$9</f>
        <v>0.345</v>
      </c>
      <c r="Y117" s="139" t="n">
        <f aca="false">SQRT((X117^2*($A117-$C$3)+W117^2*(DAY(EOMONTH(A117,0))/2))/$AN117)</f>
        <v>0.343254172916953</v>
      </c>
      <c r="Z117" s="152"/>
      <c r="AA117" s="153" t="n">
        <f aca="false">G117+P117+S117</f>
        <v>4.524</v>
      </c>
      <c r="AB117" s="154"/>
      <c r="AC117" s="155" t="n">
        <f aca="false">VLOOKUP($A117,[1]!CurveTable,MATCH($AC$4,[1]!CurveType,0))+$AC$9</f>
        <v>0.17</v>
      </c>
      <c r="AD117" s="155" t="n">
        <f aca="false">VLOOKUP($A117,[1]!CurveTable,MATCH($AD$4,[1]!CurveType,0))+$AD$9</f>
        <v>0.175</v>
      </c>
      <c r="AE117" s="139" t="n">
        <f aca="false">SQRT((AD117^2*($A117-$C$3)+AC117^2*(DAY(EOMONTH(A117,0))/2))/$AN117)</f>
        <v>0.174122667736148</v>
      </c>
      <c r="AF117" s="152"/>
      <c r="AG117" s="156" t="n">
        <f aca="false">((Inputs!$F$20*(X117*AD117)*(A117-$C$3))+(Inputs!$F$19*W117*AC117*(DAY(EOMONTH(A117,0))/2)))/(AN117*Y117*AE117)</f>
        <v>0.750000255942241</v>
      </c>
      <c r="AH117" s="152"/>
      <c r="AI117" s="140" t="n">
        <f aca="false">Inputs!$B$15</f>
        <v>0.06</v>
      </c>
      <c r="AJ117" s="157"/>
      <c r="AK117" s="140" t="n">
        <f aca="false">IF((U117-AA117-AI117)&lt;0,0,(U117-AA117-AI117))</f>
        <v>0.6205</v>
      </c>
      <c r="AL117" s="157"/>
      <c r="AM117" s="158" t="n">
        <f aca="false">WORKDAY(EOMONTH(A117-1,-1),0)</f>
        <v>41364</v>
      </c>
      <c r="AN117" s="159" t="n">
        <f aca="false">AM117-$C$3</f>
        <v>-4562</v>
      </c>
      <c r="AO117" s="159" t="n">
        <f aca="false">AO116</f>
        <v>1</v>
      </c>
      <c r="AP117" s="160"/>
      <c r="AQ117" s="161" t="e">
        <f aca="false">SPRDOPT(U117,AA117,AI117,AX117,X117,AD117,AG117,AN117,AO117,0)</f>
        <v>#NAME?</v>
      </c>
      <c r="AR117" s="162" t="e">
        <f aca="false">AQ117*C117</f>
        <v>#NAME?</v>
      </c>
      <c r="AS117" s="163" t="e">
        <f aca="false">AQ117-AK117</f>
        <v>#NAME?</v>
      </c>
      <c r="AU117" s="112" t="n">
        <f aca="false">A118-A117</f>
        <v>31</v>
      </c>
      <c r="AV117" s="164" t="n">
        <f aca="false">CHOOSE(F$3,A118+24,A117+14)</f>
        <v>41409</v>
      </c>
      <c r="AW117" s="49" t="n">
        <f aca="false">AV117-C$3</f>
        <v>-4517</v>
      </c>
      <c r="AX117" s="155" t="n">
        <f aca="false">VLOOKUP($A117,[1]!CurveTable,MATCH(AX$4,[1]!CurveType,0))</f>
        <v>0.0559237768116478</v>
      </c>
      <c r="AY117" s="165" t="n">
        <f aca="false">1/(1+CHOOSE(F$3,(AX118+(Inputs!$B$14/10000))/2,(AX117+(Inputs!$B$14/10000))/2))^(2*AW117/365.25)</f>
        <v>1.97804599830313</v>
      </c>
      <c r="AZ117" s="49" t="n">
        <f aca="false">IF(AND(mthbeg&lt;=A117,mthend&gt;=A117),1,0)</f>
        <v>1</v>
      </c>
      <c r="BA117" s="111" t="n">
        <f aca="false">AU117*AZ117</f>
        <v>31</v>
      </c>
      <c r="BC117" s="142" t="n">
        <f aca="false">E117*$D117</f>
        <v>13642039.2876471</v>
      </c>
      <c r="BD117" s="142" t="n">
        <f aca="false">F117*$D117</f>
        <v>13810667.7090025</v>
      </c>
      <c r="BE117" s="142" t="n">
        <f aca="false">G117*$D117</f>
        <v>13810667.7090025</v>
      </c>
      <c r="BF117" s="142" t="n">
        <f aca="false">H117*$D117</f>
        <v>2146179.90815889</v>
      </c>
      <c r="BG117" s="142" t="n">
        <f aca="false">I117*$D117</f>
        <v>2146179.90815889</v>
      </c>
      <c r="BH117" s="142" t="n">
        <f aca="false">J117*$D117</f>
        <v>2146179.90815889</v>
      </c>
      <c r="BI117" s="142" t="n">
        <f aca="false">K117*$D117</f>
        <v>0</v>
      </c>
      <c r="BJ117" s="142" t="n">
        <f aca="false">L117*$D117</f>
        <v>0</v>
      </c>
      <c r="BK117" s="142" t="n">
        <f aca="false">M117*$D117</f>
        <v>0</v>
      </c>
      <c r="BL117" s="142" t="n">
        <f aca="false">N117*$D117</f>
        <v>59786.440298712</v>
      </c>
      <c r="BM117" s="142" t="n">
        <f aca="false">O117*$D117</f>
        <v>59786.440298712</v>
      </c>
      <c r="BN117" s="142" t="n">
        <f aca="false">P117*$D117</f>
        <v>59786.440298712</v>
      </c>
      <c r="BO117" s="142" t="n">
        <f aca="false">Q117*$D117</f>
        <v>30659.7129736985</v>
      </c>
      <c r="BP117" s="142" t="n">
        <f aca="false">R117*$D117</f>
        <v>0</v>
      </c>
      <c r="BQ117" s="142" t="n">
        <f aca="false">S117*$D117</f>
        <v>0</v>
      </c>
      <c r="BR117" s="142" t="n">
        <f aca="false">U117*$D117</f>
        <v>15956847.6171614</v>
      </c>
      <c r="BS117" s="142" t="n">
        <f aca="false">AA117*$D117</f>
        <v>13870454.1493012</v>
      </c>
      <c r="BT117" s="142" t="n">
        <f aca="false">AI117*$D117</f>
        <v>183958.277842191</v>
      </c>
      <c r="BU117" s="142" t="n">
        <f aca="false">AK117*D117</f>
        <v>1902435.19001799</v>
      </c>
    </row>
    <row r="118" customFormat="false" ht="12.75" hidden="false" customHeight="false" outlineLevel="0" collapsed="false">
      <c r="A118" s="144" t="n">
        <f aca="false">EDATE(A117,1)</f>
        <v>41426</v>
      </c>
      <c r="B118" s="145" t="n">
        <f aca="false">Inputs!$B$8</f>
        <v>50000</v>
      </c>
      <c r="C118" s="146" t="n">
        <f aca="false">IF(AZ118=0,0,IF(AND(AZ118=1,$H$3=1),B118*AU118,IF($H$3=2,B118,"N/A")))</f>
        <v>1500000</v>
      </c>
      <c r="D118" s="146" t="n">
        <f aca="false">C118*AY118</f>
        <v>2955266.44712509</v>
      </c>
      <c r="E118" s="147" t="n">
        <f aca="false">VLOOKUP($A118,[1]!CurveTable,MATCH($E$4,[1]!CurveType,0))</f>
        <v>4.4875</v>
      </c>
      <c r="F118" s="148" t="n">
        <f aca="false">E118-Inputs!$B$16</f>
        <v>4.5425</v>
      </c>
      <c r="G118" s="149" t="n">
        <f aca="false">F118</f>
        <v>4.5425</v>
      </c>
      <c r="H118" s="147" t="n">
        <f aca="false">VLOOKUP($A118,[1]!CurveTable,MATCH($H$4,[1]!CurveType,0))</f>
        <v>0.8</v>
      </c>
      <c r="I118" s="148" t="n">
        <f aca="false">H118+Inputs!$B$22</f>
        <v>0.8</v>
      </c>
      <c r="J118" s="150" t="n">
        <f aca="false">I118</f>
        <v>0.8</v>
      </c>
      <c r="K118" s="147" t="n">
        <f aca="false">VLOOKUP($A118,[1]!CurveTable,MATCH($K$4,[1]!CurveType,0))</f>
        <v>0</v>
      </c>
      <c r="L118" s="148" t="n">
        <v>0</v>
      </c>
      <c r="M118" s="151" t="n">
        <f aca="false">L118</f>
        <v>0</v>
      </c>
      <c r="N118" s="147" t="n">
        <f aca="false">VLOOKUP($A118,[1]!CurveTable,MATCH($N$4,[1]!CurveType,0))</f>
        <v>0.017</v>
      </c>
      <c r="O118" s="148" t="n">
        <f aca="false">N118+Inputs!$E$22</f>
        <v>0.017</v>
      </c>
      <c r="P118" s="151" t="n">
        <f aca="false">O118</f>
        <v>0.017</v>
      </c>
      <c r="Q118" s="147" t="n">
        <f aca="false">VLOOKUP($A118,[1]!CurveTable,MATCH($Q$4,[1]!CurveType,0))</f>
        <v>0.01</v>
      </c>
      <c r="R118" s="148" t="n">
        <v>0</v>
      </c>
      <c r="S118" s="151" t="n">
        <f aca="false">R118</f>
        <v>0</v>
      </c>
      <c r="T118" s="152"/>
      <c r="U118" s="153" t="n">
        <f aca="false">G118+J118</f>
        <v>5.3425</v>
      </c>
      <c r="V118" s="154"/>
      <c r="W118" s="155" t="n">
        <f aca="false">VLOOKUP($A118,[1]!CurveTable,MATCH($W$4,[1]!CurveType,0))+$W$9</f>
        <v>0.34</v>
      </c>
      <c r="X118" s="155" t="n">
        <f aca="false">VLOOKUP($A118,[1]!CurveTable,MATCH($X$4,[1]!CurveType,0))+$X$9</f>
        <v>0.345</v>
      </c>
      <c r="Y118" s="139" t="n">
        <f aca="false">SQRT((X118^2*($A118-$C$3)+W118^2*(DAY(EOMONTH(A118,0))/2))/$AN118)</f>
        <v>0.343222906888346</v>
      </c>
      <c r="Z118" s="152"/>
      <c r="AA118" s="153" t="n">
        <f aca="false">G118+P118+S118</f>
        <v>4.5595</v>
      </c>
      <c r="AB118" s="154"/>
      <c r="AC118" s="155" t="n">
        <f aca="false">VLOOKUP($A118,[1]!CurveTable,MATCH($AC$4,[1]!CurveType,0))+$AC$9</f>
        <v>0.17</v>
      </c>
      <c r="AD118" s="155" t="n">
        <f aca="false">VLOOKUP($A118,[1]!CurveTable,MATCH($AD$4,[1]!CurveType,0))+$AD$9</f>
        <v>0.175</v>
      </c>
      <c r="AE118" s="139" t="n">
        <f aca="false">SQRT((AD118^2*($A118-$C$3)+AC118^2*(DAY(EOMONTH(A118,0))/2))/$AN118)</f>
        <v>0.174106596072971</v>
      </c>
      <c r="AF118" s="152"/>
      <c r="AG118" s="156" t="n">
        <f aca="false">((Inputs!$F$20*(X118*AD118)*(A118-$C$3))+(Inputs!$F$19*W118*AC118*(DAY(EOMONTH(A118,0))/2)))/(AN118*Y118*AE118)</f>
        <v>0.750000249350382</v>
      </c>
      <c r="AH118" s="152"/>
      <c r="AI118" s="140" t="n">
        <f aca="false">Inputs!$B$15</f>
        <v>0.06</v>
      </c>
      <c r="AJ118" s="157"/>
      <c r="AK118" s="140" t="n">
        <f aca="false">IF((U118-AA118-AI118)&lt;0,0,(U118-AA118-AI118))</f>
        <v>0.722999999999999</v>
      </c>
      <c r="AL118" s="157"/>
      <c r="AM118" s="158" t="n">
        <f aca="false">WORKDAY(EOMONTH(A118-1,-1),0)</f>
        <v>41394</v>
      </c>
      <c r="AN118" s="159" t="n">
        <f aca="false">AM118-$C$3</f>
        <v>-4532</v>
      </c>
      <c r="AO118" s="159" t="n">
        <f aca="false">AO117</f>
        <v>1</v>
      </c>
      <c r="AP118" s="160"/>
      <c r="AQ118" s="161" t="e">
        <f aca="false">SPRDOPT(U118,AA118,AI118,AX118,X118,AD118,AG118,AN118,AO118,0)</f>
        <v>#NAME?</v>
      </c>
      <c r="AR118" s="162" t="e">
        <f aca="false">AQ118*C118</f>
        <v>#NAME?</v>
      </c>
      <c r="AS118" s="163" t="e">
        <f aca="false">AQ118-AK118</f>
        <v>#NAME?</v>
      </c>
      <c r="AU118" s="112" t="n">
        <f aca="false">A119-A118</f>
        <v>30</v>
      </c>
      <c r="AV118" s="164" t="n">
        <f aca="false">CHOOSE(F$3,A119+24,A118+14)</f>
        <v>41440</v>
      </c>
      <c r="AW118" s="49" t="n">
        <f aca="false">AV118-C$3</f>
        <v>-4486</v>
      </c>
      <c r="AX118" s="155" t="n">
        <f aca="false">VLOOKUP($A118,[1]!CurveTable,MATCH(AX$4,[1]!CurveType,0))</f>
        <v>0.0559819895306952</v>
      </c>
      <c r="AY118" s="165" t="n">
        <f aca="false">1/(1+CHOOSE(F$3,(AX119+(Inputs!$B$14/10000))/2,(AX118+(Inputs!$B$14/10000))/2))^(2*AW118/365.25)</f>
        <v>1.97017763141672</v>
      </c>
      <c r="AZ118" s="49" t="n">
        <f aca="false">IF(AND(mthbeg&lt;=A118,mthend&gt;=A118),1,0)</f>
        <v>1</v>
      </c>
      <c r="BA118" s="111" t="n">
        <f aca="false">AU118*AZ118</f>
        <v>30</v>
      </c>
      <c r="BC118" s="142" t="n">
        <f aca="false">E118*$D118</f>
        <v>13261758.1814738</v>
      </c>
      <c r="BD118" s="142" t="n">
        <f aca="false">F118*$D118</f>
        <v>13424297.8360657</v>
      </c>
      <c r="BE118" s="142" t="n">
        <f aca="false">G118*$D118</f>
        <v>13424297.8360657</v>
      </c>
      <c r="BF118" s="142" t="n">
        <f aca="false">H118*$D118</f>
        <v>2364213.15770007</v>
      </c>
      <c r="BG118" s="142" t="n">
        <f aca="false">I118*$D118</f>
        <v>2364213.15770007</v>
      </c>
      <c r="BH118" s="142" t="n">
        <f aca="false">J118*$D118</f>
        <v>2364213.15770007</v>
      </c>
      <c r="BI118" s="142" t="n">
        <f aca="false">K118*$D118</f>
        <v>0</v>
      </c>
      <c r="BJ118" s="142" t="n">
        <f aca="false">L118*$D118</f>
        <v>0</v>
      </c>
      <c r="BK118" s="142" t="n">
        <f aca="false">M118*$D118</f>
        <v>0</v>
      </c>
      <c r="BL118" s="142" t="n">
        <f aca="false">N118*$D118</f>
        <v>50239.5296011265</v>
      </c>
      <c r="BM118" s="142" t="n">
        <f aca="false">O118*$D118</f>
        <v>50239.5296011265</v>
      </c>
      <c r="BN118" s="142" t="n">
        <f aca="false">P118*$D118</f>
        <v>50239.5296011265</v>
      </c>
      <c r="BO118" s="142" t="n">
        <f aca="false">Q118*$D118</f>
        <v>29552.6644712509</v>
      </c>
      <c r="BP118" s="142" t="n">
        <f aca="false">R118*$D118</f>
        <v>0</v>
      </c>
      <c r="BQ118" s="142" t="n">
        <f aca="false">S118*$D118</f>
        <v>0</v>
      </c>
      <c r="BR118" s="142" t="n">
        <f aca="false">U118*$D118</f>
        <v>15788510.9937658</v>
      </c>
      <c r="BS118" s="142" t="n">
        <f aca="false">AA118*$D118</f>
        <v>13474537.3656668</v>
      </c>
      <c r="BT118" s="142" t="n">
        <f aca="false">AI118*$D118</f>
        <v>177315.986827505</v>
      </c>
      <c r="BU118" s="142" t="n">
        <f aca="false">AK118*D118</f>
        <v>2136657.64127143</v>
      </c>
    </row>
    <row r="119" customFormat="false" ht="12.75" hidden="false" customHeight="false" outlineLevel="0" collapsed="false">
      <c r="A119" s="144" t="n">
        <f aca="false">EDATE(A118,1)</f>
        <v>41456</v>
      </c>
      <c r="B119" s="145" t="n">
        <f aca="false">Inputs!$B$8</f>
        <v>50000</v>
      </c>
      <c r="C119" s="146" t="n">
        <f aca="false">IF(AZ119=0,0,IF(AND(AZ119=1,$H$3=1),B119*AU119,IF($H$3=2,B119,"N/A")))</f>
        <v>1550000</v>
      </c>
      <c r="D119" s="146" t="n">
        <f aca="false">C119*AY119</f>
        <v>3041991.07366787</v>
      </c>
      <c r="E119" s="147" t="n">
        <f aca="false">VLOOKUP($A119,[1]!CurveTable,MATCH($E$4,[1]!CurveType,0))</f>
        <v>4.5325</v>
      </c>
      <c r="F119" s="148" t="n">
        <f aca="false">E119-Inputs!$B$16</f>
        <v>4.5875</v>
      </c>
      <c r="G119" s="149" t="n">
        <f aca="false">F119</f>
        <v>4.5875</v>
      </c>
      <c r="H119" s="147" t="n">
        <f aca="false">VLOOKUP($A119,[1]!CurveTable,MATCH($H$4,[1]!CurveType,0))</f>
        <v>1</v>
      </c>
      <c r="I119" s="148" t="n">
        <f aca="false">H119+Inputs!$B$22</f>
        <v>1</v>
      </c>
      <c r="J119" s="150" t="n">
        <f aca="false">I119</f>
        <v>1</v>
      </c>
      <c r="K119" s="147" t="n">
        <f aca="false">VLOOKUP($A119,[1]!CurveTable,MATCH($K$4,[1]!CurveType,0))</f>
        <v>0</v>
      </c>
      <c r="L119" s="148" t="n">
        <v>0</v>
      </c>
      <c r="M119" s="151" t="n">
        <f aca="false">L119</f>
        <v>0</v>
      </c>
      <c r="N119" s="147" t="n">
        <f aca="false">VLOOKUP($A119,[1]!CurveTable,MATCH($N$4,[1]!CurveType,0))</f>
        <v>0.0145</v>
      </c>
      <c r="O119" s="148" t="n">
        <f aca="false">N119+Inputs!$E$22</f>
        <v>0.0145</v>
      </c>
      <c r="P119" s="151" t="n">
        <f aca="false">O119</f>
        <v>0.0145</v>
      </c>
      <c r="Q119" s="147" t="n">
        <f aca="false">VLOOKUP($A119,[1]!CurveTable,MATCH($Q$4,[1]!CurveType,0))</f>
        <v>0.01</v>
      </c>
      <c r="R119" s="148" t="n">
        <v>0</v>
      </c>
      <c r="S119" s="151" t="n">
        <f aca="false">R119</f>
        <v>0</v>
      </c>
      <c r="T119" s="152"/>
      <c r="U119" s="153" t="n">
        <f aca="false">G119+J119</f>
        <v>5.5875</v>
      </c>
      <c r="V119" s="154"/>
      <c r="W119" s="155" t="n">
        <f aca="false">VLOOKUP($A119,[1]!CurveTable,MATCH($W$4,[1]!CurveType,0))+$W$9</f>
        <v>0.34</v>
      </c>
      <c r="X119" s="155" t="n">
        <f aca="false">VLOOKUP($A119,[1]!CurveTable,MATCH($X$4,[1]!CurveType,0))+$X$9</f>
        <v>0.345</v>
      </c>
      <c r="Y119" s="139" t="n">
        <f aca="false">SQRT((X119^2*($A119-$C$3)+W119^2*(DAY(EOMONTH(A119,0))/2))/$AN119)</f>
        <v>0.343230451529498</v>
      </c>
      <c r="Z119" s="152"/>
      <c r="AA119" s="153" t="n">
        <f aca="false">G119+P119+S119</f>
        <v>4.602</v>
      </c>
      <c r="AB119" s="154"/>
      <c r="AC119" s="155" t="n">
        <f aca="false">VLOOKUP($A119,[1]!CurveTable,MATCH($AC$4,[1]!CurveType,0))+$AC$9</f>
        <v>0.17</v>
      </c>
      <c r="AD119" s="155" t="n">
        <f aca="false">VLOOKUP($A119,[1]!CurveTable,MATCH($AD$4,[1]!CurveType,0))+$AD$9</f>
        <v>0.175</v>
      </c>
      <c r="AE119" s="139" t="n">
        <f aca="false">SQRT((AD119^2*($A119-$C$3)+AC119^2*(DAY(EOMONTH(A119,0))/2))/$AN119)</f>
        <v>0.174110747289495</v>
      </c>
      <c r="AF119" s="152"/>
      <c r="AG119" s="156" t="n">
        <f aca="false">((Inputs!$F$20*(X119*AD119)*(A119-$C$3))+(Inputs!$F$19*W119*AC119*(DAY(EOMONTH(A119,0))/2)))/(AN119*Y119*AE119)</f>
        <v>0.750000259458234</v>
      </c>
      <c r="AH119" s="152"/>
      <c r="AI119" s="140" t="n">
        <f aca="false">Inputs!$B$15</f>
        <v>0.06</v>
      </c>
      <c r="AJ119" s="157"/>
      <c r="AK119" s="140" t="n">
        <f aca="false">IF((U119-AA119-AI119)&lt;0,0,(U119-AA119-AI119))</f>
        <v>0.9255</v>
      </c>
      <c r="AL119" s="157"/>
      <c r="AM119" s="158" t="n">
        <f aca="false">WORKDAY(EOMONTH(A119-1,-1),0)</f>
        <v>41425</v>
      </c>
      <c r="AN119" s="159" t="n">
        <f aca="false">AM119-$C$3</f>
        <v>-4501</v>
      </c>
      <c r="AO119" s="159" t="n">
        <f aca="false">AO118</f>
        <v>1</v>
      </c>
      <c r="AP119" s="160"/>
      <c r="AQ119" s="161" t="e">
        <f aca="false">SPRDOPT(U119,AA119,AI119,AX119,X119,AD119,AG119,AN119,AO119,0)</f>
        <v>#NAME?</v>
      </c>
      <c r="AR119" s="162" t="e">
        <f aca="false">AQ119*C119</f>
        <v>#NAME?</v>
      </c>
      <c r="AS119" s="163" t="e">
        <f aca="false">AQ119-AK119</f>
        <v>#NAME?</v>
      </c>
      <c r="AU119" s="112" t="n">
        <f aca="false">A120-A119</f>
        <v>31</v>
      </c>
      <c r="AV119" s="164" t="n">
        <f aca="false">CHOOSE(F$3,A120+24,A119+14)</f>
        <v>41470</v>
      </c>
      <c r="AW119" s="49" t="n">
        <f aca="false">AV119-C$3</f>
        <v>-4456</v>
      </c>
      <c r="AX119" s="155" t="n">
        <f aca="false">VLOOKUP($A119,[1]!CurveTable,MATCH(AX$4,[1]!CurveType,0))</f>
        <v>0.05603832442117</v>
      </c>
      <c r="AY119" s="165" t="n">
        <f aca="false">1/(1+CHOOSE(F$3,(AX120+(Inputs!$B$14/10000))/2,(AX119+(Inputs!$B$14/10000))/2))^(2*AW119/365.25)</f>
        <v>1.96257488623734</v>
      </c>
      <c r="AZ119" s="49" t="n">
        <f aca="false">IF(AND(mthbeg&lt;=A119,mthend&gt;=A119),1,0)</f>
        <v>1</v>
      </c>
      <c r="BA119" s="111" t="n">
        <f aca="false">AU119*AZ119</f>
        <v>31</v>
      </c>
      <c r="BC119" s="142" t="n">
        <f aca="false">E119*$D119</f>
        <v>13787824.5413996</v>
      </c>
      <c r="BD119" s="142" t="n">
        <f aca="false">F119*$D119</f>
        <v>13955134.0504514</v>
      </c>
      <c r="BE119" s="142" t="n">
        <f aca="false">G119*$D119</f>
        <v>13955134.0504514</v>
      </c>
      <c r="BF119" s="142" t="n">
        <f aca="false">H119*$D119</f>
        <v>3041991.07366787</v>
      </c>
      <c r="BG119" s="142" t="n">
        <f aca="false">I119*$D119</f>
        <v>3041991.07366787</v>
      </c>
      <c r="BH119" s="142" t="n">
        <f aca="false">J119*$D119</f>
        <v>3041991.07366787</v>
      </c>
      <c r="BI119" s="142" t="n">
        <f aca="false">K119*$D119</f>
        <v>0</v>
      </c>
      <c r="BJ119" s="142" t="n">
        <f aca="false">L119*$D119</f>
        <v>0</v>
      </c>
      <c r="BK119" s="142" t="n">
        <f aca="false">M119*$D119</f>
        <v>0</v>
      </c>
      <c r="BL119" s="142" t="n">
        <f aca="false">N119*$D119</f>
        <v>44108.8705681841</v>
      </c>
      <c r="BM119" s="142" t="n">
        <f aca="false">O119*$D119</f>
        <v>44108.8705681841</v>
      </c>
      <c r="BN119" s="142" t="n">
        <f aca="false">P119*$D119</f>
        <v>44108.8705681841</v>
      </c>
      <c r="BO119" s="142" t="n">
        <f aca="false">Q119*$D119</f>
        <v>30419.9107366787</v>
      </c>
      <c r="BP119" s="142" t="n">
        <f aca="false">R119*$D119</f>
        <v>0</v>
      </c>
      <c r="BQ119" s="142" t="n">
        <f aca="false">S119*$D119</f>
        <v>0</v>
      </c>
      <c r="BR119" s="142" t="n">
        <f aca="false">U119*$D119</f>
        <v>16997125.1241192</v>
      </c>
      <c r="BS119" s="142" t="n">
        <f aca="false">AA119*$D119</f>
        <v>13999242.9210195</v>
      </c>
      <c r="BT119" s="142" t="n">
        <f aca="false">AI119*$D119</f>
        <v>182519.464420072</v>
      </c>
      <c r="BU119" s="142" t="n">
        <f aca="false">AK119*D119</f>
        <v>2815362.73867961</v>
      </c>
    </row>
    <row r="120" customFormat="false" ht="12.75" hidden="false" customHeight="false" outlineLevel="0" collapsed="false">
      <c r="A120" s="144" t="n">
        <f aca="false">EDATE(A119,1)</f>
        <v>41487</v>
      </c>
      <c r="B120" s="145" t="n">
        <f aca="false">Inputs!$B$8</f>
        <v>50000</v>
      </c>
      <c r="C120" s="146" t="n">
        <f aca="false">IF(AZ120=0,0,IF(AND(AZ120=1,$H$3=1),B120*AU120,IF($H$3=2,B120,"N/A")))</f>
        <v>1550000</v>
      </c>
      <c r="D120" s="146" t="n">
        <f aca="false">C120*AY120</f>
        <v>3029833.06978224</v>
      </c>
      <c r="E120" s="147" t="n">
        <f aca="false">VLOOKUP($A120,[1]!CurveTable,MATCH($E$4,[1]!CurveType,0))</f>
        <v>4.5705</v>
      </c>
      <c r="F120" s="148" t="n">
        <f aca="false">E120-Inputs!$B$16</f>
        <v>4.6255</v>
      </c>
      <c r="G120" s="149" t="n">
        <f aca="false">F120</f>
        <v>4.6255</v>
      </c>
      <c r="H120" s="147" t="n">
        <f aca="false">VLOOKUP($A120,[1]!CurveTable,MATCH($H$4,[1]!CurveType,0))</f>
        <v>1</v>
      </c>
      <c r="I120" s="148" t="n">
        <f aca="false">H120+Inputs!$B$22</f>
        <v>1</v>
      </c>
      <c r="J120" s="150" t="n">
        <f aca="false">I120</f>
        <v>1</v>
      </c>
      <c r="K120" s="147" t="n">
        <f aca="false">VLOOKUP($A120,[1]!CurveTable,MATCH($K$4,[1]!CurveType,0))</f>
        <v>0</v>
      </c>
      <c r="L120" s="148" t="n">
        <v>0</v>
      </c>
      <c r="M120" s="151" t="n">
        <f aca="false">L120</f>
        <v>0</v>
      </c>
      <c r="N120" s="147" t="n">
        <f aca="false">VLOOKUP($A120,[1]!CurveTable,MATCH($N$4,[1]!CurveType,0))</f>
        <v>0.0145</v>
      </c>
      <c r="O120" s="148" t="n">
        <f aca="false">N120+Inputs!$E$22</f>
        <v>0.0145</v>
      </c>
      <c r="P120" s="151" t="n">
        <f aca="false">O120</f>
        <v>0.0145</v>
      </c>
      <c r="Q120" s="147" t="n">
        <f aca="false">VLOOKUP($A120,[1]!CurveTable,MATCH($Q$4,[1]!CurveType,0))</f>
        <v>0.01</v>
      </c>
      <c r="R120" s="148" t="n">
        <v>0</v>
      </c>
      <c r="S120" s="151" t="n">
        <f aca="false">R120</f>
        <v>0</v>
      </c>
      <c r="T120" s="152"/>
      <c r="U120" s="153" t="n">
        <f aca="false">G120+J120</f>
        <v>5.6255</v>
      </c>
      <c r="V120" s="154"/>
      <c r="W120" s="155" t="n">
        <f aca="false">VLOOKUP($A120,[1]!CurveTable,MATCH($W$4,[1]!CurveType,0))+$W$9</f>
        <v>0.34</v>
      </c>
      <c r="X120" s="155" t="n">
        <f aca="false">VLOOKUP($A120,[1]!CurveTable,MATCH($X$4,[1]!CurveType,0))+$X$9</f>
        <v>0.345</v>
      </c>
      <c r="Y120" s="139" t="n">
        <f aca="false">SQRT((X120^2*($A120-$C$3)+W120^2*(DAY(EOMONTH(A120,0))/2))/$AN120)</f>
        <v>0.343179762786535</v>
      </c>
      <c r="Z120" s="152"/>
      <c r="AA120" s="153" t="n">
        <f aca="false">G120+P120+S120</f>
        <v>4.64</v>
      </c>
      <c r="AB120" s="154"/>
      <c r="AC120" s="155" t="n">
        <f aca="false">VLOOKUP($A120,[1]!CurveTable,MATCH($AC$4,[1]!CurveType,0))+$AC$9</f>
        <v>0.17</v>
      </c>
      <c r="AD120" s="155" t="n">
        <f aca="false">VLOOKUP($A120,[1]!CurveTable,MATCH($AD$4,[1]!CurveType,0))+$AD$9</f>
        <v>0.175</v>
      </c>
      <c r="AE120" s="139" t="n">
        <f aca="false">SQRT((AD120^2*($A120-$C$3)+AC120^2*(DAY(EOMONTH(A120,0))/2))/$AN120)</f>
        <v>0.174085092837381</v>
      </c>
      <c r="AF120" s="152"/>
      <c r="AG120" s="156" t="n">
        <f aca="false">((Inputs!$F$20*(X120*AD120)*(A120-$C$3))+(Inputs!$F$19*W120*AC120*(DAY(EOMONTH(A120,0))/2)))/(AN120*Y120*AE120)</f>
        <v>0.75000026128233</v>
      </c>
      <c r="AH120" s="152"/>
      <c r="AI120" s="140" t="n">
        <f aca="false">Inputs!$B$15</f>
        <v>0.06</v>
      </c>
      <c r="AJ120" s="157"/>
      <c r="AK120" s="140" t="n">
        <f aca="false">IF((U120-AA120-AI120)&lt;0,0,(U120-AA120-AI120))</f>
        <v>0.9255</v>
      </c>
      <c r="AL120" s="157"/>
      <c r="AM120" s="158" t="n">
        <f aca="false">WORKDAY(EOMONTH(A120-1,-1),0)</f>
        <v>41455</v>
      </c>
      <c r="AN120" s="159" t="n">
        <f aca="false">AM120-$C$3</f>
        <v>-4471</v>
      </c>
      <c r="AO120" s="159" t="n">
        <f aca="false">AO119</f>
        <v>1</v>
      </c>
      <c r="AP120" s="160"/>
      <c r="AQ120" s="161" t="e">
        <f aca="false">SPRDOPT(U120,AA120,AI120,AX120,X120,AD120,AG120,AN120,AO120,0)</f>
        <v>#NAME?</v>
      </c>
      <c r="AR120" s="162" t="e">
        <f aca="false">AQ120*C120</f>
        <v>#NAME?</v>
      </c>
      <c r="AS120" s="163" t="e">
        <f aca="false">AQ120-AK120</f>
        <v>#NAME?</v>
      </c>
      <c r="AU120" s="112" t="n">
        <f aca="false">A121-A120</f>
        <v>31</v>
      </c>
      <c r="AV120" s="164" t="n">
        <f aca="false">CHOOSE(F$3,A121+24,A120+14)</f>
        <v>41501</v>
      </c>
      <c r="AW120" s="49" t="n">
        <f aca="false">AV120-C$3</f>
        <v>-4425</v>
      </c>
      <c r="AX120" s="155" t="n">
        <f aca="false">VLOOKUP($A120,[1]!CurveTable,MATCH(AX$4,[1]!CurveType,0))</f>
        <v>0.0560965371424373</v>
      </c>
      <c r="AY120" s="165" t="n">
        <f aca="false">1/(1+CHOOSE(F$3,(AX121+(Inputs!$B$14/10000))/2,(AX120+(Inputs!$B$14/10000))/2))^(2*AW120/365.25)</f>
        <v>1.95473101276273</v>
      </c>
      <c r="AZ120" s="49" t="n">
        <f aca="false">IF(AND(mthbeg&lt;=A120,mthend&gt;=A120),1,0)</f>
        <v>1</v>
      </c>
      <c r="BA120" s="111" t="n">
        <f aca="false">AU120*AZ120</f>
        <v>31</v>
      </c>
      <c r="BC120" s="142" t="n">
        <f aca="false">E120*$D120</f>
        <v>13847852.0454397</v>
      </c>
      <c r="BD120" s="142" t="n">
        <f aca="false">F120*$D120</f>
        <v>14014492.8642777</v>
      </c>
      <c r="BE120" s="142" t="n">
        <f aca="false">G120*$D120</f>
        <v>14014492.8642777</v>
      </c>
      <c r="BF120" s="142" t="n">
        <f aca="false">H120*$D120</f>
        <v>3029833.06978224</v>
      </c>
      <c r="BG120" s="142" t="n">
        <f aca="false">I120*$D120</f>
        <v>3029833.06978224</v>
      </c>
      <c r="BH120" s="142" t="n">
        <f aca="false">J120*$D120</f>
        <v>3029833.06978224</v>
      </c>
      <c r="BI120" s="142" t="n">
        <f aca="false">K120*$D120</f>
        <v>0</v>
      </c>
      <c r="BJ120" s="142" t="n">
        <f aca="false">L120*$D120</f>
        <v>0</v>
      </c>
      <c r="BK120" s="142" t="n">
        <f aca="false">M120*$D120</f>
        <v>0</v>
      </c>
      <c r="BL120" s="142" t="n">
        <f aca="false">N120*$D120</f>
        <v>43932.5795118424</v>
      </c>
      <c r="BM120" s="142" t="n">
        <f aca="false">O120*$D120</f>
        <v>43932.5795118424</v>
      </c>
      <c r="BN120" s="142" t="n">
        <f aca="false">P120*$D120</f>
        <v>43932.5795118424</v>
      </c>
      <c r="BO120" s="142" t="n">
        <f aca="false">Q120*$D120</f>
        <v>30298.3306978224</v>
      </c>
      <c r="BP120" s="142" t="n">
        <f aca="false">R120*$D120</f>
        <v>0</v>
      </c>
      <c r="BQ120" s="142" t="n">
        <f aca="false">S120*$D120</f>
        <v>0</v>
      </c>
      <c r="BR120" s="142" t="n">
        <f aca="false">U120*$D120</f>
        <v>17044325.93406</v>
      </c>
      <c r="BS120" s="142" t="n">
        <f aca="false">AA120*$D120</f>
        <v>14058425.4437896</v>
      </c>
      <c r="BT120" s="142" t="n">
        <f aca="false">AI120*$D120</f>
        <v>181789.984186934</v>
      </c>
      <c r="BU120" s="142" t="n">
        <f aca="false">AK120*D120</f>
        <v>2804110.50608346</v>
      </c>
    </row>
    <row r="121" customFormat="false" ht="12.75" hidden="false" customHeight="false" outlineLevel="0" collapsed="false">
      <c r="A121" s="144" t="n">
        <f aca="false">EDATE(A120,1)</f>
        <v>41518</v>
      </c>
      <c r="B121" s="145" t="n">
        <f aca="false">Inputs!$B$8</f>
        <v>50000</v>
      </c>
      <c r="C121" s="146" t="n">
        <f aca="false">IF(AZ121=0,0,IF(AND(AZ121=1,$H$3=1),B121*AU121,IF($H$3=2,B121,"N/A")))</f>
        <v>1500000</v>
      </c>
      <c r="D121" s="146" t="n">
        <f aca="false">C121*AY121</f>
        <v>2920349.6069415</v>
      </c>
      <c r="E121" s="147" t="n">
        <f aca="false">VLOOKUP($A121,[1]!CurveTable,MATCH($E$4,[1]!CurveType,0))</f>
        <v>4.5645</v>
      </c>
      <c r="F121" s="148" t="n">
        <f aca="false">E121-Inputs!$B$16</f>
        <v>4.6195</v>
      </c>
      <c r="G121" s="149" t="n">
        <f aca="false">F121</f>
        <v>4.6195</v>
      </c>
      <c r="H121" s="147" t="n">
        <f aca="false">VLOOKUP($A121,[1]!CurveTable,MATCH($H$4,[1]!CurveType,0))</f>
        <v>0.6</v>
      </c>
      <c r="I121" s="148" t="n">
        <f aca="false">H121+Inputs!$B$22</f>
        <v>0.6</v>
      </c>
      <c r="J121" s="150" t="n">
        <f aca="false">I121</f>
        <v>0.6</v>
      </c>
      <c r="K121" s="147" t="n">
        <f aca="false">VLOOKUP($A121,[1]!CurveTable,MATCH($K$4,[1]!CurveType,0))</f>
        <v>0</v>
      </c>
      <c r="L121" s="148" t="n">
        <v>0</v>
      </c>
      <c r="M121" s="151" t="n">
        <f aca="false">L121</f>
        <v>0</v>
      </c>
      <c r="N121" s="147" t="n">
        <f aca="false">VLOOKUP($A121,[1]!CurveTable,MATCH($N$4,[1]!CurveType,0))</f>
        <v>0.0145</v>
      </c>
      <c r="O121" s="148" t="n">
        <f aca="false">N121+Inputs!$E$22</f>
        <v>0.0145</v>
      </c>
      <c r="P121" s="151" t="n">
        <f aca="false">O121</f>
        <v>0.0145</v>
      </c>
      <c r="Q121" s="147" t="n">
        <f aca="false">VLOOKUP($A121,[1]!CurveTable,MATCH($Q$4,[1]!CurveType,0))</f>
        <v>0.01</v>
      </c>
      <c r="R121" s="148" t="n">
        <v>0</v>
      </c>
      <c r="S121" s="151" t="n">
        <f aca="false">R121</f>
        <v>0</v>
      </c>
      <c r="T121" s="152"/>
      <c r="U121" s="153" t="n">
        <f aca="false">G121+J121</f>
        <v>5.2195</v>
      </c>
      <c r="V121" s="154"/>
      <c r="W121" s="155" t="n">
        <f aca="false">VLOOKUP($A121,[1]!CurveTable,MATCH($W$4,[1]!CurveType,0))+$W$9</f>
        <v>0.34</v>
      </c>
      <c r="X121" s="155" t="n">
        <f aca="false">VLOOKUP($A121,[1]!CurveTable,MATCH($X$4,[1]!CurveType,0))+$X$9</f>
        <v>0.345</v>
      </c>
      <c r="Y121" s="139" t="n">
        <f aca="false">SQRT((X121^2*($A121-$C$3)+W121^2*(DAY(EOMONTH(A121,0))/2))/$AN121)</f>
        <v>0.343185986924906</v>
      </c>
      <c r="Z121" s="152"/>
      <c r="AA121" s="153" t="n">
        <f aca="false">G121+P121+S121</f>
        <v>4.634</v>
      </c>
      <c r="AB121" s="154"/>
      <c r="AC121" s="155" t="n">
        <f aca="false">VLOOKUP($A121,[1]!CurveTable,MATCH($AC$4,[1]!CurveType,0))+$AC$9</f>
        <v>0.17</v>
      </c>
      <c r="AD121" s="155" t="n">
        <f aca="false">VLOOKUP($A121,[1]!CurveTable,MATCH($AD$4,[1]!CurveType,0))+$AD$9</f>
        <v>0.175</v>
      </c>
      <c r="AE121" s="139" t="n">
        <f aca="false">SQRT((AD121^2*($A121-$C$3)+AC121^2*(DAY(EOMONTH(A121,0))/2))/$AN121)</f>
        <v>0.174088035614583</v>
      </c>
      <c r="AF121" s="152"/>
      <c r="AG121" s="156" t="n">
        <f aca="false">((Inputs!$F$20*(X121*AD121)*(A121-$C$3))+(Inputs!$F$19*W121*AC121*(DAY(EOMONTH(A121,0))/2)))/(AN121*Y121*AE121)</f>
        <v>0.750000254588632</v>
      </c>
      <c r="AH121" s="152"/>
      <c r="AI121" s="140" t="n">
        <f aca="false">Inputs!$B$15</f>
        <v>0.06</v>
      </c>
      <c r="AJ121" s="157"/>
      <c r="AK121" s="140" t="n">
        <f aca="false">IF((U121-AA121-AI121)&lt;0,0,(U121-AA121-AI121))</f>
        <v>0.5255</v>
      </c>
      <c r="AL121" s="157"/>
      <c r="AM121" s="158" t="n">
        <f aca="false">WORKDAY(EOMONTH(A121-1,-1),0)</f>
        <v>41486</v>
      </c>
      <c r="AN121" s="159" t="n">
        <f aca="false">AM121-$C$3</f>
        <v>-4440</v>
      </c>
      <c r="AO121" s="159" t="n">
        <f aca="false">AO120</f>
        <v>1</v>
      </c>
      <c r="AP121" s="160"/>
      <c r="AQ121" s="161" t="e">
        <f aca="false">SPRDOPT(U121,AA121,AI121,AX121,X121,AD121,AG121,AN121,AO121,0)</f>
        <v>#NAME?</v>
      </c>
      <c r="AR121" s="162" t="e">
        <f aca="false">AQ121*C121</f>
        <v>#NAME?</v>
      </c>
      <c r="AS121" s="163" t="e">
        <f aca="false">AQ121-AK121</f>
        <v>#NAME?</v>
      </c>
      <c r="AU121" s="112" t="n">
        <f aca="false">A122-A121</f>
        <v>30</v>
      </c>
      <c r="AV121" s="164" t="n">
        <f aca="false">CHOOSE(F$3,A122+24,A121+14)</f>
        <v>41532</v>
      </c>
      <c r="AW121" s="49" t="n">
        <f aca="false">AV121-C$3</f>
        <v>-4394</v>
      </c>
      <c r="AX121" s="155" t="n">
        <f aca="false">VLOOKUP($A121,[1]!CurveTable,MATCH(AX$4,[1]!CurveType,0))</f>
        <v>0.0561547498648327</v>
      </c>
      <c r="AY121" s="165" t="n">
        <f aca="false">1/(1+CHOOSE(F$3,(AX122+(Inputs!$B$14/10000))/2,(AX121+(Inputs!$B$14/10000))/2))^(2*AW121/365.25)</f>
        <v>1.946899737961</v>
      </c>
      <c r="AZ121" s="49" t="n">
        <f aca="false">IF(AND(mthbeg&lt;=A121,mthend&gt;=A121),1,0)</f>
        <v>1</v>
      </c>
      <c r="BA121" s="111" t="n">
        <f aca="false">AU121*AZ121</f>
        <v>30</v>
      </c>
      <c r="BC121" s="142" t="n">
        <f aca="false">E121*$D121</f>
        <v>13329935.7808845</v>
      </c>
      <c r="BD121" s="142" t="n">
        <f aca="false">F121*$D121</f>
        <v>13490555.0092663</v>
      </c>
      <c r="BE121" s="142" t="n">
        <f aca="false">G121*$D121</f>
        <v>13490555.0092663</v>
      </c>
      <c r="BF121" s="142" t="n">
        <f aca="false">H121*$D121</f>
        <v>1752209.7641649</v>
      </c>
      <c r="BG121" s="142" t="n">
        <f aca="false">I121*$D121</f>
        <v>1752209.7641649</v>
      </c>
      <c r="BH121" s="142" t="n">
        <f aca="false">J121*$D121</f>
        <v>1752209.7641649</v>
      </c>
      <c r="BI121" s="142" t="n">
        <f aca="false">K121*$D121</f>
        <v>0</v>
      </c>
      <c r="BJ121" s="142" t="n">
        <f aca="false">L121*$D121</f>
        <v>0</v>
      </c>
      <c r="BK121" s="142" t="n">
        <f aca="false">M121*$D121</f>
        <v>0</v>
      </c>
      <c r="BL121" s="142" t="n">
        <f aca="false">N121*$D121</f>
        <v>42345.0693006517</v>
      </c>
      <c r="BM121" s="142" t="n">
        <f aca="false">O121*$D121</f>
        <v>42345.0693006517</v>
      </c>
      <c r="BN121" s="142" t="n">
        <f aca="false">P121*$D121</f>
        <v>42345.0693006517</v>
      </c>
      <c r="BO121" s="142" t="n">
        <f aca="false">Q121*$D121</f>
        <v>29203.496069415</v>
      </c>
      <c r="BP121" s="142" t="n">
        <f aca="false">R121*$D121</f>
        <v>0</v>
      </c>
      <c r="BQ121" s="142" t="n">
        <f aca="false">S121*$D121</f>
        <v>0</v>
      </c>
      <c r="BR121" s="142" t="n">
        <f aca="false">U121*$D121</f>
        <v>15242764.7734312</v>
      </c>
      <c r="BS121" s="142" t="n">
        <f aca="false">AA121*$D121</f>
        <v>13532900.0785669</v>
      </c>
      <c r="BT121" s="142" t="n">
        <f aca="false">AI121*$D121</f>
        <v>175220.97641649</v>
      </c>
      <c r="BU121" s="142" t="n">
        <f aca="false">AK121*D121</f>
        <v>1534643.71844776</v>
      </c>
    </row>
    <row r="122" customFormat="false" ht="12.75" hidden="false" customHeight="false" outlineLevel="0" collapsed="false">
      <c r="A122" s="144" t="n">
        <f aca="false">EDATE(A121,1)</f>
        <v>41548</v>
      </c>
      <c r="B122" s="145" t="n">
        <f aca="false">Inputs!$B$8</f>
        <v>50000</v>
      </c>
      <c r="C122" s="146" t="n">
        <f aca="false">IF(AZ122=0,0,IF(AND(AZ122=1,$H$3=1),B122*AU122,IF($H$3=2,B122,"N/A")))</f>
        <v>1550000</v>
      </c>
      <c r="D122" s="146" t="n">
        <f aca="false">C122*AY122</f>
        <v>3005966.42210629</v>
      </c>
      <c r="E122" s="147" t="n">
        <f aca="false">VLOOKUP($A122,[1]!CurveTable,MATCH($E$4,[1]!CurveType,0))</f>
        <v>4.5645</v>
      </c>
      <c r="F122" s="148" t="n">
        <f aca="false">E122-Inputs!$B$16</f>
        <v>4.6195</v>
      </c>
      <c r="G122" s="149" t="n">
        <f aca="false">F122</f>
        <v>4.6195</v>
      </c>
      <c r="H122" s="147" t="n">
        <f aca="false">VLOOKUP($A122,[1]!CurveTable,MATCH($H$4,[1]!CurveType,0))</f>
        <v>0.3</v>
      </c>
      <c r="I122" s="148" t="n">
        <f aca="false">H122+Inputs!$B$22</f>
        <v>0.3</v>
      </c>
      <c r="J122" s="150" t="n">
        <f aca="false">I122</f>
        <v>0.3</v>
      </c>
      <c r="K122" s="147" t="n">
        <f aca="false">VLOOKUP($A122,[1]!CurveTable,MATCH($K$4,[1]!CurveType,0))</f>
        <v>0</v>
      </c>
      <c r="L122" s="148" t="n">
        <v>0</v>
      </c>
      <c r="M122" s="151" t="n">
        <f aca="false">L122</f>
        <v>0</v>
      </c>
      <c r="N122" s="147" t="n">
        <f aca="false">VLOOKUP($A122,[1]!CurveTable,MATCH($N$4,[1]!CurveType,0))</f>
        <v>0.013</v>
      </c>
      <c r="O122" s="148" t="n">
        <f aca="false">N122+Inputs!$E$22</f>
        <v>0.013</v>
      </c>
      <c r="P122" s="151" t="n">
        <f aca="false">O122</f>
        <v>0.013</v>
      </c>
      <c r="Q122" s="147" t="n">
        <f aca="false">VLOOKUP($A122,[1]!CurveTable,MATCH($Q$4,[1]!CurveType,0))</f>
        <v>0.01</v>
      </c>
      <c r="R122" s="148" t="n">
        <v>0</v>
      </c>
      <c r="S122" s="151" t="n">
        <f aca="false">R122</f>
        <v>0</v>
      </c>
      <c r="T122" s="152"/>
      <c r="U122" s="153" t="n">
        <f aca="false">G122+J122</f>
        <v>4.9195</v>
      </c>
      <c r="V122" s="154"/>
      <c r="W122" s="155" t="n">
        <f aca="false">VLOOKUP($A122,[1]!CurveTable,MATCH($W$4,[1]!CurveType,0))+$W$9</f>
        <v>0.17</v>
      </c>
      <c r="X122" s="155" t="n">
        <f aca="false">VLOOKUP($A122,[1]!CurveTable,MATCH($X$4,[1]!CurveType,0))+$X$9</f>
        <v>0.175</v>
      </c>
      <c r="Y122" s="139" t="n">
        <f aca="false">SQRT((X122^2*($A122-$C$3)+W122^2*(DAY(EOMONTH(A122,0))/2))/$AN122)</f>
        <v>0.174092143399082</v>
      </c>
      <c r="Z122" s="152"/>
      <c r="AA122" s="153" t="n">
        <f aca="false">G122+P122+S122</f>
        <v>4.6325</v>
      </c>
      <c r="AB122" s="154"/>
      <c r="AC122" s="155" t="n">
        <f aca="false">VLOOKUP($A122,[1]!CurveTable,MATCH($AC$4,[1]!CurveType,0))+$AC$9</f>
        <v>0.17</v>
      </c>
      <c r="AD122" s="155" t="n">
        <f aca="false">VLOOKUP($A122,[1]!CurveTable,MATCH($AD$4,[1]!CurveType,0))+$AD$9</f>
        <v>0.175</v>
      </c>
      <c r="AE122" s="139" t="n">
        <f aca="false">SQRT((AD122^2*($A122-$C$3)+AC122^2*(DAY(EOMONTH(A122,0))/2))/$AN122)</f>
        <v>0.174092143399082</v>
      </c>
      <c r="AF122" s="152"/>
      <c r="AG122" s="156" t="n">
        <f aca="false">((Inputs!$F$20*(X122*AD122)*(A122-$C$3))+(Inputs!$F$19*W122*AC122*(DAY(EOMONTH(A122,0))/2)))/(AN122*Y122*AE122)</f>
        <v>0.75</v>
      </c>
      <c r="AH122" s="152"/>
      <c r="AI122" s="140" t="n">
        <f aca="false">Inputs!$B$15</f>
        <v>0.06</v>
      </c>
      <c r="AJ122" s="157"/>
      <c r="AK122" s="140" t="n">
        <f aca="false">IF((U122-AA122-AI122)&lt;0,0,(U122-AA122-AI122))</f>
        <v>0.227</v>
      </c>
      <c r="AL122" s="157"/>
      <c r="AM122" s="158" t="n">
        <f aca="false">WORKDAY(EOMONTH(A122-1,-1),0)</f>
        <v>41517</v>
      </c>
      <c r="AN122" s="159" t="n">
        <f aca="false">AM122-$C$3</f>
        <v>-4409</v>
      </c>
      <c r="AO122" s="159" t="n">
        <f aca="false">AO121</f>
        <v>1</v>
      </c>
      <c r="AP122" s="160"/>
      <c r="AQ122" s="161" t="e">
        <f aca="false">SPRDOPT(U122,AA122,AI122,AX122,X122,AD122,AG122,AN122,AO122,0)</f>
        <v>#NAME?</v>
      </c>
      <c r="AR122" s="162" t="e">
        <f aca="false">AQ122*C122</f>
        <v>#NAME?</v>
      </c>
      <c r="AS122" s="163" t="e">
        <f aca="false">AQ122-AK122</f>
        <v>#NAME?</v>
      </c>
      <c r="AU122" s="112" t="n">
        <f aca="false">A123-A122</f>
        <v>31</v>
      </c>
      <c r="AV122" s="164" t="n">
        <f aca="false">CHOOSE(F$3,A123+24,A122+14)</f>
        <v>41562</v>
      </c>
      <c r="AW122" s="49" t="n">
        <f aca="false">AV122-C$3</f>
        <v>-4364</v>
      </c>
      <c r="AX122" s="155" t="n">
        <f aca="false">VLOOKUP($A122,[1]!CurveTable,MATCH(AX$4,[1]!CurveType,0))</f>
        <v>0.0562110847585475</v>
      </c>
      <c r="AY122" s="165" t="n">
        <f aca="false">1/(1+CHOOSE(F$3,(AX123+(Inputs!$B$14/10000))/2,(AX122+(Inputs!$B$14/10000))/2))^(2*AW122/365.25)</f>
        <v>1.93933317555244</v>
      </c>
      <c r="AZ122" s="49" t="n">
        <f aca="false">IF(AND(mthbeg&lt;=A122,mthend&gt;=A122),1,0)</f>
        <v>1</v>
      </c>
      <c r="BA122" s="111" t="n">
        <f aca="false">AU122*AZ122</f>
        <v>31</v>
      </c>
      <c r="BC122" s="142" t="n">
        <f aca="false">E122*$D122</f>
        <v>13720733.7337041</v>
      </c>
      <c r="BD122" s="142" t="n">
        <f aca="false">F122*$D122</f>
        <v>13886061.88692</v>
      </c>
      <c r="BE122" s="142" t="n">
        <f aca="false">G122*$D122</f>
        <v>13886061.88692</v>
      </c>
      <c r="BF122" s="142" t="n">
        <f aca="false">H122*$D122</f>
        <v>901789.926631886</v>
      </c>
      <c r="BG122" s="142" t="n">
        <f aca="false">I122*$D122</f>
        <v>901789.926631886</v>
      </c>
      <c r="BH122" s="142" t="n">
        <f aca="false">J122*$D122</f>
        <v>901789.926631886</v>
      </c>
      <c r="BI122" s="142" t="n">
        <f aca="false">K122*$D122</f>
        <v>0</v>
      </c>
      <c r="BJ122" s="142" t="n">
        <f aca="false">L122*$D122</f>
        <v>0</v>
      </c>
      <c r="BK122" s="142" t="n">
        <f aca="false">M122*$D122</f>
        <v>0</v>
      </c>
      <c r="BL122" s="142" t="n">
        <f aca="false">N122*$D122</f>
        <v>39077.5634873817</v>
      </c>
      <c r="BM122" s="142" t="n">
        <f aca="false">O122*$D122</f>
        <v>39077.5634873817</v>
      </c>
      <c r="BN122" s="142" t="n">
        <f aca="false">P122*$D122</f>
        <v>39077.5634873817</v>
      </c>
      <c r="BO122" s="142" t="n">
        <f aca="false">Q122*$D122</f>
        <v>30059.6642210629</v>
      </c>
      <c r="BP122" s="142" t="n">
        <f aca="false">R122*$D122</f>
        <v>0</v>
      </c>
      <c r="BQ122" s="142" t="n">
        <f aca="false">S122*$D122</f>
        <v>0</v>
      </c>
      <c r="BR122" s="142" t="n">
        <f aca="false">U122*$D122</f>
        <v>14787851.8135519</v>
      </c>
      <c r="BS122" s="142" t="n">
        <f aca="false">AA122*$D122</f>
        <v>13925139.4504074</v>
      </c>
      <c r="BT122" s="142" t="n">
        <f aca="false">AI122*$D122</f>
        <v>180357.985326377</v>
      </c>
      <c r="BU122" s="142" t="n">
        <f aca="false">AK122*D122</f>
        <v>682354.377818127</v>
      </c>
    </row>
    <row r="123" customFormat="false" ht="12.75" hidden="false" customHeight="false" outlineLevel="0" collapsed="false">
      <c r="A123" s="144" t="n">
        <f aca="false">EDATE(A122,1)</f>
        <v>41579</v>
      </c>
      <c r="B123" s="145" t="n">
        <f aca="false">Inputs!$B$8</f>
        <v>50000</v>
      </c>
      <c r="C123" s="146" t="n">
        <f aca="false">IF(AZ123=0,0,IF(AND(AZ123=1,$H$3=1),B123*AU123,IF($H$3=2,B123,"N/A")))</f>
        <v>1500000</v>
      </c>
      <c r="D123" s="146" t="n">
        <f aca="false">C123*AY123</f>
        <v>2897290.47820121</v>
      </c>
      <c r="E123" s="147" t="n">
        <f aca="false">VLOOKUP($A123,[1]!CurveTable,MATCH($E$4,[1]!CurveType,0))</f>
        <v>4.7125</v>
      </c>
      <c r="F123" s="148" t="n">
        <f aca="false">E123-Inputs!$B$16</f>
        <v>4.7675</v>
      </c>
      <c r="G123" s="149" t="n">
        <f aca="false">F123</f>
        <v>4.7675</v>
      </c>
      <c r="H123" s="147" t="n">
        <f aca="false">VLOOKUP($A123,[1]!CurveTable,MATCH($H$4,[1]!CurveType,0))</f>
        <v>0.23</v>
      </c>
      <c r="I123" s="148" t="n">
        <f aca="false">H123+Inputs!$B$22</f>
        <v>0.23</v>
      </c>
      <c r="J123" s="150" t="n">
        <f aca="false">I123</f>
        <v>0.23</v>
      </c>
      <c r="K123" s="147" t="n">
        <f aca="false">VLOOKUP($A123,[1]!CurveTable,MATCH($K$4,[1]!CurveType,0))</f>
        <v>0</v>
      </c>
      <c r="L123" s="148" t="n">
        <v>0</v>
      </c>
      <c r="M123" s="151" t="n">
        <f aca="false">L123</f>
        <v>0</v>
      </c>
      <c r="N123" s="147" t="n">
        <f aca="false">VLOOKUP($A123,[1]!CurveTable,MATCH($N$4,[1]!CurveType,0))</f>
        <v>0.014</v>
      </c>
      <c r="O123" s="148" t="n">
        <f aca="false">N123+Inputs!$E$22</f>
        <v>0.014</v>
      </c>
      <c r="P123" s="151" t="n">
        <f aca="false">O123</f>
        <v>0.014</v>
      </c>
      <c r="Q123" s="147" t="n">
        <f aca="false">VLOOKUP($A123,[1]!CurveTable,MATCH($Q$4,[1]!CurveType,0))</f>
        <v>0.0075</v>
      </c>
      <c r="R123" s="148" t="n">
        <v>0</v>
      </c>
      <c r="S123" s="151" t="n">
        <f aca="false">R123</f>
        <v>0</v>
      </c>
      <c r="T123" s="152"/>
      <c r="U123" s="153" t="n">
        <f aca="false">G123+J123</f>
        <v>4.9975</v>
      </c>
      <c r="V123" s="154"/>
      <c r="W123" s="155" t="n">
        <f aca="false">VLOOKUP($A123,[1]!CurveTable,MATCH($W$4,[1]!CurveType,0))+$W$9</f>
        <v>0.17</v>
      </c>
      <c r="X123" s="155" t="n">
        <f aca="false">VLOOKUP($A123,[1]!CurveTable,MATCH($X$4,[1]!CurveType,0))+$X$9</f>
        <v>0.175</v>
      </c>
      <c r="Y123" s="139" t="n">
        <f aca="false">SQRT((X123^2*($A123-$C$3)+W123^2*(DAY(EOMONTH(A123,0))/2))/$AN123)</f>
        <v>0.174075298099819</v>
      </c>
      <c r="Z123" s="152"/>
      <c r="AA123" s="153" t="n">
        <f aca="false">G123+P123+S123</f>
        <v>4.7815</v>
      </c>
      <c r="AB123" s="154"/>
      <c r="AC123" s="155" t="n">
        <f aca="false">VLOOKUP($A123,[1]!CurveTable,MATCH($AC$4,[1]!CurveType,0))+$AC$9</f>
        <v>0.17</v>
      </c>
      <c r="AD123" s="155" t="n">
        <f aca="false">VLOOKUP($A123,[1]!CurveTable,MATCH($AD$4,[1]!CurveType,0))+$AD$9</f>
        <v>0.175</v>
      </c>
      <c r="AE123" s="139" t="n">
        <f aca="false">SQRT((AD123^2*($A123-$C$3)+AC123^2*(DAY(EOMONTH(A123,0))/2))/$AN123)</f>
        <v>0.174075298099819</v>
      </c>
      <c r="AF123" s="152"/>
      <c r="AG123" s="156" t="n">
        <f aca="false">((Inputs!$F$20*(X123*AD123)*(A123-$C$3))+(Inputs!$F$19*W123*AC123*(DAY(EOMONTH(A123,0))/2)))/(AN123*Y123*AE123)</f>
        <v>0.75</v>
      </c>
      <c r="AH123" s="152"/>
      <c r="AI123" s="140" t="n">
        <f aca="false">Inputs!$B$15</f>
        <v>0.06</v>
      </c>
      <c r="AJ123" s="157"/>
      <c r="AK123" s="140" t="n">
        <f aca="false">IF((U123-AA123-AI123)&lt;0,0,(U123-AA123-AI123))</f>
        <v>0.156</v>
      </c>
      <c r="AL123" s="157"/>
      <c r="AM123" s="158" t="n">
        <f aca="false">WORKDAY(EOMONTH(A123-1,-1),0)</f>
        <v>41547</v>
      </c>
      <c r="AN123" s="159" t="n">
        <f aca="false">AM123-$C$3</f>
        <v>-4379</v>
      </c>
      <c r="AO123" s="159" t="n">
        <f aca="false">AO122</f>
        <v>1</v>
      </c>
      <c r="AP123" s="160"/>
      <c r="AQ123" s="161" t="e">
        <f aca="false">SPRDOPT(U123,AA123,AI123,AX123,X123,AD123,AG123,AN123,AO123,0)</f>
        <v>#NAME?</v>
      </c>
      <c r="AR123" s="162" t="e">
        <f aca="false">AQ123*C123</f>
        <v>#NAME?</v>
      </c>
      <c r="AS123" s="163" t="e">
        <f aca="false">AQ123-AK123</f>
        <v>#NAME?</v>
      </c>
      <c r="AU123" s="112" t="n">
        <f aca="false">A124-A123</f>
        <v>30</v>
      </c>
      <c r="AV123" s="164" t="n">
        <f aca="false">CHOOSE(F$3,A124+24,A123+14)</f>
        <v>41593</v>
      </c>
      <c r="AW123" s="49" t="n">
        <f aca="false">AV123-C$3</f>
        <v>-4333</v>
      </c>
      <c r="AX123" s="155" t="n">
        <f aca="false">VLOOKUP($A123,[1]!CurveTable,MATCH(AX$4,[1]!CurveType,0))</f>
        <v>0.0562692974831624</v>
      </c>
      <c r="AY123" s="165" t="n">
        <f aca="false">1/(1+CHOOSE(F$3,(AX124+(Inputs!$B$14/10000))/2,(AX123+(Inputs!$B$14/10000))/2))^(2*AW123/365.25)</f>
        <v>1.93152698546748</v>
      </c>
      <c r="AZ123" s="49" t="n">
        <f aca="false">IF(AND(mthbeg&lt;=A123,mthend&gt;=A123),1,0)</f>
        <v>1</v>
      </c>
      <c r="BA123" s="111" t="n">
        <f aca="false">AU123*AZ123</f>
        <v>30</v>
      </c>
      <c r="BC123" s="142" t="n">
        <f aca="false">E123*$D123</f>
        <v>13653481.3785232</v>
      </c>
      <c r="BD123" s="142" t="n">
        <f aca="false">F123*$D123</f>
        <v>13812832.3548243</v>
      </c>
      <c r="BE123" s="142" t="n">
        <f aca="false">G123*$D123</f>
        <v>13812832.3548243</v>
      </c>
      <c r="BF123" s="142" t="n">
        <f aca="false">H123*$D123</f>
        <v>666376.80998628</v>
      </c>
      <c r="BG123" s="142" t="n">
        <f aca="false">I123*$D123</f>
        <v>666376.80998628</v>
      </c>
      <c r="BH123" s="142" t="n">
        <f aca="false">J123*$D123</f>
        <v>666376.80998628</v>
      </c>
      <c r="BI123" s="142" t="n">
        <f aca="false">K123*$D123</f>
        <v>0</v>
      </c>
      <c r="BJ123" s="142" t="n">
        <f aca="false">L123*$D123</f>
        <v>0</v>
      </c>
      <c r="BK123" s="142" t="n">
        <f aca="false">M123*$D123</f>
        <v>0</v>
      </c>
      <c r="BL123" s="142" t="n">
        <f aca="false">N123*$D123</f>
        <v>40562.066694817</v>
      </c>
      <c r="BM123" s="142" t="n">
        <f aca="false">O123*$D123</f>
        <v>40562.066694817</v>
      </c>
      <c r="BN123" s="142" t="n">
        <f aca="false">P123*$D123</f>
        <v>40562.066694817</v>
      </c>
      <c r="BO123" s="142" t="n">
        <f aca="false">Q123*$D123</f>
        <v>21729.6785865091</v>
      </c>
      <c r="BP123" s="142" t="n">
        <f aca="false">R123*$D123</f>
        <v>0</v>
      </c>
      <c r="BQ123" s="142" t="n">
        <f aca="false">S123*$D123</f>
        <v>0</v>
      </c>
      <c r="BR123" s="142" t="n">
        <f aca="false">U123*$D123</f>
        <v>14479209.1648106</v>
      </c>
      <c r="BS123" s="142" t="n">
        <f aca="false">AA123*$D123</f>
        <v>13853394.4215191</v>
      </c>
      <c r="BT123" s="142" t="n">
        <f aca="false">AI123*$D123</f>
        <v>173837.428692073</v>
      </c>
      <c r="BU123" s="142" t="n">
        <f aca="false">AK123*D123</f>
        <v>451977.31459939</v>
      </c>
    </row>
    <row r="124" customFormat="false" ht="12.75" hidden="false" customHeight="false" outlineLevel="0" collapsed="false">
      <c r="A124" s="144" t="n">
        <f aca="false">EDATE(A123,1)</f>
        <v>41609</v>
      </c>
      <c r="B124" s="145" t="n">
        <f aca="false">Inputs!$B$8</f>
        <v>50000</v>
      </c>
      <c r="C124" s="146" t="n">
        <f aca="false">IF(AZ124=0,0,IF(AND(AZ124=1,$H$3=1),B124*AU124,IF($H$3=2,B124,"N/A")))</f>
        <v>1550000</v>
      </c>
      <c r="D124" s="146" t="n">
        <f aca="false">C124*AY124</f>
        <v>2982176.57239129</v>
      </c>
      <c r="E124" s="147" t="n">
        <f aca="false">VLOOKUP($A124,[1]!CurveTable,MATCH($E$4,[1]!CurveType,0))</f>
        <v>4.8645</v>
      </c>
      <c r="F124" s="148" t="n">
        <f aca="false">E124-Inputs!$B$16</f>
        <v>4.9195</v>
      </c>
      <c r="G124" s="149" t="n">
        <f aca="false">F124</f>
        <v>4.9195</v>
      </c>
      <c r="H124" s="147" t="n">
        <f aca="false">VLOOKUP($A124,[1]!CurveTable,MATCH($H$4,[1]!CurveType,0))</f>
        <v>0.26</v>
      </c>
      <c r="I124" s="148" t="n">
        <f aca="false">H124+Inputs!$B$22</f>
        <v>0.26</v>
      </c>
      <c r="J124" s="150" t="n">
        <f aca="false">I124</f>
        <v>0.26</v>
      </c>
      <c r="K124" s="147" t="n">
        <f aca="false">VLOOKUP($A124,[1]!CurveTable,MATCH($K$4,[1]!CurveType,0))</f>
        <v>0</v>
      </c>
      <c r="L124" s="148" t="n">
        <v>0</v>
      </c>
      <c r="M124" s="151" t="n">
        <f aca="false">L124</f>
        <v>0</v>
      </c>
      <c r="N124" s="147" t="n">
        <f aca="false">VLOOKUP($A124,[1]!CurveTable,MATCH($N$4,[1]!CurveType,0))</f>
        <v>0.014</v>
      </c>
      <c r="O124" s="148" t="n">
        <f aca="false">N124+Inputs!$E$22</f>
        <v>0.014</v>
      </c>
      <c r="P124" s="151" t="n">
        <f aca="false">O124</f>
        <v>0.014</v>
      </c>
      <c r="Q124" s="147" t="n">
        <f aca="false">VLOOKUP($A124,[1]!CurveTable,MATCH($Q$4,[1]!CurveType,0))</f>
        <v>0.0075</v>
      </c>
      <c r="R124" s="148" t="n">
        <v>0</v>
      </c>
      <c r="S124" s="151" t="n">
        <f aca="false">R124</f>
        <v>0</v>
      </c>
      <c r="T124" s="152"/>
      <c r="U124" s="153" t="n">
        <f aca="false">G124+J124</f>
        <v>5.1795</v>
      </c>
      <c r="V124" s="154"/>
      <c r="W124" s="155" t="n">
        <f aca="false">VLOOKUP($A124,[1]!CurveTable,MATCH($W$4,[1]!CurveType,0))+$W$9</f>
        <v>0.17</v>
      </c>
      <c r="X124" s="155" t="n">
        <f aca="false">VLOOKUP($A124,[1]!CurveTable,MATCH($X$4,[1]!CurveType,0))+$X$9</f>
        <v>0.175</v>
      </c>
      <c r="Y124" s="139" t="n">
        <f aca="false">SQRT((X124^2*($A124-$C$3)+W124^2*(DAY(EOMONTH(A124,0))/2))/$AN124)</f>
        <v>0.174079373002306</v>
      </c>
      <c r="Z124" s="152"/>
      <c r="AA124" s="153" t="n">
        <f aca="false">G124+P124+S124</f>
        <v>4.9335</v>
      </c>
      <c r="AB124" s="154"/>
      <c r="AC124" s="155" t="n">
        <f aca="false">VLOOKUP($A124,[1]!CurveTable,MATCH($AC$4,[1]!CurveType,0))+$AC$9</f>
        <v>0.17</v>
      </c>
      <c r="AD124" s="155" t="n">
        <f aca="false">VLOOKUP($A124,[1]!CurveTable,MATCH($AD$4,[1]!CurveType,0))+$AD$9</f>
        <v>0.175</v>
      </c>
      <c r="AE124" s="139" t="n">
        <f aca="false">SQRT((AD124^2*($A124-$C$3)+AC124^2*(DAY(EOMONTH(A124,0))/2))/$AN124)</f>
        <v>0.174079373002306</v>
      </c>
      <c r="AF124" s="152"/>
      <c r="AG124" s="156" t="n">
        <f aca="false">((Inputs!$F$20*(X124*AD124)*(A124-$C$3))+(Inputs!$F$19*W124*AC124*(DAY(EOMONTH(A124,0))/2)))/(AN124*Y124*AE124)</f>
        <v>0.75</v>
      </c>
      <c r="AH124" s="152"/>
      <c r="AI124" s="140" t="n">
        <f aca="false">Inputs!$B$15</f>
        <v>0.06</v>
      </c>
      <c r="AJ124" s="157"/>
      <c r="AK124" s="140" t="n">
        <f aca="false">IF((U124-AA124-AI124)&lt;0,0,(U124-AA124-AI124))</f>
        <v>0.186</v>
      </c>
      <c r="AL124" s="157"/>
      <c r="AM124" s="158" t="n">
        <f aca="false">WORKDAY(EOMONTH(A124-1,-1),0)</f>
        <v>41578</v>
      </c>
      <c r="AN124" s="159" t="n">
        <f aca="false">AM124-$C$3</f>
        <v>-4348</v>
      </c>
      <c r="AO124" s="159" t="n">
        <f aca="false">AO123</f>
        <v>1</v>
      </c>
      <c r="AP124" s="160"/>
      <c r="AQ124" s="161" t="e">
        <f aca="false">SPRDOPT(U124,AA124,AI124,AX124,X124,AD124,AG124,AN124,AO124,0)</f>
        <v>#NAME?</v>
      </c>
      <c r="AR124" s="162" t="e">
        <f aca="false">AQ124*C124</f>
        <v>#NAME?</v>
      </c>
      <c r="AS124" s="163" t="e">
        <f aca="false">AQ124-AK124</f>
        <v>#NAME?</v>
      </c>
      <c r="AU124" s="112" t="n">
        <f aca="false">A125-A124</f>
        <v>31</v>
      </c>
      <c r="AV124" s="164" t="n">
        <f aca="false">CHOOSE(F$3,A125+24,A124+14)</f>
        <v>41623</v>
      </c>
      <c r="AW124" s="49" t="n">
        <f aca="false">AV124-C$3</f>
        <v>-4303</v>
      </c>
      <c r="AX124" s="155" t="n">
        <f aca="false">VLOOKUP($A124,[1]!CurveTable,MATCH(AX$4,[1]!CurveType,0))</f>
        <v>0.0563256323790253</v>
      </c>
      <c r="AY124" s="165" t="n">
        <f aca="false">1/(1+CHOOSE(F$3,(AX125+(Inputs!$B$14/10000))/2,(AX124+(Inputs!$B$14/10000))/2))^(2*AW124/365.25)</f>
        <v>1.92398488541374</v>
      </c>
      <c r="AZ124" s="49" t="n">
        <f aca="false">IF(AND(mthbeg&lt;=A124,mthend&gt;=A124),1,0)</f>
        <v>1</v>
      </c>
      <c r="BA124" s="111" t="n">
        <f aca="false">AU124*AZ124</f>
        <v>31</v>
      </c>
      <c r="BC124" s="142" t="n">
        <f aca="false">E124*$D124</f>
        <v>14506797.9363974</v>
      </c>
      <c r="BD124" s="142" t="n">
        <f aca="false">F124*$D124</f>
        <v>14670817.647879</v>
      </c>
      <c r="BE124" s="142" t="n">
        <f aca="false">G124*$D124</f>
        <v>14670817.647879</v>
      </c>
      <c r="BF124" s="142" t="n">
        <f aca="false">H124*$D124</f>
        <v>775365.908821736</v>
      </c>
      <c r="BG124" s="142" t="n">
        <f aca="false">I124*$D124</f>
        <v>775365.908821736</v>
      </c>
      <c r="BH124" s="142" t="n">
        <f aca="false">J124*$D124</f>
        <v>775365.908821736</v>
      </c>
      <c r="BI124" s="142" t="n">
        <f aca="false">K124*$D124</f>
        <v>0</v>
      </c>
      <c r="BJ124" s="142" t="n">
        <f aca="false">L124*$D124</f>
        <v>0</v>
      </c>
      <c r="BK124" s="142" t="n">
        <f aca="false">M124*$D124</f>
        <v>0</v>
      </c>
      <c r="BL124" s="142" t="n">
        <f aca="false">N124*$D124</f>
        <v>41750.4720134781</v>
      </c>
      <c r="BM124" s="142" t="n">
        <f aca="false">O124*$D124</f>
        <v>41750.4720134781</v>
      </c>
      <c r="BN124" s="142" t="n">
        <f aca="false">P124*$D124</f>
        <v>41750.4720134781</v>
      </c>
      <c r="BO124" s="142" t="n">
        <f aca="false">Q124*$D124</f>
        <v>22366.3242929347</v>
      </c>
      <c r="BP124" s="142" t="n">
        <f aca="false">R124*$D124</f>
        <v>0</v>
      </c>
      <c r="BQ124" s="142" t="n">
        <f aca="false">S124*$D124</f>
        <v>0</v>
      </c>
      <c r="BR124" s="142" t="n">
        <f aca="false">U124*$D124</f>
        <v>15446183.5567007</v>
      </c>
      <c r="BS124" s="142" t="n">
        <f aca="false">AA124*$D124</f>
        <v>14712568.1198924</v>
      </c>
      <c r="BT124" s="142" t="n">
        <f aca="false">AI124*$D124</f>
        <v>178930.594343477</v>
      </c>
      <c r="BU124" s="142" t="n">
        <f aca="false">AK124*D124</f>
        <v>554684.842464779</v>
      </c>
    </row>
    <row r="125" customFormat="false" ht="12.75" hidden="false" customHeight="false" outlineLevel="0" collapsed="false">
      <c r="A125" s="144" t="n">
        <f aca="false">EDATE(A124,1)</f>
        <v>41640</v>
      </c>
      <c r="B125" s="145" t="n">
        <f aca="false">Inputs!$B$8</f>
        <v>50000</v>
      </c>
      <c r="C125" s="146" t="n">
        <f aca="false">IF(AZ125=0,0,IF(AND(AZ125=1,$H$3=1),B125*AU125,IF($H$3=2,B125,"N/A")))</f>
        <v>1550000</v>
      </c>
      <c r="D125" s="146" t="n">
        <f aca="false">C125*AY125</f>
        <v>2970116.45520561</v>
      </c>
      <c r="E125" s="147" t="n">
        <f aca="false">VLOOKUP($A125,[1]!CurveTable,MATCH($E$4,[1]!CurveType,0))</f>
        <v>4.942</v>
      </c>
      <c r="F125" s="148" t="n">
        <f aca="false">E125-Inputs!$B$16</f>
        <v>4.997</v>
      </c>
      <c r="G125" s="149" t="n">
        <f aca="false">F125</f>
        <v>4.997</v>
      </c>
      <c r="H125" s="147" t="n">
        <f aca="false">VLOOKUP($A125,[1]!CurveTable,MATCH($H$4,[1]!CurveType,0))</f>
        <v>0.085</v>
      </c>
      <c r="I125" s="148" t="n">
        <f aca="false">H125+Inputs!$B$22</f>
        <v>0.085</v>
      </c>
      <c r="J125" s="150" t="n">
        <f aca="false">I125</f>
        <v>0.085</v>
      </c>
      <c r="K125" s="147" t="n">
        <f aca="false">VLOOKUP($A125,[1]!CurveTable,MATCH($K$4,[1]!CurveType,0))</f>
        <v>0</v>
      </c>
      <c r="L125" s="148" t="n">
        <v>0</v>
      </c>
      <c r="M125" s="151" t="n">
        <f aca="false">L125</f>
        <v>0</v>
      </c>
      <c r="N125" s="147" t="n">
        <f aca="false">VLOOKUP($A125,[1]!CurveTable,MATCH($N$4,[1]!CurveType,0))</f>
        <v>0.014</v>
      </c>
      <c r="O125" s="148" t="n">
        <f aca="false">N125+Inputs!$E$22</f>
        <v>0.014</v>
      </c>
      <c r="P125" s="151" t="n">
        <f aca="false">O125</f>
        <v>0.014</v>
      </c>
      <c r="Q125" s="147" t="n">
        <f aca="false">VLOOKUP($A125,[1]!CurveTable,MATCH($Q$4,[1]!CurveType,0))</f>
        <v>0.0075</v>
      </c>
      <c r="R125" s="148" t="n">
        <v>0</v>
      </c>
      <c r="S125" s="151" t="n">
        <f aca="false">R125</f>
        <v>0</v>
      </c>
      <c r="T125" s="152"/>
      <c r="U125" s="153" t="n">
        <f aca="false">G125+J125</f>
        <v>5.082</v>
      </c>
      <c r="V125" s="154"/>
      <c r="W125" s="155" t="n">
        <f aca="false">VLOOKUP($A125,[1]!CurveTable,MATCH($W$4,[1]!CurveType,0))+$W$9</f>
        <v>0.17</v>
      </c>
      <c r="X125" s="155" t="n">
        <f aca="false">VLOOKUP($A125,[1]!CurveTable,MATCH($X$4,[1]!CurveType,0))+$X$9</f>
        <v>0.175</v>
      </c>
      <c r="Y125" s="139" t="n">
        <f aca="false">SQRT((X125^2*($A125-$C$3)+W125^2*(DAY(EOMONTH(A125,0))/2))/$AN125)</f>
        <v>0.174052586645581</v>
      </c>
      <c r="Z125" s="152"/>
      <c r="AA125" s="153" t="n">
        <f aca="false">G125+P125+S125</f>
        <v>5.011</v>
      </c>
      <c r="AB125" s="154"/>
      <c r="AC125" s="155" t="n">
        <f aca="false">VLOOKUP($A125,[1]!CurveTable,MATCH($AC$4,[1]!CurveType,0))+$AC$9</f>
        <v>0.17</v>
      </c>
      <c r="AD125" s="155" t="n">
        <f aca="false">VLOOKUP($A125,[1]!CurveTable,MATCH($AD$4,[1]!CurveType,0))+$AD$9</f>
        <v>0.175</v>
      </c>
      <c r="AE125" s="139" t="n">
        <f aca="false">SQRT((AD125^2*($A125-$C$3)+AC125^2*(DAY(EOMONTH(A125,0))/2))/$AN125)</f>
        <v>0.174052586645581</v>
      </c>
      <c r="AF125" s="152"/>
      <c r="AG125" s="156" t="n">
        <f aca="false">((Inputs!$F$20*(X125*AD125)*(A125-$C$3))+(Inputs!$F$19*W125*AC125*(DAY(EOMONTH(A125,0))/2)))/(AN125*Y125*AE125)</f>
        <v>0.75</v>
      </c>
      <c r="AH125" s="152"/>
      <c r="AI125" s="140" t="n">
        <f aca="false">Inputs!$B$15</f>
        <v>0.06</v>
      </c>
      <c r="AJ125" s="157"/>
      <c r="AK125" s="140" t="n">
        <f aca="false">IF((U125-AA125-AI125)&lt;0,0,(U125-AA125-AI125))</f>
        <v>0.0109999999999997</v>
      </c>
      <c r="AL125" s="157"/>
      <c r="AM125" s="158" t="n">
        <f aca="false">WORKDAY(EOMONTH(A125-1,-1),0)</f>
        <v>41608</v>
      </c>
      <c r="AN125" s="159" t="n">
        <f aca="false">AM125-$C$3</f>
        <v>-4318</v>
      </c>
      <c r="AO125" s="159" t="n">
        <f aca="false">AO124</f>
        <v>1</v>
      </c>
      <c r="AP125" s="160"/>
      <c r="AQ125" s="161" t="e">
        <f aca="false">SPRDOPT(U125,AA125,AI125,AX125,X125,AD125,AG125,AN125,AO125,0)</f>
        <v>#NAME?</v>
      </c>
      <c r="AR125" s="162" t="e">
        <f aca="false">AQ125*C125</f>
        <v>#NAME?</v>
      </c>
      <c r="AS125" s="163" t="e">
        <f aca="false">AQ125-AK125</f>
        <v>#NAME?</v>
      </c>
      <c r="AU125" s="112" t="n">
        <f aca="false">A126-A125</f>
        <v>31</v>
      </c>
      <c r="AV125" s="164" t="n">
        <f aca="false">CHOOSE(F$3,A126+24,A125+14)</f>
        <v>41654</v>
      </c>
      <c r="AW125" s="49" t="n">
        <f aca="false">AV125-C$3</f>
        <v>-4272</v>
      </c>
      <c r="AX125" s="155" t="n">
        <f aca="false">VLOOKUP($A125,[1]!CurveTable,MATCH(AX$4,[1]!CurveType,0))</f>
        <v>0.0563838451058598</v>
      </c>
      <c r="AY125" s="165" t="n">
        <f aca="false">1/(1+CHOOSE(F$3,(AX126+(Inputs!$B$14/10000))/2,(AX125+(Inputs!$B$14/10000))/2))^(2*AW125/365.25)</f>
        <v>1.91620416464878</v>
      </c>
      <c r="AZ125" s="49" t="n">
        <f aca="false">IF(AND(mthbeg&lt;=A125,mthend&gt;=A125),1,0)</f>
        <v>1</v>
      </c>
      <c r="BA125" s="111" t="n">
        <f aca="false">AU125*AZ125</f>
        <v>31</v>
      </c>
      <c r="BC125" s="142" t="n">
        <f aca="false">E125*$D125</f>
        <v>14678315.5216261</v>
      </c>
      <c r="BD125" s="142" t="n">
        <f aca="false">F125*$D125</f>
        <v>14841671.9266624</v>
      </c>
      <c r="BE125" s="142" t="n">
        <f aca="false">G125*$D125</f>
        <v>14841671.9266624</v>
      </c>
      <c r="BF125" s="142" t="n">
        <f aca="false">H125*$D125</f>
        <v>252459.898692477</v>
      </c>
      <c r="BG125" s="142" t="n">
        <f aca="false">I125*$D125</f>
        <v>252459.898692477</v>
      </c>
      <c r="BH125" s="142" t="n">
        <f aca="false">J125*$D125</f>
        <v>252459.898692477</v>
      </c>
      <c r="BI125" s="142" t="n">
        <f aca="false">K125*$D125</f>
        <v>0</v>
      </c>
      <c r="BJ125" s="142" t="n">
        <f aca="false">L125*$D125</f>
        <v>0</v>
      </c>
      <c r="BK125" s="142" t="n">
        <f aca="false">M125*$D125</f>
        <v>0</v>
      </c>
      <c r="BL125" s="142" t="n">
        <f aca="false">N125*$D125</f>
        <v>41581.6303728785</v>
      </c>
      <c r="BM125" s="142" t="n">
        <f aca="false">O125*$D125</f>
        <v>41581.6303728785</v>
      </c>
      <c r="BN125" s="142" t="n">
        <f aca="false">P125*$D125</f>
        <v>41581.6303728785</v>
      </c>
      <c r="BO125" s="142" t="n">
        <f aca="false">Q125*$D125</f>
        <v>22275.8734140421</v>
      </c>
      <c r="BP125" s="142" t="n">
        <f aca="false">R125*$D125</f>
        <v>0</v>
      </c>
      <c r="BQ125" s="142" t="n">
        <f aca="false">S125*$D125</f>
        <v>0</v>
      </c>
      <c r="BR125" s="142" t="n">
        <f aca="false">U125*$D125</f>
        <v>15094131.8253549</v>
      </c>
      <c r="BS125" s="142" t="n">
        <f aca="false">AA125*$D125</f>
        <v>14883253.5570353</v>
      </c>
      <c r="BT125" s="142" t="n">
        <f aca="false">AI125*$D125</f>
        <v>178206.987312337</v>
      </c>
      <c r="BU125" s="142" t="n">
        <f aca="false">AK125*D125</f>
        <v>32671.2810072609</v>
      </c>
    </row>
    <row r="126" customFormat="false" ht="12.75" hidden="false" customHeight="false" outlineLevel="0" collapsed="false">
      <c r="A126" s="144" t="n">
        <f aca="false">EDATE(A125,1)</f>
        <v>41671</v>
      </c>
      <c r="B126" s="145" t="n">
        <f aca="false">Inputs!$B$8</f>
        <v>50000</v>
      </c>
      <c r="C126" s="146" t="n">
        <f aca="false">IF(AZ126=0,0,IF(AND(AZ126=1,$H$3=1),B126*AU126,IF($H$3=2,B126,"N/A")))</f>
        <v>1400000</v>
      </c>
      <c r="D126" s="146" t="n">
        <f aca="false">C126*AY126</f>
        <v>2671811.14590839</v>
      </c>
      <c r="E126" s="147" t="n">
        <f aca="false">VLOOKUP($A126,[1]!CurveTable,MATCH($E$4,[1]!CurveType,0))</f>
        <v>4.855</v>
      </c>
      <c r="F126" s="148" t="n">
        <f aca="false">E126-Inputs!$B$16</f>
        <v>4.91</v>
      </c>
      <c r="G126" s="149" t="n">
        <f aca="false">F126</f>
        <v>4.91</v>
      </c>
      <c r="H126" s="147" t="n">
        <f aca="false">VLOOKUP($A126,[1]!CurveTable,MATCH($H$4,[1]!CurveType,0))</f>
        <v>0.075</v>
      </c>
      <c r="I126" s="148" t="n">
        <f aca="false">H126+Inputs!$B$22</f>
        <v>0.075</v>
      </c>
      <c r="J126" s="150" t="n">
        <f aca="false">I126</f>
        <v>0.075</v>
      </c>
      <c r="K126" s="147" t="n">
        <f aca="false">VLOOKUP($A126,[1]!CurveTable,MATCH($K$4,[1]!CurveType,0))</f>
        <v>0</v>
      </c>
      <c r="L126" s="148" t="n">
        <v>0</v>
      </c>
      <c r="M126" s="151" t="n">
        <f aca="false">L126</f>
        <v>0</v>
      </c>
      <c r="N126" s="147" t="n">
        <f aca="false">VLOOKUP($A126,[1]!CurveTable,MATCH($N$4,[1]!CurveType,0))</f>
        <v>0.014</v>
      </c>
      <c r="O126" s="148" t="n">
        <f aca="false">N126+Inputs!$E$22</f>
        <v>0.014</v>
      </c>
      <c r="P126" s="151" t="n">
        <f aca="false">O126</f>
        <v>0.014</v>
      </c>
      <c r="Q126" s="147" t="n">
        <f aca="false">VLOOKUP($A126,[1]!CurveTable,MATCH($Q$4,[1]!CurveType,0))</f>
        <v>0.0075</v>
      </c>
      <c r="R126" s="148" t="n">
        <v>0</v>
      </c>
      <c r="S126" s="151" t="n">
        <f aca="false">R126</f>
        <v>0</v>
      </c>
      <c r="T126" s="152"/>
      <c r="U126" s="153" t="n">
        <f aca="false">G126+J126</f>
        <v>4.985</v>
      </c>
      <c r="V126" s="154"/>
      <c r="W126" s="155" t="n">
        <f aca="false">VLOOKUP($A126,[1]!CurveTable,MATCH($W$4,[1]!CurveType,0))+$W$9</f>
        <v>0.17</v>
      </c>
      <c r="X126" s="155" t="n">
        <f aca="false">VLOOKUP($A126,[1]!CurveTable,MATCH($X$4,[1]!CurveType,0))+$X$9</f>
        <v>0.175</v>
      </c>
      <c r="Y126" s="139" t="n">
        <f aca="false">SQRT((X126^2*($A126-$C$3)+W126^2*(DAY(EOMONTH(A126,0))/2))/$AN126)</f>
        <v>0.174074764281325</v>
      </c>
      <c r="Z126" s="152"/>
      <c r="AA126" s="153" t="n">
        <f aca="false">G126+P126+S126</f>
        <v>4.924</v>
      </c>
      <c r="AB126" s="154"/>
      <c r="AC126" s="155" t="n">
        <f aca="false">VLOOKUP($A126,[1]!CurveTable,MATCH($AC$4,[1]!CurveType,0))+$AC$9</f>
        <v>0.17</v>
      </c>
      <c r="AD126" s="155" t="n">
        <f aca="false">VLOOKUP($A126,[1]!CurveTable,MATCH($AD$4,[1]!CurveType,0))+$AD$9</f>
        <v>0.175</v>
      </c>
      <c r="AE126" s="139" t="n">
        <f aca="false">SQRT((AD126^2*($A126-$C$3)+AC126^2*(DAY(EOMONTH(A126,0))/2))/$AN126)</f>
        <v>0.174074764281325</v>
      </c>
      <c r="AF126" s="152"/>
      <c r="AG126" s="156" t="n">
        <f aca="false">((Inputs!$F$20*(X126*AD126)*(A126-$C$3))+(Inputs!$F$19*W126*AC126*(DAY(EOMONTH(A126,0))/2)))/(AN126*Y126*AE126)</f>
        <v>0.75</v>
      </c>
      <c r="AH126" s="152"/>
      <c r="AI126" s="140" t="n">
        <f aca="false">Inputs!$B$15</f>
        <v>0.06</v>
      </c>
      <c r="AJ126" s="157"/>
      <c r="AK126" s="140" t="n">
        <f aca="false">IF((U126-AA126-AI126)&lt;0,0,(U126-AA126-AI126))</f>
        <v>0.000999999999999945</v>
      </c>
      <c r="AL126" s="157"/>
      <c r="AM126" s="158" t="n">
        <f aca="false">WORKDAY(EOMONTH(A126-1,-1),0)</f>
        <v>41639</v>
      </c>
      <c r="AN126" s="159" t="n">
        <f aca="false">AM126-$C$3</f>
        <v>-4287</v>
      </c>
      <c r="AO126" s="159" t="n">
        <f aca="false">AO125</f>
        <v>1</v>
      </c>
      <c r="AP126" s="160"/>
      <c r="AQ126" s="161" t="e">
        <f aca="false">SPRDOPT(U126,AA126,AI126,AX126,X126,AD126,AG126,AN126,AO126,0)</f>
        <v>#NAME?</v>
      </c>
      <c r="AR126" s="162" t="e">
        <f aca="false">AQ126*C126</f>
        <v>#NAME?</v>
      </c>
      <c r="AS126" s="163" t="e">
        <f aca="false">AQ126-AK126</f>
        <v>#NAME?</v>
      </c>
      <c r="AU126" s="112" t="n">
        <f aca="false">A127-A126</f>
        <v>28</v>
      </c>
      <c r="AV126" s="164" t="n">
        <f aca="false">CHOOSE(F$3,A127+24,A126+14)</f>
        <v>41685</v>
      </c>
      <c r="AW126" s="49" t="n">
        <f aca="false">AV126-C$3</f>
        <v>-4241</v>
      </c>
      <c r="AX126" s="155" t="n">
        <f aca="false">VLOOKUP($A126,[1]!CurveTable,MATCH(AX$4,[1]!CurveType,0))</f>
        <v>0.0564420578338218</v>
      </c>
      <c r="AY126" s="165" t="n">
        <f aca="false">1/(1+CHOOSE(F$3,(AX127+(Inputs!$B$14/10000))/2,(AX126+(Inputs!$B$14/10000))/2))^(2*AW126/365.25)</f>
        <v>1.90843653279171</v>
      </c>
      <c r="AZ126" s="49" t="n">
        <f aca="false">IF(AND(mthbeg&lt;=A126,mthend&gt;=A126),1,0)</f>
        <v>1</v>
      </c>
      <c r="BA126" s="111" t="n">
        <f aca="false">AU126*AZ126</f>
        <v>28</v>
      </c>
      <c r="BC126" s="142" t="n">
        <f aca="false">E126*$D126</f>
        <v>12971643.1133852</v>
      </c>
      <c r="BD126" s="142" t="n">
        <f aca="false">F126*$D126</f>
        <v>13118592.7264102</v>
      </c>
      <c r="BE126" s="142" t="n">
        <f aca="false">G126*$D126</f>
        <v>13118592.7264102</v>
      </c>
      <c r="BF126" s="142" t="n">
        <f aca="false">H126*$D126</f>
        <v>200385.835943129</v>
      </c>
      <c r="BG126" s="142" t="n">
        <f aca="false">I126*$D126</f>
        <v>200385.835943129</v>
      </c>
      <c r="BH126" s="142" t="n">
        <f aca="false">J126*$D126</f>
        <v>200385.835943129</v>
      </c>
      <c r="BI126" s="142" t="n">
        <f aca="false">K126*$D126</f>
        <v>0</v>
      </c>
      <c r="BJ126" s="142" t="n">
        <f aca="false">L126*$D126</f>
        <v>0</v>
      </c>
      <c r="BK126" s="142" t="n">
        <f aca="false">M126*$D126</f>
        <v>0</v>
      </c>
      <c r="BL126" s="142" t="n">
        <f aca="false">N126*$D126</f>
        <v>37405.3560427174</v>
      </c>
      <c r="BM126" s="142" t="n">
        <f aca="false">O126*$D126</f>
        <v>37405.3560427174</v>
      </c>
      <c r="BN126" s="142" t="n">
        <f aca="false">P126*$D126</f>
        <v>37405.3560427174</v>
      </c>
      <c r="BO126" s="142" t="n">
        <f aca="false">Q126*$D126</f>
        <v>20038.5835943129</v>
      </c>
      <c r="BP126" s="142" t="n">
        <f aca="false">R126*$D126</f>
        <v>0</v>
      </c>
      <c r="BQ126" s="142" t="n">
        <f aca="false">S126*$D126</f>
        <v>0</v>
      </c>
      <c r="BR126" s="142" t="n">
        <f aca="false">U126*$D126</f>
        <v>13318978.5623533</v>
      </c>
      <c r="BS126" s="142" t="n">
        <f aca="false">AA126*$D126</f>
        <v>13155998.0824529</v>
      </c>
      <c r="BT126" s="142" t="n">
        <f aca="false">AI126*$D126</f>
        <v>160308.668754503</v>
      </c>
      <c r="BU126" s="142" t="n">
        <f aca="false">AK126*D126</f>
        <v>2671.81114590824</v>
      </c>
    </row>
    <row r="127" customFormat="false" ht="12.75" hidden="false" customHeight="false" outlineLevel="0" collapsed="false">
      <c r="A127" s="144" t="n">
        <f aca="false">EDATE(A126,1)</f>
        <v>41699</v>
      </c>
      <c r="B127" s="145" t="n">
        <f aca="false">Inputs!$B$8</f>
        <v>50000</v>
      </c>
      <c r="C127" s="146" t="n">
        <f aca="false">IF(AZ127=0,0,IF(AND(AZ127=1,$H$3=1),B127*AU127,IF($H$3=2,B127,"N/A")))</f>
        <v>1550000</v>
      </c>
      <c r="D127" s="146" t="n">
        <f aca="false">C127*AY127</f>
        <v>2947219.50412501</v>
      </c>
      <c r="E127" s="147" t="n">
        <f aca="false">VLOOKUP($A127,[1]!CurveTable,MATCH($E$4,[1]!CurveType,0))</f>
        <v>4.716</v>
      </c>
      <c r="F127" s="148" t="n">
        <f aca="false">E127-Inputs!$B$16</f>
        <v>4.771</v>
      </c>
      <c r="G127" s="149" t="n">
        <f aca="false">F127</f>
        <v>4.771</v>
      </c>
      <c r="H127" s="147" t="n">
        <f aca="false">VLOOKUP($A127,[1]!CurveTable,MATCH($H$4,[1]!CurveType,0))</f>
        <v>0.115</v>
      </c>
      <c r="I127" s="148" t="n">
        <f aca="false">H127+Inputs!$B$22</f>
        <v>0.115</v>
      </c>
      <c r="J127" s="150" t="n">
        <f aca="false">I127</f>
        <v>0.115</v>
      </c>
      <c r="K127" s="147" t="n">
        <f aca="false">VLOOKUP($A127,[1]!CurveTable,MATCH($K$4,[1]!CurveType,0))</f>
        <v>0</v>
      </c>
      <c r="L127" s="148" t="n">
        <v>0</v>
      </c>
      <c r="M127" s="151" t="n">
        <f aca="false">L127</f>
        <v>0</v>
      </c>
      <c r="N127" s="147" t="n">
        <f aca="false">VLOOKUP($A127,[1]!CurveTable,MATCH($N$4,[1]!CurveType,0))</f>
        <v>0.018</v>
      </c>
      <c r="O127" s="148" t="n">
        <f aca="false">N127+Inputs!$E$22</f>
        <v>0.018</v>
      </c>
      <c r="P127" s="151" t="n">
        <f aca="false">O127</f>
        <v>0.018</v>
      </c>
      <c r="Q127" s="147" t="n">
        <f aca="false">VLOOKUP($A127,[1]!CurveTable,MATCH($Q$4,[1]!CurveType,0))</f>
        <v>0.0075</v>
      </c>
      <c r="R127" s="148" t="n">
        <v>0</v>
      </c>
      <c r="S127" s="151" t="n">
        <f aca="false">R127</f>
        <v>0</v>
      </c>
      <c r="T127" s="152"/>
      <c r="U127" s="153" t="n">
        <f aca="false">G127+J127</f>
        <v>4.886</v>
      </c>
      <c r="V127" s="154"/>
      <c r="W127" s="155" t="n">
        <f aca="false">VLOOKUP($A127,[1]!CurveTable,MATCH($W$4,[1]!CurveType,0))+$W$9</f>
        <v>0.17</v>
      </c>
      <c r="X127" s="155" t="n">
        <f aca="false">VLOOKUP($A127,[1]!CurveTable,MATCH($X$4,[1]!CurveType,0))+$X$9</f>
        <v>0.175</v>
      </c>
      <c r="Y127" s="139" t="n">
        <f aca="false">SQRT((X127^2*($A127-$C$3)+W127^2*(DAY(EOMONTH(A127,0))/2))/$AN127)</f>
        <v>0.174100754172357</v>
      </c>
      <c r="Z127" s="152"/>
      <c r="AA127" s="153" t="n">
        <f aca="false">G127+P127+S127</f>
        <v>4.789</v>
      </c>
      <c r="AB127" s="154"/>
      <c r="AC127" s="155" t="n">
        <f aca="false">VLOOKUP($A127,[1]!CurveTable,MATCH($AC$4,[1]!CurveType,0))+$AC$9</f>
        <v>0.17</v>
      </c>
      <c r="AD127" s="155" t="n">
        <f aca="false">VLOOKUP($A127,[1]!CurveTable,MATCH($AD$4,[1]!CurveType,0))+$AD$9</f>
        <v>0.175</v>
      </c>
      <c r="AE127" s="139" t="n">
        <f aca="false">SQRT((AD127^2*($A127-$C$3)+AC127^2*(DAY(EOMONTH(A127,0))/2))/$AN127)</f>
        <v>0.174100754172357</v>
      </c>
      <c r="AF127" s="152"/>
      <c r="AG127" s="156" t="n">
        <f aca="false">((Inputs!$F$20*(X127*AD127)*(A127-$C$3))+(Inputs!$F$19*W127*AC127*(DAY(EOMONTH(A127,0))/2)))/(AN127*Y127*AE127)</f>
        <v>0.75</v>
      </c>
      <c r="AH127" s="152"/>
      <c r="AI127" s="140" t="n">
        <f aca="false">Inputs!$B$15</f>
        <v>0.06</v>
      </c>
      <c r="AJ127" s="157"/>
      <c r="AK127" s="140" t="n">
        <f aca="false">IF((U127-AA127-AI127)&lt;0,0,(U127-AA127-AI127))</f>
        <v>0.0370000000000004</v>
      </c>
      <c r="AL127" s="157"/>
      <c r="AM127" s="158" t="n">
        <f aca="false">WORKDAY(EOMONTH(A127-1,-1),0)</f>
        <v>41670</v>
      </c>
      <c r="AN127" s="159" t="n">
        <f aca="false">AM127-$C$3</f>
        <v>-4256</v>
      </c>
      <c r="AO127" s="159" t="n">
        <f aca="false">AO126</f>
        <v>1</v>
      </c>
      <c r="AP127" s="160"/>
      <c r="AQ127" s="161" t="e">
        <f aca="false">SPRDOPT(U127,AA127,AI127,AX127,X127,AD127,AG127,AN127,AO127,0)</f>
        <v>#NAME?</v>
      </c>
      <c r="AR127" s="162" t="e">
        <f aca="false">AQ127*C127</f>
        <v>#NAME?</v>
      </c>
      <c r="AS127" s="163" t="e">
        <f aca="false">AQ127-AK127</f>
        <v>#NAME?</v>
      </c>
      <c r="AU127" s="112" t="n">
        <f aca="false">A128-A127</f>
        <v>31</v>
      </c>
      <c r="AV127" s="164" t="n">
        <f aca="false">CHOOSE(F$3,A128+24,A127+14)</f>
        <v>41713</v>
      </c>
      <c r="AW127" s="49" t="n">
        <f aca="false">AV127-C$3</f>
        <v>-4213</v>
      </c>
      <c r="AX127" s="155" t="n">
        <f aca="false">VLOOKUP($A127,[1]!CurveTable,MATCH(AX$4,[1]!CurveType,0))</f>
        <v>0.0564946370729511</v>
      </c>
      <c r="AY127" s="165" t="n">
        <f aca="false">1/(1+CHOOSE(F$3,(AX128+(Inputs!$B$14/10000))/2,(AX127+(Inputs!$B$14/10000))/2))^(2*AW127/365.25)</f>
        <v>1.90143193814517</v>
      </c>
      <c r="AZ127" s="49" t="n">
        <f aca="false">IF(AND(mthbeg&lt;=A127,mthend&gt;=A127),1,0)</f>
        <v>1</v>
      </c>
      <c r="BA127" s="111" t="n">
        <f aca="false">AU127*AZ127</f>
        <v>31</v>
      </c>
      <c r="BC127" s="142" t="n">
        <f aca="false">E127*$D127</f>
        <v>13899087.1814536</v>
      </c>
      <c r="BD127" s="142" t="n">
        <f aca="false">F127*$D127</f>
        <v>14061184.2541804</v>
      </c>
      <c r="BE127" s="142" t="n">
        <f aca="false">G127*$D127</f>
        <v>14061184.2541804</v>
      </c>
      <c r="BF127" s="142" t="n">
        <f aca="false">H127*$D127</f>
        <v>338930.242974377</v>
      </c>
      <c r="BG127" s="142" t="n">
        <f aca="false">I127*$D127</f>
        <v>338930.242974377</v>
      </c>
      <c r="BH127" s="142" t="n">
        <f aca="false">J127*$D127</f>
        <v>338930.242974377</v>
      </c>
      <c r="BI127" s="142" t="n">
        <f aca="false">K127*$D127</f>
        <v>0</v>
      </c>
      <c r="BJ127" s="142" t="n">
        <f aca="false">L127*$D127</f>
        <v>0</v>
      </c>
      <c r="BK127" s="142" t="n">
        <f aca="false">M127*$D127</f>
        <v>0</v>
      </c>
      <c r="BL127" s="142" t="n">
        <f aca="false">N127*$D127</f>
        <v>53049.9510742502</v>
      </c>
      <c r="BM127" s="142" t="n">
        <f aca="false">O127*$D127</f>
        <v>53049.9510742502</v>
      </c>
      <c r="BN127" s="142" t="n">
        <f aca="false">P127*$D127</f>
        <v>53049.9510742502</v>
      </c>
      <c r="BO127" s="142" t="n">
        <f aca="false">Q127*$D127</f>
        <v>22104.1462809376</v>
      </c>
      <c r="BP127" s="142" t="n">
        <f aca="false">R127*$D127</f>
        <v>0</v>
      </c>
      <c r="BQ127" s="142" t="n">
        <f aca="false">S127*$D127</f>
        <v>0</v>
      </c>
      <c r="BR127" s="142" t="n">
        <f aca="false">U127*$D127</f>
        <v>14400114.4971548</v>
      </c>
      <c r="BS127" s="142" t="n">
        <f aca="false">AA127*$D127</f>
        <v>14114234.2052547</v>
      </c>
      <c r="BT127" s="142" t="n">
        <f aca="false">AI127*$D127</f>
        <v>176833.170247501</v>
      </c>
      <c r="BU127" s="142" t="n">
        <f aca="false">AK127*D127</f>
        <v>109047.121652627</v>
      </c>
    </row>
    <row r="128" customFormat="false" ht="12.75" hidden="false" customHeight="false" outlineLevel="0" collapsed="false">
      <c r="A128" s="144" t="n">
        <f aca="false">EDATE(A127,1)</f>
        <v>41730</v>
      </c>
      <c r="B128" s="145" t="n">
        <f aca="false">Inputs!$B$8</f>
        <v>50000</v>
      </c>
      <c r="C128" s="146" t="n">
        <f aca="false">IF(AZ128=0,0,IF(AND(AZ128=1,$H$3=1),B128*AU128,IF($H$3=2,B128,"N/A")))</f>
        <v>1500000</v>
      </c>
      <c r="D128" s="146" t="n">
        <f aca="false">C128*AY128</f>
        <v>2840534.22718713</v>
      </c>
      <c r="E128" s="147" t="n">
        <f aca="false">VLOOKUP($A128,[1]!CurveTable,MATCH($E$4,[1]!CurveType,0))</f>
        <v>4.562</v>
      </c>
      <c r="F128" s="148" t="n">
        <f aca="false">E128-Inputs!$B$16</f>
        <v>4.617</v>
      </c>
      <c r="G128" s="149" t="n">
        <f aca="false">F128</f>
        <v>4.617</v>
      </c>
      <c r="H128" s="147" t="n">
        <f aca="false">VLOOKUP($A128,[1]!CurveTable,MATCH($H$4,[1]!CurveType,0))</f>
        <v>0.55</v>
      </c>
      <c r="I128" s="148" t="n">
        <f aca="false">H128+Inputs!$B$22</f>
        <v>0.55</v>
      </c>
      <c r="J128" s="150" t="n">
        <f aca="false">I128</f>
        <v>0.55</v>
      </c>
      <c r="K128" s="147" t="n">
        <f aca="false">VLOOKUP($A128,[1]!CurveTable,MATCH($K$4,[1]!CurveType,0))</f>
        <v>0</v>
      </c>
      <c r="L128" s="148" t="n">
        <v>0</v>
      </c>
      <c r="M128" s="151" t="n">
        <f aca="false">L128</f>
        <v>0</v>
      </c>
      <c r="N128" s="147" t="n">
        <f aca="false">VLOOKUP($A128,[1]!CurveTable,MATCH($N$4,[1]!CurveType,0))</f>
        <v>0.018</v>
      </c>
      <c r="O128" s="148" t="n">
        <f aca="false">N128+Inputs!$E$22</f>
        <v>0.018</v>
      </c>
      <c r="P128" s="151" t="n">
        <f aca="false">O128</f>
        <v>0.018</v>
      </c>
      <c r="Q128" s="147" t="n">
        <f aca="false">VLOOKUP($A128,[1]!CurveTable,MATCH($Q$4,[1]!CurveType,0))</f>
        <v>0.01</v>
      </c>
      <c r="R128" s="148" t="n">
        <v>0</v>
      </c>
      <c r="S128" s="151" t="n">
        <f aca="false">R128</f>
        <v>0</v>
      </c>
      <c r="T128" s="152"/>
      <c r="U128" s="153" t="n">
        <f aca="false">G128+J128</f>
        <v>5.167</v>
      </c>
      <c r="V128" s="154"/>
      <c r="W128" s="155" t="n">
        <f aca="false">VLOOKUP($A128,[1]!CurveTable,MATCH($W$4,[1]!CurveType,0))+$W$9</f>
        <v>0.17</v>
      </c>
      <c r="X128" s="155" t="n">
        <f aca="false">VLOOKUP($A128,[1]!CurveTable,MATCH($X$4,[1]!CurveType,0))+$X$9</f>
        <v>0.175</v>
      </c>
      <c r="Y128" s="139" t="n">
        <f aca="false">SQRT((X128^2*($A128-$C$3)+W128^2*(DAY(EOMONTH(A128,0))/2))/$AN128)</f>
        <v>0.174042182166082</v>
      </c>
      <c r="Z128" s="152"/>
      <c r="AA128" s="153" t="n">
        <f aca="false">G128+P128+S128</f>
        <v>4.635</v>
      </c>
      <c r="AB128" s="154"/>
      <c r="AC128" s="155" t="n">
        <f aca="false">VLOOKUP($A128,[1]!CurveTable,MATCH($AC$4,[1]!CurveType,0))+$AC$9</f>
        <v>0.17</v>
      </c>
      <c r="AD128" s="155" t="n">
        <f aca="false">VLOOKUP($A128,[1]!CurveTable,MATCH($AD$4,[1]!CurveType,0))+$AD$9</f>
        <v>0.175</v>
      </c>
      <c r="AE128" s="139" t="n">
        <f aca="false">SQRT((AD128^2*($A128-$C$3)+AC128^2*(DAY(EOMONTH(A128,0))/2))/$AN128)</f>
        <v>0.174042182166082</v>
      </c>
      <c r="AF128" s="152"/>
      <c r="AG128" s="156" t="n">
        <f aca="false">((Inputs!$F$20*(X128*AD128)*(A128-$C$3))+(Inputs!$F$19*W128*AC128*(DAY(EOMONTH(A128,0))/2)))/(AN128*Y128*AE128)</f>
        <v>0.75</v>
      </c>
      <c r="AH128" s="152"/>
      <c r="AI128" s="140" t="n">
        <f aca="false">Inputs!$B$15</f>
        <v>0.06</v>
      </c>
      <c r="AJ128" s="157"/>
      <c r="AK128" s="140" t="n">
        <f aca="false">IF((U128-AA128-AI128)&lt;0,0,(U128-AA128-AI128))</f>
        <v>0.472</v>
      </c>
      <c r="AL128" s="157"/>
      <c r="AM128" s="158" t="n">
        <f aca="false">WORKDAY(EOMONTH(A128-1,-1),0)</f>
        <v>41698</v>
      </c>
      <c r="AN128" s="159" t="n">
        <f aca="false">AM128-$C$3</f>
        <v>-4228</v>
      </c>
      <c r="AO128" s="159" t="n">
        <f aca="false">AO127</f>
        <v>1</v>
      </c>
      <c r="AP128" s="160"/>
      <c r="AQ128" s="161" t="e">
        <f aca="false">SPRDOPT(U128,AA128,AI128,AX128,X128,AD128,AG128,AN128,AO128,0)</f>
        <v>#NAME?</v>
      </c>
      <c r="AR128" s="162" t="e">
        <f aca="false">AQ128*C128</f>
        <v>#NAME?</v>
      </c>
      <c r="AS128" s="163" t="e">
        <f aca="false">AQ128-AK128</f>
        <v>#NAME?</v>
      </c>
      <c r="AU128" s="112" t="n">
        <f aca="false">A129-A128</f>
        <v>30</v>
      </c>
      <c r="AV128" s="164" t="n">
        <f aca="false">CHOOSE(F$3,A129+24,A128+14)</f>
        <v>41744</v>
      </c>
      <c r="AW128" s="49" t="n">
        <f aca="false">AV128-C$3</f>
        <v>-4182</v>
      </c>
      <c r="AX128" s="155" t="n">
        <f aca="false">VLOOKUP($A128,[1]!CurveTable,MATCH(AX$4,[1]!CurveType,0))</f>
        <v>0.0565528498030603</v>
      </c>
      <c r="AY128" s="165" t="n">
        <f aca="false">1/(1+CHOOSE(F$3,(AX129+(Inputs!$B$14/10000))/2,(AX128+(Inputs!$B$14/10000))/2))^(2*AW128/365.25)</f>
        <v>1.89368948479142</v>
      </c>
      <c r="AZ128" s="49" t="n">
        <f aca="false">IF(AND(mthbeg&lt;=A128,mthend&gt;=A128),1,0)</f>
        <v>1</v>
      </c>
      <c r="BA128" s="111" t="n">
        <f aca="false">AU128*AZ128</f>
        <v>30</v>
      </c>
      <c r="BC128" s="142" t="n">
        <f aca="false">E128*$D128</f>
        <v>12958517.1444277</v>
      </c>
      <c r="BD128" s="142" t="n">
        <f aca="false">F128*$D128</f>
        <v>13114746.526923</v>
      </c>
      <c r="BE128" s="142" t="n">
        <f aca="false">G128*$D128</f>
        <v>13114746.526923</v>
      </c>
      <c r="BF128" s="142" t="n">
        <f aca="false">H128*$D128</f>
        <v>1562293.82495292</v>
      </c>
      <c r="BG128" s="142" t="n">
        <f aca="false">I128*$D128</f>
        <v>1562293.82495292</v>
      </c>
      <c r="BH128" s="142" t="n">
        <f aca="false">J128*$D128</f>
        <v>1562293.82495292</v>
      </c>
      <c r="BI128" s="142" t="n">
        <f aca="false">K128*$D128</f>
        <v>0</v>
      </c>
      <c r="BJ128" s="142" t="n">
        <f aca="false">L128*$D128</f>
        <v>0</v>
      </c>
      <c r="BK128" s="142" t="n">
        <f aca="false">M128*$D128</f>
        <v>0</v>
      </c>
      <c r="BL128" s="142" t="n">
        <f aca="false">N128*$D128</f>
        <v>51129.6160893683</v>
      </c>
      <c r="BM128" s="142" t="n">
        <f aca="false">O128*$D128</f>
        <v>51129.6160893683</v>
      </c>
      <c r="BN128" s="142" t="n">
        <f aca="false">P128*$D128</f>
        <v>51129.6160893683</v>
      </c>
      <c r="BO128" s="142" t="n">
        <f aca="false">Q128*$D128</f>
        <v>28405.3422718713</v>
      </c>
      <c r="BP128" s="142" t="n">
        <f aca="false">R128*$D128</f>
        <v>0</v>
      </c>
      <c r="BQ128" s="142" t="n">
        <f aca="false">S128*$D128</f>
        <v>0</v>
      </c>
      <c r="BR128" s="142" t="n">
        <f aca="false">U128*$D128</f>
        <v>14677040.3518759</v>
      </c>
      <c r="BS128" s="142" t="n">
        <f aca="false">AA128*$D128</f>
        <v>13165876.1430123</v>
      </c>
      <c r="BT128" s="142" t="n">
        <f aca="false">AI128*$D128</f>
        <v>170432.053631228</v>
      </c>
      <c r="BU128" s="142" t="n">
        <f aca="false">AK128*D128</f>
        <v>1340732.15523232</v>
      </c>
    </row>
    <row r="129" customFormat="false" ht="12.75" hidden="false" customHeight="false" outlineLevel="0" collapsed="false">
      <c r="A129" s="144" t="n">
        <f aca="false">EDATE(A128,1)</f>
        <v>41760</v>
      </c>
      <c r="B129" s="145" t="n">
        <f aca="false">Inputs!$B$8</f>
        <v>50000</v>
      </c>
      <c r="C129" s="146" t="n">
        <f aca="false">IF(AZ129=0,0,IF(AND(AZ129=1,$H$3=1),B129*AU129,IF($H$3=2,B129,"N/A")))</f>
        <v>1550000</v>
      </c>
      <c r="D129" s="146" t="n">
        <f aca="false">C129*AY129</f>
        <v>2923624.74902859</v>
      </c>
      <c r="E129" s="147" t="n">
        <f aca="false">VLOOKUP($A129,[1]!CurveTable,MATCH($E$4,[1]!CurveType,0))</f>
        <v>4.567</v>
      </c>
      <c r="F129" s="148" t="n">
        <f aca="false">E129-Inputs!$B$16</f>
        <v>4.622</v>
      </c>
      <c r="G129" s="149" t="n">
        <f aca="false">F129</f>
        <v>4.622</v>
      </c>
      <c r="H129" s="147" t="n">
        <f aca="false">VLOOKUP($A129,[1]!CurveTable,MATCH($H$4,[1]!CurveType,0))</f>
        <v>0.7</v>
      </c>
      <c r="I129" s="148" t="n">
        <f aca="false">H129+Inputs!$B$22</f>
        <v>0.7</v>
      </c>
      <c r="J129" s="150" t="n">
        <f aca="false">I129</f>
        <v>0.7</v>
      </c>
      <c r="K129" s="147" t="n">
        <f aca="false">VLOOKUP($A129,[1]!CurveTable,MATCH($K$4,[1]!CurveType,0))</f>
        <v>0</v>
      </c>
      <c r="L129" s="148" t="n">
        <v>0</v>
      </c>
      <c r="M129" s="151" t="n">
        <f aca="false">L129</f>
        <v>0</v>
      </c>
      <c r="N129" s="147" t="n">
        <f aca="false">VLOOKUP($A129,[1]!CurveTable,MATCH($N$4,[1]!CurveType,0))</f>
        <v>0.0205</v>
      </c>
      <c r="O129" s="148" t="n">
        <f aca="false">N129+Inputs!$E$22</f>
        <v>0.0205</v>
      </c>
      <c r="P129" s="151" t="n">
        <f aca="false">O129</f>
        <v>0.0205</v>
      </c>
      <c r="Q129" s="147" t="n">
        <f aca="false">VLOOKUP($A129,[1]!CurveTable,MATCH($Q$4,[1]!CurveType,0))</f>
        <v>0.01</v>
      </c>
      <c r="R129" s="148" t="n">
        <v>0</v>
      </c>
      <c r="S129" s="151" t="n">
        <f aca="false">R129</f>
        <v>0</v>
      </c>
      <c r="T129" s="152"/>
      <c r="U129" s="153" t="n">
        <f aca="false">G129+J129</f>
        <v>5.322</v>
      </c>
      <c r="V129" s="154"/>
      <c r="W129" s="155" t="n">
        <f aca="false">VLOOKUP($A129,[1]!CurveTable,MATCH($W$4,[1]!CurveType,0))+$W$9</f>
        <v>0.34</v>
      </c>
      <c r="X129" s="155" t="n">
        <f aca="false">VLOOKUP($A129,[1]!CurveTable,MATCH($X$4,[1]!CurveType,0))+$X$9</f>
        <v>0.345</v>
      </c>
      <c r="Y129" s="139" t="n">
        <f aca="false">SQRT((X129^2*($A129-$C$3)+W129^2*(DAY(EOMONTH(A129,0))/2))/$AN129)</f>
        <v>0.343101923906337</v>
      </c>
      <c r="Z129" s="152"/>
      <c r="AA129" s="153" t="n">
        <f aca="false">G129+P129+S129</f>
        <v>4.6425</v>
      </c>
      <c r="AB129" s="154"/>
      <c r="AC129" s="155" t="n">
        <f aca="false">VLOOKUP($A129,[1]!CurveTable,MATCH($AC$4,[1]!CurveType,0))+$AC$9</f>
        <v>0.17</v>
      </c>
      <c r="AD129" s="155" t="n">
        <f aca="false">VLOOKUP($A129,[1]!CurveTable,MATCH($AD$4,[1]!CurveType,0))+$AD$9</f>
        <v>0.175</v>
      </c>
      <c r="AE129" s="139" t="n">
        <f aca="false">SQRT((AD129^2*($A129-$C$3)+AC129^2*(DAY(EOMONTH(A129,0))/2))/$AN129)</f>
        <v>0.174046159857832</v>
      </c>
      <c r="AF129" s="152"/>
      <c r="AG129" s="156" t="n">
        <f aca="false">((Inputs!$F$20*(X129*AD129)*(A129-$C$3))+(Inputs!$F$19*W129*AC129*(DAY(EOMONTH(A129,0))/2)))/(AN129*Y129*AE129)</f>
        <v>0.750000278526721</v>
      </c>
      <c r="AH129" s="152"/>
      <c r="AI129" s="140" t="n">
        <f aca="false">Inputs!$B$15</f>
        <v>0.06</v>
      </c>
      <c r="AJ129" s="157"/>
      <c r="AK129" s="140" t="n">
        <f aca="false">IF((U129-AA129-AI129)&lt;0,0,(U129-AA129-AI129))</f>
        <v>0.6195</v>
      </c>
      <c r="AL129" s="157"/>
      <c r="AM129" s="158" t="n">
        <f aca="false">WORKDAY(EOMONTH(A129-1,-1),0)</f>
        <v>41729</v>
      </c>
      <c r="AN129" s="159" t="n">
        <f aca="false">AM129-$C$3</f>
        <v>-4197</v>
      </c>
      <c r="AO129" s="159" t="n">
        <f aca="false">AO128</f>
        <v>1</v>
      </c>
      <c r="AP129" s="160"/>
      <c r="AQ129" s="161" t="e">
        <f aca="false">SPRDOPT(U129,AA129,AI129,AX129,X129,AD129,AG129,AN129,AO129,0)</f>
        <v>#NAME?</v>
      </c>
      <c r="AR129" s="162" t="e">
        <f aca="false">AQ129*C129</f>
        <v>#NAME?</v>
      </c>
      <c r="AS129" s="163" t="e">
        <f aca="false">AQ129-AK129</f>
        <v>#NAME?</v>
      </c>
      <c r="AU129" s="112" t="n">
        <f aca="false">A130-A129</f>
        <v>31</v>
      </c>
      <c r="AV129" s="164" t="n">
        <f aca="false">CHOOSE(F$3,A130+24,A129+14)</f>
        <v>41774</v>
      </c>
      <c r="AW129" s="49" t="n">
        <f aca="false">AV129-C$3</f>
        <v>-4152</v>
      </c>
      <c r="AX129" s="155" t="n">
        <f aca="false">VLOOKUP($A129,[1]!CurveTable,MATCH(AX$4,[1]!CurveType,0))</f>
        <v>0.0566091847042398</v>
      </c>
      <c r="AY129" s="165" t="n">
        <f aca="false">1/(1+CHOOSE(F$3,(AX130+(Inputs!$B$14/10000))/2,(AX129+(Inputs!$B$14/10000))/2))^(2*AW129/365.25)</f>
        <v>1.88620951550232</v>
      </c>
      <c r="AZ129" s="49" t="n">
        <f aca="false">IF(AND(mthbeg&lt;=A129,mthend&gt;=A129),1,0)</f>
        <v>1</v>
      </c>
      <c r="BA129" s="111" t="n">
        <f aca="false">AU129*AZ129</f>
        <v>31</v>
      </c>
      <c r="BC129" s="142" t="n">
        <f aca="false">E129*$D129</f>
        <v>13352194.2288136</v>
      </c>
      <c r="BD129" s="142" t="n">
        <f aca="false">F129*$D129</f>
        <v>13512993.5900102</v>
      </c>
      <c r="BE129" s="142" t="n">
        <f aca="false">G129*$D129</f>
        <v>13512993.5900102</v>
      </c>
      <c r="BF129" s="142" t="n">
        <f aca="false">H129*$D129</f>
        <v>2046537.32432001</v>
      </c>
      <c r="BG129" s="142" t="n">
        <f aca="false">I129*$D129</f>
        <v>2046537.32432001</v>
      </c>
      <c r="BH129" s="142" t="n">
        <f aca="false">J129*$D129</f>
        <v>2046537.32432001</v>
      </c>
      <c r="BI129" s="142" t="n">
        <f aca="false">K129*$D129</f>
        <v>0</v>
      </c>
      <c r="BJ129" s="142" t="n">
        <f aca="false">L129*$D129</f>
        <v>0</v>
      </c>
      <c r="BK129" s="142" t="n">
        <f aca="false">M129*$D129</f>
        <v>0</v>
      </c>
      <c r="BL129" s="142" t="n">
        <f aca="false">N129*$D129</f>
        <v>59934.3073550861</v>
      </c>
      <c r="BM129" s="142" t="n">
        <f aca="false">O129*$D129</f>
        <v>59934.3073550861</v>
      </c>
      <c r="BN129" s="142" t="n">
        <f aca="false">P129*$D129</f>
        <v>59934.3073550861</v>
      </c>
      <c r="BO129" s="142" t="n">
        <f aca="false">Q129*$D129</f>
        <v>29236.2474902859</v>
      </c>
      <c r="BP129" s="142" t="n">
        <f aca="false">R129*$D129</f>
        <v>0</v>
      </c>
      <c r="BQ129" s="142" t="n">
        <f aca="false">S129*$D129</f>
        <v>0</v>
      </c>
      <c r="BR129" s="142" t="n">
        <f aca="false">U129*$D129</f>
        <v>15559530.9143302</v>
      </c>
      <c r="BS129" s="142" t="n">
        <f aca="false">AA129*$D129</f>
        <v>13572927.8973652</v>
      </c>
      <c r="BT129" s="142" t="n">
        <f aca="false">AI129*$D129</f>
        <v>175417.484941716</v>
      </c>
      <c r="BU129" s="142" t="n">
        <f aca="false">AK129*D129</f>
        <v>1811185.53202321</v>
      </c>
    </row>
    <row r="130" customFormat="false" ht="12.75" hidden="false" customHeight="false" outlineLevel="0" collapsed="false">
      <c r="A130" s="144" t="n">
        <f aca="false">EDATE(A129,1)</f>
        <v>41791</v>
      </c>
      <c r="B130" s="145" t="n">
        <f aca="false">Inputs!$B$8</f>
        <v>50000</v>
      </c>
      <c r="C130" s="146" t="n">
        <f aca="false">IF(AZ130=0,0,IF(AND(AZ130=1,$H$3=1),B130*AU130,IF($H$3=2,B130,"N/A")))</f>
        <v>0</v>
      </c>
      <c r="D130" s="146" t="n">
        <f aca="false">C130*AY130</f>
        <v>0</v>
      </c>
      <c r="E130" s="147" t="n">
        <f aca="false">VLOOKUP($A130,[1]!CurveTable,MATCH($E$4,[1]!CurveType,0))</f>
        <v>4.605</v>
      </c>
      <c r="F130" s="148" t="n">
        <f aca="false">E130-Inputs!$B$16</f>
        <v>4.66</v>
      </c>
      <c r="G130" s="149" t="n">
        <f aca="false">F130</f>
        <v>4.66</v>
      </c>
      <c r="H130" s="147" t="n">
        <f aca="false">VLOOKUP($A130,[1]!CurveTable,MATCH($H$4,[1]!CurveType,0))</f>
        <v>0.8</v>
      </c>
      <c r="I130" s="148" t="n">
        <f aca="false">H130+Inputs!$B$22</f>
        <v>0.8</v>
      </c>
      <c r="J130" s="150" t="n">
        <f aca="false">I130</f>
        <v>0.8</v>
      </c>
      <c r="K130" s="147" t="n">
        <f aca="false">VLOOKUP($A130,[1]!CurveTable,MATCH($K$4,[1]!CurveType,0))</f>
        <v>0</v>
      </c>
      <c r="L130" s="148" t="n">
        <v>0</v>
      </c>
      <c r="M130" s="151" t="n">
        <f aca="false">L130</f>
        <v>0</v>
      </c>
      <c r="N130" s="147" t="n">
        <f aca="false">VLOOKUP($A130,[1]!CurveTable,MATCH($N$4,[1]!CurveType,0))</f>
        <v>0.018</v>
      </c>
      <c r="O130" s="148" t="n">
        <f aca="false">N130+Inputs!$E$22</f>
        <v>0.018</v>
      </c>
      <c r="P130" s="151" t="n">
        <f aca="false">O130</f>
        <v>0.018</v>
      </c>
      <c r="Q130" s="147" t="n">
        <f aca="false">VLOOKUP($A130,[1]!CurveTable,MATCH($Q$4,[1]!CurveType,0))</f>
        <v>0.01</v>
      </c>
      <c r="R130" s="148" t="n">
        <v>0</v>
      </c>
      <c r="S130" s="151" t="n">
        <f aca="false">R130</f>
        <v>0</v>
      </c>
      <c r="T130" s="152"/>
      <c r="U130" s="153" t="n">
        <f aca="false">G130+J130</f>
        <v>5.46</v>
      </c>
      <c r="V130" s="154"/>
      <c r="W130" s="155" t="n">
        <f aca="false">VLOOKUP($A130,[1]!CurveTable,MATCH($W$4,[1]!CurveType,0))+$W$9</f>
        <v>0.34</v>
      </c>
      <c r="X130" s="155" t="n">
        <f aca="false">VLOOKUP($A130,[1]!CurveTable,MATCH($X$4,[1]!CurveType,0))+$X$9</f>
        <v>0.345</v>
      </c>
      <c r="Y130" s="139" t="n">
        <f aca="false">SQRT((X130^2*($A130-$C$3)+W130^2*(DAY(EOMONTH(A130,0))/2))/$AN130)</f>
        <v>0.343066807507294</v>
      </c>
      <c r="Z130" s="152"/>
      <c r="AA130" s="153" t="n">
        <f aca="false">G130+P130+S130</f>
        <v>4.678</v>
      </c>
      <c r="AB130" s="154"/>
      <c r="AC130" s="155" t="n">
        <f aca="false">VLOOKUP($A130,[1]!CurveTable,MATCH($AC$4,[1]!CurveType,0))+$AC$9</f>
        <v>0.17</v>
      </c>
      <c r="AD130" s="155" t="n">
        <f aca="false">VLOOKUP($A130,[1]!CurveTable,MATCH($AD$4,[1]!CurveType,0))+$AD$9</f>
        <v>0.175</v>
      </c>
      <c r="AE130" s="139" t="n">
        <f aca="false">SQRT((AD130^2*($A130-$C$3)+AC130^2*(DAY(EOMONTH(A130,0))/2))/$AN130)</f>
        <v>0.174028121684482</v>
      </c>
      <c r="AF130" s="152"/>
      <c r="AG130" s="156" t="n">
        <f aca="false">((Inputs!$F$20*(X130*AD130)*(A130-$C$3))+(Inputs!$F$19*W130*AC130*(DAY(EOMONTH(A130,0))/2)))/(AN130*Y130*AE130)</f>
        <v>0.750000271514198</v>
      </c>
      <c r="AH130" s="152"/>
      <c r="AI130" s="140" t="n">
        <f aca="false">Inputs!$B$15</f>
        <v>0.06</v>
      </c>
      <c r="AJ130" s="157"/>
      <c r="AK130" s="140" t="n">
        <f aca="false">IF((U130-AA130-AI130)&lt;0,0,(U130-AA130-AI130))</f>
        <v>0.722</v>
      </c>
      <c r="AL130" s="157"/>
      <c r="AM130" s="158" t="n">
        <f aca="false">WORKDAY(EOMONTH(A130-1,-1),0)</f>
        <v>41759</v>
      </c>
      <c r="AN130" s="159" t="n">
        <f aca="false">AM130-$C$3</f>
        <v>-4167</v>
      </c>
      <c r="AO130" s="159" t="n">
        <f aca="false">AO129</f>
        <v>1</v>
      </c>
      <c r="AP130" s="160"/>
      <c r="AQ130" s="161" t="e">
        <f aca="false">SPRDOPT(U130,AA130,AI130,AX130,X130,AD130,AG130,AN130,AO130,0)</f>
        <v>#NAME?</v>
      </c>
      <c r="AR130" s="162" t="e">
        <f aca="false">AQ130*C130</f>
        <v>#NAME?</v>
      </c>
      <c r="AS130" s="163" t="e">
        <f aca="false">AQ130-AK130</f>
        <v>#NAME?</v>
      </c>
      <c r="AU130" s="112" t="n">
        <f aca="false">A131-A130</f>
        <v>30</v>
      </c>
      <c r="AV130" s="164" t="n">
        <f aca="false">CHOOSE(F$3,A131+24,A130+14)</f>
        <v>41805</v>
      </c>
      <c r="AW130" s="49" t="n">
        <f aca="false">AV130-C$3</f>
        <v>-4121</v>
      </c>
      <c r="AX130" s="155" t="n">
        <f aca="false">VLOOKUP($A130,[1]!CurveTable,MATCH(AX$4,[1]!CurveType,0))</f>
        <v>0.0566673974365681</v>
      </c>
      <c r="AY130" s="165" t="n">
        <f aca="false">1/(1+CHOOSE(F$3,(AX131+(Inputs!$B$14/10000))/2,(AX130+(Inputs!$B$14/10000))/2))^(2*AW130/365.25)</f>
        <v>1.87849345787282</v>
      </c>
      <c r="AZ130" s="49" t="n">
        <f aca="false">IF(AND(mthbeg&lt;=A130,mthend&gt;=A130),1,0)</f>
        <v>0</v>
      </c>
      <c r="BA130" s="111" t="n">
        <f aca="false">AU130*AZ130</f>
        <v>0</v>
      </c>
      <c r="BC130" s="142" t="n">
        <f aca="false">E130*$D130</f>
        <v>0</v>
      </c>
      <c r="BD130" s="142" t="n">
        <f aca="false">F130*$D130</f>
        <v>0</v>
      </c>
      <c r="BE130" s="142" t="n">
        <f aca="false">G130*$D130</f>
        <v>0</v>
      </c>
      <c r="BF130" s="142" t="n">
        <f aca="false">H130*$D130</f>
        <v>0</v>
      </c>
      <c r="BG130" s="142" t="n">
        <f aca="false">I130*$D130</f>
        <v>0</v>
      </c>
      <c r="BH130" s="142" t="n">
        <f aca="false">J130*$D130</f>
        <v>0</v>
      </c>
      <c r="BI130" s="142" t="n">
        <f aca="false">K130*$D130</f>
        <v>0</v>
      </c>
      <c r="BJ130" s="142" t="n">
        <f aca="false">L130*$D130</f>
        <v>0</v>
      </c>
      <c r="BK130" s="142" t="n">
        <f aca="false">M130*$D130</f>
        <v>0</v>
      </c>
      <c r="BL130" s="142" t="n">
        <f aca="false">N130*$D130</f>
        <v>0</v>
      </c>
      <c r="BM130" s="142" t="n">
        <f aca="false">O130*$D130</f>
        <v>0</v>
      </c>
      <c r="BN130" s="142" t="n">
        <f aca="false">P130*$D130</f>
        <v>0</v>
      </c>
      <c r="BO130" s="142" t="n">
        <f aca="false">Q130*$D130</f>
        <v>0</v>
      </c>
      <c r="BP130" s="142" t="n">
        <f aca="false">R130*$D130</f>
        <v>0</v>
      </c>
      <c r="BQ130" s="142" t="n">
        <f aca="false">S130*$D130</f>
        <v>0</v>
      </c>
      <c r="BR130" s="142" t="n">
        <f aca="false">U130*$D130</f>
        <v>0</v>
      </c>
      <c r="BS130" s="142" t="n">
        <f aca="false">AA130*$D130</f>
        <v>0</v>
      </c>
      <c r="BT130" s="142" t="n">
        <f aca="false">AI130*$D130</f>
        <v>0</v>
      </c>
      <c r="BU130" s="142" t="n">
        <f aca="false">AK130*D130</f>
        <v>0</v>
      </c>
    </row>
    <row r="131" customFormat="false" ht="12.75" hidden="false" customHeight="false" outlineLevel="0" collapsed="false">
      <c r="A131" s="144" t="n">
        <f aca="false">EDATE(A130,1)</f>
        <v>41821</v>
      </c>
      <c r="B131" s="145" t="n">
        <f aca="false">Inputs!$B$8</f>
        <v>50000</v>
      </c>
      <c r="C131" s="146" t="n">
        <f aca="false">IF(AZ131=0,0,IF(AND(AZ131=1,$H$3=1),B131*AU131,IF($H$3=2,B131,"N/A")))</f>
        <v>0</v>
      </c>
      <c r="D131" s="146" t="n">
        <f aca="false">C131*AY131</f>
        <v>0</v>
      </c>
      <c r="E131" s="147" t="n">
        <f aca="false">VLOOKUP($A131,[1]!CurveTable,MATCH($E$4,[1]!CurveType,0))</f>
        <v>4.65</v>
      </c>
      <c r="F131" s="148" t="n">
        <f aca="false">E131-Inputs!$B$16</f>
        <v>4.705</v>
      </c>
      <c r="G131" s="149" t="n">
        <f aca="false">F131</f>
        <v>4.705</v>
      </c>
      <c r="H131" s="147" t="n">
        <f aca="false">VLOOKUP($A131,[1]!CurveTable,MATCH($H$4,[1]!CurveType,0))</f>
        <v>1</v>
      </c>
      <c r="I131" s="148" t="n">
        <f aca="false">H131+Inputs!$B$22</f>
        <v>1</v>
      </c>
      <c r="J131" s="150" t="n">
        <f aca="false">I131</f>
        <v>1</v>
      </c>
      <c r="K131" s="147" t="n">
        <f aca="false">VLOOKUP($A131,[1]!CurveTable,MATCH($K$4,[1]!CurveType,0))</f>
        <v>0</v>
      </c>
      <c r="L131" s="148" t="n">
        <v>0</v>
      </c>
      <c r="M131" s="151" t="n">
        <f aca="false">L131</f>
        <v>0</v>
      </c>
      <c r="N131" s="147" t="n">
        <f aca="false">VLOOKUP($A131,[1]!CurveTable,MATCH($N$4,[1]!CurveType,0))</f>
        <v>0.0155</v>
      </c>
      <c r="O131" s="148" t="n">
        <f aca="false">N131+Inputs!$E$22</f>
        <v>0.0155</v>
      </c>
      <c r="P131" s="151" t="n">
        <f aca="false">O131</f>
        <v>0.0155</v>
      </c>
      <c r="Q131" s="147" t="n">
        <f aca="false">VLOOKUP($A131,[1]!CurveTable,MATCH($Q$4,[1]!CurveType,0))</f>
        <v>0.01</v>
      </c>
      <c r="R131" s="148" t="n">
        <v>0</v>
      </c>
      <c r="S131" s="151" t="n">
        <f aca="false">R131</f>
        <v>0</v>
      </c>
      <c r="T131" s="152"/>
      <c r="U131" s="153" t="n">
        <f aca="false">G131+J131</f>
        <v>5.705</v>
      </c>
      <c r="V131" s="154"/>
      <c r="W131" s="155" t="n">
        <f aca="false">VLOOKUP($A131,[1]!CurveTable,MATCH($W$4,[1]!CurveType,0))+$W$9</f>
        <v>0.34</v>
      </c>
      <c r="X131" s="155" t="n">
        <f aca="false">VLOOKUP($A131,[1]!CurveTable,MATCH($X$4,[1]!CurveType,0))+$X$9</f>
        <v>0.345</v>
      </c>
      <c r="Y131" s="139" t="n">
        <f aca="false">SQRT((X131^2*($A131-$C$3)+W131^2*(DAY(EOMONTH(A131,0))/2))/$AN131)</f>
        <v>0.343073851456493</v>
      </c>
      <c r="Z131" s="152"/>
      <c r="AA131" s="153" t="n">
        <f aca="false">G131+P131+S131</f>
        <v>4.7205</v>
      </c>
      <c r="AB131" s="154"/>
      <c r="AC131" s="155" t="n">
        <f aca="false">VLOOKUP($A131,[1]!CurveTable,MATCH($AC$4,[1]!CurveType,0))+$AC$9</f>
        <v>0.17</v>
      </c>
      <c r="AD131" s="155" t="n">
        <f aca="false">VLOOKUP($A131,[1]!CurveTable,MATCH($AD$4,[1]!CurveType,0))+$AD$9</f>
        <v>0.175</v>
      </c>
      <c r="AE131" s="139" t="n">
        <f aca="false">SQRT((AD131^2*($A131-$C$3)+AC131^2*(DAY(EOMONTH(A131,0))/2))/$AN131)</f>
        <v>0.174032052979377</v>
      </c>
      <c r="AF131" s="152"/>
      <c r="AG131" s="156" t="n">
        <f aca="false">((Inputs!$F$20*(X131*AD131)*(A131-$C$3))+(Inputs!$F$19*W131*AC131*(DAY(EOMONTH(A131,0))/2)))/(AN131*Y131*AE131)</f>
        <v>0.750000282695642</v>
      </c>
      <c r="AH131" s="152"/>
      <c r="AI131" s="140" t="n">
        <f aca="false">Inputs!$B$15</f>
        <v>0.06</v>
      </c>
      <c r="AJ131" s="157"/>
      <c r="AK131" s="140" t="n">
        <f aca="false">IF((U131-AA131-AI131)&lt;0,0,(U131-AA131-AI131))</f>
        <v>0.9245</v>
      </c>
      <c r="AL131" s="157"/>
      <c r="AM131" s="158" t="n">
        <f aca="false">WORKDAY(EOMONTH(A131-1,-1),0)</f>
        <v>41790</v>
      </c>
      <c r="AN131" s="159" t="n">
        <f aca="false">AM131-$C$3</f>
        <v>-4136</v>
      </c>
      <c r="AO131" s="159" t="n">
        <f aca="false">AO130</f>
        <v>1</v>
      </c>
      <c r="AP131" s="160"/>
      <c r="AQ131" s="161" t="e">
        <f aca="false">SPRDOPT(U131,AA131,AI131,AX131,X131,AD131,AG131,AN131,AO131,0)</f>
        <v>#NAME?</v>
      </c>
      <c r="AR131" s="162" t="e">
        <f aca="false">AQ131*C131</f>
        <v>#NAME?</v>
      </c>
      <c r="AS131" s="163" t="e">
        <f aca="false">AQ131-AK131</f>
        <v>#NAME?</v>
      </c>
      <c r="AU131" s="112" t="n">
        <f aca="false">A132-A131</f>
        <v>31</v>
      </c>
      <c r="AV131" s="164" t="n">
        <f aca="false">CHOOSE(F$3,A132+24,A131+14)</f>
        <v>41835</v>
      </c>
      <c r="AW131" s="49" t="n">
        <f aca="false">AV131-C$3</f>
        <v>-4091</v>
      </c>
      <c r="AX131" s="155" t="n">
        <f aca="false">VLOOKUP($A131,[1]!CurveTable,MATCH(AX$4,[1]!CurveType,0))</f>
        <v>0.0567237323398952</v>
      </c>
      <c r="AY131" s="165" t="n">
        <f aca="false">1/(1+CHOOSE(F$3,(AX132+(Inputs!$B$14/10000))/2,(AX131+(Inputs!$B$14/10000))/2))^(2*AW131/365.25)</f>
        <v>1.87103920962293</v>
      </c>
      <c r="AZ131" s="49" t="n">
        <f aca="false">IF(AND(mthbeg&lt;=A131,mthend&gt;=A131),1,0)</f>
        <v>0</v>
      </c>
      <c r="BA131" s="111" t="n">
        <f aca="false">AU131*AZ131</f>
        <v>0</v>
      </c>
      <c r="BC131" s="142" t="n">
        <f aca="false">E131*$D131</f>
        <v>0</v>
      </c>
      <c r="BD131" s="142" t="n">
        <f aca="false">F131*$D131</f>
        <v>0</v>
      </c>
      <c r="BE131" s="142" t="n">
        <f aca="false">G131*$D131</f>
        <v>0</v>
      </c>
      <c r="BF131" s="142" t="n">
        <f aca="false">H131*$D131</f>
        <v>0</v>
      </c>
      <c r="BG131" s="142" t="n">
        <f aca="false">I131*$D131</f>
        <v>0</v>
      </c>
      <c r="BH131" s="142" t="n">
        <f aca="false">J131*$D131</f>
        <v>0</v>
      </c>
      <c r="BI131" s="142" t="n">
        <f aca="false">K131*$D131</f>
        <v>0</v>
      </c>
      <c r="BJ131" s="142" t="n">
        <f aca="false">L131*$D131</f>
        <v>0</v>
      </c>
      <c r="BK131" s="142" t="n">
        <f aca="false">M131*$D131</f>
        <v>0</v>
      </c>
      <c r="BL131" s="142" t="n">
        <f aca="false">N131*$D131</f>
        <v>0</v>
      </c>
      <c r="BM131" s="142" t="n">
        <f aca="false">O131*$D131</f>
        <v>0</v>
      </c>
      <c r="BN131" s="142" t="n">
        <f aca="false">P131*$D131</f>
        <v>0</v>
      </c>
      <c r="BO131" s="142" t="n">
        <f aca="false">Q131*$D131</f>
        <v>0</v>
      </c>
      <c r="BP131" s="142" t="n">
        <f aca="false">R131*$D131</f>
        <v>0</v>
      </c>
      <c r="BQ131" s="142" t="n">
        <f aca="false">S131*$D131</f>
        <v>0</v>
      </c>
      <c r="BR131" s="142" t="n">
        <f aca="false">U131*$D131</f>
        <v>0</v>
      </c>
      <c r="BS131" s="142" t="n">
        <f aca="false">AA131*$D131</f>
        <v>0</v>
      </c>
      <c r="BT131" s="142" t="n">
        <f aca="false">AI131*$D131</f>
        <v>0</v>
      </c>
      <c r="BU131" s="142" t="n">
        <f aca="false">AK131*D131</f>
        <v>0</v>
      </c>
    </row>
    <row r="132" customFormat="false" ht="12.75" hidden="false" customHeight="false" outlineLevel="0" collapsed="false">
      <c r="A132" s="144" t="n">
        <f aca="false">EDATE(A131,1)</f>
        <v>41852</v>
      </c>
      <c r="B132" s="145" t="n">
        <f aca="false">Inputs!$B$8</f>
        <v>50000</v>
      </c>
      <c r="C132" s="146" t="n">
        <f aca="false">IF(AZ132=0,0,IF(AND(AZ132=1,$H$3=1),B132*AU132,IF($H$3=2,B132,"N/A")))</f>
        <v>0</v>
      </c>
      <c r="D132" s="146" t="n">
        <f aca="false">C132*AY132</f>
        <v>0</v>
      </c>
      <c r="E132" s="147" t="n">
        <f aca="false">VLOOKUP($A132,[1]!CurveTable,MATCH($E$4,[1]!CurveType,0))</f>
        <v>4.688</v>
      </c>
      <c r="F132" s="148" t="n">
        <f aca="false">E132-Inputs!$B$16</f>
        <v>4.743</v>
      </c>
      <c r="G132" s="149" t="n">
        <f aca="false">F132</f>
        <v>4.743</v>
      </c>
      <c r="H132" s="147" t="n">
        <f aca="false">VLOOKUP($A132,[1]!CurveTable,MATCH($H$4,[1]!CurveType,0))</f>
        <v>1</v>
      </c>
      <c r="I132" s="148" t="n">
        <f aca="false">H132+Inputs!$B$22</f>
        <v>1</v>
      </c>
      <c r="J132" s="150" t="n">
        <f aca="false">I132</f>
        <v>1</v>
      </c>
      <c r="K132" s="147" t="n">
        <f aca="false">VLOOKUP($A132,[1]!CurveTable,MATCH($K$4,[1]!CurveType,0))</f>
        <v>0</v>
      </c>
      <c r="L132" s="148" t="n">
        <v>0</v>
      </c>
      <c r="M132" s="151" t="n">
        <f aca="false">L132</f>
        <v>0</v>
      </c>
      <c r="N132" s="147" t="n">
        <f aca="false">VLOOKUP($A132,[1]!CurveTable,MATCH($N$4,[1]!CurveType,0))</f>
        <v>0.0155</v>
      </c>
      <c r="O132" s="148" t="n">
        <f aca="false">N132+Inputs!$E$22</f>
        <v>0.0155</v>
      </c>
      <c r="P132" s="151" t="n">
        <f aca="false">O132</f>
        <v>0.0155</v>
      </c>
      <c r="Q132" s="147" t="n">
        <f aca="false">VLOOKUP($A132,[1]!CurveTable,MATCH($Q$4,[1]!CurveType,0))</f>
        <v>0.01</v>
      </c>
      <c r="R132" s="148" t="n">
        <v>0</v>
      </c>
      <c r="S132" s="151" t="n">
        <f aca="false">R132</f>
        <v>0</v>
      </c>
      <c r="T132" s="152"/>
      <c r="U132" s="153" t="n">
        <f aca="false">G132+J132</f>
        <v>5.743</v>
      </c>
      <c r="V132" s="154"/>
      <c r="W132" s="155" t="n">
        <f aca="false">VLOOKUP($A132,[1]!CurveTable,MATCH($W$4,[1]!CurveType,0))+$W$9</f>
        <v>0.34</v>
      </c>
      <c r="X132" s="155" t="n">
        <f aca="false">VLOOKUP($A132,[1]!CurveTable,MATCH($X$4,[1]!CurveType,0))+$X$9</f>
        <v>0.345</v>
      </c>
      <c r="Y132" s="139" t="n">
        <f aca="false">SQRT((X132^2*($A132-$C$3)+W132^2*(DAY(EOMONTH(A132,0))/2))/$AN132)</f>
        <v>0.343017486585252</v>
      </c>
      <c r="Z132" s="152"/>
      <c r="AA132" s="153" t="n">
        <f aca="false">G132+P132+S132</f>
        <v>4.7585</v>
      </c>
      <c r="AB132" s="154"/>
      <c r="AC132" s="155" t="n">
        <f aca="false">VLOOKUP($A132,[1]!CurveTable,MATCH($AC$4,[1]!CurveType,0))+$AC$9</f>
        <v>0.17</v>
      </c>
      <c r="AD132" s="155" t="n">
        <f aca="false">VLOOKUP($A132,[1]!CurveTable,MATCH($AD$4,[1]!CurveType,0))+$AD$9</f>
        <v>0.175</v>
      </c>
      <c r="AE132" s="139" t="n">
        <f aca="false">SQRT((AD132^2*($A132-$C$3)+AC132^2*(DAY(EOMONTH(A132,0))/2))/$AN132)</f>
        <v>0.174003529981941</v>
      </c>
      <c r="AF132" s="152"/>
      <c r="AG132" s="156" t="n">
        <f aca="false">((Inputs!$F$20*(X132*AD132)*(A132-$C$3))+(Inputs!$F$19*W132*AC132*(DAY(EOMONTH(A132,0))/2)))/(AN132*Y132*AE132)</f>
        <v>0.750000284862467</v>
      </c>
      <c r="AH132" s="152"/>
      <c r="AI132" s="140" t="n">
        <f aca="false">Inputs!$B$15</f>
        <v>0.06</v>
      </c>
      <c r="AJ132" s="157"/>
      <c r="AK132" s="140" t="n">
        <f aca="false">IF((U132-AA132-AI132)&lt;0,0,(U132-AA132-AI132))</f>
        <v>0.9245</v>
      </c>
      <c r="AL132" s="157"/>
      <c r="AM132" s="158" t="n">
        <f aca="false">WORKDAY(EOMONTH(A132-1,-1),0)</f>
        <v>41820</v>
      </c>
      <c r="AN132" s="159" t="n">
        <f aca="false">AM132-$C$3</f>
        <v>-4106</v>
      </c>
      <c r="AO132" s="159" t="n">
        <f aca="false">AO131</f>
        <v>1</v>
      </c>
      <c r="AP132" s="160"/>
      <c r="AQ132" s="161" t="e">
        <f aca="false">SPRDOPT(U132,AA132,AI132,AX132,X132,AD132,AG132,AN132,AO132,0)</f>
        <v>#NAME?</v>
      </c>
      <c r="AR132" s="162" t="e">
        <f aca="false">AQ132*C132</f>
        <v>#NAME?</v>
      </c>
      <c r="AS132" s="163" t="e">
        <f aca="false">AQ132-AK132</f>
        <v>#NAME?</v>
      </c>
      <c r="AU132" s="112" t="n">
        <f aca="false">A133-A132</f>
        <v>31</v>
      </c>
      <c r="AV132" s="164" t="n">
        <f aca="false">CHOOSE(F$3,A133+24,A132+14)</f>
        <v>41866</v>
      </c>
      <c r="AW132" s="49" t="n">
        <f aca="false">AV132-C$3</f>
        <v>-4060</v>
      </c>
      <c r="AX132" s="155" t="n">
        <f aca="false">VLOOKUP($A132,[1]!CurveTable,MATCH(AX$4,[1]!CurveType,0))</f>
        <v>0.0567819450744431</v>
      </c>
      <c r="AY132" s="165" t="n">
        <f aca="false">1/(1+CHOOSE(F$3,(AX133+(Inputs!$B$14/10000))/2,(AX132+(Inputs!$B$14/10000))/2))^(2*AW132/365.25)</f>
        <v>1.86334991158042</v>
      </c>
      <c r="AZ132" s="49" t="n">
        <f aca="false">IF(AND(mthbeg&lt;=A132,mthend&gt;=A132),1,0)</f>
        <v>0</v>
      </c>
      <c r="BA132" s="111" t="n">
        <f aca="false">AU132*AZ132</f>
        <v>0</v>
      </c>
      <c r="BC132" s="142" t="n">
        <f aca="false">E132*$D132</f>
        <v>0</v>
      </c>
      <c r="BD132" s="142" t="n">
        <f aca="false">F132*$D132</f>
        <v>0</v>
      </c>
      <c r="BE132" s="142" t="n">
        <f aca="false">G132*$D132</f>
        <v>0</v>
      </c>
      <c r="BF132" s="142" t="n">
        <f aca="false">H132*$D132</f>
        <v>0</v>
      </c>
      <c r="BG132" s="142" t="n">
        <f aca="false">I132*$D132</f>
        <v>0</v>
      </c>
      <c r="BH132" s="142" t="n">
        <f aca="false">J132*$D132</f>
        <v>0</v>
      </c>
      <c r="BI132" s="142" t="n">
        <f aca="false">K132*$D132</f>
        <v>0</v>
      </c>
      <c r="BJ132" s="142" t="n">
        <f aca="false">L132*$D132</f>
        <v>0</v>
      </c>
      <c r="BK132" s="142" t="n">
        <f aca="false">M132*$D132</f>
        <v>0</v>
      </c>
      <c r="BL132" s="142" t="n">
        <f aca="false">N132*$D132</f>
        <v>0</v>
      </c>
      <c r="BM132" s="142" t="n">
        <f aca="false">O132*$D132</f>
        <v>0</v>
      </c>
      <c r="BN132" s="142" t="n">
        <f aca="false">P132*$D132</f>
        <v>0</v>
      </c>
      <c r="BO132" s="142" t="n">
        <f aca="false">Q132*$D132</f>
        <v>0</v>
      </c>
      <c r="BP132" s="142" t="n">
        <f aca="false">R132*$D132</f>
        <v>0</v>
      </c>
      <c r="BQ132" s="142" t="n">
        <f aca="false">S132*$D132</f>
        <v>0</v>
      </c>
      <c r="BR132" s="142" t="n">
        <f aca="false">U132*$D132</f>
        <v>0</v>
      </c>
      <c r="BS132" s="142" t="n">
        <f aca="false">AA132*$D132</f>
        <v>0</v>
      </c>
      <c r="BT132" s="142" t="n">
        <f aca="false">AI132*$D132</f>
        <v>0</v>
      </c>
      <c r="BU132" s="142" t="n">
        <f aca="false">AK132*D132</f>
        <v>0</v>
      </c>
    </row>
    <row r="133" customFormat="false" ht="12.75" hidden="false" customHeight="false" outlineLevel="0" collapsed="false">
      <c r="A133" s="144" t="n">
        <f aca="false">EDATE(A132,1)</f>
        <v>41883</v>
      </c>
      <c r="B133" s="145" t="n">
        <f aca="false">Inputs!$B$8</f>
        <v>50000</v>
      </c>
      <c r="C133" s="146" t="n">
        <f aca="false">IF(AZ133=0,0,IF(AND(AZ133=1,$H$3=1),B133*AU133,IF($H$3=2,B133,"N/A")))</f>
        <v>0</v>
      </c>
      <c r="D133" s="146" t="n">
        <f aca="false">C133*AY133</f>
        <v>0</v>
      </c>
      <c r="E133" s="147" t="n">
        <f aca="false">VLOOKUP($A133,[1]!CurveTable,MATCH($E$4,[1]!CurveType,0))</f>
        <v>4.682</v>
      </c>
      <c r="F133" s="148" t="n">
        <f aca="false">E133-Inputs!$B$16</f>
        <v>4.737</v>
      </c>
      <c r="G133" s="149" t="n">
        <f aca="false">F133</f>
        <v>4.737</v>
      </c>
      <c r="H133" s="147" t="n">
        <f aca="false">VLOOKUP($A133,[1]!CurveTable,MATCH($H$4,[1]!CurveType,0))</f>
        <v>0.6</v>
      </c>
      <c r="I133" s="148" t="n">
        <f aca="false">H133+Inputs!$B$22</f>
        <v>0.6</v>
      </c>
      <c r="J133" s="150" t="n">
        <f aca="false">I133</f>
        <v>0.6</v>
      </c>
      <c r="K133" s="147" t="n">
        <f aca="false">VLOOKUP($A133,[1]!CurveTable,MATCH($K$4,[1]!CurveType,0))</f>
        <v>0</v>
      </c>
      <c r="L133" s="148" t="n">
        <v>0</v>
      </c>
      <c r="M133" s="151" t="n">
        <f aca="false">L133</f>
        <v>0</v>
      </c>
      <c r="N133" s="147" t="n">
        <f aca="false">VLOOKUP($A133,[1]!CurveTable,MATCH($N$4,[1]!CurveType,0))</f>
        <v>0.0155</v>
      </c>
      <c r="O133" s="148" t="n">
        <f aca="false">N133+Inputs!$E$22</f>
        <v>0.0155</v>
      </c>
      <c r="P133" s="151" t="n">
        <f aca="false">O133</f>
        <v>0.0155</v>
      </c>
      <c r="Q133" s="147" t="n">
        <f aca="false">VLOOKUP($A133,[1]!CurveTable,MATCH($Q$4,[1]!CurveType,0))</f>
        <v>0.01</v>
      </c>
      <c r="R133" s="148" t="n">
        <v>0</v>
      </c>
      <c r="S133" s="151" t="n">
        <f aca="false">R133</f>
        <v>0</v>
      </c>
      <c r="T133" s="152"/>
      <c r="U133" s="153" t="n">
        <f aca="false">G133+J133</f>
        <v>5.337</v>
      </c>
      <c r="V133" s="154"/>
      <c r="W133" s="155" t="n">
        <f aca="false">VLOOKUP($A133,[1]!CurveTable,MATCH($W$4,[1]!CurveType,0))+$W$9</f>
        <v>0.34</v>
      </c>
      <c r="X133" s="155" t="n">
        <f aca="false">VLOOKUP($A133,[1]!CurveTable,MATCH($X$4,[1]!CurveType,0))+$X$9</f>
        <v>0.345</v>
      </c>
      <c r="Y133" s="139" t="n">
        <f aca="false">SQRT((X133^2*($A133-$C$3)+W133^2*(DAY(EOMONTH(A133,0))/2))/$AN133)</f>
        <v>0.343023036662236</v>
      </c>
      <c r="Z133" s="152"/>
      <c r="AA133" s="153" t="n">
        <f aca="false">G133+P133+S133</f>
        <v>4.7525</v>
      </c>
      <c r="AB133" s="154"/>
      <c r="AC133" s="155" t="n">
        <f aca="false">VLOOKUP($A133,[1]!CurveTable,MATCH($AC$4,[1]!CurveType,0))+$AC$9</f>
        <v>0.17</v>
      </c>
      <c r="AD133" s="155" t="n">
        <f aca="false">VLOOKUP($A133,[1]!CurveTable,MATCH($AD$4,[1]!CurveType,0))+$AD$9</f>
        <v>0.175</v>
      </c>
      <c r="AE133" s="139" t="n">
        <f aca="false">SQRT((AD133^2*($A133-$C$3)+AC133^2*(DAY(EOMONTH(A133,0))/2))/$AN133)</f>
        <v>0.174006117232573</v>
      </c>
      <c r="AF133" s="152"/>
      <c r="AG133" s="156" t="n">
        <f aca="false">((Inputs!$F$20*(X133*AD133)*(A133-$C$3))+(Inputs!$F$19*W133*AC133*(DAY(EOMONTH(A133,0))/2)))/(AN133*Y133*AE133)</f>
        <v>0.750000277736658</v>
      </c>
      <c r="AH133" s="152"/>
      <c r="AI133" s="140" t="n">
        <f aca="false">Inputs!$B$15</f>
        <v>0.06</v>
      </c>
      <c r="AJ133" s="157"/>
      <c r="AK133" s="140" t="n">
        <f aca="false">IF((U133-AA133-AI133)&lt;0,0,(U133-AA133-AI133))</f>
        <v>0.524499999999999</v>
      </c>
      <c r="AL133" s="157"/>
      <c r="AM133" s="158" t="n">
        <f aca="false">WORKDAY(EOMONTH(A133-1,-1),0)</f>
        <v>41851</v>
      </c>
      <c r="AN133" s="159" t="n">
        <f aca="false">AM133-$C$3</f>
        <v>-4075</v>
      </c>
      <c r="AO133" s="159" t="n">
        <f aca="false">AO132</f>
        <v>1</v>
      </c>
      <c r="AP133" s="160"/>
      <c r="AQ133" s="161" t="e">
        <f aca="false">SPRDOPT(U133,AA133,AI133,AX133,X133,AD133,AG133,AN133,AO133,0)</f>
        <v>#NAME?</v>
      </c>
      <c r="AR133" s="162" t="e">
        <f aca="false">AQ133*C133</f>
        <v>#NAME?</v>
      </c>
      <c r="AS133" s="163" t="e">
        <f aca="false">AQ133-AK133</f>
        <v>#NAME?</v>
      </c>
      <c r="AU133" s="112" t="n">
        <f aca="false">A134-A133</f>
        <v>30</v>
      </c>
      <c r="AV133" s="164" t="n">
        <f aca="false">CHOOSE(F$3,A134+24,A133+14)</f>
        <v>41897</v>
      </c>
      <c r="AW133" s="49" t="n">
        <f aca="false">AV133-C$3</f>
        <v>-4029</v>
      </c>
      <c r="AX133" s="155" t="n">
        <f aca="false">VLOOKUP($A133,[1]!CurveTable,MATCH(AX$4,[1]!CurveType,0))</f>
        <v>0.0568401578101181</v>
      </c>
      <c r="AY133" s="165" t="n">
        <f aca="false">1/(1+CHOOSE(F$3,(AX134+(Inputs!$B$14/10000))/2,(AX133+(Inputs!$B$14/10000))/2))^(2*AW133/365.25)</f>
        <v>1.85567435019891</v>
      </c>
      <c r="AZ133" s="49" t="n">
        <f aca="false">IF(AND(mthbeg&lt;=A133,mthend&gt;=A133),1,0)</f>
        <v>0</v>
      </c>
      <c r="BA133" s="111" t="n">
        <f aca="false">AU133*AZ133</f>
        <v>0</v>
      </c>
      <c r="BC133" s="142" t="n">
        <f aca="false">E133*$D133</f>
        <v>0</v>
      </c>
      <c r="BD133" s="142" t="n">
        <f aca="false">F133*$D133</f>
        <v>0</v>
      </c>
      <c r="BE133" s="142" t="n">
        <f aca="false">G133*$D133</f>
        <v>0</v>
      </c>
      <c r="BF133" s="142" t="n">
        <f aca="false">H133*$D133</f>
        <v>0</v>
      </c>
      <c r="BG133" s="142" t="n">
        <f aca="false">I133*$D133</f>
        <v>0</v>
      </c>
      <c r="BH133" s="142" t="n">
        <f aca="false">J133*$D133</f>
        <v>0</v>
      </c>
      <c r="BI133" s="142" t="n">
        <f aca="false">K133*$D133</f>
        <v>0</v>
      </c>
      <c r="BJ133" s="142" t="n">
        <f aca="false">L133*$D133</f>
        <v>0</v>
      </c>
      <c r="BK133" s="142" t="n">
        <f aca="false">M133*$D133</f>
        <v>0</v>
      </c>
      <c r="BL133" s="142" t="n">
        <f aca="false">N133*$D133</f>
        <v>0</v>
      </c>
      <c r="BM133" s="142" t="n">
        <f aca="false">O133*$D133</f>
        <v>0</v>
      </c>
      <c r="BN133" s="142" t="n">
        <f aca="false">P133*$D133</f>
        <v>0</v>
      </c>
      <c r="BO133" s="142" t="n">
        <f aca="false">Q133*$D133</f>
        <v>0</v>
      </c>
      <c r="BP133" s="142" t="n">
        <f aca="false">R133*$D133</f>
        <v>0</v>
      </c>
      <c r="BQ133" s="142" t="n">
        <f aca="false">S133*$D133</f>
        <v>0</v>
      </c>
      <c r="BR133" s="142" t="n">
        <f aca="false">U133*$D133</f>
        <v>0</v>
      </c>
      <c r="BS133" s="142" t="n">
        <f aca="false">AA133*$D133</f>
        <v>0</v>
      </c>
      <c r="BT133" s="142" t="n">
        <f aca="false">AI133*$D133</f>
        <v>0</v>
      </c>
      <c r="BU133" s="142" t="n">
        <f aca="false">AK133*D133</f>
        <v>0</v>
      </c>
    </row>
    <row r="134" customFormat="false" ht="12.75" hidden="false" customHeight="false" outlineLevel="0" collapsed="false">
      <c r="A134" s="144" t="n">
        <f aca="false">EDATE(A133,1)</f>
        <v>41913</v>
      </c>
      <c r="B134" s="145" t="n">
        <f aca="false">Inputs!$B$8</f>
        <v>50000</v>
      </c>
      <c r="C134" s="146" t="n">
        <f aca="false">IF(AZ134=0,0,IF(AND(AZ134=1,$H$3=1),B134*AU134,IF($H$3=2,B134,"N/A")))</f>
        <v>0</v>
      </c>
      <c r="D134" s="146" t="n">
        <f aca="false">C134*AY134</f>
        <v>0</v>
      </c>
      <c r="E134" s="147" t="n">
        <f aca="false">VLOOKUP($A134,[1]!CurveTable,MATCH($E$4,[1]!CurveType,0))</f>
        <v>4.682</v>
      </c>
      <c r="F134" s="148" t="n">
        <f aca="false">E134-Inputs!$B$16</f>
        <v>4.737</v>
      </c>
      <c r="G134" s="149" t="n">
        <f aca="false">F134</f>
        <v>4.737</v>
      </c>
      <c r="H134" s="147" t="n">
        <f aca="false">VLOOKUP($A134,[1]!CurveTable,MATCH($H$4,[1]!CurveType,0))</f>
        <v>0.3</v>
      </c>
      <c r="I134" s="148" t="n">
        <f aca="false">H134+Inputs!$B$22</f>
        <v>0.3</v>
      </c>
      <c r="J134" s="150" t="n">
        <f aca="false">I134</f>
        <v>0.3</v>
      </c>
      <c r="K134" s="147" t="n">
        <f aca="false">VLOOKUP($A134,[1]!CurveTable,MATCH($K$4,[1]!CurveType,0))</f>
        <v>0</v>
      </c>
      <c r="L134" s="148" t="n">
        <v>0</v>
      </c>
      <c r="M134" s="151" t="n">
        <f aca="false">L134</f>
        <v>0</v>
      </c>
      <c r="N134" s="147" t="n">
        <f aca="false">VLOOKUP($A134,[1]!CurveTable,MATCH($N$4,[1]!CurveType,0))</f>
        <v>0.014</v>
      </c>
      <c r="O134" s="148" t="n">
        <f aca="false">N134+Inputs!$E$22</f>
        <v>0.014</v>
      </c>
      <c r="P134" s="151" t="n">
        <f aca="false">O134</f>
        <v>0.014</v>
      </c>
      <c r="Q134" s="147" t="n">
        <f aca="false">VLOOKUP($A134,[1]!CurveTable,MATCH($Q$4,[1]!CurveType,0))</f>
        <v>0.01</v>
      </c>
      <c r="R134" s="148" t="n">
        <v>0</v>
      </c>
      <c r="S134" s="151" t="n">
        <f aca="false">R134</f>
        <v>0</v>
      </c>
      <c r="T134" s="152"/>
      <c r="U134" s="153" t="n">
        <f aca="false">G134+J134</f>
        <v>5.037</v>
      </c>
      <c r="V134" s="154"/>
      <c r="W134" s="155" t="n">
        <f aca="false">VLOOKUP($A134,[1]!CurveTable,MATCH($W$4,[1]!CurveType,0))+$W$9</f>
        <v>0.17</v>
      </c>
      <c r="X134" s="155" t="n">
        <f aca="false">VLOOKUP($A134,[1]!CurveTable,MATCH($X$4,[1]!CurveType,0))+$X$9</f>
        <v>0.175</v>
      </c>
      <c r="Y134" s="139" t="n">
        <f aca="false">SQRT((X134^2*($A134-$C$3)+W134^2*(DAY(EOMONTH(A134,0))/2))/$AN134)</f>
        <v>0.17400996978498</v>
      </c>
      <c r="Z134" s="152"/>
      <c r="AA134" s="153" t="n">
        <f aca="false">G134+P134+S134</f>
        <v>4.751</v>
      </c>
      <c r="AB134" s="154"/>
      <c r="AC134" s="155" t="n">
        <f aca="false">VLOOKUP($A134,[1]!CurveTable,MATCH($AC$4,[1]!CurveType,0))+$AC$9</f>
        <v>0.17</v>
      </c>
      <c r="AD134" s="155" t="n">
        <f aca="false">VLOOKUP($A134,[1]!CurveTable,MATCH($AD$4,[1]!CurveType,0))+$AD$9</f>
        <v>0.175</v>
      </c>
      <c r="AE134" s="139" t="n">
        <f aca="false">SQRT((AD134^2*($A134-$C$3)+AC134^2*(DAY(EOMONTH(A134,0))/2))/$AN134)</f>
        <v>0.17400996978498</v>
      </c>
      <c r="AF134" s="152"/>
      <c r="AG134" s="156" t="n">
        <f aca="false">((Inputs!$F$20*(X134*AD134)*(A134-$C$3))+(Inputs!$F$19*W134*AC134*(DAY(EOMONTH(A134,0))/2)))/(AN134*Y134*AE134)</f>
        <v>0.75</v>
      </c>
      <c r="AH134" s="152"/>
      <c r="AI134" s="140" t="n">
        <f aca="false">Inputs!$B$15</f>
        <v>0.06</v>
      </c>
      <c r="AJ134" s="157"/>
      <c r="AK134" s="140" t="n">
        <f aca="false">IF((U134-AA134-AI134)&lt;0,0,(U134-AA134-AI134))</f>
        <v>0.226</v>
      </c>
      <c r="AL134" s="157"/>
      <c r="AM134" s="158" t="n">
        <f aca="false">WORKDAY(EOMONTH(A134-1,-1),0)</f>
        <v>41882</v>
      </c>
      <c r="AN134" s="159" t="n">
        <f aca="false">AM134-$C$3</f>
        <v>-4044</v>
      </c>
      <c r="AO134" s="159" t="n">
        <f aca="false">AO133</f>
        <v>1</v>
      </c>
      <c r="AP134" s="160"/>
      <c r="AQ134" s="161" t="e">
        <f aca="false">SPRDOPT(U134,AA134,AI134,AX134,X134,AD134,AG134,AN134,AO134,0)</f>
        <v>#NAME?</v>
      </c>
      <c r="AR134" s="162" t="e">
        <f aca="false">AQ134*C134</f>
        <v>#NAME?</v>
      </c>
      <c r="AS134" s="163" t="e">
        <f aca="false">AQ134-AK134</f>
        <v>#NAME?</v>
      </c>
      <c r="AU134" s="112" t="n">
        <f aca="false">A135-A134</f>
        <v>31</v>
      </c>
      <c r="AV134" s="164" t="n">
        <f aca="false">CHOOSE(F$3,A135+24,A134+14)</f>
        <v>41927</v>
      </c>
      <c r="AW134" s="49" t="n">
        <f aca="false">AV134-C$3</f>
        <v>-3999</v>
      </c>
      <c r="AX134" s="155" t="n">
        <f aca="false">VLOOKUP($A134,[1]!CurveTable,MATCH(AX$4,[1]!CurveType,0))</f>
        <v>0.056896492716684</v>
      </c>
      <c r="AY134" s="165" t="n">
        <f aca="false">1/(1+CHOOSE(F$3,(AX135+(Inputs!$B$14/10000))/2,(AX134+(Inputs!$B$14/10000))/2))^(2*AW134/365.25)</f>
        <v>1.84825955302575</v>
      </c>
      <c r="AZ134" s="49" t="n">
        <f aca="false">IF(AND(mthbeg&lt;=A134,mthend&gt;=A134),1,0)</f>
        <v>0</v>
      </c>
      <c r="BA134" s="111" t="n">
        <f aca="false">AU134*AZ134</f>
        <v>0</v>
      </c>
      <c r="BC134" s="142" t="n">
        <f aca="false">E134*$D134</f>
        <v>0</v>
      </c>
      <c r="BD134" s="142" t="n">
        <f aca="false">F134*$D134</f>
        <v>0</v>
      </c>
      <c r="BE134" s="142" t="n">
        <f aca="false">G134*$D134</f>
        <v>0</v>
      </c>
      <c r="BF134" s="142" t="n">
        <f aca="false">H134*$D134</f>
        <v>0</v>
      </c>
      <c r="BG134" s="142" t="n">
        <f aca="false">I134*$D134</f>
        <v>0</v>
      </c>
      <c r="BH134" s="142" t="n">
        <f aca="false">J134*$D134</f>
        <v>0</v>
      </c>
      <c r="BI134" s="142" t="n">
        <f aca="false">K134*$D134</f>
        <v>0</v>
      </c>
      <c r="BJ134" s="142" t="n">
        <f aca="false">L134*$D134</f>
        <v>0</v>
      </c>
      <c r="BK134" s="142" t="n">
        <f aca="false">M134*$D134</f>
        <v>0</v>
      </c>
      <c r="BL134" s="142" t="n">
        <f aca="false">N134*$D134</f>
        <v>0</v>
      </c>
      <c r="BM134" s="142" t="n">
        <f aca="false">O134*$D134</f>
        <v>0</v>
      </c>
      <c r="BN134" s="142" t="n">
        <f aca="false">P134*$D134</f>
        <v>0</v>
      </c>
      <c r="BO134" s="142" t="n">
        <f aca="false">Q134*$D134</f>
        <v>0</v>
      </c>
      <c r="BP134" s="142" t="n">
        <f aca="false">R134*$D134</f>
        <v>0</v>
      </c>
      <c r="BQ134" s="142" t="n">
        <f aca="false">S134*$D134</f>
        <v>0</v>
      </c>
      <c r="BR134" s="142" t="n">
        <f aca="false">U134*$D134</f>
        <v>0</v>
      </c>
      <c r="BS134" s="142" t="n">
        <f aca="false">AA134*$D134</f>
        <v>0</v>
      </c>
      <c r="BT134" s="142" t="n">
        <f aca="false">AI134*$D134</f>
        <v>0</v>
      </c>
      <c r="BU134" s="142" t="n">
        <f aca="false">AK134*D134</f>
        <v>0</v>
      </c>
    </row>
    <row r="135" customFormat="false" ht="12.75" hidden="false" customHeight="false" outlineLevel="0" collapsed="false">
      <c r="A135" s="144" t="n">
        <f aca="false">EDATE(A134,1)</f>
        <v>41944</v>
      </c>
      <c r="B135" s="145" t="n">
        <f aca="false">Inputs!$B$8</f>
        <v>50000</v>
      </c>
      <c r="C135" s="146" t="n">
        <f aca="false">IF(AZ135=0,0,IF(AND(AZ135=1,$H$3=1),B135*AU135,IF($H$3=2,B135,"N/A")))</f>
        <v>0</v>
      </c>
      <c r="D135" s="146" t="n">
        <f aca="false">C135*AY135</f>
        <v>0</v>
      </c>
      <c r="E135" s="147" t="n">
        <f aca="false">VLOOKUP($A135,[1]!CurveTable,MATCH($E$4,[1]!CurveType,0))</f>
        <v>4.83</v>
      </c>
      <c r="F135" s="148" t="n">
        <f aca="false">E135-Inputs!$B$16</f>
        <v>4.885</v>
      </c>
      <c r="G135" s="149" t="n">
        <f aca="false">F135</f>
        <v>4.885</v>
      </c>
      <c r="H135" s="147" t="n">
        <f aca="false">VLOOKUP($A135,[1]!CurveTable,MATCH($H$4,[1]!CurveType,0))</f>
        <v>0.23</v>
      </c>
      <c r="I135" s="148" t="n">
        <f aca="false">H135+Inputs!$B$22</f>
        <v>0.23</v>
      </c>
      <c r="J135" s="150" t="n">
        <f aca="false">I135</f>
        <v>0.23</v>
      </c>
      <c r="K135" s="147" t="n">
        <f aca="false">VLOOKUP($A135,[1]!CurveTable,MATCH($K$4,[1]!CurveType,0))</f>
        <v>0</v>
      </c>
      <c r="L135" s="148" t="n">
        <v>0</v>
      </c>
      <c r="M135" s="151" t="n">
        <f aca="false">L135</f>
        <v>0</v>
      </c>
      <c r="N135" s="147" t="n">
        <f aca="false">VLOOKUP($A135,[1]!CurveTable,MATCH($N$4,[1]!CurveType,0))</f>
        <v>0.015</v>
      </c>
      <c r="O135" s="148" t="n">
        <f aca="false">N135+Inputs!$E$22</f>
        <v>0.015</v>
      </c>
      <c r="P135" s="151" t="n">
        <f aca="false">O135</f>
        <v>0.015</v>
      </c>
      <c r="Q135" s="147" t="n">
        <f aca="false">VLOOKUP($A135,[1]!CurveTable,MATCH($Q$4,[1]!CurveType,0))</f>
        <v>0.0075</v>
      </c>
      <c r="R135" s="148" t="n">
        <v>0</v>
      </c>
      <c r="S135" s="151" t="n">
        <f aca="false">R135</f>
        <v>0</v>
      </c>
      <c r="T135" s="152"/>
      <c r="U135" s="153" t="n">
        <f aca="false">G135+J135</f>
        <v>5.115</v>
      </c>
      <c r="V135" s="154"/>
      <c r="W135" s="155" t="n">
        <f aca="false">VLOOKUP($A135,[1]!CurveTable,MATCH($W$4,[1]!CurveType,0))+$W$9</f>
        <v>0.17</v>
      </c>
      <c r="X135" s="155" t="n">
        <f aca="false">VLOOKUP($A135,[1]!CurveTable,MATCH($X$4,[1]!CurveType,0))+$X$9</f>
        <v>0.175</v>
      </c>
      <c r="Y135" s="139" t="n">
        <f aca="false">SQRT((X135^2*($A135-$C$3)+W135^2*(DAY(EOMONTH(A135,0))/2))/$AN135)</f>
        <v>0.173990969589673</v>
      </c>
      <c r="Z135" s="152"/>
      <c r="AA135" s="153" t="n">
        <f aca="false">G135+P135+S135</f>
        <v>4.9</v>
      </c>
      <c r="AB135" s="154"/>
      <c r="AC135" s="155" t="n">
        <f aca="false">VLOOKUP($A135,[1]!CurveTable,MATCH($AC$4,[1]!CurveType,0))+$AC$9</f>
        <v>0.17</v>
      </c>
      <c r="AD135" s="155" t="n">
        <f aca="false">VLOOKUP($A135,[1]!CurveTable,MATCH($AD$4,[1]!CurveType,0))+$AD$9</f>
        <v>0.175</v>
      </c>
      <c r="AE135" s="139" t="n">
        <f aca="false">SQRT((AD135^2*($A135-$C$3)+AC135^2*(DAY(EOMONTH(A135,0))/2))/$AN135)</f>
        <v>0.173990969589673</v>
      </c>
      <c r="AF135" s="152"/>
      <c r="AG135" s="156" t="n">
        <f aca="false">((Inputs!$F$20*(X135*AD135)*(A135-$C$3))+(Inputs!$F$19*W135*AC135*(DAY(EOMONTH(A135,0))/2)))/(AN135*Y135*AE135)</f>
        <v>0.75</v>
      </c>
      <c r="AH135" s="152"/>
      <c r="AI135" s="140" t="n">
        <f aca="false">Inputs!$B$15</f>
        <v>0.06</v>
      </c>
      <c r="AJ135" s="157"/>
      <c r="AK135" s="140" t="n">
        <f aca="false">IF((U135-AA135-AI135)&lt;0,0,(U135-AA135-AI135))</f>
        <v>0.155000000000001</v>
      </c>
      <c r="AL135" s="157"/>
      <c r="AM135" s="158" t="n">
        <f aca="false">WORKDAY(EOMONTH(A135-1,-1),0)</f>
        <v>41912</v>
      </c>
      <c r="AN135" s="159" t="n">
        <f aca="false">AM135-$C$3</f>
        <v>-4014</v>
      </c>
      <c r="AO135" s="159" t="n">
        <f aca="false">AO134</f>
        <v>1</v>
      </c>
      <c r="AP135" s="160"/>
      <c r="AQ135" s="161" t="e">
        <f aca="false">SPRDOPT(U135,AA135,AI135,AX135,X135,AD135,AG135,AN135,AO135,0)</f>
        <v>#NAME?</v>
      </c>
      <c r="AR135" s="162" t="e">
        <f aca="false">AQ135*C135</f>
        <v>#NAME?</v>
      </c>
      <c r="AS135" s="163" t="e">
        <f aca="false">AQ135-AK135</f>
        <v>#NAME?</v>
      </c>
      <c r="AU135" s="112" t="n">
        <f aca="false">A136-A135</f>
        <v>30</v>
      </c>
      <c r="AV135" s="164" t="n">
        <f aca="false">CHOOSE(F$3,A136+24,A135+14)</f>
        <v>41958</v>
      </c>
      <c r="AW135" s="49" t="n">
        <f aca="false">AV135-C$3</f>
        <v>-3968</v>
      </c>
      <c r="AX135" s="155" t="n">
        <f aca="false">VLOOKUP($A135,[1]!CurveTable,MATCH(AX$4,[1]!CurveType,0))</f>
        <v>0.0569547054545785</v>
      </c>
      <c r="AY135" s="165" t="n">
        <f aca="false">1/(1+CHOOSE(F$3,(AX136+(Inputs!$B$14/10000))/2,(AX135+(Inputs!$B$14/10000))/2))^(2*AW135/365.25)</f>
        <v>1.84061128869126</v>
      </c>
      <c r="AZ135" s="49" t="n">
        <f aca="false">IF(AND(mthbeg&lt;=A135,mthend&gt;=A135),1,0)</f>
        <v>0</v>
      </c>
      <c r="BA135" s="111" t="n">
        <f aca="false">AU135*AZ135</f>
        <v>0</v>
      </c>
      <c r="BC135" s="142" t="n">
        <f aca="false">E135*$D135</f>
        <v>0</v>
      </c>
      <c r="BD135" s="142" t="n">
        <f aca="false">F135*$D135</f>
        <v>0</v>
      </c>
      <c r="BE135" s="142" t="n">
        <f aca="false">G135*$D135</f>
        <v>0</v>
      </c>
      <c r="BF135" s="142" t="n">
        <f aca="false">H135*$D135</f>
        <v>0</v>
      </c>
      <c r="BG135" s="142" t="n">
        <f aca="false">I135*$D135</f>
        <v>0</v>
      </c>
      <c r="BH135" s="142" t="n">
        <f aca="false">J135*$D135</f>
        <v>0</v>
      </c>
      <c r="BI135" s="142" t="n">
        <f aca="false">K135*$D135</f>
        <v>0</v>
      </c>
      <c r="BJ135" s="142" t="n">
        <f aca="false">L135*$D135</f>
        <v>0</v>
      </c>
      <c r="BK135" s="142" t="n">
        <f aca="false">M135*$D135</f>
        <v>0</v>
      </c>
      <c r="BL135" s="142" t="n">
        <f aca="false">N135*$D135</f>
        <v>0</v>
      </c>
      <c r="BM135" s="142" t="n">
        <f aca="false">O135*$D135</f>
        <v>0</v>
      </c>
      <c r="BN135" s="142" t="n">
        <f aca="false">P135*$D135</f>
        <v>0</v>
      </c>
      <c r="BO135" s="142" t="n">
        <f aca="false">Q135*$D135</f>
        <v>0</v>
      </c>
      <c r="BP135" s="142" t="n">
        <f aca="false">R135*$D135</f>
        <v>0</v>
      </c>
      <c r="BQ135" s="142" t="n">
        <f aca="false">S135*$D135</f>
        <v>0</v>
      </c>
      <c r="BR135" s="142" t="n">
        <f aca="false">U135*$D135</f>
        <v>0</v>
      </c>
      <c r="BS135" s="142" t="n">
        <f aca="false">AA135*$D135</f>
        <v>0</v>
      </c>
      <c r="BT135" s="142" t="n">
        <f aca="false">AI135*$D135</f>
        <v>0</v>
      </c>
      <c r="BU135" s="142" t="n">
        <f aca="false">AK135*D135</f>
        <v>0</v>
      </c>
    </row>
    <row r="136" customFormat="false" ht="12.75" hidden="false" customHeight="false" outlineLevel="0" collapsed="false">
      <c r="A136" s="144" t="n">
        <f aca="false">EDATE(A135,1)</f>
        <v>41974</v>
      </c>
      <c r="B136" s="145" t="n">
        <f aca="false">Inputs!$B$8</f>
        <v>50000</v>
      </c>
      <c r="C136" s="146" t="n">
        <f aca="false">IF(AZ136=0,0,IF(AND(AZ136=1,$H$3=1),B136*AU136,IF($H$3=2,B136,"N/A")))</f>
        <v>0</v>
      </c>
      <c r="D136" s="146" t="n">
        <f aca="false">C136*AY136</f>
        <v>0</v>
      </c>
      <c r="E136" s="147" t="n">
        <f aca="false">VLOOKUP($A136,[1]!CurveTable,MATCH($E$4,[1]!CurveType,0))</f>
        <v>4.982</v>
      </c>
      <c r="F136" s="148" t="n">
        <f aca="false">E136-Inputs!$B$16</f>
        <v>5.037</v>
      </c>
      <c r="G136" s="149" t="n">
        <f aca="false">F136</f>
        <v>5.037</v>
      </c>
      <c r="H136" s="147" t="n">
        <f aca="false">VLOOKUP($A136,[1]!CurveTable,MATCH($H$4,[1]!CurveType,0))</f>
        <v>0.26</v>
      </c>
      <c r="I136" s="148" t="n">
        <f aca="false">H136+Inputs!$B$22</f>
        <v>0.26</v>
      </c>
      <c r="J136" s="150" t="n">
        <f aca="false">I136</f>
        <v>0.26</v>
      </c>
      <c r="K136" s="147" t="n">
        <f aca="false">VLOOKUP($A136,[1]!CurveTable,MATCH($K$4,[1]!CurveType,0))</f>
        <v>0</v>
      </c>
      <c r="L136" s="148" t="n">
        <v>0</v>
      </c>
      <c r="M136" s="151" t="n">
        <f aca="false">L136</f>
        <v>0</v>
      </c>
      <c r="N136" s="147" t="n">
        <f aca="false">VLOOKUP($A136,[1]!CurveTable,MATCH($N$4,[1]!CurveType,0))</f>
        <v>0.015</v>
      </c>
      <c r="O136" s="148" t="n">
        <f aca="false">N136+Inputs!$E$22</f>
        <v>0.015</v>
      </c>
      <c r="P136" s="151" t="n">
        <f aca="false">O136</f>
        <v>0.015</v>
      </c>
      <c r="Q136" s="147" t="n">
        <f aca="false">VLOOKUP($A136,[1]!CurveTable,MATCH($Q$4,[1]!CurveType,0))</f>
        <v>0.0075</v>
      </c>
      <c r="R136" s="148" t="n">
        <v>0</v>
      </c>
      <c r="S136" s="151" t="n">
        <f aca="false">R136</f>
        <v>0</v>
      </c>
      <c r="T136" s="152"/>
      <c r="U136" s="153" t="n">
        <f aca="false">G136+J136</f>
        <v>5.297</v>
      </c>
      <c r="V136" s="154"/>
      <c r="W136" s="155" t="n">
        <f aca="false">VLOOKUP($A136,[1]!CurveTable,MATCH($W$4,[1]!CurveType,0))+$W$9</f>
        <v>0.17</v>
      </c>
      <c r="X136" s="155" t="n">
        <f aca="false">VLOOKUP($A136,[1]!CurveTable,MATCH($X$4,[1]!CurveType,0))+$X$9</f>
        <v>0.175</v>
      </c>
      <c r="Y136" s="139" t="n">
        <f aca="false">SQRT((X136^2*($A136-$C$3)+W136^2*(DAY(EOMONTH(A136,0))/2))/$AN136)</f>
        <v>0.173994763586324</v>
      </c>
      <c r="Z136" s="152"/>
      <c r="AA136" s="153" t="n">
        <f aca="false">G136+P136+S136</f>
        <v>5.052</v>
      </c>
      <c r="AB136" s="154"/>
      <c r="AC136" s="155" t="n">
        <f aca="false">VLOOKUP($A136,[1]!CurveTable,MATCH($AC$4,[1]!CurveType,0))+$AC$9</f>
        <v>0.17</v>
      </c>
      <c r="AD136" s="155" t="n">
        <f aca="false">VLOOKUP($A136,[1]!CurveTable,MATCH($AD$4,[1]!CurveType,0))+$AD$9</f>
        <v>0.175</v>
      </c>
      <c r="AE136" s="139" t="n">
        <f aca="false">SQRT((AD136^2*($A136-$C$3)+AC136^2*(DAY(EOMONTH(A136,0))/2))/$AN136)</f>
        <v>0.173994763586324</v>
      </c>
      <c r="AF136" s="152"/>
      <c r="AG136" s="156" t="n">
        <f aca="false">((Inputs!$F$20*(X136*AD136)*(A136-$C$3))+(Inputs!$F$19*W136*AC136*(DAY(EOMONTH(A136,0))/2)))/(AN136*Y136*AE136)</f>
        <v>0.75</v>
      </c>
      <c r="AH136" s="152"/>
      <c r="AI136" s="140" t="n">
        <f aca="false">Inputs!$B$15</f>
        <v>0.06</v>
      </c>
      <c r="AJ136" s="157"/>
      <c r="AK136" s="140" t="n">
        <f aca="false">IF((U136-AA136-AI136)&lt;0,0,(U136-AA136-AI136))</f>
        <v>0.185</v>
      </c>
      <c r="AL136" s="157"/>
      <c r="AM136" s="158" t="n">
        <f aca="false">WORKDAY(EOMONTH(A136-1,-1),0)</f>
        <v>41943</v>
      </c>
      <c r="AN136" s="159" t="n">
        <f aca="false">AM136-$C$3</f>
        <v>-3983</v>
      </c>
      <c r="AO136" s="159" t="n">
        <f aca="false">AO135</f>
        <v>1</v>
      </c>
      <c r="AP136" s="160"/>
      <c r="AQ136" s="161" t="e">
        <f aca="false">SPRDOPT(U136,AA136,AI136,AX136,X136,AD136,AG136,AN136,AO136,0)</f>
        <v>#NAME?</v>
      </c>
      <c r="AR136" s="162" t="e">
        <f aca="false">AQ136*C136</f>
        <v>#NAME?</v>
      </c>
      <c r="AS136" s="163" t="e">
        <f aca="false">AQ136-AK136</f>
        <v>#NAME?</v>
      </c>
      <c r="AU136" s="112" t="n">
        <f aca="false">A137-A136</f>
        <v>31</v>
      </c>
      <c r="AV136" s="164" t="n">
        <f aca="false">CHOOSE(F$3,A137+24,A136+14)</f>
        <v>41988</v>
      </c>
      <c r="AW136" s="49" t="n">
        <f aca="false">AV136-C$3</f>
        <v>-3938</v>
      </c>
      <c r="AX136" s="155" t="n">
        <f aca="false">VLOOKUP($A136,[1]!CurveTable,MATCH(AX$4,[1]!CurveType,0))</f>
        <v>0.0570110403632915</v>
      </c>
      <c r="AY136" s="165" t="n">
        <f aca="false">1/(1+CHOOSE(F$3,(AX137+(Inputs!$B$14/10000))/2,(AX136+(Inputs!$B$14/10000))/2))^(2*AW136/365.25)</f>
        <v>1.83322307754218</v>
      </c>
      <c r="AZ136" s="49" t="n">
        <f aca="false">IF(AND(mthbeg&lt;=A136,mthend&gt;=A136),1,0)</f>
        <v>0</v>
      </c>
      <c r="BA136" s="111" t="n">
        <f aca="false">AU136*AZ136</f>
        <v>0</v>
      </c>
      <c r="BC136" s="142" t="n">
        <f aca="false">E136*$D136</f>
        <v>0</v>
      </c>
      <c r="BD136" s="142" t="n">
        <f aca="false">F136*$D136</f>
        <v>0</v>
      </c>
      <c r="BE136" s="142" t="n">
        <f aca="false">G136*$D136</f>
        <v>0</v>
      </c>
      <c r="BF136" s="142" t="n">
        <f aca="false">H136*$D136</f>
        <v>0</v>
      </c>
      <c r="BG136" s="142" t="n">
        <f aca="false">I136*$D136</f>
        <v>0</v>
      </c>
      <c r="BH136" s="142" t="n">
        <f aca="false">J136*$D136</f>
        <v>0</v>
      </c>
      <c r="BI136" s="142" t="n">
        <f aca="false">K136*$D136</f>
        <v>0</v>
      </c>
      <c r="BJ136" s="142" t="n">
        <f aca="false">L136*$D136</f>
        <v>0</v>
      </c>
      <c r="BK136" s="142" t="n">
        <f aca="false">M136*$D136</f>
        <v>0</v>
      </c>
      <c r="BL136" s="142" t="n">
        <f aca="false">N136*$D136</f>
        <v>0</v>
      </c>
      <c r="BM136" s="142" t="n">
        <f aca="false">O136*$D136</f>
        <v>0</v>
      </c>
      <c r="BN136" s="142" t="n">
        <f aca="false">P136*$D136</f>
        <v>0</v>
      </c>
      <c r="BO136" s="142" t="n">
        <f aca="false">Q136*$D136</f>
        <v>0</v>
      </c>
      <c r="BP136" s="142" t="n">
        <f aca="false">R136*$D136</f>
        <v>0</v>
      </c>
      <c r="BQ136" s="142" t="n">
        <f aca="false">S136*$D136</f>
        <v>0</v>
      </c>
      <c r="BR136" s="142" t="n">
        <f aca="false">U136*$D136</f>
        <v>0</v>
      </c>
      <c r="BS136" s="142" t="n">
        <f aca="false">AA136*$D136</f>
        <v>0</v>
      </c>
      <c r="BT136" s="142" t="n">
        <f aca="false">AI136*$D136</f>
        <v>0</v>
      </c>
      <c r="BU136" s="142" t="n">
        <f aca="false">AK136*D136</f>
        <v>0</v>
      </c>
    </row>
    <row r="137" customFormat="false" ht="12.75" hidden="false" customHeight="false" outlineLevel="0" collapsed="false">
      <c r="A137" s="144" t="n">
        <f aca="false">EDATE(A136,1)</f>
        <v>42005</v>
      </c>
      <c r="B137" s="145" t="n">
        <f aca="false">Inputs!$B$8</f>
        <v>50000</v>
      </c>
      <c r="C137" s="146" t="n">
        <f aca="false">IF(AZ137=0,0,IF(AND(AZ137=1,$H$3=1),B137*AU137,IF($H$3=2,B137,"N/A")))</f>
        <v>0</v>
      </c>
      <c r="D137" s="146" t="n">
        <f aca="false">C137*AY137</f>
        <v>0</v>
      </c>
      <c r="E137" s="147" t="n">
        <f aca="false">VLOOKUP($A137,[1]!CurveTable,MATCH($E$4,[1]!CurveType,0))</f>
        <v>5.0595</v>
      </c>
      <c r="F137" s="148" t="n">
        <f aca="false">E137-Inputs!$B$16</f>
        <v>5.1145</v>
      </c>
      <c r="G137" s="149" t="n">
        <f aca="false">F137</f>
        <v>5.1145</v>
      </c>
      <c r="H137" s="147" t="n">
        <f aca="false">VLOOKUP($A137,[1]!CurveTable,MATCH($H$4,[1]!CurveType,0))</f>
        <v>0.085</v>
      </c>
      <c r="I137" s="148" t="n">
        <f aca="false">H137+Inputs!$B$22</f>
        <v>0.085</v>
      </c>
      <c r="J137" s="150" t="n">
        <f aca="false">I137</f>
        <v>0.085</v>
      </c>
      <c r="K137" s="147" t="n">
        <f aca="false">VLOOKUP($A137,[1]!CurveTable,MATCH($K$4,[1]!CurveType,0))</f>
        <v>0</v>
      </c>
      <c r="L137" s="148" t="n">
        <v>0</v>
      </c>
      <c r="M137" s="151" t="n">
        <f aca="false">L137</f>
        <v>0</v>
      </c>
      <c r="N137" s="147" t="n">
        <f aca="false">VLOOKUP($A137,[1]!CurveTable,MATCH($N$4,[1]!CurveType,0))</f>
        <v>0.015</v>
      </c>
      <c r="O137" s="148" t="n">
        <f aca="false">N137+Inputs!$E$22</f>
        <v>0.015</v>
      </c>
      <c r="P137" s="151" t="n">
        <f aca="false">O137</f>
        <v>0.015</v>
      </c>
      <c r="Q137" s="147" t="n">
        <f aca="false">VLOOKUP($A137,[1]!CurveTable,MATCH($Q$4,[1]!CurveType,0))</f>
        <v>0.0075</v>
      </c>
      <c r="R137" s="148" t="n">
        <v>0</v>
      </c>
      <c r="S137" s="151" t="n">
        <f aca="false">R137</f>
        <v>0</v>
      </c>
      <c r="T137" s="152"/>
      <c r="U137" s="153" t="n">
        <f aca="false">G137+J137</f>
        <v>5.1995</v>
      </c>
      <c r="V137" s="154"/>
      <c r="W137" s="155" t="n">
        <f aca="false">VLOOKUP($A137,[1]!CurveTable,MATCH($W$4,[1]!CurveType,0))+$W$9</f>
        <v>0.17</v>
      </c>
      <c r="X137" s="155" t="n">
        <f aca="false">VLOOKUP($A137,[1]!CurveTable,MATCH($X$4,[1]!CurveType,0))+$X$9</f>
        <v>0.175</v>
      </c>
      <c r="Y137" s="139" t="n">
        <f aca="false">SQRT((X137^2*($A137-$C$3)+W137^2*(DAY(EOMONTH(A137,0))/2))/$AN137)</f>
        <v>0.173964847093559</v>
      </c>
      <c r="Z137" s="152"/>
      <c r="AA137" s="153" t="n">
        <f aca="false">G137+P137+S137</f>
        <v>5.1295</v>
      </c>
      <c r="AB137" s="154"/>
      <c r="AC137" s="155" t="n">
        <f aca="false">VLOOKUP($A137,[1]!CurveTable,MATCH($AC$4,[1]!CurveType,0))+$AC$9</f>
        <v>0.17</v>
      </c>
      <c r="AD137" s="155" t="n">
        <f aca="false">VLOOKUP($A137,[1]!CurveTable,MATCH($AD$4,[1]!CurveType,0))+$AD$9</f>
        <v>0.175</v>
      </c>
      <c r="AE137" s="139" t="n">
        <f aca="false">SQRT((AD137^2*($A137-$C$3)+AC137^2*(DAY(EOMONTH(A137,0))/2))/$AN137)</f>
        <v>0.173964847093559</v>
      </c>
      <c r="AF137" s="152"/>
      <c r="AG137" s="156" t="n">
        <f aca="false">((Inputs!$F$20*(X137*AD137)*(A137-$C$3))+(Inputs!$F$19*W137*AC137*(DAY(EOMONTH(A137,0))/2)))/(AN137*Y137*AE137)</f>
        <v>0.75</v>
      </c>
      <c r="AH137" s="152"/>
      <c r="AI137" s="140" t="n">
        <f aca="false">Inputs!$B$15</f>
        <v>0.06</v>
      </c>
      <c r="AJ137" s="157"/>
      <c r="AK137" s="140" t="n">
        <f aca="false">IF((U137-AA137-AI137)&lt;0,0,(U137-AA137-AI137))</f>
        <v>0.0100000000000003</v>
      </c>
      <c r="AL137" s="157"/>
      <c r="AM137" s="158" t="n">
        <f aca="false">WORKDAY(EOMONTH(A137-1,-1),0)</f>
        <v>41973</v>
      </c>
      <c r="AN137" s="159" t="n">
        <f aca="false">AM137-$C$3</f>
        <v>-3953</v>
      </c>
      <c r="AO137" s="159" t="n">
        <f aca="false">AO136</f>
        <v>1</v>
      </c>
      <c r="AP137" s="160"/>
      <c r="AQ137" s="161" t="e">
        <f aca="false">SPRDOPT(U137,AA137,AI137,AX137,X137,AD137,AG137,AN137,AO137,0)</f>
        <v>#NAME?</v>
      </c>
      <c r="AR137" s="162" t="e">
        <f aca="false">AQ137*C137</f>
        <v>#NAME?</v>
      </c>
      <c r="AS137" s="163" t="e">
        <f aca="false">AQ137-AK137</f>
        <v>#NAME?</v>
      </c>
      <c r="AU137" s="112" t="n">
        <f aca="false">A138-A137</f>
        <v>31</v>
      </c>
      <c r="AV137" s="164" t="n">
        <f aca="false">CHOOSE(F$3,A138+24,A137+14)</f>
        <v>42019</v>
      </c>
      <c r="AW137" s="49" t="n">
        <f aca="false">AV137-C$3</f>
        <v>-3907</v>
      </c>
      <c r="AX137" s="155" t="n">
        <f aca="false">VLOOKUP($A137,[1]!CurveTable,MATCH(AX$4,[1]!CurveType,0))</f>
        <v>0.0570692531034047</v>
      </c>
      <c r="AY137" s="165" t="n">
        <f aca="false">1/(1+CHOOSE(F$3,(AX138+(Inputs!$B$14/10000))/2,(AX137+(Inputs!$B$14/10000))/2))^(2*AW137/365.25)</f>
        <v>1.82560245910479</v>
      </c>
      <c r="AZ137" s="49" t="n">
        <f aca="false">IF(AND(mthbeg&lt;=A137,mthend&gt;=A137),1,0)</f>
        <v>0</v>
      </c>
      <c r="BA137" s="111" t="n">
        <f aca="false">AU137*AZ137</f>
        <v>0</v>
      </c>
      <c r="BC137" s="142" t="n">
        <f aca="false">E137*$D137</f>
        <v>0</v>
      </c>
      <c r="BD137" s="142" t="n">
        <f aca="false">F137*$D137</f>
        <v>0</v>
      </c>
      <c r="BE137" s="142" t="n">
        <f aca="false">G137*$D137</f>
        <v>0</v>
      </c>
      <c r="BF137" s="142" t="n">
        <f aca="false">H137*$D137</f>
        <v>0</v>
      </c>
      <c r="BG137" s="142" t="n">
        <f aca="false">I137*$D137</f>
        <v>0</v>
      </c>
      <c r="BH137" s="142" t="n">
        <f aca="false">J137*$D137</f>
        <v>0</v>
      </c>
      <c r="BI137" s="142" t="n">
        <f aca="false">K137*$D137</f>
        <v>0</v>
      </c>
      <c r="BJ137" s="142" t="n">
        <f aca="false">L137*$D137</f>
        <v>0</v>
      </c>
      <c r="BK137" s="142" t="n">
        <f aca="false">M137*$D137</f>
        <v>0</v>
      </c>
      <c r="BL137" s="142" t="n">
        <f aca="false">N137*$D137</f>
        <v>0</v>
      </c>
      <c r="BM137" s="142" t="n">
        <f aca="false">O137*$D137</f>
        <v>0</v>
      </c>
      <c r="BN137" s="142" t="n">
        <f aca="false">P137*$D137</f>
        <v>0</v>
      </c>
      <c r="BO137" s="142" t="n">
        <f aca="false">Q137*$D137</f>
        <v>0</v>
      </c>
      <c r="BP137" s="142" t="n">
        <f aca="false">R137*$D137</f>
        <v>0</v>
      </c>
      <c r="BQ137" s="142" t="n">
        <f aca="false">S137*$D137</f>
        <v>0</v>
      </c>
      <c r="BR137" s="142" t="n">
        <f aca="false">U137*$D137</f>
        <v>0</v>
      </c>
      <c r="BS137" s="142" t="n">
        <f aca="false">AA137*$D137</f>
        <v>0</v>
      </c>
      <c r="BT137" s="142" t="n">
        <f aca="false">AI137*$D137</f>
        <v>0</v>
      </c>
      <c r="BU137" s="142" t="n">
        <f aca="false">AK137*D137</f>
        <v>0</v>
      </c>
    </row>
    <row r="138" customFormat="false" ht="12.75" hidden="false" customHeight="false" outlineLevel="0" collapsed="false">
      <c r="A138" s="144" t="n">
        <f aca="false">EDATE(A137,1)</f>
        <v>42036</v>
      </c>
      <c r="B138" s="145" t="n">
        <f aca="false">Inputs!$B$8</f>
        <v>50000</v>
      </c>
      <c r="C138" s="146" t="n">
        <f aca="false">IF(AZ138=0,0,IF(AND(AZ138=1,$H$3=1),B138*AU138,IF($H$3=2,B138,"N/A")))</f>
        <v>0</v>
      </c>
      <c r="D138" s="146" t="n">
        <f aca="false">C138*AY138</f>
        <v>0</v>
      </c>
      <c r="E138" s="147" t="n">
        <f aca="false">VLOOKUP($A138,[1]!CurveTable,MATCH($E$4,[1]!CurveType,0))</f>
        <v>4.9725</v>
      </c>
      <c r="F138" s="148" t="n">
        <f aca="false">E138-Inputs!$B$16</f>
        <v>5.0275</v>
      </c>
      <c r="G138" s="149" t="n">
        <f aca="false">F138</f>
        <v>5.0275</v>
      </c>
      <c r="H138" s="147" t="n">
        <f aca="false">VLOOKUP($A138,[1]!CurveTable,MATCH($H$4,[1]!CurveType,0))</f>
        <v>0.075</v>
      </c>
      <c r="I138" s="148" t="n">
        <f aca="false">H138+Inputs!$B$22</f>
        <v>0.075</v>
      </c>
      <c r="J138" s="150" t="n">
        <f aca="false">I138</f>
        <v>0.075</v>
      </c>
      <c r="K138" s="147" t="n">
        <f aca="false">VLOOKUP($A138,[1]!CurveTable,MATCH($K$4,[1]!CurveType,0))</f>
        <v>0</v>
      </c>
      <c r="L138" s="148" t="n">
        <v>0</v>
      </c>
      <c r="M138" s="151" t="n">
        <f aca="false">L138</f>
        <v>0</v>
      </c>
      <c r="N138" s="147" t="n">
        <f aca="false">VLOOKUP($A138,[1]!CurveTable,MATCH($N$4,[1]!CurveType,0))</f>
        <v>0.015</v>
      </c>
      <c r="O138" s="148" t="n">
        <f aca="false">N138+Inputs!$E$22</f>
        <v>0.015</v>
      </c>
      <c r="P138" s="151" t="n">
        <f aca="false">O138</f>
        <v>0.015</v>
      </c>
      <c r="Q138" s="147" t="n">
        <f aca="false">VLOOKUP($A138,[1]!CurveTable,MATCH($Q$4,[1]!CurveType,0))</f>
        <v>0.0075</v>
      </c>
      <c r="R138" s="148" t="n">
        <v>0</v>
      </c>
      <c r="S138" s="151" t="n">
        <f aca="false">R138</f>
        <v>0</v>
      </c>
      <c r="T138" s="152"/>
      <c r="U138" s="153" t="n">
        <f aca="false">G138+J138</f>
        <v>5.1025</v>
      </c>
      <c r="V138" s="154"/>
      <c r="W138" s="155" t="n">
        <f aca="false">VLOOKUP($A138,[1]!CurveTable,MATCH($W$4,[1]!CurveType,0))+$W$9</f>
        <v>0.17</v>
      </c>
      <c r="X138" s="155" t="n">
        <f aca="false">VLOOKUP($A138,[1]!CurveTable,MATCH($X$4,[1]!CurveType,0))+$X$9</f>
        <v>0.175</v>
      </c>
      <c r="Y138" s="139" t="n">
        <f aca="false">SQRT((X138^2*($A138-$C$3)+W138^2*(DAY(EOMONTH(A138,0))/2))/$AN138)</f>
        <v>0.173988407182083</v>
      </c>
      <c r="Z138" s="152"/>
      <c r="AA138" s="153" t="n">
        <f aca="false">G138+P138+S138</f>
        <v>5.0425</v>
      </c>
      <c r="AB138" s="154"/>
      <c r="AC138" s="155" t="n">
        <f aca="false">VLOOKUP($A138,[1]!CurveTable,MATCH($AC$4,[1]!CurveType,0))+$AC$9</f>
        <v>0.17</v>
      </c>
      <c r="AD138" s="155" t="n">
        <f aca="false">VLOOKUP($A138,[1]!CurveTable,MATCH($AD$4,[1]!CurveType,0))+$AD$9</f>
        <v>0.175</v>
      </c>
      <c r="AE138" s="139" t="n">
        <f aca="false">SQRT((AD138^2*($A138-$C$3)+AC138^2*(DAY(EOMONTH(A138,0))/2))/$AN138)</f>
        <v>0.173988407182083</v>
      </c>
      <c r="AF138" s="152"/>
      <c r="AG138" s="156" t="n">
        <f aca="false">((Inputs!$F$20*(X138*AD138)*(A138-$C$3))+(Inputs!$F$19*W138*AC138*(DAY(EOMONTH(A138,0))/2)))/(AN138*Y138*AE138)</f>
        <v>0.75</v>
      </c>
      <c r="AH138" s="152"/>
      <c r="AI138" s="140" t="n">
        <f aca="false">Inputs!$B$15</f>
        <v>0.06</v>
      </c>
      <c r="AJ138" s="157"/>
      <c r="AK138" s="140" t="n">
        <f aca="false">IF((U138-AA138-AI138)&lt;0,0,(U138-AA138-AI138))</f>
        <v>4.9960036108132E-016</v>
      </c>
      <c r="AL138" s="157"/>
      <c r="AM138" s="158" t="n">
        <f aca="false">WORKDAY(EOMONTH(A138-1,-1),0)</f>
        <v>42004</v>
      </c>
      <c r="AN138" s="159" t="n">
        <f aca="false">AM138-$C$3</f>
        <v>-3922</v>
      </c>
      <c r="AO138" s="159" t="n">
        <f aca="false">AO137</f>
        <v>1</v>
      </c>
      <c r="AP138" s="160"/>
      <c r="AQ138" s="161" t="e">
        <f aca="false">SPRDOPT(U138,AA138,AI138,AX138,X138,AD138,AG138,AN138,AO138,0)</f>
        <v>#NAME?</v>
      </c>
      <c r="AR138" s="162" t="e">
        <f aca="false">AQ138*C138</f>
        <v>#NAME?</v>
      </c>
      <c r="AS138" s="163" t="e">
        <f aca="false">AQ138-AK138</f>
        <v>#NAME?</v>
      </c>
      <c r="AU138" s="112" t="n">
        <f aca="false">A139-A138</f>
        <v>28</v>
      </c>
      <c r="AV138" s="164" t="n">
        <f aca="false">CHOOSE(F$3,A139+24,A138+14)</f>
        <v>42050</v>
      </c>
      <c r="AW138" s="49" t="n">
        <f aca="false">AV138-C$3</f>
        <v>-3876</v>
      </c>
      <c r="AX138" s="155" t="n">
        <f aca="false">VLOOKUP($A138,[1]!CurveTable,MATCH(AX$4,[1]!CurveType,0))</f>
        <v>0.057127465844645</v>
      </c>
      <c r="AY138" s="165" t="n">
        <f aca="false">1/(1+CHOOSE(F$3,(AX139+(Inputs!$B$14/10000))/2,(AX138+(Inputs!$B$14/10000))/2))^(2*AW138/365.25)</f>
        <v>1.81799602199209</v>
      </c>
      <c r="AZ138" s="49" t="n">
        <f aca="false">IF(AND(mthbeg&lt;=A138,mthend&gt;=A138),1,0)</f>
        <v>0</v>
      </c>
      <c r="BA138" s="111" t="n">
        <f aca="false">AU138*AZ138</f>
        <v>0</v>
      </c>
      <c r="BC138" s="142" t="n">
        <f aca="false">E138*$D138</f>
        <v>0</v>
      </c>
      <c r="BD138" s="142" t="n">
        <f aca="false">F138*$D138</f>
        <v>0</v>
      </c>
      <c r="BE138" s="142" t="n">
        <f aca="false">G138*$D138</f>
        <v>0</v>
      </c>
      <c r="BF138" s="142" t="n">
        <f aca="false">H138*$D138</f>
        <v>0</v>
      </c>
      <c r="BG138" s="142" t="n">
        <f aca="false">I138*$D138</f>
        <v>0</v>
      </c>
      <c r="BH138" s="142" t="n">
        <f aca="false">J138*$D138</f>
        <v>0</v>
      </c>
      <c r="BI138" s="142" t="n">
        <f aca="false">K138*$D138</f>
        <v>0</v>
      </c>
      <c r="BJ138" s="142" t="n">
        <f aca="false">L138*$D138</f>
        <v>0</v>
      </c>
      <c r="BK138" s="142" t="n">
        <f aca="false">M138*$D138</f>
        <v>0</v>
      </c>
      <c r="BL138" s="142" t="n">
        <f aca="false">N138*$D138</f>
        <v>0</v>
      </c>
      <c r="BM138" s="142" t="n">
        <f aca="false">O138*$D138</f>
        <v>0</v>
      </c>
      <c r="BN138" s="142" t="n">
        <f aca="false">P138*$D138</f>
        <v>0</v>
      </c>
      <c r="BO138" s="142" t="n">
        <f aca="false">Q138*$D138</f>
        <v>0</v>
      </c>
      <c r="BP138" s="142" t="n">
        <f aca="false">R138*$D138</f>
        <v>0</v>
      </c>
      <c r="BQ138" s="142" t="n">
        <f aca="false">S138*$D138</f>
        <v>0</v>
      </c>
      <c r="BR138" s="142" t="n">
        <f aca="false">U138*$D138</f>
        <v>0</v>
      </c>
      <c r="BS138" s="142" t="n">
        <f aca="false">AA138*$D138</f>
        <v>0</v>
      </c>
      <c r="BT138" s="142" t="n">
        <f aca="false">AI138*$D138</f>
        <v>0</v>
      </c>
      <c r="BU138" s="142" t="n">
        <f aca="false">AK138*D138</f>
        <v>0</v>
      </c>
    </row>
    <row r="139" customFormat="false" ht="12.75" hidden="false" customHeight="false" outlineLevel="0" collapsed="false">
      <c r="A139" s="144" t="n">
        <f aca="false">EDATE(A138,1)</f>
        <v>42064</v>
      </c>
      <c r="B139" s="145" t="n">
        <f aca="false">Inputs!$B$8</f>
        <v>50000</v>
      </c>
      <c r="C139" s="146" t="n">
        <f aca="false">IF(AZ139=0,0,IF(AND(AZ139=1,$H$3=1),B139*AU139,IF($H$3=2,B139,"N/A")))</f>
        <v>0</v>
      </c>
      <c r="D139" s="146" t="n">
        <f aca="false">C139*AY139</f>
        <v>0</v>
      </c>
      <c r="E139" s="147" t="n">
        <f aca="false">VLOOKUP($A139,[1]!CurveTable,MATCH($E$4,[1]!CurveType,0))</f>
        <v>4.8335</v>
      </c>
      <c r="F139" s="148" t="n">
        <f aca="false">E139-Inputs!$B$16</f>
        <v>4.8885</v>
      </c>
      <c r="G139" s="149" t="n">
        <f aca="false">F139</f>
        <v>4.8885</v>
      </c>
      <c r="H139" s="147" t="n">
        <f aca="false">VLOOKUP($A139,[1]!CurveTable,MATCH($H$4,[1]!CurveType,0))</f>
        <v>0.115</v>
      </c>
      <c r="I139" s="148" t="n">
        <f aca="false">H139+Inputs!$B$22</f>
        <v>0.115</v>
      </c>
      <c r="J139" s="150" t="n">
        <f aca="false">I139</f>
        <v>0.115</v>
      </c>
      <c r="K139" s="147" t="n">
        <f aca="false">VLOOKUP($A139,[1]!CurveTable,MATCH($K$4,[1]!CurveType,0))</f>
        <v>0</v>
      </c>
      <c r="L139" s="148" t="n">
        <v>0</v>
      </c>
      <c r="M139" s="151" t="n">
        <f aca="false">L139</f>
        <v>0</v>
      </c>
      <c r="N139" s="147" t="n">
        <f aca="false">VLOOKUP($A139,[1]!CurveTable,MATCH($N$4,[1]!CurveType,0))</f>
        <v>0.019</v>
      </c>
      <c r="O139" s="148" t="n">
        <f aca="false">N139+Inputs!$E$22</f>
        <v>0.019</v>
      </c>
      <c r="P139" s="151" t="n">
        <f aca="false">O139</f>
        <v>0.019</v>
      </c>
      <c r="Q139" s="147" t="n">
        <f aca="false">VLOOKUP($A139,[1]!CurveTable,MATCH($Q$4,[1]!CurveType,0))</f>
        <v>0.0075</v>
      </c>
      <c r="R139" s="148" t="n">
        <v>0</v>
      </c>
      <c r="S139" s="151" t="n">
        <f aca="false">R139</f>
        <v>0</v>
      </c>
      <c r="T139" s="152"/>
      <c r="U139" s="153" t="n">
        <f aca="false">G139+J139</f>
        <v>5.0035</v>
      </c>
      <c r="V139" s="154"/>
      <c r="W139" s="155" t="n">
        <f aca="false">VLOOKUP($A139,[1]!CurveTable,MATCH($W$4,[1]!CurveType,0))+$W$9</f>
        <v>0.17</v>
      </c>
      <c r="X139" s="155" t="n">
        <f aca="false">VLOOKUP($A139,[1]!CurveTable,MATCH($X$4,[1]!CurveType,0))+$X$9</f>
        <v>0.175</v>
      </c>
      <c r="Y139" s="139" t="n">
        <f aca="false">SQRT((X139^2*($A139-$C$3)+W139^2*(DAY(EOMONTH(A139,0))/2))/$AN139)</f>
        <v>0.174016160919368</v>
      </c>
      <c r="Z139" s="152"/>
      <c r="AA139" s="153" t="n">
        <f aca="false">G139+P139+S139</f>
        <v>4.9075</v>
      </c>
      <c r="AB139" s="154"/>
      <c r="AC139" s="155" t="n">
        <f aca="false">VLOOKUP($A139,[1]!CurveTable,MATCH($AC$4,[1]!CurveType,0))+$AC$9</f>
        <v>0.17</v>
      </c>
      <c r="AD139" s="155" t="n">
        <f aca="false">VLOOKUP($A139,[1]!CurveTable,MATCH($AD$4,[1]!CurveType,0))+$AD$9</f>
        <v>0.175</v>
      </c>
      <c r="AE139" s="139" t="n">
        <f aca="false">SQRT((AD139^2*($A139-$C$3)+AC139^2*(DAY(EOMONTH(A139,0))/2))/$AN139)</f>
        <v>0.174016160919368</v>
      </c>
      <c r="AF139" s="152"/>
      <c r="AG139" s="156" t="n">
        <f aca="false">((Inputs!$F$20*(X139*AD139)*(A139-$C$3))+(Inputs!$F$19*W139*AC139*(DAY(EOMONTH(A139,0))/2)))/(AN139*Y139*AE139)</f>
        <v>0.75</v>
      </c>
      <c r="AH139" s="152"/>
      <c r="AI139" s="140" t="n">
        <f aca="false">Inputs!$B$15</f>
        <v>0.06</v>
      </c>
      <c r="AJ139" s="157"/>
      <c r="AK139" s="140" t="n">
        <f aca="false">IF((U139-AA139-AI139)&lt;0,0,(U139-AA139-AI139))</f>
        <v>0.0360000000000001</v>
      </c>
      <c r="AL139" s="157"/>
      <c r="AM139" s="158" t="n">
        <f aca="false">WORKDAY(EOMONTH(A139-1,-1),0)</f>
        <v>42035</v>
      </c>
      <c r="AN139" s="159" t="n">
        <f aca="false">AM139-$C$3</f>
        <v>-3891</v>
      </c>
      <c r="AO139" s="159" t="n">
        <f aca="false">AO138</f>
        <v>1</v>
      </c>
      <c r="AP139" s="160"/>
      <c r="AQ139" s="161" t="e">
        <f aca="false">SPRDOPT(U139,AA139,AI139,AX139,X139,AD139,AG139,AN139,AO139,0)</f>
        <v>#NAME?</v>
      </c>
      <c r="AR139" s="162" t="e">
        <f aca="false">AQ139*C139</f>
        <v>#NAME?</v>
      </c>
      <c r="AS139" s="163" t="e">
        <f aca="false">AQ139-AK139</f>
        <v>#NAME?</v>
      </c>
      <c r="AU139" s="112" t="n">
        <f aca="false">A140-A139</f>
        <v>31</v>
      </c>
      <c r="AV139" s="164" t="n">
        <f aca="false">CHOOSE(F$3,A140+24,A139+14)</f>
        <v>42078</v>
      </c>
      <c r="AW139" s="49" t="n">
        <f aca="false">AV139-C$3</f>
        <v>-3848</v>
      </c>
      <c r="AX139" s="155" t="n">
        <f aca="false">VLOOKUP($A139,[1]!CurveTable,MATCH(AX$4,[1]!CurveType,0))</f>
        <v>0.0571800450957669</v>
      </c>
      <c r="AY139" s="165" t="n">
        <f aca="false">1/(1+CHOOSE(F$3,(AX140+(Inputs!$B$14/10000))/2,(AX139+(Inputs!$B$14/10000))/2))^(2*AW139/365.25)</f>
        <v>1.81113795386338</v>
      </c>
      <c r="AZ139" s="49" t="n">
        <f aca="false">IF(AND(mthbeg&lt;=A139,mthend&gt;=A139),1,0)</f>
        <v>0</v>
      </c>
      <c r="BA139" s="111" t="n">
        <f aca="false">AU139*AZ139</f>
        <v>0</v>
      </c>
      <c r="BC139" s="142" t="n">
        <f aca="false">E139*$D139</f>
        <v>0</v>
      </c>
      <c r="BD139" s="142" t="n">
        <f aca="false">F139*$D139</f>
        <v>0</v>
      </c>
      <c r="BE139" s="142" t="n">
        <f aca="false">G139*$D139</f>
        <v>0</v>
      </c>
      <c r="BF139" s="142" t="n">
        <f aca="false">H139*$D139</f>
        <v>0</v>
      </c>
      <c r="BG139" s="142" t="n">
        <f aca="false">I139*$D139</f>
        <v>0</v>
      </c>
      <c r="BH139" s="142" t="n">
        <f aca="false">J139*$D139</f>
        <v>0</v>
      </c>
      <c r="BI139" s="142" t="n">
        <f aca="false">K139*$D139</f>
        <v>0</v>
      </c>
      <c r="BJ139" s="142" t="n">
        <f aca="false">L139*$D139</f>
        <v>0</v>
      </c>
      <c r="BK139" s="142" t="n">
        <f aca="false">M139*$D139</f>
        <v>0</v>
      </c>
      <c r="BL139" s="142" t="n">
        <f aca="false">N139*$D139</f>
        <v>0</v>
      </c>
      <c r="BM139" s="142" t="n">
        <f aca="false">O139*$D139</f>
        <v>0</v>
      </c>
      <c r="BN139" s="142" t="n">
        <f aca="false">P139*$D139</f>
        <v>0</v>
      </c>
      <c r="BO139" s="142" t="n">
        <f aca="false">Q139*$D139</f>
        <v>0</v>
      </c>
      <c r="BP139" s="142" t="n">
        <f aca="false">R139*$D139</f>
        <v>0</v>
      </c>
      <c r="BQ139" s="142" t="n">
        <f aca="false">S139*$D139</f>
        <v>0</v>
      </c>
      <c r="BR139" s="142" t="n">
        <f aca="false">U139*$D139</f>
        <v>0</v>
      </c>
      <c r="BS139" s="142" t="n">
        <f aca="false">AA139*$D139</f>
        <v>0</v>
      </c>
      <c r="BT139" s="142" t="n">
        <f aca="false">AI139*$D139</f>
        <v>0</v>
      </c>
      <c r="BU139" s="142" t="n">
        <f aca="false">AK139*D139</f>
        <v>0</v>
      </c>
    </row>
    <row r="140" customFormat="false" ht="12.75" hidden="false" customHeight="false" outlineLevel="0" collapsed="false">
      <c r="A140" s="144" t="n">
        <f aca="false">EDATE(A139,1)</f>
        <v>42095</v>
      </c>
      <c r="B140" s="145" t="n">
        <f aca="false">Inputs!$B$8</f>
        <v>50000</v>
      </c>
      <c r="C140" s="146" t="n">
        <f aca="false">IF(AZ140=0,0,IF(AND(AZ140=1,$H$3=1),B140*AU140,IF($H$3=2,B140,"N/A")))</f>
        <v>0</v>
      </c>
      <c r="D140" s="146" t="n">
        <f aca="false">C140*AY140</f>
        <v>0</v>
      </c>
      <c r="E140" s="147" t="n">
        <f aca="false">VLOOKUP($A140,[1]!CurveTable,MATCH($E$4,[1]!CurveType,0))</f>
        <v>4.6795</v>
      </c>
      <c r="F140" s="148" t="n">
        <f aca="false">E140-Inputs!$B$16</f>
        <v>4.7345</v>
      </c>
      <c r="G140" s="149" t="n">
        <f aca="false">F140</f>
        <v>4.7345</v>
      </c>
      <c r="H140" s="147" t="n">
        <f aca="false">VLOOKUP($A140,[1]!CurveTable,MATCH($H$4,[1]!CurveType,0))</f>
        <v>0.55</v>
      </c>
      <c r="I140" s="148" t="n">
        <f aca="false">H140+Inputs!$B$22</f>
        <v>0.55</v>
      </c>
      <c r="J140" s="150" t="n">
        <f aca="false">I140</f>
        <v>0.55</v>
      </c>
      <c r="K140" s="147" t="n">
        <f aca="false">VLOOKUP($A140,[1]!CurveTable,MATCH($K$4,[1]!CurveType,0))</f>
        <v>0</v>
      </c>
      <c r="L140" s="148" t="n">
        <v>0</v>
      </c>
      <c r="M140" s="151" t="n">
        <f aca="false">L140</f>
        <v>0</v>
      </c>
      <c r="N140" s="147" t="n">
        <f aca="false">VLOOKUP($A140,[1]!CurveTable,MATCH($N$4,[1]!CurveType,0))</f>
        <v>0.019</v>
      </c>
      <c r="O140" s="148" t="n">
        <f aca="false">N140+Inputs!$E$22</f>
        <v>0.019</v>
      </c>
      <c r="P140" s="151" t="n">
        <f aca="false">O140</f>
        <v>0.019</v>
      </c>
      <c r="Q140" s="147" t="n">
        <f aca="false">VLOOKUP($A140,[1]!CurveTable,MATCH($Q$4,[1]!CurveType,0))</f>
        <v>0.01</v>
      </c>
      <c r="R140" s="148" t="n">
        <v>0</v>
      </c>
      <c r="S140" s="151" t="n">
        <f aca="false">R140</f>
        <v>0</v>
      </c>
      <c r="T140" s="152"/>
      <c r="U140" s="153" t="n">
        <f aca="false">G140+J140</f>
        <v>5.2845</v>
      </c>
      <c r="V140" s="154"/>
      <c r="W140" s="155" t="n">
        <f aca="false">VLOOKUP($A140,[1]!CurveTable,MATCH($W$4,[1]!CurveType,0))+$W$9</f>
        <v>0.17</v>
      </c>
      <c r="X140" s="155" t="n">
        <f aca="false">VLOOKUP($A140,[1]!CurveTable,MATCH($X$4,[1]!CurveType,0))+$X$9</f>
        <v>0.175</v>
      </c>
      <c r="Y140" s="139" t="n">
        <f aca="false">SQRT((X140^2*($A140-$C$3)+W140^2*(DAY(EOMONTH(A140,0))/2))/$AN140)</f>
        <v>0.173951408945393</v>
      </c>
      <c r="Z140" s="152"/>
      <c r="AA140" s="153" t="n">
        <f aca="false">G140+P140+S140</f>
        <v>4.7535</v>
      </c>
      <c r="AB140" s="154"/>
      <c r="AC140" s="155" t="n">
        <f aca="false">VLOOKUP($A140,[1]!CurveTable,MATCH($AC$4,[1]!CurveType,0))+$AC$9</f>
        <v>0.17</v>
      </c>
      <c r="AD140" s="155" t="n">
        <f aca="false">VLOOKUP($A140,[1]!CurveTable,MATCH($AD$4,[1]!CurveType,0))+$AD$9</f>
        <v>0.175</v>
      </c>
      <c r="AE140" s="139" t="n">
        <f aca="false">SQRT((AD140^2*($A140-$C$3)+AC140^2*(DAY(EOMONTH(A140,0))/2))/$AN140)</f>
        <v>0.173951408945393</v>
      </c>
      <c r="AF140" s="152"/>
      <c r="AG140" s="156" t="n">
        <f aca="false">((Inputs!$F$20*(X140*AD140)*(A140-$C$3))+(Inputs!$F$19*W140*AC140*(DAY(EOMONTH(A140,0))/2)))/(AN140*Y140*AE140)</f>
        <v>0.75</v>
      </c>
      <c r="AH140" s="152"/>
      <c r="AI140" s="140" t="n">
        <f aca="false">Inputs!$B$15</f>
        <v>0.06</v>
      </c>
      <c r="AJ140" s="157"/>
      <c r="AK140" s="140" t="n">
        <f aca="false">IF((U140-AA140-AI140)&lt;0,0,(U140-AA140-AI140))</f>
        <v>0.471</v>
      </c>
      <c r="AL140" s="157"/>
      <c r="AM140" s="158" t="n">
        <f aca="false">WORKDAY(EOMONTH(A140-1,-1),0)</f>
        <v>42063</v>
      </c>
      <c r="AN140" s="159" t="n">
        <f aca="false">AM140-$C$3</f>
        <v>-3863</v>
      </c>
      <c r="AO140" s="159" t="n">
        <f aca="false">AO139</f>
        <v>1</v>
      </c>
      <c r="AP140" s="160"/>
      <c r="AQ140" s="161" t="e">
        <f aca="false">SPRDOPT(U140,AA140,AI140,AX140,X140,AD140,AG140,AN140,AO140,0)</f>
        <v>#NAME?</v>
      </c>
      <c r="AR140" s="162" t="e">
        <f aca="false">AQ140*C140</f>
        <v>#NAME?</v>
      </c>
      <c r="AS140" s="163" t="e">
        <f aca="false">AQ140-AK140</f>
        <v>#NAME?</v>
      </c>
      <c r="AU140" s="112" t="n">
        <f aca="false">A141-A140</f>
        <v>30</v>
      </c>
      <c r="AV140" s="164" t="n">
        <f aca="false">CHOOSE(F$3,A141+24,A140+14)</f>
        <v>42109</v>
      </c>
      <c r="AW140" s="49" t="n">
        <f aca="false">AV140-C$3</f>
        <v>-3817</v>
      </c>
      <c r="AX140" s="155" t="n">
        <f aca="false">VLOOKUP($A140,[1]!CurveTable,MATCH(AX$4,[1]!CurveType,0))</f>
        <v>0.057238257839153</v>
      </c>
      <c r="AY140" s="165" t="n">
        <f aca="false">1/(1+CHOOSE(F$3,(AX141+(Inputs!$B$14/10000))/2,(AX140+(Inputs!$B$14/10000))/2))^(2*AW140/365.25)</f>
        <v>1.80355874882287</v>
      </c>
      <c r="AZ140" s="49" t="n">
        <f aca="false">IF(AND(mthbeg&lt;=A140,mthend&gt;=A140),1,0)</f>
        <v>0</v>
      </c>
      <c r="BA140" s="111" t="n">
        <f aca="false">AU140*AZ140</f>
        <v>0</v>
      </c>
      <c r="BC140" s="142" t="n">
        <f aca="false">E140*$D140</f>
        <v>0</v>
      </c>
      <c r="BD140" s="142" t="n">
        <f aca="false">F140*$D140</f>
        <v>0</v>
      </c>
      <c r="BE140" s="142" t="n">
        <f aca="false">G140*$D140</f>
        <v>0</v>
      </c>
      <c r="BF140" s="142" t="n">
        <f aca="false">H140*$D140</f>
        <v>0</v>
      </c>
      <c r="BG140" s="142" t="n">
        <f aca="false">I140*$D140</f>
        <v>0</v>
      </c>
      <c r="BH140" s="142" t="n">
        <f aca="false">J140*$D140</f>
        <v>0</v>
      </c>
      <c r="BI140" s="142" t="n">
        <f aca="false">K140*$D140</f>
        <v>0</v>
      </c>
      <c r="BJ140" s="142" t="n">
        <f aca="false">L140*$D140</f>
        <v>0</v>
      </c>
      <c r="BK140" s="142" t="n">
        <f aca="false">M140*$D140</f>
        <v>0</v>
      </c>
      <c r="BL140" s="142" t="n">
        <f aca="false">N140*$D140</f>
        <v>0</v>
      </c>
      <c r="BM140" s="142" t="n">
        <f aca="false">O140*$D140</f>
        <v>0</v>
      </c>
      <c r="BN140" s="142" t="n">
        <f aca="false">P140*$D140</f>
        <v>0</v>
      </c>
      <c r="BO140" s="142" t="n">
        <f aca="false">Q140*$D140</f>
        <v>0</v>
      </c>
      <c r="BP140" s="142" t="n">
        <f aca="false">R140*$D140</f>
        <v>0</v>
      </c>
      <c r="BQ140" s="142" t="n">
        <f aca="false">S140*$D140</f>
        <v>0</v>
      </c>
      <c r="BR140" s="142" t="n">
        <f aca="false">U140*$D140</f>
        <v>0</v>
      </c>
      <c r="BS140" s="142" t="n">
        <f aca="false">AA140*$D140</f>
        <v>0</v>
      </c>
      <c r="BT140" s="142" t="n">
        <f aca="false">AI140*$D140</f>
        <v>0</v>
      </c>
      <c r="BU140" s="142" t="n">
        <f aca="false">AK140*D140</f>
        <v>0</v>
      </c>
    </row>
    <row r="141" customFormat="false" ht="12.75" hidden="false" customHeight="false" outlineLevel="0" collapsed="false">
      <c r="A141" s="144" t="n">
        <f aca="false">EDATE(A140,1)</f>
        <v>42125</v>
      </c>
      <c r="B141" s="145" t="n">
        <f aca="false">Inputs!$B$8</f>
        <v>50000</v>
      </c>
      <c r="C141" s="146" t="n">
        <f aca="false">IF(AZ141=0,0,IF(AND(AZ141=1,$H$3=1),B141*AU141,IF($H$3=2,B141,"N/A")))</f>
        <v>0</v>
      </c>
      <c r="D141" s="146" t="n">
        <f aca="false">C141*AY141</f>
        <v>0</v>
      </c>
      <c r="E141" s="147" t="n">
        <f aca="false">VLOOKUP($A141,[1]!CurveTable,MATCH($E$4,[1]!CurveType,0))</f>
        <v>4.6845</v>
      </c>
      <c r="F141" s="148" t="n">
        <f aca="false">E141-Inputs!$B$16</f>
        <v>4.7395</v>
      </c>
      <c r="G141" s="149" t="n">
        <f aca="false">F141</f>
        <v>4.7395</v>
      </c>
      <c r="H141" s="147" t="n">
        <f aca="false">VLOOKUP($A141,[1]!CurveTable,MATCH($H$4,[1]!CurveType,0))</f>
        <v>0.7</v>
      </c>
      <c r="I141" s="148" t="n">
        <f aca="false">H141+Inputs!$B$22</f>
        <v>0.7</v>
      </c>
      <c r="J141" s="150" t="n">
        <f aca="false">I141</f>
        <v>0.7</v>
      </c>
      <c r="K141" s="147" t="n">
        <f aca="false">VLOOKUP($A141,[1]!CurveTable,MATCH($K$4,[1]!CurveType,0))</f>
        <v>0</v>
      </c>
      <c r="L141" s="148" t="n">
        <v>0</v>
      </c>
      <c r="M141" s="151" t="n">
        <f aca="false">L141</f>
        <v>0</v>
      </c>
      <c r="N141" s="147" t="n">
        <f aca="false">VLOOKUP($A141,[1]!CurveTable,MATCH($N$4,[1]!CurveType,0))</f>
        <v>0.0215</v>
      </c>
      <c r="O141" s="148" t="n">
        <f aca="false">N141+Inputs!$E$22</f>
        <v>0.0215</v>
      </c>
      <c r="P141" s="151" t="n">
        <f aca="false">O141</f>
        <v>0.0215</v>
      </c>
      <c r="Q141" s="147" t="n">
        <f aca="false">VLOOKUP($A141,[1]!CurveTable,MATCH($Q$4,[1]!CurveType,0))</f>
        <v>0.01</v>
      </c>
      <c r="R141" s="148" t="n">
        <v>0</v>
      </c>
      <c r="S141" s="151" t="n">
        <f aca="false">R141</f>
        <v>0</v>
      </c>
      <c r="T141" s="152"/>
      <c r="U141" s="153" t="n">
        <f aca="false">G141+J141</f>
        <v>5.4395</v>
      </c>
      <c r="V141" s="154"/>
      <c r="W141" s="155" t="n">
        <f aca="false">VLOOKUP($A141,[1]!CurveTable,MATCH($W$4,[1]!CurveType,0))+$W$9</f>
        <v>0.34</v>
      </c>
      <c r="X141" s="155" t="n">
        <f aca="false">VLOOKUP($A141,[1]!CurveTable,MATCH($X$4,[1]!CurveType,0))+$X$9</f>
        <v>0.345</v>
      </c>
      <c r="Y141" s="139" t="n">
        <f aca="false">SQRT((X141^2*($A141-$C$3)+W141^2*(DAY(EOMONTH(A141,0))/2))/$AN141)</f>
        <v>0.342920583163207</v>
      </c>
      <c r="Z141" s="152"/>
      <c r="AA141" s="153" t="n">
        <f aca="false">G141+P141+S141</f>
        <v>4.761</v>
      </c>
      <c r="AB141" s="154"/>
      <c r="AC141" s="155" t="n">
        <f aca="false">VLOOKUP($A141,[1]!CurveTable,MATCH($AC$4,[1]!CurveType,0))+$AC$9</f>
        <v>0.17</v>
      </c>
      <c r="AD141" s="155" t="n">
        <f aca="false">VLOOKUP($A141,[1]!CurveTable,MATCH($AD$4,[1]!CurveType,0))+$AD$9</f>
        <v>0.175</v>
      </c>
      <c r="AE141" s="139" t="n">
        <f aca="false">SQRT((AD141^2*($A141-$C$3)+AC141^2*(DAY(EOMONTH(A141,0))/2))/$AN141)</f>
        <v>0.173955033273696</v>
      </c>
      <c r="AF141" s="152"/>
      <c r="AG141" s="156" t="n">
        <f aca="false">((Inputs!$F$20*(X141*AD141)*(A141-$C$3))+(Inputs!$F$19*W141*AC141*(DAY(EOMONTH(A141,0))/2)))/(AN141*Y141*AE141)</f>
        <v>0.75000030548261</v>
      </c>
      <c r="AH141" s="152"/>
      <c r="AI141" s="140" t="n">
        <f aca="false">Inputs!$B$15</f>
        <v>0.06</v>
      </c>
      <c r="AJ141" s="157"/>
      <c r="AK141" s="140" t="n">
        <f aca="false">IF((U141-AA141-AI141)&lt;0,0,(U141-AA141-AI141))</f>
        <v>0.618500000000001</v>
      </c>
      <c r="AL141" s="157"/>
      <c r="AM141" s="158" t="n">
        <f aca="false">WORKDAY(EOMONTH(A141-1,-1),0)</f>
        <v>42094</v>
      </c>
      <c r="AN141" s="159" t="n">
        <f aca="false">AM141-$C$3</f>
        <v>-3832</v>
      </c>
      <c r="AO141" s="159" t="n">
        <f aca="false">AO140</f>
        <v>1</v>
      </c>
      <c r="AP141" s="160"/>
      <c r="AQ141" s="161" t="e">
        <f aca="false">SPRDOPT(U141,AA141,AI141,AX141,X141,AD141,AG141,AN141,AO141,0)</f>
        <v>#NAME?</v>
      </c>
      <c r="AR141" s="162" t="e">
        <f aca="false">AQ141*C141</f>
        <v>#NAME?</v>
      </c>
      <c r="AS141" s="163" t="e">
        <f aca="false">AQ141-AK141</f>
        <v>#NAME?</v>
      </c>
      <c r="AU141" s="112" t="n">
        <f aca="false">A142-A141</f>
        <v>31</v>
      </c>
      <c r="AV141" s="164" t="n">
        <f aca="false">CHOOSE(F$3,A142+24,A141+14)</f>
        <v>42139</v>
      </c>
      <c r="AW141" s="49" t="n">
        <f aca="false">AV141-C$3</f>
        <v>-3787</v>
      </c>
      <c r="AX141" s="155" t="n">
        <f aca="false">VLOOKUP($A141,[1]!CurveTable,MATCH(AX$4,[1]!CurveType,0))</f>
        <v>0.0572945927531814</v>
      </c>
      <c r="AY141" s="165" t="n">
        <f aca="false">1/(1+CHOOSE(F$3,(AX142+(Inputs!$B$14/10000))/2,(AX141+(Inputs!$B$14/10000))/2))^(2*AW141/365.25)</f>
        <v>1.79623777642714</v>
      </c>
      <c r="AZ141" s="49" t="n">
        <f aca="false">IF(AND(mthbeg&lt;=A141,mthend&gt;=A141),1,0)</f>
        <v>0</v>
      </c>
      <c r="BA141" s="111" t="n">
        <f aca="false">AU141*AZ141</f>
        <v>0</v>
      </c>
      <c r="BC141" s="142" t="n">
        <f aca="false">E141*$D141</f>
        <v>0</v>
      </c>
      <c r="BD141" s="142" t="n">
        <f aca="false">F141*$D141</f>
        <v>0</v>
      </c>
      <c r="BE141" s="142" t="n">
        <f aca="false">G141*$D141</f>
        <v>0</v>
      </c>
      <c r="BF141" s="142" t="n">
        <f aca="false">H141*$D141</f>
        <v>0</v>
      </c>
      <c r="BG141" s="142" t="n">
        <f aca="false">I141*$D141</f>
        <v>0</v>
      </c>
      <c r="BH141" s="142" t="n">
        <f aca="false">J141*$D141</f>
        <v>0</v>
      </c>
      <c r="BI141" s="142" t="n">
        <f aca="false">K141*$D141</f>
        <v>0</v>
      </c>
      <c r="BJ141" s="142" t="n">
        <f aca="false">L141*$D141</f>
        <v>0</v>
      </c>
      <c r="BK141" s="142" t="n">
        <f aca="false">M141*$D141</f>
        <v>0</v>
      </c>
      <c r="BL141" s="142" t="n">
        <f aca="false">N141*$D141</f>
        <v>0</v>
      </c>
      <c r="BM141" s="142" t="n">
        <f aca="false">O141*$D141</f>
        <v>0</v>
      </c>
      <c r="BN141" s="142" t="n">
        <f aca="false">P141*$D141</f>
        <v>0</v>
      </c>
      <c r="BO141" s="142" t="n">
        <f aca="false">Q141*$D141</f>
        <v>0</v>
      </c>
      <c r="BP141" s="142" t="n">
        <f aca="false">R141*$D141</f>
        <v>0</v>
      </c>
      <c r="BQ141" s="142" t="n">
        <f aca="false">S141*$D141</f>
        <v>0</v>
      </c>
      <c r="BR141" s="142" t="n">
        <f aca="false">U141*$D141</f>
        <v>0</v>
      </c>
      <c r="BS141" s="142" t="n">
        <f aca="false">AA141*$D141</f>
        <v>0</v>
      </c>
      <c r="BT141" s="142" t="n">
        <f aca="false">AI141*$D141</f>
        <v>0</v>
      </c>
      <c r="BU141" s="142" t="n">
        <f aca="false">AK141*D141</f>
        <v>0</v>
      </c>
    </row>
    <row r="142" customFormat="false" ht="12.75" hidden="false" customHeight="false" outlineLevel="0" collapsed="false">
      <c r="A142" s="144" t="n">
        <f aca="false">EDATE(A141,1)</f>
        <v>42156</v>
      </c>
      <c r="B142" s="145" t="n">
        <f aca="false">Inputs!$B$8</f>
        <v>50000</v>
      </c>
      <c r="C142" s="146" t="n">
        <f aca="false">IF(AZ142=0,0,IF(AND(AZ142=1,$H$3=1),B142*AU142,IF($H$3=2,B142,"N/A")))</f>
        <v>0</v>
      </c>
      <c r="D142" s="146" t="n">
        <f aca="false">C142*AY142</f>
        <v>0</v>
      </c>
      <c r="E142" s="147" t="n">
        <f aca="false">VLOOKUP($A142,[1]!CurveTable,MATCH($E$4,[1]!CurveType,0))</f>
        <v>4.7225</v>
      </c>
      <c r="F142" s="148" t="n">
        <f aca="false">E142-Inputs!$B$16</f>
        <v>4.7775</v>
      </c>
      <c r="G142" s="149" t="n">
        <f aca="false">F142</f>
        <v>4.7775</v>
      </c>
      <c r="H142" s="147" t="n">
        <f aca="false">VLOOKUP($A142,[1]!CurveTable,MATCH($H$4,[1]!CurveType,0))</f>
        <v>0.8</v>
      </c>
      <c r="I142" s="148" t="n">
        <f aca="false">H142+Inputs!$B$22</f>
        <v>0.8</v>
      </c>
      <c r="J142" s="150" t="n">
        <f aca="false">I142</f>
        <v>0.8</v>
      </c>
      <c r="K142" s="147" t="n">
        <f aca="false">VLOOKUP($A142,[1]!CurveTable,MATCH($K$4,[1]!CurveType,0))</f>
        <v>0</v>
      </c>
      <c r="L142" s="148" t="n">
        <v>0</v>
      </c>
      <c r="M142" s="151" t="n">
        <f aca="false">L142</f>
        <v>0</v>
      </c>
      <c r="N142" s="147" t="n">
        <f aca="false">VLOOKUP($A142,[1]!CurveTable,MATCH($N$4,[1]!CurveType,0))</f>
        <v>0.019</v>
      </c>
      <c r="O142" s="148" t="n">
        <f aca="false">N142+Inputs!$E$22</f>
        <v>0.019</v>
      </c>
      <c r="P142" s="151" t="n">
        <f aca="false">O142</f>
        <v>0.019</v>
      </c>
      <c r="Q142" s="147" t="n">
        <f aca="false">VLOOKUP($A142,[1]!CurveTable,MATCH($Q$4,[1]!CurveType,0))</f>
        <v>0.01</v>
      </c>
      <c r="R142" s="148" t="n">
        <v>0</v>
      </c>
      <c r="S142" s="151" t="n">
        <f aca="false">R142</f>
        <v>0</v>
      </c>
      <c r="T142" s="152"/>
      <c r="U142" s="153" t="n">
        <f aca="false">G142+J142</f>
        <v>5.5775</v>
      </c>
      <c r="V142" s="154"/>
      <c r="W142" s="155" t="n">
        <f aca="false">VLOOKUP($A142,[1]!CurveTable,MATCH($W$4,[1]!CurveType,0))+$W$9</f>
        <v>0.34</v>
      </c>
      <c r="X142" s="155" t="n">
        <f aca="false">VLOOKUP($A142,[1]!CurveTable,MATCH($X$4,[1]!CurveType,0))+$X$9</f>
        <v>0.345</v>
      </c>
      <c r="Y142" s="139" t="n">
        <f aca="false">SQRT((X142^2*($A142-$C$3)+W142^2*(DAY(EOMONTH(A142,0))/2))/$AN142)</f>
        <v>0.342880643545306</v>
      </c>
      <c r="Z142" s="152"/>
      <c r="AA142" s="153" t="n">
        <f aca="false">G142+P142+S142</f>
        <v>4.7965</v>
      </c>
      <c r="AB142" s="154"/>
      <c r="AC142" s="155" t="n">
        <f aca="false">VLOOKUP($A142,[1]!CurveTable,MATCH($AC$4,[1]!CurveType,0))+$AC$9</f>
        <v>0.17</v>
      </c>
      <c r="AD142" s="155" t="n">
        <f aca="false">VLOOKUP($A142,[1]!CurveTable,MATCH($AD$4,[1]!CurveType,0))+$AD$9</f>
        <v>0.175</v>
      </c>
      <c r="AE142" s="139" t="n">
        <f aca="false">SQRT((AD142^2*($A142-$C$3)+AC142^2*(DAY(EOMONTH(A142,0))/2))/$AN142)</f>
        <v>0.173934533628107</v>
      </c>
      <c r="AF142" s="152"/>
      <c r="AG142" s="156" t="n">
        <f aca="false">((Inputs!$F$20*(X142*AD142)*(A142-$C$3))+(Inputs!$F$19*W142*AC142*(DAY(EOMONTH(A142,0))/2)))/(AN142*Y142*AE142)</f>
        <v>0.750000298002457</v>
      </c>
      <c r="AH142" s="152"/>
      <c r="AI142" s="140" t="n">
        <f aca="false">Inputs!$B$15</f>
        <v>0.06</v>
      </c>
      <c r="AJ142" s="157"/>
      <c r="AK142" s="140" t="n">
        <f aca="false">IF((U142-AA142-AI142)&lt;0,0,(U142-AA142-AI142))</f>
        <v>0.721</v>
      </c>
      <c r="AL142" s="157"/>
      <c r="AM142" s="158" t="n">
        <f aca="false">WORKDAY(EOMONTH(A142-1,-1),0)</f>
        <v>42124</v>
      </c>
      <c r="AN142" s="159" t="n">
        <f aca="false">AM142-$C$3</f>
        <v>-3802</v>
      </c>
      <c r="AO142" s="159" t="n">
        <f aca="false">AO141</f>
        <v>1</v>
      </c>
      <c r="AP142" s="160"/>
      <c r="AQ142" s="161" t="e">
        <f aca="false">SPRDOPT(U142,AA142,AI142,AX142,X142,AD142,AG142,AN142,AO142,0)</f>
        <v>#NAME?</v>
      </c>
      <c r="AR142" s="162" t="e">
        <f aca="false">AQ142*C142</f>
        <v>#NAME?</v>
      </c>
      <c r="AS142" s="163" t="e">
        <f aca="false">AQ142-AK142</f>
        <v>#NAME?</v>
      </c>
      <c r="AU142" s="112" t="n">
        <f aca="false">A143-A142</f>
        <v>30</v>
      </c>
      <c r="AV142" s="164" t="n">
        <f aca="false">CHOOSE(F$3,A143+24,A142+14)</f>
        <v>42170</v>
      </c>
      <c r="AW142" s="49" t="n">
        <f aca="false">AV142-C$3</f>
        <v>-3756</v>
      </c>
      <c r="AX142" s="155" t="n">
        <f aca="false">VLOOKUP($A142,[1]!CurveTable,MATCH(AX$4,[1]!CurveType,0))</f>
        <v>0.0573528054987862</v>
      </c>
      <c r="AY142" s="165" t="n">
        <f aca="false">1/(1+CHOOSE(F$3,(AX143+(Inputs!$B$14/10000))/2,(AX142+(Inputs!$B$14/10000))/2))^(2*AW142/365.25)</f>
        <v>1.7886870550573</v>
      </c>
      <c r="AZ142" s="49" t="n">
        <f aca="false">IF(AND(mthbeg&lt;=A142,mthend&gt;=A142),1,0)</f>
        <v>0</v>
      </c>
      <c r="BA142" s="111" t="n">
        <f aca="false">AU142*AZ142</f>
        <v>0</v>
      </c>
      <c r="BC142" s="142" t="n">
        <f aca="false">E142*$D142</f>
        <v>0</v>
      </c>
      <c r="BD142" s="142" t="n">
        <f aca="false">F142*$D142</f>
        <v>0</v>
      </c>
      <c r="BE142" s="142" t="n">
        <f aca="false">G142*$D142</f>
        <v>0</v>
      </c>
      <c r="BF142" s="142" t="n">
        <f aca="false">H142*$D142</f>
        <v>0</v>
      </c>
      <c r="BG142" s="142" t="n">
        <f aca="false">I142*$D142</f>
        <v>0</v>
      </c>
      <c r="BH142" s="142" t="n">
        <f aca="false">J142*$D142</f>
        <v>0</v>
      </c>
      <c r="BI142" s="142" t="n">
        <f aca="false">K142*$D142</f>
        <v>0</v>
      </c>
      <c r="BJ142" s="142" t="n">
        <f aca="false">L142*$D142</f>
        <v>0</v>
      </c>
      <c r="BK142" s="142" t="n">
        <f aca="false">M142*$D142</f>
        <v>0</v>
      </c>
      <c r="BL142" s="142" t="n">
        <f aca="false">N142*$D142</f>
        <v>0</v>
      </c>
      <c r="BM142" s="142" t="n">
        <f aca="false">O142*$D142</f>
        <v>0</v>
      </c>
      <c r="BN142" s="142" t="n">
        <f aca="false">P142*$D142</f>
        <v>0</v>
      </c>
      <c r="BO142" s="142" t="n">
        <f aca="false">Q142*$D142</f>
        <v>0</v>
      </c>
      <c r="BP142" s="142" t="n">
        <f aca="false">R142*$D142</f>
        <v>0</v>
      </c>
      <c r="BQ142" s="142" t="n">
        <f aca="false">S142*$D142</f>
        <v>0</v>
      </c>
      <c r="BR142" s="142" t="n">
        <f aca="false">U142*$D142</f>
        <v>0</v>
      </c>
      <c r="BS142" s="142" t="n">
        <f aca="false">AA142*$D142</f>
        <v>0</v>
      </c>
      <c r="BT142" s="142" t="n">
        <f aca="false">AI142*$D142</f>
        <v>0</v>
      </c>
      <c r="BU142" s="142" t="n">
        <f aca="false">AK142*D142</f>
        <v>0</v>
      </c>
    </row>
    <row r="143" customFormat="false" ht="12.75" hidden="false" customHeight="false" outlineLevel="0" collapsed="false">
      <c r="A143" s="144" t="n">
        <f aca="false">EDATE(A142,1)</f>
        <v>42186</v>
      </c>
      <c r="B143" s="145" t="n">
        <f aca="false">Inputs!$B$8</f>
        <v>50000</v>
      </c>
      <c r="C143" s="146" t="n">
        <f aca="false">IF(AZ143=0,0,IF(AND(AZ143=1,$H$3=1),B143*AU143,IF($H$3=2,B143,"N/A")))</f>
        <v>0</v>
      </c>
      <c r="D143" s="146" t="n">
        <f aca="false">C143*AY143</f>
        <v>0</v>
      </c>
      <c r="E143" s="147" t="n">
        <f aca="false">VLOOKUP($A143,[1]!CurveTable,MATCH($E$4,[1]!CurveType,0))</f>
        <v>4.7675</v>
      </c>
      <c r="F143" s="148" t="n">
        <f aca="false">E143-Inputs!$B$16</f>
        <v>4.8225</v>
      </c>
      <c r="G143" s="149" t="n">
        <f aca="false">F143</f>
        <v>4.8225</v>
      </c>
      <c r="H143" s="147" t="n">
        <f aca="false">VLOOKUP($A143,[1]!CurveTable,MATCH($H$4,[1]!CurveType,0))</f>
        <v>1</v>
      </c>
      <c r="I143" s="148" t="n">
        <f aca="false">H143+Inputs!$B$22</f>
        <v>1</v>
      </c>
      <c r="J143" s="150" t="n">
        <f aca="false">I143</f>
        <v>1</v>
      </c>
      <c r="K143" s="147" t="n">
        <f aca="false">VLOOKUP($A143,[1]!CurveTable,MATCH($K$4,[1]!CurveType,0))</f>
        <v>0</v>
      </c>
      <c r="L143" s="148" t="n">
        <v>0</v>
      </c>
      <c r="M143" s="151" t="n">
        <f aca="false">L143</f>
        <v>0</v>
      </c>
      <c r="N143" s="147" t="n">
        <f aca="false">VLOOKUP($A143,[1]!CurveTable,MATCH($N$4,[1]!CurveType,0))</f>
        <v>0.0165</v>
      </c>
      <c r="O143" s="148" t="n">
        <f aca="false">N143+Inputs!$E$22</f>
        <v>0.0165</v>
      </c>
      <c r="P143" s="151" t="n">
        <f aca="false">O143</f>
        <v>0.0165</v>
      </c>
      <c r="Q143" s="147" t="n">
        <f aca="false">VLOOKUP($A143,[1]!CurveTable,MATCH($Q$4,[1]!CurveType,0))</f>
        <v>0.01</v>
      </c>
      <c r="R143" s="148" t="n">
        <v>0</v>
      </c>
      <c r="S143" s="151" t="n">
        <f aca="false">R143</f>
        <v>0</v>
      </c>
      <c r="T143" s="152"/>
      <c r="U143" s="153" t="n">
        <f aca="false">G143+J143</f>
        <v>5.8225</v>
      </c>
      <c r="V143" s="154"/>
      <c r="W143" s="155" t="n">
        <f aca="false">VLOOKUP($A143,[1]!CurveTable,MATCH($W$4,[1]!CurveType,0))+$W$9</f>
        <v>0.34</v>
      </c>
      <c r="X143" s="155" t="n">
        <f aca="false">VLOOKUP($A143,[1]!CurveTable,MATCH($X$4,[1]!CurveType,0))+$X$9</f>
        <v>0.345</v>
      </c>
      <c r="Y143" s="139" t="n">
        <f aca="false">SQRT((X143^2*($A143-$C$3)+W143^2*(DAY(EOMONTH(A143,0))/2))/$AN143)</f>
        <v>0.342886842704742</v>
      </c>
      <c r="Z143" s="152"/>
      <c r="AA143" s="153" t="n">
        <f aca="false">G143+P143+S143</f>
        <v>4.839</v>
      </c>
      <c r="AB143" s="154"/>
      <c r="AC143" s="155" t="n">
        <f aca="false">VLOOKUP($A143,[1]!CurveTable,MATCH($AC$4,[1]!CurveType,0))+$AC$9</f>
        <v>0.17</v>
      </c>
      <c r="AD143" s="155" t="n">
        <f aca="false">VLOOKUP($A143,[1]!CurveTable,MATCH($AD$4,[1]!CurveType,0))+$AD$9</f>
        <v>0.175</v>
      </c>
      <c r="AE143" s="139" t="n">
        <f aca="false">SQRT((AD143^2*($A143-$C$3)+AC143^2*(DAY(EOMONTH(A143,0))/2))/$AN143)</f>
        <v>0.173938078210927</v>
      </c>
      <c r="AF143" s="152"/>
      <c r="AG143" s="156" t="n">
        <f aca="false">((Inputs!$F$20*(X143*AD143)*(A143-$C$3))+(Inputs!$F$19*W143*AC143*(DAY(EOMONTH(A143,0))/2)))/(AN143*Y143*AE143)</f>
        <v>0.750000310504779</v>
      </c>
      <c r="AH143" s="152"/>
      <c r="AI143" s="140" t="n">
        <f aca="false">Inputs!$B$15</f>
        <v>0.06</v>
      </c>
      <c r="AJ143" s="157"/>
      <c r="AK143" s="140" t="n">
        <f aca="false">IF((U143-AA143-AI143)&lt;0,0,(U143-AA143-AI143))</f>
        <v>0.9235</v>
      </c>
      <c r="AL143" s="157"/>
      <c r="AM143" s="158" t="n">
        <f aca="false">WORKDAY(EOMONTH(A143-1,-1),0)</f>
        <v>42155</v>
      </c>
      <c r="AN143" s="159" t="n">
        <f aca="false">AM143-$C$3</f>
        <v>-3771</v>
      </c>
      <c r="AO143" s="159" t="n">
        <f aca="false">AO142</f>
        <v>1</v>
      </c>
      <c r="AP143" s="160"/>
      <c r="AQ143" s="161" t="e">
        <f aca="false">SPRDOPT(U143,AA143,AI143,AX143,X143,AD143,AG143,AN143,AO143,0)</f>
        <v>#NAME?</v>
      </c>
      <c r="AR143" s="162" t="e">
        <f aca="false">AQ143*C143</f>
        <v>#NAME?</v>
      </c>
      <c r="AS143" s="163" t="e">
        <f aca="false">AQ143-AK143</f>
        <v>#NAME?</v>
      </c>
      <c r="AU143" s="112" t="n">
        <f aca="false">A144-A143</f>
        <v>31</v>
      </c>
      <c r="AV143" s="164" t="n">
        <f aca="false">CHOOSE(F$3,A144+24,A143+14)</f>
        <v>42200</v>
      </c>
      <c r="AW143" s="49" t="n">
        <f aca="false">AV143-C$3</f>
        <v>-3726</v>
      </c>
      <c r="AX143" s="155" t="n">
        <f aca="false">VLOOKUP($A143,[1]!CurveTable,MATCH(AX$4,[1]!CurveType,0))</f>
        <v>0.0574091404149617</v>
      </c>
      <c r="AY143" s="165" t="n">
        <f aca="false">1/(1+CHOOSE(F$3,(AX144+(Inputs!$B$14/10000))/2,(AX143+(Inputs!$B$14/10000))/2))^(2*AW143/365.25)</f>
        <v>1.78139380695473</v>
      </c>
      <c r="AZ143" s="49" t="n">
        <f aca="false">IF(AND(mthbeg&lt;=A143,mthend&gt;=A143),1,0)</f>
        <v>0</v>
      </c>
      <c r="BA143" s="111" t="n">
        <f aca="false">AU143*AZ143</f>
        <v>0</v>
      </c>
      <c r="BC143" s="142" t="n">
        <f aca="false">E143*$D143</f>
        <v>0</v>
      </c>
      <c r="BD143" s="142" t="n">
        <f aca="false">F143*$D143</f>
        <v>0</v>
      </c>
      <c r="BE143" s="142" t="n">
        <f aca="false">G143*$D143</f>
        <v>0</v>
      </c>
      <c r="BF143" s="142" t="n">
        <f aca="false">H143*$D143</f>
        <v>0</v>
      </c>
      <c r="BG143" s="142" t="n">
        <f aca="false">I143*$D143</f>
        <v>0</v>
      </c>
      <c r="BH143" s="142" t="n">
        <f aca="false">J143*$D143</f>
        <v>0</v>
      </c>
      <c r="BI143" s="142" t="n">
        <f aca="false">K143*$D143</f>
        <v>0</v>
      </c>
      <c r="BJ143" s="142" t="n">
        <f aca="false">L143*$D143</f>
        <v>0</v>
      </c>
      <c r="BK143" s="142" t="n">
        <f aca="false">M143*$D143</f>
        <v>0</v>
      </c>
      <c r="BL143" s="142" t="n">
        <f aca="false">N143*$D143</f>
        <v>0</v>
      </c>
      <c r="BM143" s="142" t="n">
        <f aca="false">O143*$D143</f>
        <v>0</v>
      </c>
      <c r="BN143" s="142" t="n">
        <f aca="false">P143*$D143</f>
        <v>0</v>
      </c>
      <c r="BO143" s="142" t="n">
        <f aca="false">Q143*$D143</f>
        <v>0</v>
      </c>
      <c r="BP143" s="142" t="n">
        <f aca="false">R143*$D143</f>
        <v>0</v>
      </c>
      <c r="BQ143" s="142" t="n">
        <f aca="false">S143*$D143</f>
        <v>0</v>
      </c>
      <c r="BR143" s="142" t="n">
        <f aca="false">U143*$D143</f>
        <v>0</v>
      </c>
      <c r="BS143" s="142" t="n">
        <f aca="false">AA143*$D143</f>
        <v>0</v>
      </c>
      <c r="BT143" s="142" t="n">
        <f aca="false">AI143*$D143</f>
        <v>0</v>
      </c>
      <c r="BU143" s="142" t="n">
        <f aca="false">AK143*D143</f>
        <v>0</v>
      </c>
    </row>
    <row r="144" customFormat="false" ht="12.75" hidden="false" customHeight="false" outlineLevel="0" collapsed="false">
      <c r="A144" s="144" t="n">
        <f aca="false">EDATE(A143,1)</f>
        <v>42217</v>
      </c>
      <c r="B144" s="145" t="n">
        <f aca="false">Inputs!$B$8</f>
        <v>50000</v>
      </c>
      <c r="C144" s="146" t="n">
        <f aca="false">IF(AZ144=0,0,IF(AND(AZ144=1,$H$3=1),B144*AU144,IF($H$3=2,B144,"N/A")))</f>
        <v>0</v>
      </c>
      <c r="D144" s="146" t="n">
        <f aca="false">C144*AY144</f>
        <v>0</v>
      </c>
      <c r="E144" s="147" t="n">
        <f aca="false">VLOOKUP($A144,[1]!CurveTable,MATCH($E$4,[1]!CurveType,0))</f>
        <v>4.8055</v>
      </c>
      <c r="F144" s="148" t="n">
        <f aca="false">E144-Inputs!$B$16</f>
        <v>4.8605</v>
      </c>
      <c r="G144" s="149" t="n">
        <f aca="false">F144</f>
        <v>4.8605</v>
      </c>
      <c r="H144" s="147" t="n">
        <f aca="false">VLOOKUP($A144,[1]!CurveTable,MATCH($H$4,[1]!CurveType,0))</f>
        <v>1</v>
      </c>
      <c r="I144" s="148" t="n">
        <f aca="false">H144+Inputs!$B$22</f>
        <v>1</v>
      </c>
      <c r="J144" s="150" t="n">
        <f aca="false">I144</f>
        <v>1</v>
      </c>
      <c r="K144" s="147" t="n">
        <f aca="false">VLOOKUP($A144,[1]!CurveTable,MATCH($K$4,[1]!CurveType,0))</f>
        <v>0</v>
      </c>
      <c r="L144" s="148" t="n">
        <v>0</v>
      </c>
      <c r="M144" s="151" t="n">
        <f aca="false">L144</f>
        <v>0</v>
      </c>
      <c r="N144" s="147" t="n">
        <f aca="false">VLOOKUP($A144,[1]!CurveTable,MATCH($N$4,[1]!CurveType,0))</f>
        <v>0.0165</v>
      </c>
      <c r="O144" s="148" t="n">
        <f aca="false">N144+Inputs!$E$22</f>
        <v>0.0165</v>
      </c>
      <c r="P144" s="151" t="n">
        <f aca="false">O144</f>
        <v>0.0165</v>
      </c>
      <c r="Q144" s="147" t="n">
        <f aca="false">VLOOKUP($A144,[1]!CurveTable,MATCH($Q$4,[1]!CurveType,0))</f>
        <v>0.01</v>
      </c>
      <c r="R144" s="148" t="n">
        <v>0</v>
      </c>
      <c r="S144" s="151" t="n">
        <f aca="false">R144</f>
        <v>0</v>
      </c>
      <c r="T144" s="152"/>
      <c r="U144" s="153" t="n">
        <f aca="false">G144+J144</f>
        <v>5.8605</v>
      </c>
      <c r="V144" s="154"/>
      <c r="W144" s="155" t="n">
        <f aca="false">VLOOKUP($A144,[1]!CurveTable,MATCH($W$4,[1]!CurveType,0))+$W$9</f>
        <v>0.34</v>
      </c>
      <c r="X144" s="155" t="n">
        <f aca="false">VLOOKUP($A144,[1]!CurveTable,MATCH($X$4,[1]!CurveType,0))+$X$9</f>
        <v>0.345</v>
      </c>
      <c r="Y144" s="139" t="n">
        <f aca="false">SQRT((X144^2*($A144-$C$3)+W144^2*(DAY(EOMONTH(A144,0))/2))/$AN144)</f>
        <v>0.342823443859152</v>
      </c>
      <c r="Z144" s="152"/>
      <c r="AA144" s="153" t="n">
        <f aca="false">G144+P144+S144</f>
        <v>4.877</v>
      </c>
      <c r="AB144" s="154"/>
      <c r="AC144" s="155" t="n">
        <f aca="false">VLOOKUP($A144,[1]!CurveTable,MATCH($AC$4,[1]!CurveType,0))+$AC$9</f>
        <v>0.17</v>
      </c>
      <c r="AD144" s="155" t="n">
        <f aca="false">VLOOKUP($A144,[1]!CurveTable,MATCH($AD$4,[1]!CurveType,0))+$AD$9</f>
        <v>0.175</v>
      </c>
      <c r="AE144" s="139" t="n">
        <f aca="false">SQRT((AD144^2*($A144-$C$3)+AC144^2*(DAY(EOMONTH(A144,0))/2))/$AN144)</f>
        <v>0.173906001180884</v>
      </c>
      <c r="AF144" s="152"/>
      <c r="AG144" s="156" t="n">
        <f aca="false">((Inputs!$F$20*(X144*AD144)*(A144-$C$3))+(Inputs!$F$19*W144*AC144*(DAY(EOMONTH(A144,0))/2)))/(AN144*Y144*AE144)</f>
        <v>0.750000313120844</v>
      </c>
      <c r="AH144" s="152"/>
      <c r="AI144" s="140" t="n">
        <f aca="false">Inputs!$B$15</f>
        <v>0.06</v>
      </c>
      <c r="AJ144" s="157"/>
      <c r="AK144" s="140" t="n">
        <f aca="false">IF((U144-AA144-AI144)&lt;0,0,(U144-AA144-AI144))</f>
        <v>0.9235</v>
      </c>
      <c r="AL144" s="157"/>
      <c r="AM144" s="158" t="n">
        <f aca="false">WORKDAY(EOMONTH(A144-1,-1),0)</f>
        <v>42185</v>
      </c>
      <c r="AN144" s="159" t="n">
        <f aca="false">AM144-$C$3</f>
        <v>-3741</v>
      </c>
      <c r="AO144" s="159" t="n">
        <f aca="false">AO143</f>
        <v>1</v>
      </c>
      <c r="AP144" s="160"/>
      <c r="AQ144" s="161" t="e">
        <f aca="false">SPRDOPT(U144,AA144,AI144,AX144,X144,AD144,AG144,AN144,AO144,0)</f>
        <v>#NAME?</v>
      </c>
      <c r="AR144" s="162" t="e">
        <f aca="false">AQ144*C144</f>
        <v>#NAME?</v>
      </c>
      <c r="AS144" s="163" t="e">
        <f aca="false">AQ144-AK144</f>
        <v>#NAME?</v>
      </c>
      <c r="AU144" s="112" t="n">
        <f aca="false">A145-A144</f>
        <v>31</v>
      </c>
      <c r="AV144" s="164" t="n">
        <f aca="false">CHOOSE(F$3,A145+24,A144+14)</f>
        <v>42231</v>
      </c>
      <c r="AW144" s="49" t="n">
        <f aca="false">AV144-C$3</f>
        <v>-3695</v>
      </c>
      <c r="AX144" s="155" t="n">
        <f aca="false">VLOOKUP($A144,[1]!CurveTable,MATCH(AX$4,[1]!CurveType,0))</f>
        <v>0.0574673531627847</v>
      </c>
      <c r="AY144" s="165" t="n">
        <f aca="false">1/(1+CHOOSE(F$3,(AX145+(Inputs!$B$14/10000))/2,(AX144+(Inputs!$B$14/10000))/2))^(2*AW144/365.25)</f>
        <v>1.77387189728052</v>
      </c>
      <c r="AZ144" s="49" t="n">
        <f aca="false">IF(AND(mthbeg&lt;=A144,mthend&gt;=A144),1,0)</f>
        <v>0</v>
      </c>
      <c r="BA144" s="111" t="n">
        <f aca="false">AU144*AZ144</f>
        <v>0</v>
      </c>
      <c r="BC144" s="142" t="n">
        <f aca="false">E144*$D144</f>
        <v>0</v>
      </c>
      <c r="BD144" s="142" t="n">
        <f aca="false">F144*$D144</f>
        <v>0</v>
      </c>
      <c r="BE144" s="142" t="n">
        <f aca="false">G144*$D144</f>
        <v>0</v>
      </c>
      <c r="BF144" s="142" t="n">
        <f aca="false">H144*$D144</f>
        <v>0</v>
      </c>
      <c r="BG144" s="142" t="n">
        <f aca="false">I144*$D144</f>
        <v>0</v>
      </c>
      <c r="BH144" s="142" t="n">
        <f aca="false">J144*$D144</f>
        <v>0</v>
      </c>
      <c r="BI144" s="142" t="n">
        <f aca="false">K144*$D144</f>
        <v>0</v>
      </c>
      <c r="BJ144" s="142" t="n">
        <f aca="false">L144*$D144</f>
        <v>0</v>
      </c>
      <c r="BK144" s="142" t="n">
        <f aca="false">M144*$D144</f>
        <v>0</v>
      </c>
      <c r="BL144" s="142" t="n">
        <f aca="false">N144*$D144</f>
        <v>0</v>
      </c>
      <c r="BM144" s="142" t="n">
        <f aca="false">O144*$D144</f>
        <v>0</v>
      </c>
      <c r="BN144" s="142" t="n">
        <f aca="false">P144*$D144</f>
        <v>0</v>
      </c>
      <c r="BO144" s="142" t="n">
        <f aca="false">Q144*$D144</f>
        <v>0</v>
      </c>
      <c r="BP144" s="142" t="n">
        <f aca="false">R144*$D144</f>
        <v>0</v>
      </c>
      <c r="BQ144" s="142" t="n">
        <f aca="false">S144*$D144</f>
        <v>0</v>
      </c>
      <c r="BR144" s="142" t="n">
        <f aca="false">U144*$D144</f>
        <v>0</v>
      </c>
      <c r="BS144" s="142" t="n">
        <f aca="false">AA144*$D144</f>
        <v>0</v>
      </c>
      <c r="BT144" s="142" t="n">
        <f aca="false">AI144*$D144</f>
        <v>0</v>
      </c>
      <c r="BU144" s="142" t="n">
        <f aca="false">AK144*D144</f>
        <v>0</v>
      </c>
    </row>
    <row r="145" customFormat="false" ht="12.75" hidden="false" customHeight="false" outlineLevel="0" collapsed="false">
      <c r="A145" s="144" t="n">
        <f aca="false">EDATE(A144,1)</f>
        <v>42248</v>
      </c>
      <c r="B145" s="145" t="n">
        <f aca="false">Inputs!$B$8</f>
        <v>50000</v>
      </c>
      <c r="C145" s="146" t="n">
        <f aca="false">IF(AZ145=0,0,IF(AND(AZ145=1,$H$3=1),B145*AU145,IF($H$3=2,B145,"N/A")))</f>
        <v>0</v>
      </c>
      <c r="D145" s="146" t="n">
        <f aca="false">C145*AY145</f>
        <v>0</v>
      </c>
      <c r="E145" s="147" t="n">
        <f aca="false">VLOOKUP($A145,[1]!CurveTable,MATCH($E$4,[1]!CurveType,0))</f>
        <v>4.7995</v>
      </c>
      <c r="F145" s="148" t="n">
        <f aca="false">E145-Inputs!$B$16</f>
        <v>4.8545</v>
      </c>
      <c r="G145" s="149" t="n">
        <f aca="false">F145</f>
        <v>4.8545</v>
      </c>
      <c r="H145" s="147" t="n">
        <f aca="false">VLOOKUP($A145,[1]!CurveTable,MATCH($H$4,[1]!CurveType,0))</f>
        <v>0.6</v>
      </c>
      <c r="I145" s="148" t="n">
        <f aca="false">H145+Inputs!$B$22</f>
        <v>0.6</v>
      </c>
      <c r="J145" s="150" t="n">
        <f aca="false">I145</f>
        <v>0.6</v>
      </c>
      <c r="K145" s="147" t="n">
        <f aca="false">VLOOKUP($A145,[1]!CurveTable,MATCH($K$4,[1]!CurveType,0))</f>
        <v>0</v>
      </c>
      <c r="L145" s="148" t="n">
        <v>0</v>
      </c>
      <c r="M145" s="151" t="n">
        <f aca="false">L145</f>
        <v>0</v>
      </c>
      <c r="N145" s="147" t="n">
        <f aca="false">VLOOKUP($A145,[1]!CurveTable,MATCH($N$4,[1]!CurveType,0))</f>
        <v>0.0165</v>
      </c>
      <c r="O145" s="148" t="n">
        <f aca="false">N145+Inputs!$E$22</f>
        <v>0.0165</v>
      </c>
      <c r="P145" s="151" t="n">
        <f aca="false">O145</f>
        <v>0.0165</v>
      </c>
      <c r="Q145" s="147" t="n">
        <f aca="false">VLOOKUP($A145,[1]!CurveTable,MATCH($Q$4,[1]!CurveType,0))</f>
        <v>0.01</v>
      </c>
      <c r="R145" s="148" t="n">
        <v>0</v>
      </c>
      <c r="S145" s="151" t="n">
        <f aca="false">R145</f>
        <v>0</v>
      </c>
      <c r="T145" s="152"/>
      <c r="U145" s="153" t="n">
        <f aca="false">G145+J145</f>
        <v>5.4545</v>
      </c>
      <c r="V145" s="154"/>
      <c r="W145" s="155" t="n">
        <f aca="false">VLOOKUP($A145,[1]!CurveTable,MATCH($W$4,[1]!CurveType,0))+$W$9</f>
        <v>0.34</v>
      </c>
      <c r="X145" s="155" t="n">
        <f aca="false">VLOOKUP($A145,[1]!CurveTable,MATCH($X$4,[1]!CurveType,0))+$X$9</f>
        <v>0.345</v>
      </c>
      <c r="Y145" s="139" t="n">
        <f aca="false">SQRT((X145^2*($A145-$C$3)+W145^2*(DAY(EOMONTH(A145,0))/2))/$AN145)</f>
        <v>0.342827921598421</v>
      </c>
      <c r="Z145" s="152"/>
      <c r="AA145" s="153" t="n">
        <f aca="false">G145+P145+S145</f>
        <v>4.871</v>
      </c>
      <c r="AB145" s="154"/>
      <c r="AC145" s="155" t="n">
        <f aca="false">VLOOKUP($A145,[1]!CurveTable,MATCH($AC$4,[1]!CurveType,0))+$AC$9</f>
        <v>0.17</v>
      </c>
      <c r="AD145" s="155" t="n">
        <f aca="false">VLOOKUP($A145,[1]!CurveTable,MATCH($AD$4,[1]!CurveType,0))+$AD$9</f>
        <v>0.175</v>
      </c>
      <c r="AE145" s="139" t="n">
        <f aca="false">SQRT((AD145^2*($A145-$C$3)+AC145^2*(DAY(EOMONTH(A145,0))/2))/$AN145)</f>
        <v>0.173908029416177</v>
      </c>
      <c r="AF145" s="152"/>
      <c r="AG145" s="156" t="n">
        <f aca="false">((Inputs!$F$20*(X145*AD145)*(A145-$C$3))+(Inputs!$F$19*W145*AC145*(DAY(EOMONTH(A145,0))/2)))/(AN145*Y145*AE145)</f>
        <v>0.750000305515013</v>
      </c>
      <c r="AH145" s="152"/>
      <c r="AI145" s="140" t="n">
        <f aca="false">Inputs!$B$15</f>
        <v>0.06</v>
      </c>
      <c r="AJ145" s="157"/>
      <c r="AK145" s="140" t="n">
        <f aca="false">IF((U145-AA145-AI145)&lt;0,0,(U145-AA145-AI145))</f>
        <v>0.5235</v>
      </c>
      <c r="AL145" s="157"/>
      <c r="AM145" s="158" t="n">
        <f aca="false">WORKDAY(EOMONTH(A145-1,-1),0)</f>
        <v>42216</v>
      </c>
      <c r="AN145" s="159" t="n">
        <f aca="false">AM145-$C$3</f>
        <v>-3710</v>
      </c>
      <c r="AO145" s="159" t="n">
        <f aca="false">AO144</f>
        <v>1</v>
      </c>
      <c r="AP145" s="160"/>
      <c r="AQ145" s="161" t="e">
        <f aca="false">SPRDOPT(U145,AA145,AI145,AX145,X145,AD145,AG145,AN145,AO145,0)</f>
        <v>#NAME?</v>
      </c>
      <c r="AR145" s="162" t="e">
        <f aca="false">AQ145*C145</f>
        <v>#NAME?</v>
      </c>
      <c r="AS145" s="163" t="e">
        <f aca="false">AQ145-AK145</f>
        <v>#NAME?</v>
      </c>
      <c r="AU145" s="112" t="n">
        <f aca="false">A146-A145</f>
        <v>30</v>
      </c>
      <c r="AV145" s="164" t="n">
        <f aca="false">CHOOSE(F$3,A146+24,A145+14)</f>
        <v>42262</v>
      </c>
      <c r="AW145" s="49" t="n">
        <f aca="false">AV145-C$3</f>
        <v>-3664</v>
      </c>
      <c r="AX145" s="155" t="n">
        <f aca="false">VLOOKUP($A145,[1]!CurveTable,MATCH(AX$4,[1]!CurveType,0))</f>
        <v>0.0575255659117357</v>
      </c>
      <c r="AY145" s="165" t="n">
        <f aca="false">1/(1+CHOOSE(F$3,(AX146+(Inputs!$B$14/10000))/2,(AX145+(Inputs!$B$14/10000))/2))^(2*AW145/365.25)</f>
        <v>1.76636475340497</v>
      </c>
      <c r="AZ145" s="49" t="n">
        <f aca="false">IF(AND(mthbeg&lt;=A145,mthend&gt;=A145),1,0)</f>
        <v>0</v>
      </c>
      <c r="BA145" s="111" t="n">
        <f aca="false">AU145*AZ145</f>
        <v>0</v>
      </c>
      <c r="BC145" s="142" t="n">
        <f aca="false">E145*$D145</f>
        <v>0</v>
      </c>
      <c r="BD145" s="142" t="n">
        <f aca="false">F145*$D145</f>
        <v>0</v>
      </c>
      <c r="BE145" s="142" t="n">
        <f aca="false">G145*$D145</f>
        <v>0</v>
      </c>
      <c r="BF145" s="142" t="n">
        <f aca="false">H145*$D145</f>
        <v>0</v>
      </c>
      <c r="BG145" s="142" t="n">
        <f aca="false">I145*$D145</f>
        <v>0</v>
      </c>
      <c r="BH145" s="142" t="n">
        <f aca="false">J145*$D145</f>
        <v>0</v>
      </c>
      <c r="BI145" s="142" t="n">
        <f aca="false">K145*$D145</f>
        <v>0</v>
      </c>
      <c r="BJ145" s="142" t="n">
        <f aca="false">L145*$D145</f>
        <v>0</v>
      </c>
      <c r="BK145" s="142" t="n">
        <f aca="false">M145*$D145</f>
        <v>0</v>
      </c>
      <c r="BL145" s="142" t="n">
        <f aca="false">N145*$D145</f>
        <v>0</v>
      </c>
      <c r="BM145" s="142" t="n">
        <f aca="false">O145*$D145</f>
        <v>0</v>
      </c>
      <c r="BN145" s="142" t="n">
        <f aca="false">P145*$D145</f>
        <v>0</v>
      </c>
      <c r="BO145" s="142" t="n">
        <f aca="false">Q145*$D145</f>
        <v>0</v>
      </c>
      <c r="BP145" s="142" t="n">
        <f aca="false">R145*$D145</f>
        <v>0</v>
      </c>
      <c r="BQ145" s="142" t="n">
        <f aca="false">S145*$D145</f>
        <v>0</v>
      </c>
      <c r="BR145" s="142" t="n">
        <f aca="false">U145*$D145</f>
        <v>0</v>
      </c>
      <c r="BS145" s="142" t="n">
        <f aca="false">AA145*$D145</f>
        <v>0</v>
      </c>
      <c r="BT145" s="142" t="n">
        <f aca="false">AI145*$D145</f>
        <v>0</v>
      </c>
      <c r="BU145" s="142" t="n">
        <f aca="false">AK145*D145</f>
        <v>0</v>
      </c>
    </row>
    <row r="146" customFormat="false" ht="12.75" hidden="false" customHeight="false" outlineLevel="0" collapsed="false">
      <c r="A146" s="144" t="n">
        <f aca="false">EDATE(A145,1)</f>
        <v>42278</v>
      </c>
      <c r="B146" s="145" t="n">
        <f aca="false">Inputs!$B$8</f>
        <v>50000</v>
      </c>
      <c r="C146" s="146" t="n">
        <f aca="false">IF(AZ146=0,0,IF(AND(AZ146=1,$H$3=1),B146*AU146,IF($H$3=2,B146,"N/A")))</f>
        <v>0</v>
      </c>
      <c r="D146" s="146" t="n">
        <f aca="false">C146*AY146</f>
        <v>0</v>
      </c>
      <c r="E146" s="147" t="n">
        <f aca="false">VLOOKUP($A146,[1]!CurveTable,MATCH($E$4,[1]!CurveType,0))</f>
        <v>4.7995</v>
      </c>
      <c r="F146" s="148" t="n">
        <f aca="false">E146-Inputs!$B$16</f>
        <v>4.8545</v>
      </c>
      <c r="G146" s="149" t="n">
        <f aca="false">F146</f>
        <v>4.8545</v>
      </c>
      <c r="H146" s="147" t="n">
        <f aca="false">VLOOKUP($A146,[1]!CurveTable,MATCH($H$4,[1]!CurveType,0))</f>
        <v>0.3</v>
      </c>
      <c r="I146" s="148" t="n">
        <f aca="false">H146+Inputs!$B$22</f>
        <v>0.3</v>
      </c>
      <c r="J146" s="150" t="n">
        <f aca="false">I146</f>
        <v>0.3</v>
      </c>
      <c r="K146" s="147" t="n">
        <f aca="false">VLOOKUP($A146,[1]!CurveTable,MATCH($K$4,[1]!CurveType,0))</f>
        <v>0</v>
      </c>
      <c r="L146" s="148" t="n">
        <v>0</v>
      </c>
      <c r="M146" s="151" t="n">
        <f aca="false">L146</f>
        <v>0</v>
      </c>
      <c r="N146" s="147" t="n">
        <f aca="false">VLOOKUP($A146,[1]!CurveTable,MATCH($N$4,[1]!CurveType,0))</f>
        <v>0.015</v>
      </c>
      <c r="O146" s="148" t="n">
        <f aca="false">N146+Inputs!$E$22</f>
        <v>0.015</v>
      </c>
      <c r="P146" s="151" t="n">
        <f aca="false">O146</f>
        <v>0.015</v>
      </c>
      <c r="Q146" s="147" t="n">
        <f aca="false">VLOOKUP($A146,[1]!CurveTable,MATCH($Q$4,[1]!CurveType,0))</f>
        <v>0.01</v>
      </c>
      <c r="R146" s="148" t="n">
        <v>0</v>
      </c>
      <c r="S146" s="151" t="n">
        <f aca="false">R146</f>
        <v>0</v>
      </c>
      <c r="T146" s="152"/>
      <c r="U146" s="153" t="n">
        <f aca="false">G146+J146</f>
        <v>5.1545</v>
      </c>
      <c r="V146" s="154"/>
      <c r="W146" s="155" t="n">
        <f aca="false">VLOOKUP($A146,[1]!CurveTable,MATCH($W$4,[1]!CurveType,0))+$W$9</f>
        <v>0.17</v>
      </c>
      <c r="X146" s="155" t="n">
        <f aca="false">VLOOKUP($A146,[1]!CurveTable,MATCH($X$4,[1]!CurveType,0))+$X$9</f>
        <v>0.175</v>
      </c>
      <c r="Y146" s="139" t="n">
        <f aca="false">SQRT((X146^2*($A146-$C$3)+W146^2*(DAY(EOMONTH(A146,0))/2))/$AN146)</f>
        <v>0.173911439848073</v>
      </c>
      <c r="Z146" s="152"/>
      <c r="AA146" s="153" t="n">
        <f aca="false">G146+P146+S146</f>
        <v>4.8695</v>
      </c>
      <c r="AB146" s="154"/>
      <c r="AC146" s="155" t="n">
        <f aca="false">VLOOKUP($A146,[1]!CurveTable,MATCH($AC$4,[1]!CurveType,0))+$AC$9</f>
        <v>0.17</v>
      </c>
      <c r="AD146" s="155" t="n">
        <f aca="false">VLOOKUP($A146,[1]!CurveTable,MATCH($AD$4,[1]!CurveType,0))+$AD$9</f>
        <v>0.175</v>
      </c>
      <c r="AE146" s="139" t="n">
        <f aca="false">SQRT((AD146^2*($A146-$C$3)+AC146^2*(DAY(EOMONTH(A146,0))/2))/$AN146)</f>
        <v>0.173911439848073</v>
      </c>
      <c r="AF146" s="152"/>
      <c r="AG146" s="156" t="n">
        <f aca="false">((Inputs!$F$20*(X146*AD146)*(A146-$C$3))+(Inputs!$F$19*W146*AC146*(DAY(EOMONTH(A146,0))/2)))/(AN146*Y146*AE146)</f>
        <v>0.75</v>
      </c>
      <c r="AH146" s="152"/>
      <c r="AI146" s="140" t="n">
        <f aca="false">Inputs!$B$15</f>
        <v>0.06</v>
      </c>
      <c r="AJ146" s="157"/>
      <c r="AK146" s="140" t="n">
        <f aca="false">IF((U146-AA146-AI146)&lt;0,0,(U146-AA146-AI146))</f>
        <v>0.225</v>
      </c>
      <c r="AL146" s="157"/>
      <c r="AM146" s="158" t="n">
        <f aca="false">WORKDAY(EOMONTH(A146-1,-1),0)</f>
        <v>42247</v>
      </c>
      <c r="AN146" s="159" t="n">
        <f aca="false">AM146-$C$3</f>
        <v>-3679</v>
      </c>
      <c r="AO146" s="159" t="n">
        <f aca="false">AO145</f>
        <v>1</v>
      </c>
      <c r="AP146" s="160"/>
      <c r="AQ146" s="161" t="e">
        <f aca="false">SPRDOPT(U146,AA146,AI146,AX146,X146,AD146,AG146,AN146,AO146,0)</f>
        <v>#NAME?</v>
      </c>
      <c r="AR146" s="162" t="e">
        <f aca="false">AQ146*C146</f>
        <v>#NAME?</v>
      </c>
      <c r="AS146" s="163" t="e">
        <f aca="false">AQ146-AK146</f>
        <v>#NAME?</v>
      </c>
      <c r="AU146" s="112" t="n">
        <f aca="false">A147-A146</f>
        <v>31</v>
      </c>
      <c r="AV146" s="164" t="n">
        <f aca="false">CHOOSE(F$3,A147+24,A146+14)</f>
        <v>42292</v>
      </c>
      <c r="AW146" s="49" t="n">
        <f aca="false">AV146-C$3</f>
        <v>-3634</v>
      </c>
      <c r="AX146" s="155" t="n">
        <f aca="false">VLOOKUP($A146,[1]!CurveTable,MATCH(AX$4,[1]!CurveType,0))</f>
        <v>0.0575819008311482</v>
      </c>
      <c r="AY146" s="165" t="n">
        <f aca="false">1/(1+CHOOSE(F$3,(AX147+(Inputs!$B$14/10000))/2,(AX146+(Inputs!$B$14/10000))/2))^(2*AW146/365.25)</f>
        <v>1.75911391207055</v>
      </c>
      <c r="AZ146" s="49" t="n">
        <f aca="false">IF(AND(mthbeg&lt;=A146,mthend&gt;=A146),1,0)</f>
        <v>0</v>
      </c>
      <c r="BA146" s="111" t="n">
        <f aca="false">AU146*AZ146</f>
        <v>0</v>
      </c>
      <c r="BC146" s="142" t="n">
        <f aca="false">E146*$D146</f>
        <v>0</v>
      </c>
      <c r="BD146" s="142" t="n">
        <f aca="false">F146*$D146</f>
        <v>0</v>
      </c>
      <c r="BE146" s="142" t="n">
        <f aca="false">G146*$D146</f>
        <v>0</v>
      </c>
      <c r="BF146" s="142" t="n">
        <f aca="false">H146*$D146</f>
        <v>0</v>
      </c>
      <c r="BG146" s="142" t="n">
        <f aca="false">I146*$D146</f>
        <v>0</v>
      </c>
      <c r="BH146" s="142" t="n">
        <f aca="false">J146*$D146</f>
        <v>0</v>
      </c>
      <c r="BI146" s="142" t="n">
        <f aca="false">K146*$D146</f>
        <v>0</v>
      </c>
      <c r="BJ146" s="142" t="n">
        <f aca="false">L146*$D146</f>
        <v>0</v>
      </c>
      <c r="BK146" s="142" t="n">
        <f aca="false">M146*$D146</f>
        <v>0</v>
      </c>
      <c r="BL146" s="142" t="n">
        <f aca="false">N146*$D146</f>
        <v>0</v>
      </c>
      <c r="BM146" s="142" t="n">
        <f aca="false">O146*$D146</f>
        <v>0</v>
      </c>
      <c r="BN146" s="142" t="n">
        <f aca="false">P146*$D146</f>
        <v>0</v>
      </c>
      <c r="BO146" s="142" t="n">
        <f aca="false">Q146*$D146</f>
        <v>0</v>
      </c>
      <c r="BP146" s="142" t="n">
        <f aca="false">R146*$D146</f>
        <v>0</v>
      </c>
      <c r="BQ146" s="142" t="n">
        <f aca="false">S146*$D146</f>
        <v>0</v>
      </c>
      <c r="BR146" s="142" t="n">
        <f aca="false">U146*$D146</f>
        <v>0</v>
      </c>
      <c r="BS146" s="142" t="n">
        <f aca="false">AA146*$D146</f>
        <v>0</v>
      </c>
      <c r="BT146" s="142" t="n">
        <f aca="false">AI146*$D146</f>
        <v>0</v>
      </c>
      <c r="BU146" s="142" t="n">
        <f aca="false">AK146*D146</f>
        <v>0</v>
      </c>
    </row>
    <row r="147" customFormat="false" ht="12.75" hidden="false" customHeight="false" outlineLevel="0" collapsed="false">
      <c r="A147" s="144" t="n">
        <f aca="false">EDATE(A146,1)</f>
        <v>42309</v>
      </c>
      <c r="B147" s="145" t="n">
        <f aca="false">Inputs!$B$8</f>
        <v>50000</v>
      </c>
      <c r="C147" s="146" t="n">
        <f aca="false">IF(AZ147=0,0,IF(AND(AZ147=1,$H$3=1),B147*AU147,IF($H$3=2,B147,"N/A")))</f>
        <v>0</v>
      </c>
      <c r="D147" s="146" t="n">
        <f aca="false">C147*AY147</f>
        <v>0</v>
      </c>
      <c r="E147" s="147" t="n">
        <f aca="false">VLOOKUP($A147,[1]!CurveTable,MATCH($E$4,[1]!CurveType,0))</f>
        <v>4.9475</v>
      </c>
      <c r="F147" s="148" t="n">
        <f aca="false">E147-Inputs!$B$16</f>
        <v>5.0025</v>
      </c>
      <c r="G147" s="149" t="n">
        <f aca="false">F147</f>
        <v>5.0025</v>
      </c>
      <c r="H147" s="147" t="n">
        <f aca="false">VLOOKUP($A147,[1]!CurveTable,MATCH($H$4,[1]!CurveType,0))</f>
        <v>0.23</v>
      </c>
      <c r="I147" s="148" t="n">
        <f aca="false">H147+Inputs!$B$22</f>
        <v>0.23</v>
      </c>
      <c r="J147" s="150" t="n">
        <f aca="false">I147</f>
        <v>0.23</v>
      </c>
      <c r="K147" s="147" t="n">
        <f aca="false">VLOOKUP($A147,[1]!CurveTable,MATCH($K$4,[1]!CurveType,0))</f>
        <v>0</v>
      </c>
      <c r="L147" s="148" t="n">
        <v>0</v>
      </c>
      <c r="M147" s="151" t="n">
        <f aca="false">L147</f>
        <v>0</v>
      </c>
      <c r="N147" s="147" t="n">
        <f aca="false">VLOOKUP($A147,[1]!CurveTable,MATCH($N$4,[1]!CurveType,0))</f>
        <v>0.016</v>
      </c>
      <c r="O147" s="148" t="n">
        <f aca="false">N147+Inputs!$E$22</f>
        <v>0.016</v>
      </c>
      <c r="P147" s="151" t="n">
        <f aca="false">O147</f>
        <v>0.016</v>
      </c>
      <c r="Q147" s="147" t="n">
        <f aca="false">VLOOKUP($A147,[1]!CurveTable,MATCH($Q$4,[1]!CurveType,0))</f>
        <v>0.0075</v>
      </c>
      <c r="R147" s="148" t="n">
        <v>0</v>
      </c>
      <c r="S147" s="151" t="n">
        <f aca="false">R147</f>
        <v>0</v>
      </c>
      <c r="T147" s="152"/>
      <c r="U147" s="153" t="n">
        <f aca="false">G147+J147</f>
        <v>5.2325</v>
      </c>
      <c r="V147" s="154"/>
      <c r="W147" s="155" t="n">
        <f aca="false">VLOOKUP($A147,[1]!CurveTable,MATCH($W$4,[1]!CurveType,0))+$W$9</f>
        <v>0.17</v>
      </c>
      <c r="X147" s="155" t="n">
        <f aca="false">VLOOKUP($A147,[1]!CurveTable,MATCH($X$4,[1]!CurveType,0))+$X$9</f>
        <v>0.175</v>
      </c>
      <c r="Y147" s="139" t="n">
        <f aca="false">SQRT((X147^2*($A147-$C$3)+W147^2*(DAY(EOMONTH(A147,0))/2))/$AN147)</f>
        <v>0.173889716769699</v>
      </c>
      <c r="Z147" s="152"/>
      <c r="AA147" s="153" t="n">
        <f aca="false">G147+P147+S147</f>
        <v>5.0185</v>
      </c>
      <c r="AB147" s="154"/>
      <c r="AC147" s="155" t="n">
        <f aca="false">VLOOKUP($A147,[1]!CurveTable,MATCH($AC$4,[1]!CurveType,0))+$AC$9</f>
        <v>0.17</v>
      </c>
      <c r="AD147" s="155" t="n">
        <f aca="false">VLOOKUP($A147,[1]!CurveTable,MATCH($AD$4,[1]!CurveType,0))+$AD$9</f>
        <v>0.175</v>
      </c>
      <c r="AE147" s="139" t="n">
        <f aca="false">SQRT((AD147^2*($A147-$C$3)+AC147^2*(DAY(EOMONTH(A147,0))/2))/$AN147)</f>
        <v>0.173889716769699</v>
      </c>
      <c r="AF147" s="152"/>
      <c r="AG147" s="156" t="n">
        <f aca="false">((Inputs!$F$20*(X147*AD147)*(A147-$C$3))+(Inputs!$F$19*W147*AC147*(DAY(EOMONTH(A147,0))/2)))/(AN147*Y147*AE147)</f>
        <v>0.75</v>
      </c>
      <c r="AH147" s="152"/>
      <c r="AI147" s="140" t="n">
        <f aca="false">Inputs!$B$15</f>
        <v>0.06</v>
      </c>
      <c r="AJ147" s="157"/>
      <c r="AK147" s="140" t="n">
        <f aca="false">IF((U147-AA147-AI147)&lt;0,0,(U147-AA147-AI147))</f>
        <v>0.154</v>
      </c>
      <c r="AL147" s="157"/>
      <c r="AM147" s="158" t="n">
        <f aca="false">WORKDAY(EOMONTH(A147-1,-1),0)</f>
        <v>42277</v>
      </c>
      <c r="AN147" s="159" t="n">
        <f aca="false">AM147-$C$3</f>
        <v>-3649</v>
      </c>
      <c r="AO147" s="159" t="n">
        <f aca="false">AO146</f>
        <v>1</v>
      </c>
      <c r="AP147" s="160"/>
      <c r="AQ147" s="161" t="e">
        <f aca="false">SPRDOPT(U147,AA147,AI147,AX147,X147,AD147,AG147,AN147,AO147,0)</f>
        <v>#NAME?</v>
      </c>
      <c r="AR147" s="162" t="e">
        <f aca="false">AQ147*C147</f>
        <v>#NAME?</v>
      </c>
      <c r="AS147" s="163" t="e">
        <f aca="false">AQ147-AK147</f>
        <v>#NAME?</v>
      </c>
      <c r="AU147" s="112" t="n">
        <f aca="false">A148-A147</f>
        <v>30</v>
      </c>
      <c r="AV147" s="164" t="n">
        <f aca="false">CHOOSE(F$3,A148+24,A147+14)</f>
        <v>42323</v>
      </c>
      <c r="AW147" s="49" t="n">
        <f aca="false">AV147-C$3</f>
        <v>-3603</v>
      </c>
      <c r="AX147" s="155" t="n">
        <f aca="false">VLOOKUP($A147,[1]!CurveTable,MATCH(AX$4,[1]!CurveType,0))</f>
        <v>0.0576401135823175</v>
      </c>
      <c r="AY147" s="165" t="n">
        <f aca="false">1/(1+CHOOSE(F$3,(AX148+(Inputs!$B$14/10000))/2,(AX147+(Inputs!$B$14/10000))/2))^(2*AW147/365.25)</f>
        <v>1.75163606328558</v>
      </c>
      <c r="AZ147" s="49" t="n">
        <f aca="false">IF(AND(mthbeg&lt;=A147,mthend&gt;=A147),1,0)</f>
        <v>0</v>
      </c>
      <c r="BA147" s="111" t="n">
        <f aca="false">AU147*AZ147</f>
        <v>0</v>
      </c>
      <c r="BC147" s="142" t="n">
        <f aca="false">E147*$D147</f>
        <v>0</v>
      </c>
      <c r="BD147" s="142" t="n">
        <f aca="false">F147*$D147</f>
        <v>0</v>
      </c>
      <c r="BE147" s="142" t="n">
        <f aca="false">G147*$D147</f>
        <v>0</v>
      </c>
      <c r="BF147" s="142" t="n">
        <f aca="false">H147*$D147</f>
        <v>0</v>
      </c>
      <c r="BG147" s="142" t="n">
        <f aca="false">I147*$D147</f>
        <v>0</v>
      </c>
      <c r="BH147" s="142" t="n">
        <f aca="false">J147*$D147</f>
        <v>0</v>
      </c>
      <c r="BI147" s="142" t="n">
        <f aca="false">K147*$D147</f>
        <v>0</v>
      </c>
      <c r="BJ147" s="142" t="n">
        <f aca="false">L147*$D147</f>
        <v>0</v>
      </c>
      <c r="BK147" s="142" t="n">
        <f aca="false">M147*$D147</f>
        <v>0</v>
      </c>
      <c r="BL147" s="142" t="n">
        <f aca="false">N147*$D147</f>
        <v>0</v>
      </c>
      <c r="BM147" s="142" t="n">
        <f aca="false">O147*$D147</f>
        <v>0</v>
      </c>
      <c r="BN147" s="142" t="n">
        <f aca="false">P147*$D147</f>
        <v>0</v>
      </c>
      <c r="BO147" s="142" t="n">
        <f aca="false">Q147*$D147</f>
        <v>0</v>
      </c>
      <c r="BP147" s="142" t="n">
        <f aca="false">R147*$D147</f>
        <v>0</v>
      </c>
      <c r="BQ147" s="142" t="n">
        <f aca="false">S147*$D147</f>
        <v>0</v>
      </c>
      <c r="BR147" s="142" t="n">
        <f aca="false">U147*$D147</f>
        <v>0</v>
      </c>
      <c r="BS147" s="142" t="n">
        <f aca="false">AA147*$D147</f>
        <v>0</v>
      </c>
      <c r="BT147" s="142" t="n">
        <f aca="false">AI147*$D147</f>
        <v>0</v>
      </c>
      <c r="BU147" s="142" t="n">
        <f aca="false">AK147*D147</f>
        <v>0</v>
      </c>
    </row>
    <row r="148" customFormat="false" ht="12.75" hidden="false" customHeight="false" outlineLevel="0" collapsed="false">
      <c r="A148" s="144" t="n">
        <f aca="false">EDATE(A147,1)</f>
        <v>42339</v>
      </c>
      <c r="B148" s="145" t="n">
        <f aca="false">Inputs!$B$8</f>
        <v>50000</v>
      </c>
      <c r="C148" s="146" t="n">
        <f aca="false">IF(AZ148=0,0,IF(AND(AZ148=1,$H$3=1),B148*AU148,IF($H$3=2,B148,"N/A")))</f>
        <v>0</v>
      </c>
      <c r="D148" s="146" t="n">
        <f aca="false">C148*AY148</f>
        <v>0</v>
      </c>
      <c r="E148" s="147" t="n">
        <f aca="false">VLOOKUP($A148,[1]!CurveTable,MATCH($E$4,[1]!CurveType,0))</f>
        <v>5.0995</v>
      </c>
      <c r="F148" s="148" t="n">
        <f aca="false">E148-Inputs!$B$16</f>
        <v>5.1545</v>
      </c>
      <c r="G148" s="149" t="n">
        <f aca="false">F148</f>
        <v>5.1545</v>
      </c>
      <c r="H148" s="147" t="n">
        <f aca="false">VLOOKUP($A148,[1]!CurveTable,MATCH($H$4,[1]!CurveType,0))</f>
        <v>0.26</v>
      </c>
      <c r="I148" s="148" t="n">
        <f aca="false">H148+Inputs!$B$22</f>
        <v>0.26</v>
      </c>
      <c r="J148" s="150" t="n">
        <f aca="false">I148</f>
        <v>0.26</v>
      </c>
      <c r="K148" s="147" t="n">
        <f aca="false">VLOOKUP($A148,[1]!CurveTable,MATCH($K$4,[1]!CurveType,0))</f>
        <v>0</v>
      </c>
      <c r="L148" s="148" t="n">
        <v>0</v>
      </c>
      <c r="M148" s="151" t="n">
        <f aca="false">L148</f>
        <v>0</v>
      </c>
      <c r="N148" s="147" t="n">
        <f aca="false">VLOOKUP($A148,[1]!CurveTable,MATCH($N$4,[1]!CurveType,0))</f>
        <v>0.016</v>
      </c>
      <c r="O148" s="148" t="n">
        <f aca="false">N148+Inputs!$E$22</f>
        <v>0.016</v>
      </c>
      <c r="P148" s="151" t="n">
        <f aca="false">O148</f>
        <v>0.016</v>
      </c>
      <c r="Q148" s="147" t="n">
        <f aca="false">VLOOKUP($A148,[1]!CurveTable,MATCH($Q$4,[1]!CurveType,0))</f>
        <v>0.0075</v>
      </c>
      <c r="R148" s="148" t="n">
        <v>0</v>
      </c>
      <c r="S148" s="151" t="n">
        <f aca="false">R148</f>
        <v>0</v>
      </c>
      <c r="T148" s="152"/>
      <c r="U148" s="153" t="n">
        <f aca="false">G148+J148</f>
        <v>5.4145</v>
      </c>
      <c r="V148" s="154"/>
      <c r="W148" s="155" t="n">
        <f aca="false">VLOOKUP($A148,[1]!CurveTable,MATCH($W$4,[1]!CurveType,0))+$W$9</f>
        <v>0.17</v>
      </c>
      <c r="X148" s="155" t="n">
        <f aca="false">VLOOKUP($A148,[1]!CurveTable,MATCH($X$4,[1]!CurveType,0))+$X$9</f>
        <v>0.175</v>
      </c>
      <c r="Y148" s="139" t="n">
        <f aca="false">SQRT((X148^2*($A148-$C$3)+W148^2*(DAY(EOMONTH(A148,0))/2))/$AN148)</f>
        <v>0.173893028153702</v>
      </c>
      <c r="Z148" s="152"/>
      <c r="AA148" s="153" t="n">
        <f aca="false">G148+P148+S148</f>
        <v>5.1705</v>
      </c>
      <c r="AB148" s="154"/>
      <c r="AC148" s="155" t="n">
        <f aca="false">VLOOKUP($A148,[1]!CurveTable,MATCH($AC$4,[1]!CurveType,0))+$AC$9</f>
        <v>0.17</v>
      </c>
      <c r="AD148" s="155" t="n">
        <f aca="false">VLOOKUP($A148,[1]!CurveTable,MATCH($AD$4,[1]!CurveType,0))+$AD$9</f>
        <v>0.175</v>
      </c>
      <c r="AE148" s="139" t="n">
        <f aca="false">SQRT((AD148^2*($A148-$C$3)+AC148^2*(DAY(EOMONTH(A148,0))/2))/$AN148)</f>
        <v>0.173893028153702</v>
      </c>
      <c r="AF148" s="152"/>
      <c r="AG148" s="156" t="n">
        <f aca="false">((Inputs!$F$20*(X148*AD148)*(A148-$C$3))+(Inputs!$F$19*W148*AC148*(DAY(EOMONTH(A148,0))/2)))/(AN148*Y148*AE148)</f>
        <v>0.75</v>
      </c>
      <c r="AH148" s="152"/>
      <c r="AI148" s="140" t="n">
        <f aca="false">Inputs!$B$15</f>
        <v>0.06</v>
      </c>
      <c r="AJ148" s="157"/>
      <c r="AK148" s="140" t="n">
        <f aca="false">IF((U148-AA148-AI148)&lt;0,0,(U148-AA148-AI148))</f>
        <v>0.184</v>
      </c>
      <c r="AL148" s="157"/>
      <c r="AM148" s="158" t="n">
        <f aca="false">WORKDAY(EOMONTH(A148-1,-1),0)</f>
        <v>42308</v>
      </c>
      <c r="AN148" s="159" t="n">
        <f aca="false">AM148-$C$3</f>
        <v>-3618</v>
      </c>
      <c r="AO148" s="159" t="n">
        <f aca="false">AO147</f>
        <v>1</v>
      </c>
      <c r="AP148" s="160"/>
      <c r="AQ148" s="161" t="e">
        <f aca="false">SPRDOPT(U148,AA148,AI148,AX148,X148,AD148,AG148,AN148,AO148,0)</f>
        <v>#NAME?</v>
      </c>
      <c r="AR148" s="162" t="e">
        <f aca="false">AQ148*C148</f>
        <v>#NAME?</v>
      </c>
      <c r="AS148" s="163" t="e">
        <f aca="false">AQ148-AK148</f>
        <v>#NAME?</v>
      </c>
      <c r="AU148" s="112" t="n">
        <f aca="false">A149-A148</f>
        <v>31</v>
      </c>
      <c r="AV148" s="164" t="n">
        <f aca="false">CHOOSE(F$3,A149+24,A148+14)</f>
        <v>42353</v>
      </c>
      <c r="AW148" s="49" t="n">
        <f aca="false">AV148-C$3</f>
        <v>-3573</v>
      </c>
      <c r="AX148" s="155" t="n">
        <f aca="false">VLOOKUP($A148,[1]!CurveTable,MATCH(AX$4,[1]!CurveType,0))</f>
        <v>0.0576964485038767</v>
      </c>
      <c r="AY148" s="165" t="n">
        <f aca="false">1/(1+CHOOSE(F$3,(AX149+(Inputs!$B$14/10000))/2,(AX148+(Inputs!$B$14/10000))/2))^(2*AW148/365.25)</f>
        <v>1.74441372421972</v>
      </c>
      <c r="AZ148" s="49" t="n">
        <f aca="false">IF(AND(mthbeg&lt;=A148,mthend&gt;=A148),1,0)</f>
        <v>0</v>
      </c>
      <c r="BA148" s="111" t="n">
        <f aca="false">AU148*AZ148</f>
        <v>0</v>
      </c>
      <c r="BC148" s="142" t="n">
        <f aca="false">E148*$D148</f>
        <v>0</v>
      </c>
      <c r="BD148" s="142" t="n">
        <f aca="false">F148*$D148</f>
        <v>0</v>
      </c>
      <c r="BE148" s="142" t="n">
        <f aca="false">G148*$D148</f>
        <v>0</v>
      </c>
      <c r="BF148" s="142" t="n">
        <f aca="false">H148*$D148</f>
        <v>0</v>
      </c>
      <c r="BG148" s="142" t="n">
        <f aca="false">I148*$D148</f>
        <v>0</v>
      </c>
      <c r="BH148" s="142" t="n">
        <f aca="false">J148*$D148</f>
        <v>0</v>
      </c>
      <c r="BI148" s="142" t="n">
        <f aca="false">K148*$D148</f>
        <v>0</v>
      </c>
      <c r="BJ148" s="142" t="n">
        <f aca="false">L148*$D148</f>
        <v>0</v>
      </c>
      <c r="BK148" s="142" t="n">
        <f aca="false">M148*$D148</f>
        <v>0</v>
      </c>
      <c r="BL148" s="142" t="n">
        <f aca="false">N148*$D148</f>
        <v>0</v>
      </c>
      <c r="BM148" s="142" t="n">
        <f aca="false">O148*$D148</f>
        <v>0</v>
      </c>
      <c r="BN148" s="142" t="n">
        <f aca="false">P148*$D148</f>
        <v>0</v>
      </c>
      <c r="BO148" s="142" t="n">
        <f aca="false">Q148*$D148</f>
        <v>0</v>
      </c>
      <c r="BP148" s="142" t="n">
        <f aca="false">R148*$D148</f>
        <v>0</v>
      </c>
      <c r="BQ148" s="142" t="n">
        <f aca="false">S148*$D148</f>
        <v>0</v>
      </c>
      <c r="BR148" s="142" t="n">
        <f aca="false">U148*$D148</f>
        <v>0</v>
      </c>
      <c r="BS148" s="142" t="n">
        <f aca="false">AA148*$D148</f>
        <v>0</v>
      </c>
      <c r="BT148" s="142" t="n">
        <f aca="false">AI148*$D148</f>
        <v>0</v>
      </c>
      <c r="BU148" s="142" t="n">
        <f aca="false">AK148*D148</f>
        <v>0</v>
      </c>
    </row>
    <row r="149" customFormat="false" ht="12.75" hidden="false" customHeight="false" outlineLevel="0" collapsed="false">
      <c r="A149" s="144" t="n">
        <f aca="false">EDATE(A148,1)</f>
        <v>42370</v>
      </c>
      <c r="B149" s="145" t="n">
        <f aca="false">Inputs!$B$8</f>
        <v>50000</v>
      </c>
      <c r="C149" s="146" t="n">
        <f aca="false">IF(AZ149=0,0,IF(AND(AZ149=1,$H$3=1),B149*AU149,IF($H$3=2,B149,"N/A")))</f>
        <v>0</v>
      </c>
      <c r="D149" s="146" t="n">
        <f aca="false">C149*AY149</f>
        <v>0</v>
      </c>
      <c r="E149" s="147" t="n">
        <f aca="false">VLOOKUP($A149,[1]!CurveTable,MATCH($E$4,[1]!CurveType,0))</f>
        <v>5.177</v>
      </c>
      <c r="F149" s="148" t="n">
        <f aca="false">E149-Inputs!$B$16</f>
        <v>5.232</v>
      </c>
      <c r="G149" s="149" t="n">
        <f aca="false">F149</f>
        <v>5.232</v>
      </c>
      <c r="H149" s="147" t="n">
        <f aca="false">VLOOKUP($A149,[1]!CurveTable,MATCH($H$4,[1]!CurveType,0))</f>
        <v>0.085</v>
      </c>
      <c r="I149" s="148" t="n">
        <f aca="false">H149+Inputs!$B$22</f>
        <v>0.085</v>
      </c>
      <c r="J149" s="150" t="n">
        <f aca="false">I149</f>
        <v>0.085</v>
      </c>
      <c r="K149" s="147" t="n">
        <f aca="false">VLOOKUP($A149,[1]!CurveTable,MATCH($K$4,[1]!CurveType,0))</f>
        <v>0</v>
      </c>
      <c r="L149" s="148" t="n">
        <v>0</v>
      </c>
      <c r="M149" s="151" t="n">
        <f aca="false">L149</f>
        <v>0</v>
      </c>
      <c r="N149" s="147" t="n">
        <f aca="false">VLOOKUP($A149,[1]!CurveTable,MATCH($N$4,[1]!CurveType,0))</f>
        <v>0.016</v>
      </c>
      <c r="O149" s="148" t="n">
        <f aca="false">N149+Inputs!$E$22</f>
        <v>0.016</v>
      </c>
      <c r="P149" s="151" t="n">
        <f aca="false">O149</f>
        <v>0.016</v>
      </c>
      <c r="Q149" s="147" t="n">
        <f aca="false">VLOOKUP($A149,[1]!CurveTable,MATCH($Q$4,[1]!CurveType,0))</f>
        <v>0.0075</v>
      </c>
      <c r="R149" s="148" t="n">
        <v>0</v>
      </c>
      <c r="S149" s="151" t="n">
        <f aca="false">R149</f>
        <v>0</v>
      </c>
      <c r="T149" s="152"/>
      <c r="U149" s="153" t="n">
        <f aca="false">G149+J149</f>
        <v>5.317</v>
      </c>
      <c r="V149" s="154"/>
      <c r="W149" s="155" t="n">
        <f aca="false">VLOOKUP($A149,[1]!CurveTable,MATCH($W$4,[1]!CurveType,0))+$W$9</f>
        <v>0.17</v>
      </c>
      <c r="X149" s="155" t="n">
        <f aca="false">VLOOKUP($A149,[1]!CurveTable,MATCH($X$4,[1]!CurveType,0))+$X$9</f>
        <v>0.175</v>
      </c>
      <c r="Y149" s="139" t="n">
        <f aca="false">SQRT((X149^2*($A149-$C$3)+W149^2*(DAY(EOMONTH(A149,0))/2))/$AN149)</f>
        <v>0.173859197698319</v>
      </c>
      <c r="Z149" s="152"/>
      <c r="AA149" s="153" t="n">
        <f aca="false">G149+P149+S149</f>
        <v>5.248</v>
      </c>
      <c r="AB149" s="154"/>
      <c r="AC149" s="155" t="n">
        <f aca="false">VLOOKUP($A149,[1]!CurveTable,MATCH($AC$4,[1]!CurveType,0))+$AC$9</f>
        <v>0.17</v>
      </c>
      <c r="AD149" s="155" t="n">
        <f aca="false">VLOOKUP($A149,[1]!CurveTable,MATCH($AD$4,[1]!CurveType,0))+$AD$9</f>
        <v>0.175</v>
      </c>
      <c r="AE149" s="139" t="n">
        <f aca="false">SQRT((AD149^2*($A149-$C$3)+AC149^2*(DAY(EOMONTH(A149,0))/2))/$AN149)</f>
        <v>0.173859197698319</v>
      </c>
      <c r="AF149" s="152"/>
      <c r="AG149" s="156" t="n">
        <f aca="false">((Inputs!$F$20*(X149*AD149)*(A149-$C$3))+(Inputs!$F$19*W149*AC149*(DAY(EOMONTH(A149,0))/2)))/(AN149*Y149*AE149)</f>
        <v>0.75</v>
      </c>
      <c r="AH149" s="152"/>
      <c r="AI149" s="140" t="n">
        <f aca="false">Inputs!$B$15</f>
        <v>0.06</v>
      </c>
      <c r="AJ149" s="157"/>
      <c r="AK149" s="140" t="n">
        <f aca="false">IF((U149-AA149-AI149)&lt;0,0,(U149-AA149-AI149))</f>
        <v>0.00899999999999995</v>
      </c>
      <c r="AL149" s="157"/>
      <c r="AM149" s="158" t="n">
        <f aca="false">WORKDAY(EOMONTH(A149-1,-1),0)</f>
        <v>42338</v>
      </c>
      <c r="AN149" s="159" t="n">
        <f aca="false">AM149-$C$3</f>
        <v>-3588</v>
      </c>
      <c r="AO149" s="159" t="n">
        <f aca="false">AO148</f>
        <v>1</v>
      </c>
      <c r="AP149" s="160"/>
      <c r="AQ149" s="161" t="e">
        <f aca="false">SPRDOPT(U149,AA149,AI149,AX149,X149,AD149,AG149,AN149,AO149,0)</f>
        <v>#NAME?</v>
      </c>
      <c r="AR149" s="162" t="e">
        <f aca="false">AQ149*C149</f>
        <v>#NAME?</v>
      </c>
      <c r="AS149" s="163" t="e">
        <f aca="false">AQ149-AK149</f>
        <v>#NAME?</v>
      </c>
      <c r="AU149" s="112" t="n">
        <f aca="false">A150-A149</f>
        <v>31</v>
      </c>
      <c r="AV149" s="164" t="n">
        <f aca="false">CHOOSE(F$3,A150+24,A149+14)</f>
        <v>42384</v>
      </c>
      <c r="AW149" s="49" t="n">
        <f aca="false">AV149-C$3</f>
        <v>-3542</v>
      </c>
      <c r="AX149" s="155" t="n">
        <f aca="false">VLOOKUP($A149,[1]!CurveTable,MATCH(AX$4,[1]!CurveType,0))</f>
        <v>0.0577546612572637</v>
      </c>
      <c r="AY149" s="165" t="n">
        <f aca="false">1/(1+CHOOSE(F$3,(AX150+(Inputs!$B$14/10000))/2,(AX149+(Inputs!$B$14/10000))/2))^(2*AW149/365.25)</f>
        <v>1.73696548352804</v>
      </c>
      <c r="AZ149" s="49" t="n">
        <f aca="false">IF(AND(mthbeg&lt;=A149,mthend&gt;=A149),1,0)</f>
        <v>0</v>
      </c>
      <c r="BA149" s="111" t="n">
        <f aca="false">AU149*AZ149</f>
        <v>0</v>
      </c>
      <c r="BC149" s="142" t="n">
        <f aca="false">E149*$D149</f>
        <v>0</v>
      </c>
      <c r="BD149" s="142" t="n">
        <f aca="false">F149*$D149</f>
        <v>0</v>
      </c>
      <c r="BE149" s="142" t="n">
        <f aca="false">G149*$D149</f>
        <v>0</v>
      </c>
      <c r="BF149" s="142" t="n">
        <f aca="false">H149*$D149</f>
        <v>0</v>
      </c>
      <c r="BG149" s="142" t="n">
        <f aca="false">I149*$D149</f>
        <v>0</v>
      </c>
      <c r="BH149" s="142" t="n">
        <f aca="false">J149*$D149</f>
        <v>0</v>
      </c>
      <c r="BI149" s="142" t="n">
        <f aca="false">K149*$D149</f>
        <v>0</v>
      </c>
      <c r="BJ149" s="142" t="n">
        <f aca="false">L149*$D149</f>
        <v>0</v>
      </c>
      <c r="BK149" s="142" t="n">
        <f aca="false">M149*$D149</f>
        <v>0</v>
      </c>
      <c r="BL149" s="142" t="n">
        <f aca="false">N149*$D149</f>
        <v>0</v>
      </c>
      <c r="BM149" s="142" t="n">
        <f aca="false">O149*$D149</f>
        <v>0</v>
      </c>
      <c r="BN149" s="142" t="n">
        <f aca="false">P149*$D149</f>
        <v>0</v>
      </c>
      <c r="BO149" s="142" t="n">
        <f aca="false">Q149*$D149</f>
        <v>0</v>
      </c>
      <c r="BP149" s="142" t="n">
        <f aca="false">R149*$D149</f>
        <v>0</v>
      </c>
      <c r="BQ149" s="142" t="n">
        <f aca="false">S149*$D149</f>
        <v>0</v>
      </c>
      <c r="BR149" s="142" t="n">
        <f aca="false">U149*$D149</f>
        <v>0</v>
      </c>
      <c r="BS149" s="142" t="n">
        <f aca="false">AA149*$D149</f>
        <v>0</v>
      </c>
      <c r="BT149" s="142" t="n">
        <f aca="false">AI149*$D149</f>
        <v>0</v>
      </c>
      <c r="BU149" s="142" t="n">
        <f aca="false">AK149*D149</f>
        <v>0</v>
      </c>
    </row>
    <row r="150" customFormat="false" ht="12.75" hidden="false" customHeight="false" outlineLevel="0" collapsed="false">
      <c r="A150" s="144" t="n">
        <f aca="false">EDATE(A149,1)</f>
        <v>42401</v>
      </c>
      <c r="B150" s="145" t="n">
        <f aca="false">Inputs!$B$8</f>
        <v>50000</v>
      </c>
      <c r="C150" s="146" t="n">
        <f aca="false">IF(AZ150=0,0,IF(AND(AZ150=1,$H$3=1),B150*AU150,IF($H$3=2,B150,"N/A")))</f>
        <v>0</v>
      </c>
      <c r="D150" s="146" t="n">
        <f aca="false">C150*AY150</f>
        <v>0</v>
      </c>
      <c r="E150" s="147" t="n">
        <f aca="false">VLOOKUP($A150,[1]!CurveTable,MATCH($E$4,[1]!CurveType,0))</f>
        <v>5.09</v>
      </c>
      <c r="F150" s="148" t="n">
        <f aca="false">E150-Inputs!$B$16</f>
        <v>5.145</v>
      </c>
      <c r="G150" s="149" t="n">
        <f aca="false">F150</f>
        <v>5.145</v>
      </c>
      <c r="H150" s="147" t="n">
        <f aca="false">VLOOKUP($A150,[1]!CurveTable,MATCH($H$4,[1]!CurveType,0))</f>
        <v>0.075</v>
      </c>
      <c r="I150" s="148" t="n">
        <f aca="false">H150+Inputs!$B$22</f>
        <v>0.075</v>
      </c>
      <c r="J150" s="150" t="n">
        <f aca="false">I150</f>
        <v>0.075</v>
      </c>
      <c r="K150" s="147" t="n">
        <f aca="false">VLOOKUP($A150,[1]!CurveTable,MATCH($K$4,[1]!CurveType,0))</f>
        <v>0</v>
      </c>
      <c r="L150" s="148" t="n">
        <v>0</v>
      </c>
      <c r="M150" s="151" t="n">
        <f aca="false">L150</f>
        <v>0</v>
      </c>
      <c r="N150" s="147" t="n">
        <f aca="false">VLOOKUP($A150,[1]!CurveTable,MATCH($N$4,[1]!CurveType,0))</f>
        <v>0.016</v>
      </c>
      <c r="O150" s="148" t="n">
        <f aca="false">N150+Inputs!$E$22</f>
        <v>0.016</v>
      </c>
      <c r="P150" s="151" t="n">
        <f aca="false">O150</f>
        <v>0.016</v>
      </c>
      <c r="Q150" s="147" t="n">
        <f aca="false">VLOOKUP($A150,[1]!CurveTable,MATCH($Q$4,[1]!CurveType,0))</f>
        <v>0.0075</v>
      </c>
      <c r="R150" s="148" t="n">
        <v>0</v>
      </c>
      <c r="S150" s="151" t="n">
        <f aca="false">R150</f>
        <v>0</v>
      </c>
      <c r="T150" s="152"/>
      <c r="U150" s="153" t="n">
        <f aca="false">G150+J150</f>
        <v>5.22</v>
      </c>
      <c r="V150" s="154"/>
      <c r="W150" s="155" t="n">
        <f aca="false">VLOOKUP($A150,[1]!CurveTable,MATCH($W$4,[1]!CurveType,0))+$W$9</f>
        <v>0.17</v>
      </c>
      <c r="X150" s="155" t="n">
        <f aca="false">VLOOKUP($A150,[1]!CurveTable,MATCH($X$4,[1]!CurveType,0))+$X$9</f>
        <v>0.175</v>
      </c>
      <c r="Y150" s="139" t="n">
        <f aca="false">SQRT((X150^2*($A150-$C$3)+W150^2*(DAY(EOMONTH(A150,0))/2))/$AN150)</f>
        <v>0.173872588336917</v>
      </c>
      <c r="Z150" s="152"/>
      <c r="AA150" s="153" t="n">
        <f aca="false">G150+P150+S150</f>
        <v>5.161</v>
      </c>
      <c r="AB150" s="154"/>
      <c r="AC150" s="155" t="n">
        <f aca="false">VLOOKUP($A150,[1]!CurveTable,MATCH($AC$4,[1]!CurveType,0))+$AC$9</f>
        <v>0.17</v>
      </c>
      <c r="AD150" s="155" t="n">
        <f aca="false">VLOOKUP($A150,[1]!CurveTable,MATCH($AD$4,[1]!CurveType,0))+$AD$9</f>
        <v>0.175</v>
      </c>
      <c r="AE150" s="139" t="n">
        <f aca="false">SQRT((AD150^2*($A150-$C$3)+AC150^2*(DAY(EOMONTH(A150,0))/2))/$AN150)</f>
        <v>0.173872588336917</v>
      </c>
      <c r="AF150" s="152"/>
      <c r="AG150" s="156" t="n">
        <f aca="false">((Inputs!$F$20*(X150*AD150)*(A150-$C$3))+(Inputs!$F$19*W150*AC150*(DAY(EOMONTH(A150,0))/2)))/(AN150*Y150*AE150)</f>
        <v>0.75</v>
      </c>
      <c r="AH150" s="152"/>
      <c r="AI150" s="140" t="n">
        <f aca="false">Inputs!$B$15</f>
        <v>0.06</v>
      </c>
      <c r="AJ150" s="157"/>
      <c r="AK150" s="140" t="n">
        <f aca="false">IF((U150-AA150-AI150)&lt;0,0,(U150-AA150-AI150))</f>
        <v>0</v>
      </c>
      <c r="AL150" s="157"/>
      <c r="AM150" s="158" t="n">
        <f aca="false">WORKDAY(EOMONTH(A150-1,-1),0)</f>
        <v>42369</v>
      </c>
      <c r="AN150" s="159" t="n">
        <f aca="false">AM150-$C$3</f>
        <v>-3557</v>
      </c>
      <c r="AO150" s="159" t="n">
        <f aca="false">AO149</f>
        <v>1</v>
      </c>
      <c r="AP150" s="160"/>
      <c r="AQ150" s="161" t="e">
        <f aca="false">SPRDOPT(U150,AA150,AI150,AX150,X150,AD150,AG150,AN150,AO150,0)</f>
        <v>#NAME?</v>
      </c>
      <c r="AR150" s="162" t="e">
        <f aca="false">AQ150*C150</f>
        <v>#NAME?</v>
      </c>
      <c r="AS150" s="163" t="e">
        <f aca="false">AQ150-AK150</f>
        <v>#NAME?</v>
      </c>
      <c r="AU150" s="112" t="n">
        <f aca="false">A151-A150</f>
        <v>29</v>
      </c>
      <c r="AV150" s="164" t="n">
        <f aca="false">CHOOSE(F$3,A151+24,A150+14)</f>
        <v>42415</v>
      </c>
      <c r="AW150" s="49" t="n">
        <f aca="false">AV150-C$3</f>
        <v>-3511</v>
      </c>
      <c r="AX150" s="155" t="n">
        <f aca="false">VLOOKUP($A150,[1]!CurveTable,MATCH(AX$4,[1]!CurveType,0))</f>
        <v>0.0578128740117783</v>
      </c>
      <c r="AY150" s="165" t="n">
        <f aca="false">1/(1+CHOOSE(F$3,(AX151+(Inputs!$B$14/10000))/2,(AX150+(Inputs!$B$14/10000))/2))^(2*AW150/365.25)</f>
        <v>1.72953240760726</v>
      </c>
      <c r="AZ150" s="49" t="n">
        <f aca="false">IF(AND(mthbeg&lt;=A150,mthend&gt;=A150),1,0)</f>
        <v>0</v>
      </c>
      <c r="BA150" s="111" t="n">
        <f aca="false">AU150*AZ150</f>
        <v>0</v>
      </c>
      <c r="BC150" s="142" t="n">
        <f aca="false">E150*$D150</f>
        <v>0</v>
      </c>
      <c r="BD150" s="142" t="n">
        <f aca="false">F150*$D150</f>
        <v>0</v>
      </c>
      <c r="BE150" s="142" t="n">
        <f aca="false">G150*$D150</f>
        <v>0</v>
      </c>
      <c r="BF150" s="142" t="n">
        <f aca="false">H150*$D150</f>
        <v>0</v>
      </c>
      <c r="BG150" s="142" t="n">
        <f aca="false">I150*$D150</f>
        <v>0</v>
      </c>
      <c r="BH150" s="142" t="n">
        <f aca="false">J150*$D150</f>
        <v>0</v>
      </c>
      <c r="BI150" s="142" t="n">
        <f aca="false">K150*$D150</f>
        <v>0</v>
      </c>
      <c r="BJ150" s="142" t="n">
        <f aca="false">L150*$D150</f>
        <v>0</v>
      </c>
      <c r="BK150" s="142" t="n">
        <f aca="false">M150*$D150</f>
        <v>0</v>
      </c>
      <c r="BL150" s="142" t="n">
        <f aca="false">N150*$D150</f>
        <v>0</v>
      </c>
      <c r="BM150" s="142" t="n">
        <f aca="false">O150*$D150</f>
        <v>0</v>
      </c>
      <c r="BN150" s="142" t="n">
        <f aca="false">P150*$D150</f>
        <v>0</v>
      </c>
      <c r="BO150" s="142" t="n">
        <f aca="false">Q150*$D150</f>
        <v>0</v>
      </c>
      <c r="BP150" s="142" t="n">
        <f aca="false">R150*$D150</f>
        <v>0</v>
      </c>
      <c r="BQ150" s="142" t="n">
        <f aca="false">S150*$D150</f>
        <v>0</v>
      </c>
      <c r="BR150" s="142" t="n">
        <f aca="false">U150*$D150</f>
        <v>0</v>
      </c>
      <c r="BS150" s="142" t="n">
        <f aca="false">AA150*$D150</f>
        <v>0</v>
      </c>
      <c r="BT150" s="142" t="n">
        <f aca="false">AI150*$D150</f>
        <v>0</v>
      </c>
      <c r="BU150" s="142" t="n">
        <f aca="false">AK150*D150</f>
        <v>0</v>
      </c>
    </row>
    <row r="151" customFormat="false" ht="12.75" hidden="false" customHeight="false" outlineLevel="0" collapsed="false">
      <c r="A151" s="144" t="n">
        <f aca="false">EDATE(A150,1)</f>
        <v>42430</v>
      </c>
      <c r="B151" s="145" t="n">
        <f aca="false">Inputs!$B$8</f>
        <v>50000</v>
      </c>
      <c r="C151" s="146" t="n">
        <f aca="false">IF(AZ151=0,0,IF(AND(AZ151=1,$H$3=1),B151*AU151,IF($H$3=2,B151,"N/A")))</f>
        <v>0</v>
      </c>
      <c r="D151" s="146" t="n">
        <f aca="false">C151*AY151</f>
        <v>0</v>
      </c>
      <c r="E151" s="147" t="n">
        <f aca="false">VLOOKUP($A151,[1]!CurveTable,MATCH($E$4,[1]!CurveType,0))</f>
        <v>4.951</v>
      </c>
      <c r="F151" s="148" t="n">
        <f aca="false">E151-Inputs!$B$16</f>
        <v>5.006</v>
      </c>
      <c r="G151" s="149" t="n">
        <f aca="false">F151</f>
        <v>5.006</v>
      </c>
      <c r="H151" s="147" t="n">
        <f aca="false">VLOOKUP($A151,[1]!CurveTable,MATCH($H$4,[1]!CurveType,0))</f>
        <v>0.115</v>
      </c>
      <c r="I151" s="148" t="n">
        <f aca="false">H151+Inputs!$B$22</f>
        <v>0.115</v>
      </c>
      <c r="J151" s="150" t="n">
        <f aca="false">I151</f>
        <v>0.115</v>
      </c>
      <c r="K151" s="147" t="n">
        <f aca="false">VLOOKUP($A151,[1]!CurveTable,MATCH($K$4,[1]!CurveType,0))</f>
        <v>0</v>
      </c>
      <c r="L151" s="148" t="n">
        <v>0</v>
      </c>
      <c r="M151" s="151" t="n">
        <f aca="false">L151</f>
        <v>0</v>
      </c>
      <c r="N151" s="147" t="n">
        <f aca="false">VLOOKUP($A151,[1]!CurveTable,MATCH($N$4,[1]!CurveType,0))</f>
        <v>0.02</v>
      </c>
      <c r="O151" s="148" t="n">
        <f aca="false">N151+Inputs!$E$22</f>
        <v>0.02</v>
      </c>
      <c r="P151" s="151" t="n">
        <f aca="false">O151</f>
        <v>0.02</v>
      </c>
      <c r="Q151" s="147" t="n">
        <f aca="false">VLOOKUP($A151,[1]!CurveTable,MATCH($Q$4,[1]!CurveType,0))</f>
        <v>0.0075</v>
      </c>
      <c r="R151" s="148" t="n">
        <v>0</v>
      </c>
      <c r="S151" s="151" t="n">
        <f aca="false">R151</f>
        <v>0</v>
      </c>
      <c r="T151" s="152"/>
      <c r="U151" s="153" t="n">
        <f aca="false">G151+J151</f>
        <v>5.121</v>
      </c>
      <c r="V151" s="154"/>
      <c r="W151" s="155" t="n">
        <f aca="false">VLOOKUP($A151,[1]!CurveTable,MATCH($W$4,[1]!CurveType,0))+$W$9</f>
        <v>0.17</v>
      </c>
      <c r="X151" s="155" t="n">
        <f aca="false">VLOOKUP($A151,[1]!CurveTable,MATCH($X$4,[1]!CurveType,0))+$X$9</f>
        <v>0.175</v>
      </c>
      <c r="Y151" s="139" t="n">
        <f aca="false">SQRT((X151^2*($A151-$C$3)+W151^2*(DAY(EOMONTH(A151,0))/2))/$AN151)</f>
        <v>0.173889026816508</v>
      </c>
      <c r="Z151" s="152"/>
      <c r="AA151" s="153" t="n">
        <f aca="false">G151+P151+S151</f>
        <v>5.026</v>
      </c>
      <c r="AB151" s="154"/>
      <c r="AC151" s="155" t="n">
        <f aca="false">VLOOKUP($A151,[1]!CurveTable,MATCH($AC$4,[1]!CurveType,0))+$AC$9</f>
        <v>0.17</v>
      </c>
      <c r="AD151" s="155" t="n">
        <f aca="false">VLOOKUP($A151,[1]!CurveTable,MATCH($AD$4,[1]!CurveType,0))+$AD$9</f>
        <v>0.175</v>
      </c>
      <c r="AE151" s="139" t="n">
        <f aca="false">SQRT((AD151^2*($A151-$C$3)+AC151^2*(DAY(EOMONTH(A151,0))/2))/$AN151)</f>
        <v>0.173889026816508</v>
      </c>
      <c r="AF151" s="152"/>
      <c r="AG151" s="156" t="n">
        <f aca="false">((Inputs!$F$20*(X151*AD151)*(A151-$C$3))+(Inputs!$F$19*W151*AC151*(DAY(EOMONTH(A151,0))/2)))/(AN151*Y151*AE151)</f>
        <v>0.75</v>
      </c>
      <c r="AH151" s="152"/>
      <c r="AI151" s="140" t="n">
        <f aca="false">Inputs!$B$15</f>
        <v>0.06</v>
      </c>
      <c r="AJ151" s="157"/>
      <c r="AK151" s="140" t="n">
        <f aca="false">IF((U151-AA151-AI151)&lt;0,0,(U151-AA151-AI151))</f>
        <v>0.0350000000000006</v>
      </c>
      <c r="AL151" s="157"/>
      <c r="AM151" s="158" t="n">
        <f aca="false">WORKDAY(EOMONTH(A151-1,-1),0)</f>
        <v>42400</v>
      </c>
      <c r="AN151" s="159" t="n">
        <f aca="false">AM151-$C$3</f>
        <v>-3526</v>
      </c>
      <c r="AO151" s="159" t="n">
        <f aca="false">AO150</f>
        <v>1</v>
      </c>
      <c r="AP151" s="160"/>
      <c r="AQ151" s="161" t="e">
        <f aca="false">SPRDOPT(U151,AA151,AI151,AX151,X151,AD151,AG151,AN151,AO151,0)</f>
        <v>#NAME?</v>
      </c>
      <c r="AR151" s="162" t="e">
        <f aca="false">AQ151*C151</f>
        <v>#NAME?</v>
      </c>
      <c r="AS151" s="163" t="e">
        <f aca="false">AQ151-AK151</f>
        <v>#NAME?</v>
      </c>
      <c r="AU151" s="112" t="n">
        <f aca="false">A152-A151</f>
        <v>31</v>
      </c>
      <c r="AV151" s="164" t="n">
        <f aca="false">CHOOSE(F$3,A152+24,A151+14)</f>
        <v>42444</v>
      </c>
      <c r="AW151" s="49" t="n">
        <f aca="false">AV151-C$3</f>
        <v>-3482</v>
      </c>
      <c r="AX151" s="155" t="n">
        <f aca="false">VLOOKUP($A151,[1]!CurveTable,MATCH(AX$4,[1]!CurveType,0))</f>
        <v>0.0578673311057307</v>
      </c>
      <c r="AY151" s="165" t="n">
        <f aca="false">1/(1+CHOOSE(F$3,(AX152+(Inputs!$B$14/10000))/2,(AX151+(Inputs!$B$14/10000))/2))^(2*AW151/365.25)</f>
        <v>1.7225926833004</v>
      </c>
      <c r="AZ151" s="49" t="n">
        <f aca="false">IF(AND(mthbeg&lt;=A151,mthend&gt;=A151),1,0)</f>
        <v>0</v>
      </c>
      <c r="BA151" s="111" t="n">
        <f aca="false">AU151*AZ151</f>
        <v>0</v>
      </c>
      <c r="BC151" s="142" t="n">
        <f aca="false">E151*$D151</f>
        <v>0</v>
      </c>
      <c r="BD151" s="142" t="n">
        <f aca="false">F151*$D151</f>
        <v>0</v>
      </c>
      <c r="BE151" s="142" t="n">
        <f aca="false">G151*$D151</f>
        <v>0</v>
      </c>
      <c r="BF151" s="142" t="n">
        <f aca="false">H151*$D151</f>
        <v>0</v>
      </c>
      <c r="BG151" s="142" t="n">
        <f aca="false">I151*$D151</f>
        <v>0</v>
      </c>
      <c r="BH151" s="142" t="n">
        <f aca="false">J151*$D151</f>
        <v>0</v>
      </c>
      <c r="BI151" s="142" t="n">
        <f aca="false">K151*$D151</f>
        <v>0</v>
      </c>
      <c r="BJ151" s="142" t="n">
        <f aca="false">L151*$D151</f>
        <v>0</v>
      </c>
      <c r="BK151" s="142" t="n">
        <f aca="false">M151*$D151</f>
        <v>0</v>
      </c>
      <c r="BL151" s="142" t="n">
        <f aca="false">N151*$D151</f>
        <v>0</v>
      </c>
      <c r="BM151" s="142" t="n">
        <f aca="false">O151*$D151</f>
        <v>0</v>
      </c>
      <c r="BN151" s="142" t="n">
        <f aca="false">P151*$D151</f>
        <v>0</v>
      </c>
      <c r="BO151" s="142" t="n">
        <f aca="false">Q151*$D151</f>
        <v>0</v>
      </c>
      <c r="BP151" s="142" t="n">
        <f aca="false">R151*$D151</f>
        <v>0</v>
      </c>
      <c r="BQ151" s="142" t="n">
        <f aca="false">S151*$D151</f>
        <v>0</v>
      </c>
      <c r="BR151" s="142" t="n">
        <f aca="false">U151*$D151</f>
        <v>0</v>
      </c>
      <c r="BS151" s="142" t="n">
        <f aca="false">AA151*$D151</f>
        <v>0</v>
      </c>
      <c r="BT151" s="142" t="n">
        <f aca="false">AI151*$D151</f>
        <v>0</v>
      </c>
      <c r="BU151" s="142" t="n">
        <f aca="false">AK151*D151</f>
        <v>0</v>
      </c>
    </row>
    <row r="152" customFormat="false" ht="12.75" hidden="false" customHeight="false" outlineLevel="0" collapsed="false">
      <c r="A152" s="144" t="n">
        <f aca="false">EDATE(A151,1)</f>
        <v>42461</v>
      </c>
      <c r="B152" s="145" t="n">
        <f aca="false">Inputs!$B$8</f>
        <v>50000</v>
      </c>
      <c r="C152" s="146" t="n">
        <f aca="false">IF(AZ152=0,0,IF(AND(AZ152=1,$H$3=1),B152*AU152,IF($H$3=2,B152,"N/A")))</f>
        <v>0</v>
      </c>
      <c r="D152" s="146" t="n">
        <f aca="false">C152*AY152</f>
        <v>0</v>
      </c>
      <c r="E152" s="147" t="n">
        <f aca="false">VLOOKUP($A152,[1]!CurveTable,MATCH($E$4,[1]!CurveType,0))</f>
        <v>4.797</v>
      </c>
      <c r="F152" s="148" t="n">
        <f aca="false">E152-Inputs!$B$16</f>
        <v>4.852</v>
      </c>
      <c r="G152" s="149" t="n">
        <f aca="false">F152</f>
        <v>4.852</v>
      </c>
      <c r="H152" s="147" t="n">
        <f aca="false">VLOOKUP($A152,[1]!CurveTable,MATCH($H$4,[1]!CurveType,0))</f>
        <v>0.55</v>
      </c>
      <c r="I152" s="148" t="n">
        <f aca="false">H152+Inputs!$B$22</f>
        <v>0.55</v>
      </c>
      <c r="J152" s="150" t="n">
        <f aca="false">I152</f>
        <v>0.55</v>
      </c>
      <c r="K152" s="147" t="n">
        <f aca="false">VLOOKUP($A152,[1]!CurveTable,MATCH($K$4,[1]!CurveType,0))</f>
        <v>0</v>
      </c>
      <c r="L152" s="148" t="n">
        <v>0</v>
      </c>
      <c r="M152" s="151" t="n">
        <f aca="false">L152</f>
        <v>0</v>
      </c>
      <c r="N152" s="147" t="n">
        <f aca="false">VLOOKUP($A152,[1]!CurveTable,MATCH($N$4,[1]!CurveType,0))</f>
        <v>0.02</v>
      </c>
      <c r="O152" s="148" t="n">
        <f aca="false">N152+Inputs!$E$22</f>
        <v>0.02</v>
      </c>
      <c r="P152" s="151" t="n">
        <f aca="false">O152</f>
        <v>0.02</v>
      </c>
      <c r="Q152" s="147" t="n">
        <f aca="false">VLOOKUP($A152,[1]!CurveTable,MATCH($Q$4,[1]!CurveType,0))</f>
        <v>0.01</v>
      </c>
      <c r="R152" s="148" t="n">
        <v>0</v>
      </c>
      <c r="S152" s="151" t="n">
        <f aca="false">R152</f>
        <v>0</v>
      </c>
      <c r="T152" s="152"/>
      <c r="U152" s="153" t="n">
        <f aca="false">G152+J152</f>
        <v>5.402</v>
      </c>
      <c r="V152" s="154"/>
      <c r="W152" s="155" t="n">
        <f aca="false">VLOOKUP($A152,[1]!CurveTable,MATCH($W$4,[1]!CurveType,0))+$W$9</f>
        <v>0.17</v>
      </c>
      <c r="X152" s="155" t="n">
        <f aca="false">VLOOKUP($A152,[1]!CurveTable,MATCH($X$4,[1]!CurveType,0))+$X$9</f>
        <v>0.175</v>
      </c>
      <c r="Y152" s="139" t="n">
        <f aca="false">SQRT((X152^2*($A152-$C$3)+W152^2*(DAY(EOMONTH(A152,0))/2))/$AN152)</f>
        <v>0.173841296580852</v>
      </c>
      <c r="Z152" s="152"/>
      <c r="AA152" s="153" t="n">
        <f aca="false">G152+P152+S152</f>
        <v>4.872</v>
      </c>
      <c r="AB152" s="154"/>
      <c r="AC152" s="155" t="n">
        <f aca="false">VLOOKUP($A152,[1]!CurveTable,MATCH($AC$4,[1]!CurveType,0))+$AC$9</f>
        <v>0.17</v>
      </c>
      <c r="AD152" s="155" t="n">
        <f aca="false">VLOOKUP($A152,[1]!CurveTable,MATCH($AD$4,[1]!CurveType,0))+$AD$9</f>
        <v>0.175</v>
      </c>
      <c r="AE152" s="139" t="n">
        <f aca="false">SQRT((AD152^2*($A152-$C$3)+AC152^2*(DAY(EOMONTH(A152,0))/2))/$AN152)</f>
        <v>0.173841296580852</v>
      </c>
      <c r="AF152" s="152"/>
      <c r="AG152" s="156" t="n">
        <f aca="false">((Inputs!$F$20*(X152*AD152)*(A152-$C$3))+(Inputs!$F$19*W152*AC152*(DAY(EOMONTH(A152,0))/2)))/(AN152*Y152*AE152)</f>
        <v>0.75</v>
      </c>
      <c r="AH152" s="152"/>
      <c r="AI152" s="140" t="n">
        <f aca="false">Inputs!$B$15</f>
        <v>0.06</v>
      </c>
      <c r="AJ152" s="157"/>
      <c r="AK152" s="140" t="n">
        <f aca="false">IF((U152-AA152-AI152)&lt;0,0,(U152-AA152-AI152))</f>
        <v>0.47</v>
      </c>
      <c r="AL152" s="157"/>
      <c r="AM152" s="158" t="n">
        <f aca="false">WORKDAY(EOMONTH(A152-1,-1),0)</f>
        <v>42429</v>
      </c>
      <c r="AN152" s="159" t="n">
        <f aca="false">AM152-$C$3</f>
        <v>-3497</v>
      </c>
      <c r="AO152" s="159" t="n">
        <f aca="false">AO151</f>
        <v>1</v>
      </c>
      <c r="AP152" s="160"/>
      <c r="AQ152" s="161" t="e">
        <f aca="false">SPRDOPT(U152,AA152,AI152,AX152,X152,AD152,AG152,AN152,AO152,0)</f>
        <v>#NAME?</v>
      </c>
      <c r="AR152" s="162" t="e">
        <f aca="false">AQ152*C152</f>
        <v>#NAME?</v>
      </c>
      <c r="AS152" s="163" t="e">
        <f aca="false">AQ152-AK152</f>
        <v>#NAME?</v>
      </c>
      <c r="AU152" s="112" t="n">
        <f aca="false">A153-A152</f>
        <v>30</v>
      </c>
      <c r="AV152" s="164" t="n">
        <f aca="false">CHOOSE(F$3,A153+24,A152+14)</f>
        <v>42475</v>
      </c>
      <c r="AW152" s="49" t="n">
        <f aca="false">AV152-C$3</f>
        <v>-3451</v>
      </c>
      <c r="AX152" s="155" t="n">
        <f aca="false">VLOOKUP($A152,[1]!CurveTable,MATCH(AX$4,[1]!CurveType,0))</f>
        <v>0.0579255438624267</v>
      </c>
      <c r="AY152" s="165" t="n">
        <f aca="false">1/(1+CHOOSE(F$3,(AX153+(Inputs!$B$14/10000))/2,(AX152+(Inputs!$B$14/10000))/2))^(2*AW152/365.25)</f>
        <v>1.71518918087688</v>
      </c>
      <c r="AZ152" s="49" t="n">
        <f aca="false">IF(AND(mthbeg&lt;=A152,mthend&gt;=A152),1,0)</f>
        <v>0</v>
      </c>
      <c r="BA152" s="111" t="n">
        <f aca="false">AU152*AZ152</f>
        <v>0</v>
      </c>
      <c r="BC152" s="142" t="n">
        <f aca="false">E152*$D152</f>
        <v>0</v>
      </c>
      <c r="BD152" s="142" t="n">
        <f aca="false">F152*$D152</f>
        <v>0</v>
      </c>
      <c r="BE152" s="142" t="n">
        <f aca="false">G152*$D152</f>
        <v>0</v>
      </c>
      <c r="BF152" s="142" t="n">
        <f aca="false">H152*$D152</f>
        <v>0</v>
      </c>
      <c r="BG152" s="142" t="n">
        <f aca="false">I152*$D152</f>
        <v>0</v>
      </c>
      <c r="BH152" s="142" t="n">
        <f aca="false">J152*$D152</f>
        <v>0</v>
      </c>
      <c r="BI152" s="142" t="n">
        <f aca="false">K152*$D152</f>
        <v>0</v>
      </c>
      <c r="BJ152" s="142" t="n">
        <f aca="false">L152*$D152</f>
        <v>0</v>
      </c>
      <c r="BK152" s="142" t="n">
        <f aca="false">M152*$D152</f>
        <v>0</v>
      </c>
      <c r="BL152" s="142" t="n">
        <f aca="false">N152*$D152</f>
        <v>0</v>
      </c>
      <c r="BM152" s="142" t="n">
        <f aca="false">O152*$D152</f>
        <v>0</v>
      </c>
      <c r="BN152" s="142" t="n">
        <f aca="false">P152*$D152</f>
        <v>0</v>
      </c>
      <c r="BO152" s="142" t="n">
        <f aca="false">Q152*$D152</f>
        <v>0</v>
      </c>
      <c r="BP152" s="142" t="n">
        <f aca="false">R152*$D152</f>
        <v>0</v>
      </c>
      <c r="BQ152" s="142" t="n">
        <f aca="false">S152*$D152</f>
        <v>0</v>
      </c>
      <c r="BR152" s="142" t="n">
        <f aca="false">U152*$D152</f>
        <v>0</v>
      </c>
      <c r="BS152" s="142" t="n">
        <f aca="false">AA152*$D152</f>
        <v>0</v>
      </c>
      <c r="BT152" s="142" t="n">
        <f aca="false">AI152*$D152</f>
        <v>0</v>
      </c>
      <c r="BU152" s="142" t="n">
        <f aca="false">AK152*D152</f>
        <v>0</v>
      </c>
    </row>
    <row r="153" customFormat="false" ht="12.75" hidden="false" customHeight="false" outlineLevel="0" collapsed="false">
      <c r="A153" s="144" t="n">
        <f aca="false">EDATE(A152,1)</f>
        <v>42491</v>
      </c>
      <c r="B153" s="145" t="n">
        <f aca="false">Inputs!$B$8</f>
        <v>50000</v>
      </c>
      <c r="C153" s="146" t="n">
        <f aca="false">IF(AZ153=0,0,IF(AND(AZ153=1,$H$3=1),B153*AU153,IF($H$3=2,B153,"N/A")))</f>
        <v>0</v>
      </c>
      <c r="D153" s="146" t="n">
        <f aca="false">C153*AY153</f>
        <v>0</v>
      </c>
      <c r="E153" s="147" t="n">
        <f aca="false">VLOOKUP($A153,[1]!CurveTable,MATCH($E$4,[1]!CurveType,0))</f>
        <v>4.802</v>
      </c>
      <c r="F153" s="148" t="n">
        <f aca="false">E153-Inputs!$B$16</f>
        <v>4.857</v>
      </c>
      <c r="G153" s="149" t="n">
        <f aca="false">F153</f>
        <v>4.857</v>
      </c>
      <c r="H153" s="147" t="n">
        <f aca="false">VLOOKUP($A153,[1]!CurveTable,MATCH($H$4,[1]!CurveType,0))</f>
        <v>0.7</v>
      </c>
      <c r="I153" s="148" t="n">
        <f aca="false">H153+Inputs!$B$22</f>
        <v>0.7</v>
      </c>
      <c r="J153" s="150" t="n">
        <f aca="false">I153</f>
        <v>0.7</v>
      </c>
      <c r="K153" s="147" t="n">
        <f aca="false">VLOOKUP($A153,[1]!CurveTable,MATCH($K$4,[1]!CurveType,0))</f>
        <v>0</v>
      </c>
      <c r="L153" s="148" t="n">
        <v>0</v>
      </c>
      <c r="M153" s="151" t="n">
        <f aca="false">L153</f>
        <v>0</v>
      </c>
      <c r="N153" s="147" t="n">
        <f aca="false">VLOOKUP($A153,[1]!CurveTable,MATCH($N$4,[1]!CurveType,0))</f>
        <v>0.0225</v>
      </c>
      <c r="O153" s="148" t="n">
        <f aca="false">N153+Inputs!$E$22</f>
        <v>0.0225</v>
      </c>
      <c r="P153" s="151" t="n">
        <f aca="false">O153</f>
        <v>0.0225</v>
      </c>
      <c r="Q153" s="147" t="n">
        <f aca="false">VLOOKUP($A153,[1]!CurveTable,MATCH($Q$4,[1]!CurveType,0))</f>
        <v>0.01</v>
      </c>
      <c r="R153" s="148" t="n">
        <v>0</v>
      </c>
      <c r="S153" s="151" t="n">
        <f aca="false">R153</f>
        <v>0</v>
      </c>
      <c r="T153" s="152"/>
      <c r="U153" s="153" t="n">
        <f aca="false">G153+J153</f>
        <v>5.557</v>
      </c>
      <c r="V153" s="154"/>
      <c r="W153" s="155" t="n">
        <f aca="false">VLOOKUP($A153,[1]!CurveTable,MATCH($W$4,[1]!CurveType,0))+$W$9</f>
        <v>0.34</v>
      </c>
      <c r="X153" s="155" t="n">
        <f aca="false">VLOOKUP($A153,[1]!CurveTable,MATCH($X$4,[1]!CurveType,0))+$X$9</f>
        <v>0.345</v>
      </c>
      <c r="Y153" s="139" t="n">
        <f aca="false">SQRT((X153^2*($A153-$C$3)+W153^2*(DAY(EOMONTH(A153,0))/2))/$AN153)</f>
        <v>0.342700265979421</v>
      </c>
      <c r="Z153" s="152"/>
      <c r="AA153" s="153" t="n">
        <f aca="false">G153+P153+S153</f>
        <v>4.8795</v>
      </c>
      <c r="AB153" s="154"/>
      <c r="AC153" s="155" t="n">
        <f aca="false">VLOOKUP($A153,[1]!CurveTable,MATCH($AC$4,[1]!CurveType,0))+$AC$9</f>
        <v>0.17</v>
      </c>
      <c r="AD153" s="155" t="n">
        <f aca="false">VLOOKUP($A153,[1]!CurveTable,MATCH($AD$4,[1]!CurveType,0))+$AD$9</f>
        <v>0.175</v>
      </c>
      <c r="AE153" s="139" t="n">
        <f aca="false">SQRT((AD153^2*($A153-$C$3)+AC153^2*(DAY(EOMONTH(A153,0))/2))/$AN153)</f>
        <v>0.173844321021796</v>
      </c>
      <c r="AF153" s="152"/>
      <c r="AG153" s="156" t="n">
        <f aca="false">((Inputs!$F$20*(X153*AD153)*(A153-$C$3))+(Inputs!$F$19*W153*AC153*(DAY(EOMONTH(A153,0))/2)))/(AN153*Y153*AE153)</f>
        <v>0.75000033831437</v>
      </c>
      <c r="AH153" s="152"/>
      <c r="AI153" s="140" t="n">
        <f aca="false">Inputs!$B$15</f>
        <v>0.06</v>
      </c>
      <c r="AJ153" s="157"/>
      <c r="AK153" s="140" t="n">
        <f aca="false">IF((U153-AA153-AI153)&lt;0,0,(U153-AA153-AI153))</f>
        <v>0.6175</v>
      </c>
      <c r="AL153" s="157"/>
      <c r="AM153" s="158" t="n">
        <f aca="false">WORKDAY(EOMONTH(A153-1,-1),0)</f>
        <v>42460</v>
      </c>
      <c r="AN153" s="159" t="n">
        <f aca="false">AM153-$C$3</f>
        <v>-3466</v>
      </c>
      <c r="AO153" s="159" t="n">
        <f aca="false">AO152</f>
        <v>1</v>
      </c>
      <c r="AP153" s="160"/>
      <c r="AQ153" s="161" t="e">
        <f aca="false">SPRDOPT(U153,AA153,AI153,AX153,X153,AD153,AG153,AN153,AO153,0)</f>
        <v>#NAME?</v>
      </c>
      <c r="AR153" s="162" t="e">
        <f aca="false">AQ153*C153</f>
        <v>#NAME?</v>
      </c>
      <c r="AS153" s="163" t="e">
        <f aca="false">AQ153-AK153</f>
        <v>#NAME?</v>
      </c>
      <c r="AU153" s="112" t="n">
        <f aca="false">A154-A153</f>
        <v>31</v>
      </c>
      <c r="AV153" s="164" t="n">
        <f aca="false">CHOOSE(F$3,A154+24,A153+14)</f>
        <v>42505</v>
      </c>
      <c r="AW153" s="49" t="n">
        <f aca="false">AV153-C$3</f>
        <v>-3421</v>
      </c>
      <c r="AX153" s="155" t="n">
        <f aca="false">VLOOKUP($A153,[1]!CurveTable,MATCH(AX$4,[1]!CurveType,0))</f>
        <v>0.0579818787893345</v>
      </c>
      <c r="AY153" s="165" t="n">
        <f aca="false">1/(1+CHOOSE(F$3,(AX154+(Inputs!$B$14/10000))/2,(AX153+(Inputs!$B$14/10000))/2))^(2*AW153/365.25)</f>
        <v>1.70803915651591</v>
      </c>
      <c r="AZ153" s="49" t="n">
        <f aca="false">IF(AND(mthbeg&lt;=A153,mthend&gt;=A153),1,0)</f>
        <v>0</v>
      </c>
      <c r="BA153" s="111" t="n">
        <f aca="false">AU153*AZ153</f>
        <v>0</v>
      </c>
      <c r="BC153" s="142" t="n">
        <f aca="false">E153*$D153</f>
        <v>0</v>
      </c>
      <c r="BD153" s="142" t="n">
        <f aca="false">F153*$D153</f>
        <v>0</v>
      </c>
      <c r="BE153" s="142" t="n">
        <f aca="false">G153*$D153</f>
        <v>0</v>
      </c>
      <c r="BF153" s="142" t="n">
        <f aca="false">H153*$D153</f>
        <v>0</v>
      </c>
      <c r="BG153" s="142" t="n">
        <f aca="false">I153*$D153</f>
        <v>0</v>
      </c>
      <c r="BH153" s="142" t="n">
        <f aca="false">J153*$D153</f>
        <v>0</v>
      </c>
      <c r="BI153" s="142" t="n">
        <f aca="false">K153*$D153</f>
        <v>0</v>
      </c>
      <c r="BJ153" s="142" t="n">
        <f aca="false">L153*$D153</f>
        <v>0</v>
      </c>
      <c r="BK153" s="142" t="n">
        <f aca="false">M153*$D153</f>
        <v>0</v>
      </c>
      <c r="BL153" s="142" t="n">
        <f aca="false">N153*$D153</f>
        <v>0</v>
      </c>
      <c r="BM153" s="142" t="n">
        <f aca="false">O153*$D153</f>
        <v>0</v>
      </c>
      <c r="BN153" s="142" t="n">
        <f aca="false">P153*$D153</f>
        <v>0</v>
      </c>
      <c r="BO153" s="142" t="n">
        <f aca="false">Q153*$D153</f>
        <v>0</v>
      </c>
      <c r="BP153" s="142" t="n">
        <f aca="false">R153*$D153</f>
        <v>0</v>
      </c>
      <c r="BQ153" s="142" t="n">
        <f aca="false">S153*$D153</f>
        <v>0</v>
      </c>
      <c r="BR153" s="142" t="n">
        <f aca="false">U153*$D153</f>
        <v>0</v>
      </c>
      <c r="BS153" s="142" t="n">
        <f aca="false">AA153*$D153</f>
        <v>0</v>
      </c>
      <c r="BT153" s="142" t="n">
        <f aca="false">AI153*$D153</f>
        <v>0</v>
      </c>
      <c r="BU153" s="142" t="n">
        <f aca="false">AK153*D153</f>
        <v>0</v>
      </c>
    </row>
    <row r="154" customFormat="false" ht="12.75" hidden="false" customHeight="false" outlineLevel="0" collapsed="false">
      <c r="A154" s="144" t="n">
        <f aca="false">EDATE(A153,1)</f>
        <v>42522</v>
      </c>
      <c r="B154" s="145" t="n">
        <f aca="false">Inputs!$B$8</f>
        <v>50000</v>
      </c>
      <c r="C154" s="146" t="n">
        <f aca="false">IF(AZ154=0,0,IF(AND(AZ154=1,$H$3=1),B154*AU154,IF($H$3=2,B154,"N/A")))</f>
        <v>0</v>
      </c>
      <c r="D154" s="146" t="n">
        <f aca="false">C154*AY154</f>
        <v>0</v>
      </c>
      <c r="E154" s="147" t="n">
        <f aca="false">VLOOKUP($A154,[1]!CurveTable,MATCH($E$4,[1]!CurveType,0))</f>
        <v>4.84</v>
      </c>
      <c r="F154" s="148" t="n">
        <f aca="false">E154-Inputs!$B$16</f>
        <v>4.895</v>
      </c>
      <c r="G154" s="149" t="n">
        <f aca="false">F154</f>
        <v>4.895</v>
      </c>
      <c r="H154" s="147" t="n">
        <f aca="false">VLOOKUP($A154,[1]!CurveTable,MATCH($H$4,[1]!CurveType,0))</f>
        <v>0.8</v>
      </c>
      <c r="I154" s="148" t="n">
        <f aca="false">H154+Inputs!$B$22</f>
        <v>0.8</v>
      </c>
      <c r="J154" s="150" t="n">
        <f aca="false">I154</f>
        <v>0.8</v>
      </c>
      <c r="K154" s="147" t="n">
        <f aca="false">VLOOKUP($A154,[1]!CurveTable,MATCH($K$4,[1]!CurveType,0))</f>
        <v>0</v>
      </c>
      <c r="L154" s="148" t="n">
        <v>0</v>
      </c>
      <c r="M154" s="151" t="n">
        <f aca="false">L154</f>
        <v>0</v>
      </c>
      <c r="N154" s="147" t="n">
        <f aca="false">VLOOKUP($A154,[1]!CurveTable,MATCH($N$4,[1]!CurveType,0))</f>
        <v>0.02</v>
      </c>
      <c r="O154" s="148" t="n">
        <f aca="false">N154+Inputs!$E$22</f>
        <v>0.02</v>
      </c>
      <c r="P154" s="151" t="n">
        <f aca="false">O154</f>
        <v>0.02</v>
      </c>
      <c r="Q154" s="147" t="n">
        <f aca="false">VLOOKUP($A154,[1]!CurveTable,MATCH($Q$4,[1]!CurveType,0))</f>
        <v>0.01</v>
      </c>
      <c r="R154" s="148" t="n">
        <v>0</v>
      </c>
      <c r="S154" s="151" t="n">
        <f aca="false">R154</f>
        <v>0</v>
      </c>
      <c r="T154" s="152"/>
      <c r="U154" s="153" t="n">
        <f aca="false">G154+J154</f>
        <v>5.695</v>
      </c>
      <c r="V154" s="154"/>
      <c r="W154" s="155" t="n">
        <f aca="false">VLOOKUP($A154,[1]!CurveTable,MATCH($W$4,[1]!CurveType,0))+$W$9</f>
        <v>0.34</v>
      </c>
      <c r="X154" s="155" t="n">
        <f aca="false">VLOOKUP($A154,[1]!CurveTable,MATCH($X$4,[1]!CurveType,0))+$X$9</f>
        <v>0.345</v>
      </c>
      <c r="Y154" s="139" t="n">
        <f aca="false">SQRT((X154^2*($A154-$C$3)+W154^2*(DAY(EOMONTH(A154,0))/2))/$AN154)</f>
        <v>0.342654118855736</v>
      </c>
      <c r="Z154" s="152"/>
      <c r="AA154" s="153" t="n">
        <f aca="false">G154+P154+S154</f>
        <v>4.915</v>
      </c>
      <c r="AB154" s="154"/>
      <c r="AC154" s="155" t="n">
        <f aca="false">VLOOKUP($A154,[1]!CurveTable,MATCH($AC$4,[1]!CurveType,0))+$AC$9</f>
        <v>0.17</v>
      </c>
      <c r="AD154" s="155" t="n">
        <f aca="false">VLOOKUP($A154,[1]!CurveTable,MATCH($AD$4,[1]!CurveType,0))+$AD$9</f>
        <v>0.175</v>
      </c>
      <c r="AE154" s="139" t="n">
        <f aca="false">SQRT((AD154^2*($A154-$C$3)+AC154^2*(DAY(EOMONTH(A154,0))/2))/$AN154)</f>
        <v>0.173820656105483</v>
      </c>
      <c r="AF154" s="152"/>
      <c r="AG154" s="156" t="n">
        <f aca="false">((Inputs!$F$20*(X154*AD154)*(A154-$C$3))+(Inputs!$F$19*W154*AC154*(DAY(EOMONTH(A154,0))/2)))/(AN154*Y154*AE154)</f>
        <v>0.750000330315414</v>
      </c>
      <c r="AH154" s="152"/>
      <c r="AI154" s="140" t="n">
        <f aca="false">Inputs!$B$15</f>
        <v>0.06</v>
      </c>
      <c r="AJ154" s="157"/>
      <c r="AK154" s="140" t="n">
        <f aca="false">IF((U154-AA154-AI154)&lt;0,0,(U154-AA154-AI154))</f>
        <v>0.72</v>
      </c>
      <c r="AL154" s="157"/>
      <c r="AM154" s="158" t="n">
        <f aca="false">WORKDAY(EOMONTH(A154-1,-1),0)</f>
        <v>42490</v>
      </c>
      <c r="AN154" s="159" t="n">
        <f aca="false">AM154-$C$3</f>
        <v>-3436</v>
      </c>
      <c r="AO154" s="159" t="n">
        <f aca="false">AO153</f>
        <v>1</v>
      </c>
      <c r="AP154" s="160"/>
      <c r="AQ154" s="161" t="e">
        <f aca="false">SPRDOPT(U154,AA154,AI154,AX154,X154,AD154,AG154,AN154,AO154,0)</f>
        <v>#NAME?</v>
      </c>
      <c r="AR154" s="162" t="e">
        <f aca="false">AQ154*C154</f>
        <v>#NAME?</v>
      </c>
      <c r="AS154" s="163" t="e">
        <f aca="false">AQ154-AK154</f>
        <v>#NAME?</v>
      </c>
      <c r="AU154" s="112" t="n">
        <f aca="false">A155-A154</f>
        <v>30</v>
      </c>
      <c r="AV154" s="164" t="n">
        <f aca="false">CHOOSE(F$3,A155+24,A154+14)</f>
        <v>42536</v>
      </c>
      <c r="AW154" s="49" t="n">
        <f aca="false">AV154-C$3</f>
        <v>-3390</v>
      </c>
      <c r="AX154" s="155" t="n">
        <f aca="false">VLOOKUP($A154,[1]!CurveTable,MATCH(AX$4,[1]!CurveType,0))</f>
        <v>0.0580400915482477</v>
      </c>
      <c r="AY154" s="165" t="n">
        <f aca="false">1/(1+CHOOSE(F$3,(AX155+(Inputs!$B$14/10000))/2,(AX154+(Inputs!$B$14/10000))/2))^(2*AW154/365.25)</f>
        <v>1.70066601610957</v>
      </c>
      <c r="AZ154" s="49" t="n">
        <f aca="false">IF(AND(mthbeg&lt;=A154,mthend&gt;=A154),1,0)</f>
        <v>0</v>
      </c>
      <c r="BA154" s="111" t="n">
        <f aca="false">AU154*AZ154</f>
        <v>0</v>
      </c>
      <c r="BC154" s="142" t="n">
        <f aca="false">E154*$D154</f>
        <v>0</v>
      </c>
      <c r="BD154" s="142" t="n">
        <f aca="false">F154*$D154</f>
        <v>0</v>
      </c>
      <c r="BE154" s="142" t="n">
        <f aca="false">G154*$D154</f>
        <v>0</v>
      </c>
      <c r="BF154" s="142" t="n">
        <f aca="false">H154*$D154</f>
        <v>0</v>
      </c>
      <c r="BG154" s="142" t="n">
        <f aca="false">I154*$D154</f>
        <v>0</v>
      </c>
      <c r="BH154" s="142" t="n">
        <f aca="false">J154*$D154</f>
        <v>0</v>
      </c>
      <c r="BI154" s="142" t="n">
        <f aca="false">K154*$D154</f>
        <v>0</v>
      </c>
      <c r="BJ154" s="142" t="n">
        <f aca="false">L154*$D154</f>
        <v>0</v>
      </c>
      <c r="BK154" s="142" t="n">
        <f aca="false">M154*$D154</f>
        <v>0</v>
      </c>
      <c r="BL154" s="142" t="n">
        <f aca="false">N154*$D154</f>
        <v>0</v>
      </c>
      <c r="BM154" s="142" t="n">
        <f aca="false">O154*$D154</f>
        <v>0</v>
      </c>
      <c r="BN154" s="142" t="n">
        <f aca="false">P154*$D154</f>
        <v>0</v>
      </c>
      <c r="BO154" s="142" t="n">
        <f aca="false">Q154*$D154</f>
        <v>0</v>
      </c>
      <c r="BP154" s="142" t="n">
        <f aca="false">R154*$D154</f>
        <v>0</v>
      </c>
      <c r="BQ154" s="142" t="n">
        <f aca="false">S154*$D154</f>
        <v>0</v>
      </c>
      <c r="BR154" s="142" t="n">
        <f aca="false">U154*$D154</f>
        <v>0</v>
      </c>
      <c r="BS154" s="142" t="n">
        <f aca="false">AA154*$D154</f>
        <v>0</v>
      </c>
      <c r="BT154" s="142" t="n">
        <f aca="false">AI154*$D154</f>
        <v>0</v>
      </c>
      <c r="BU154" s="142" t="n">
        <f aca="false">AK154*D154</f>
        <v>0</v>
      </c>
    </row>
    <row r="155" customFormat="false" ht="12.75" hidden="false" customHeight="false" outlineLevel="0" collapsed="false">
      <c r="A155" s="144" t="n">
        <f aca="false">EDATE(A154,1)</f>
        <v>42552</v>
      </c>
      <c r="B155" s="145" t="n">
        <f aca="false">Inputs!$B$8</f>
        <v>50000</v>
      </c>
      <c r="C155" s="146" t="n">
        <f aca="false">IF(AZ155=0,0,IF(AND(AZ155=1,$H$3=1),B155*AU155,IF($H$3=2,B155,"N/A")))</f>
        <v>0</v>
      </c>
      <c r="D155" s="146" t="n">
        <f aca="false">C155*AY155</f>
        <v>0</v>
      </c>
      <c r="E155" s="147" t="n">
        <f aca="false">VLOOKUP($A155,[1]!CurveTable,MATCH($E$4,[1]!CurveType,0))</f>
        <v>4.885</v>
      </c>
      <c r="F155" s="148" t="n">
        <f aca="false">E155-Inputs!$B$16</f>
        <v>4.94</v>
      </c>
      <c r="G155" s="149" t="n">
        <f aca="false">F155</f>
        <v>4.94</v>
      </c>
      <c r="H155" s="147" t="n">
        <f aca="false">VLOOKUP($A155,[1]!CurveTable,MATCH($H$4,[1]!CurveType,0))</f>
        <v>1</v>
      </c>
      <c r="I155" s="148" t="n">
        <f aca="false">H155+Inputs!$B$22</f>
        <v>1</v>
      </c>
      <c r="J155" s="150" t="n">
        <f aca="false">I155</f>
        <v>1</v>
      </c>
      <c r="K155" s="147" t="n">
        <f aca="false">VLOOKUP($A155,[1]!CurveTable,MATCH($K$4,[1]!CurveType,0))</f>
        <v>0</v>
      </c>
      <c r="L155" s="148" t="n">
        <v>0</v>
      </c>
      <c r="M155" s="151" t="n">
        <f aca="false">L155</f>
        <v>0</v>
      </c>
      <c r="N155" s="147" t="n">
        <f aca="false">VLOOKUP($A155,[1]!CurveTable,MATCH($N$4,[1]!CurveType,0))</f>
        <v>0.0175</v>
      </c>
      <c r="O155" s="148" t="n">
        <f aca="false">N155+Inputs!$E$22</f>
        <v>0.0175</v>
      </c>
      <c r="P155" s="151" t="n">
        <f aca="false">O155</f>
        <v>0.0175</v>
      </c>
      <c r="Q155" s="147" t="n">
        <f aca="false">VLOOKUP($A155,[1]!CurveTable,MATCH($Q$4,[1]!CurveType,0))</f>
        <v>0.01</v>
      </c>
      <c r="R155" s="148" t="n">
        <v>0</v>
      </c>
      <c r="S155" s="151" t="n">
        <f aca="false">R155</f>
        <v>0</v>
      </c>
      <c r="T155" s="152"/>
      <c r="U155" s="153" t="n">
        <f aca="false">G155+J155</f>
        <v>5.94</v>
      </c>
      <c r="V155" s="154"/>
      <c r="W155" s="155" t="n">
        <f aca="false">VLOOKUP($A155,[1]!CurveTable,MATCH($W$4,[1]!CurveType,0))+$W$9</f>
        <v>0.34</v>
      </c>
      <c r="X155" s="155" t="n">
        <f aca="false">VLOOKUP($A155,[1]!CurveTable,MATCH($X$4,[1]!CurveType,0))+$X$9</f>
        <v>0.345</v>
      </c>
      <c r="Y155" s="139" t="n">
        <f aca="false">SQRT((X155^2*($A155-$C$3)+W155^2*(DAY(EOMONTH(A155,0))/2))/$AN155)</f>
        <v>0.342658925902616</v>
      </c>
      <c r="Z155" s="152"/>
      <c r="AA155" s="153" t="n">
        <f aca="false">G155+P155+S155</f>
        <v>4.9575</v>
      </c>
      <c r="AB155" s="154"/>
      <c r="AC155" s="155" t="n">
        <f aca="false">VLOOKUP($A155,[1]!CurveTable,MATCH($AC$4,[1]!CurveType,0))+$AC$9</f>
        <v>0.17</v>
      </c>
      <c r="AD155" s="155" t="n">
        <f aca="false">VLOOKUP($A155,[1]!CurveTable,MATCH($AD$4,[1]!CurveType,0))+$AD$9</f>
        <v>0.175</v>
      </c>
      <c r="AE155" s="139" t="n">
        <f aca="false">SQRT((AD155^2*($A155-$C$3)+AC155^2*(DAY(EOMONTH(A155,0))/2))/$AN155)</f>
        <v>0.173823547169711</v>
      </c>
      <c r="AF155" s="152"/>
      <c r="AG155" s="156" t="n">
        <f aca="false">((Inputs!$F$20*(X155*AD155)*(A155-$C$3))+(Inputs!$F$19*W155*AC155*(DAY(EOMONTH(A155,0))/2)))/(AN155*Y155*AE155)</f>
        <v>0.750000344484947</v>
      </c>
      <c r="AH155" s="152"/>
      <c r="AI155" s="140" t="n">
        <f aca="false">Inputs!$B$15</f>
        <v>0.06</v>
      </c>
      <c r="AJ155" s="157"/>
      <c r="AK155" s="140" t="n">
        <f aca="false">IF((U155-AA155-AI155)&lt;0,0,(U155-AA155-AI155))</f>
        <v>0.9225</v>
      </c>
      <c r="AL155" s="157"/>
      <c r="AM155" s="158" t="n">
        <f aca="false">WORKDAY(EOMONTH(A155-1,-1),0)</f>
        <v>42521</v>
      </c>
      <c r="AN155" s="159" t="n">
        <f aca="false">AM155-$C$3</f>
        <v>-3405</v>
      </c>
      <c r="AO155" s="159" t="n">
        <f aca="false">AO154</f>
        <v>1</v>
      </c>
      <c r="AP155" s="160"/>
      <c r="AQ155" s="161" t="e">
        <f aca="false">SPRDOPT(U155,AA155,AI155,AX155,X155,AD155,AG155,AN155,AO155,0)</f>
        <v>#NAME?</v>
      </c>
      <c r="AR155" s="162" t="e">
        <f aca="false">AQ155*C155</f>
        <v>#NAME?</v>
      </c>
      <c r="AS155" s="163" t="e">
        <f aca="false">AQ155-AK155</f>
        <v>#NAME?</v>
      </c>
      <c r="AU155" s="112" t="n">
        <f aca="false">A156-A155</f>
        <v>31</v>
      </c>
      <c r="AV155" s="164" t="n">
        <f aca="false">CHOOSE(F$3,A156+24,A155+14)</f>
        <v>42566</v>
      </c>
      <c r="AW155" s="49" t="n">
        <f aca="false">AV155-C$3</f>
        <v>-3360</v>
      </c>
      <c r="AX155" s="155" t="n">
        <f aca="false">VLOOKUP($A155,[1]!CurveTable,MATCH(AX$4,[1]!CurveType,0))</f>
        <v>0.0580964264773018</v>
      </c>
      <c r="AY155" s="165" t="n">
        <f aca="false">1/(1+CHOOSE(F$3,(AX156+(Inputs!$B$14/10000))/2,(AX155+(Inputs!$B$14/10000))/2))^(2*AW155/365.25)</f>
        <v>1.69354551642746</v>
      </c>
      <c r="AZ155" s="49" t="n">
        <f aca="false">IF(AND(mthbeg&lt;=A155,mthend&gt;=A155),1,0)</f>
        <v>0</v>
      </c>
      <c r="BA155" s="111" t="n">
        <f aca="false">AU155*AZ155</f>
        <v>0</v>
      </c>
      <c r="BC155" s="142" t="n">
        <f aca="false">E155*$D155</f>
        <v>0</v>
      </c>
      <c r="BD155" s="142" t="n">
        <f aca="false">F155*$D155</f>
        <v>0</v>
      </c>
      <c r="BE155" s="142" t="n">
        <f aca="false">G155*$D155</f>
        <v>0</v>
      </c>
      <c r="BF155" s="142" t="n">
        <f aca="false">H155*$D155</f>
        <v>0</v>
      </c>
      <c r="BG155" s="142" t="n">
        <f aca="false">I155*$D155</f>
        <v>0</v>
      </c>
      <c r="BH155" s="142" t="n">
        <f aca="false">J155*$D155</f>
        <v>0</v>
      </c>
      <c r="BI155" s="142" t="n">
        <f aca="false">K155*$D155</f>
        <v>0</v>
      </c>
      <c r="BJ155" s="142" t="n">
        <f aca="false">L155*$D155</f>
        <v>0</v>
      </c>
      <c r="BK155" s="142" t="n">
        <f aca="false">M155*$D155</f>
        <v>0</v>
      </c>
      <c r="BL155" s="142" t="n">
        <f aca="false">N155*$D155</f>
        <v>0</v>
      </c>
      <c r="BM155" s="142" t="n">
        <f aca="false">O155*$D155</f>
        <v>0</v>
      </c>
      <c r="BN155" s="142" t="n">
        <f aca="false">P155*$D155</f>
        <v>0</v>
      </c>
      <c r="BO155" s="142" t="n">
        <f aca="false">Q155*$D155</f>
        <v>0</v>
      </c>
      <c r="BP155" s="142" t="n">
        <f aca="false">R155*$D155</f>
        <v>0</v>
      </c>
      <c r="BQ155" s="142" t="n">
        <f aca="false">S155*$D155</f>
        <v>0</v>
      </c>
      <c r="BR155" s="142" t="n">
        <f aca="false">U155*$D155</f>
        <v>0</v>
      </c>
      <c r="BS155" s="142" t="n">
        <f aca="false">AA155*$D155</f>
        <v>0</v>
      </c>
      <c r="BT155" s="142" t="n">
        <f aca="false">AI155*$D155</f>
        <v>0</v>
      </c>
      <c r="BU155" s="142" t="n">
        <f aca="false">AK155*D155</f>
        <v>0</v>
      </c>
    </row>
    <row r="156" customFormat="false" ht="12.75" hidden="false" customHeight="false" outlineLevel="0" collapsed="false">
      <c r="A156" s="144" t="n">
        <f aca="false">EDATE(A155,1)</f>
        <v>42583</v>
      </c>
      <c r="B156" s="145" t="n">
        <f aca="false">Inputs!$B$8</f>
        <v>50000</v>
      </c>
      <c r="C156" s="146" t="n">
        <f aca="false">IF(AZ156=0,0,IF(AND(AZ156=1,$H$3=1),B156*AU156,IF($H$3=2,B156,"N/A")))</f>
        <v>0</v>
      </c>
      <c r="D156" s="146" t="n">
        <f aca="false">C156*AY156</f>
        <v>0</v>
      </c>
      <c r="E156" s="147" t="n">
        <f aca="false">VLOOKUP($A156,[1]!CurveTable,MATCH($E$4,[1]!CurveType,0))</f>
        <v>4.923</v>
      </c>
      <c r="F156" s="148" t="n">
        <f aca="false">E156-Inputs!$B$16</f>
        <v>4.978</v>
      </c>
      <c r="G156" s="149" t="n">
        <f aca="false">F156</f>
        <v>4.978</v>
      </c>
      <c r="H156" s="147" t="n">
        <f aca="false">VLOOKUP($A156,[1]!CurveTable,MATCH($H$4,[1]!CurveType,0))</f>
        <v>1</v>
      </c>
      <c r="I156" s="148" t="n">
        <f aca="false">H156+Inputs!$B$22</f>
        <v>1</v>
      </c>
      <c r="J156" s="150" t="n">
        <f aca="false">I156</f>
        <v>1</v>
      </c>
      <c r="K156" s="147" t="n">
        <f aca="false">VLOOKUP($A156,[1]!CurveTable,MATCH($K$4,[1]!CurveType,0))</f>
        <v>0</v>
      </c>
      <c r="L156" s="148" t="n">
        <v>0</v>
      </c>
      <c r="M156" s="151" t="n">
        <f aca="false">L156</f>
        <v>0</v>
      </c>
      <c r="N156" s="147" t="n">
        <f aca="false">VLOOKUP($A156,[1]!CurveTable,MATCH($N$4,[1]!CurveType,0))</f>
        <v>0.0175</v>
      </c>
      <c r="O156" s="148" t="n">
        <f aca="false">N156+Inputs!$E$22</f>
        <v>0.0175</v>
      </c>
      <c r="P156" s="151" t="n">
        <f aca="false">O156</f>
        <v>0.0175</v>
      </c>
      <c r="Q156" s="147" t="n">
        <f aca="false">VLOOKUP($A156,[1]!CurveTable,MATCH($Q$4,[1]!CurveType,0))</f>
        <v>0.01</v>
      </c>
      <c r="R156" s="148" t="n">
        <v>0</v>
      </c>
      <c r="S156" s="151" t="n">
        <f aca="false">R156</f>
        <v>0</v>
      </c>
      <c r="T156" s="152"/>
      <c r="U156" s="153" t="n">
        <f aca="false">G156+J156</f>
        <v>5.978</v>
      </c>
      <c r="V156" s="154"/>
      <c r="W156" s="155" t="n">
        <f aca="false">VLOOKUP($A156,[1]!CurveTable,MATCH($W$4,[1]!CurveType,0))+$W$9</f>
        <v>0.34</v>
      </c>
      <c r="X156" s="155" t="n">
        <f aca="false">VLOOKUP($A156,[1]!CurveTable,MATCH($X$4,[1]!CurveType,0))+$X$9</f>
        <v>0.345</v>
      </c>
      <c r="Y156" s="139" t="n">
        <f aca="false">SQRT((X156^2*($A156-$C$3)+W156^2*(DAY(EOMONTH(A156,0))/2))/$AN156)</f>
        <v>0.342586577324569</v>
      </c>
      <c r="Z156" s="152"/>
      <c r="AA156" s="153" t="n">
        <f aca="false">G156+P156+S156</f>
        <v>4.9955</v>
      </c>
      <c r="AB156" s="154"/>
      <c r="AC156" s="155" t="n">
        <f aca="false">VLOOKUP($A156,[1]!CurveTable,MATCH($AC$4,[1]!CurveType,0))+$AC$9</f>
        <v>0.17</v>
      </c>
      <c r="AD156" s="155" t="n">
        <f aca="false">VLOOKUP($A156,[1]!CurveTable,MATCH($AD$4,[1]!CurveType,0))+$AD$9</f>
        <v>0.175</v>
      </c>
      <c r="AE156" s="139" t="n">
        <f aca="false">SQRT((AD156^2*($A156-$C$3)+AC156^2*(DAY(EOMONTH(A156,0))/2))/$AN156)</f>
        <v>0.173786949175431</v>
      </c>
      <c r="AF156" s="152"/>
      <c r="AG156" s="156" t="n">
        <f aca="false">((Inputs!$F$20*(X156*AD156)*(A156-$C$3))+(Inputs!$F$19*W156*AC156*(DAY(EOMONTH(A156,0))/2)))/(AN156*Y156*AE156)</f>
        <v>0.750000347707881</v>
      </c>
      <c r="AH156" s="152"/>
      <c r="AI156" s="140" t="n">
        <f aca="false">Inputs!$B$15</f>
        <v>0.06</v>
      </c>
      <c r="AJ156" s="157"/>
      <c r="AK156" s="140" t="n">
        <f aca="false">IF((U156-AA156-AI156)&lt;0,0,(U156-AA156-AI156))</f>
        <v>0.9225</v>
      </c>
      <c r="AL156" s="157"/>
      <c r="AM156" s="158" t="n">
        <f aca="false">WORKDAY(EOMONTH(A156-1,-1),0)</f>
        <v>42551</v>
      </c>
      <c r="AN156" s="159" t="n">
        <f aca="false">AM156-$C$3</f>
        <v>-3375</v>
      </c>
      <c r="AO156" s="159" t="n">
        <f aca="false">AO155</f>
        <v>1</v>
      </c>
      <c r="AP156" s="160"/>
      <c r="AQ156" s="161" t="e">
        <f aca="false">SPRDOPT(U156,AA156,AI156,AX156,X156,AD156,AG156,AN156,AO156,0)</f>
        <v>#NAME?</v>
      </c>
      <c r="AR156" s="162" t="e">
        <f aca="false">AQ156*C156</f>
        <v>#NAME?</v>
      </c>
      <c r="AS156" s="163" t="e">
        <f aca="false">AQ156-AK156</f>
        <v>#NAME?</v>
      </c>
      <c r="AU156" s="112" t="n">
        <f aca="false">A157-A156</f>
        <v>31</v>
      </c>
      <c r="AV156" s="164" t="n">
        <f aca="false">CHOOSE(F$3,A157+24,A156+14)</f>
        <v>42597</v>
      </c>
      <c r="AW156" s="49" t="n">
        <f aca="false">AV156-C$3</f>
        <v>-3329</v>
      </c>
      <c r="AX156" s="155" t="n">
        <f aca="false">VLOOKUP($A156,[1]!CurveTable,MATCH(AX$4,[1]!CurveType,0))</f>
        <v>0.0581546392384329</v>
      </c>
      <c r="AY156" s="165" t="n">
        <f aca="false">1/(1+CHOOSE(F$3,(AX157+(Inputs!$B$14/10000))/2,(AX156+(Inputs!$B$14/10000))/2))^(2*AW156/365.25)</f>
        <v>1.68620303017434</v>
      </c>
      <c r="AZ156" s="49" t="n">
        <f aca="false">IF(AND(mthbeg&lt;=A156,mthend&gt;=A156),1,0)</f>
        <v>0</v>
      </c>
      <c r="BA156" s="111" t="n">
        <f aca="false">AU156*AZ156</f>
        <v>0</v>
      </c>
      <c r="BC156" s="142" t="n">
        <f aca="false">E156*$D156</f>
        <v>0</v>
      </c>
      <c r="BD156" s="142" t="n">
        <f aca="false">F156*$D156</f>
        <v>0</v>
      </c>
      <c r="BE156" s="142" t="n">
        <f aca="false">G156*$D156</f>
        <v>0</v>
      </c>
      <c r="BF156" s="142" t="n">
        <f aca="false">H156*$D156</f>
        <v>0</v>
      </c>
      <c r="BG156" s="142" t="n">
        <f aca="false">I156*$D156</f>
        <v>0</v>
      </c>
      <c r="BH156" s="142" t="n">
        <f aca="false">J156*$D156</f>
        <v>0</v>
      </c>
      <c r="BI156" s="142" t="n">
        <f aca="false">K156*$D156</f>
        <v>0</v>
      </c>
      <c r="BJ156" s="142" t="n">
        <f aca="false">L156*$D156</f>
        <v>0</v>
      </c>
      <c r="BK156" s="142" t="n">
        <f aca="false">M156*$D156</f>
        <v>0</v>
      </c>
      <c r="BL156" s="142" t="n">
        <f aca="false">N156*$D156</f>
        <v>0</v>
      </c>
      <c r="BM156" s="142" t="n">
        <f aca="false">O156*$D156</f>
        <v>0</v>
      </c>
      <c r="BN156" s="142" t="n">
        <f aca="false">P156*$D156</f>
        <v>0</v>
      </c>
      <c r="BO156" s="142" t="n">
        <f aca="false">Q156*$D156</f>
        <v>0</v>
      </c>
      <c r="BP156" s="142" t="n">
        <f aca="false">R156*$D156</f>
        <v>0</v>
      </c>
      <c r="BQ156" s="142" t="n">
        <f aca="false">S156*$D156</f>
        <v>0</v>
      </c>
      <c r="BR156" s="142" t="n">
        <f aca="false">U156*$D156</f>
        <v>0</v>
      </c>
      <c r="BS156" s="142" t="n">
        <f aca="false">AA156*$D156</f>
        <v>0</v>
      </c>
      <c r="BT156" s="142" t="n">
        <f aca="false">AI156*$D156</f>
        <v>0</v>
      </c>
      <c r="BU156" s="142" t="n">
        <f aca="false">AK156*D156</f>
        <v>0</v>
      </c>
    </row>
    <row r="157" customFormat="false" ht="12.75" hidden="false" customHeight="false" outlineLevel="0" collapsed="false">
      <c r="A157" s="144" t="n">
        <f aca="false">EDATE(A156,1)</f>
        <v>42614</v>
      </c>
      <c r="B157" s="145" t="n">
        <f aca="false">Inputs!$B$8</f>
        <v>50000</v>
      </c>
      <c r="C157" s="146" t="n">
        <f aca="false">IF(AZ157=0,0,IF(AND(AZ157=1,$H$3=1),B157*AU157,IF($H$3=2,B157,"N/A")))</f>
        <v>0</v>
      </c>
      <c r="D157" s="146" t="n">
        <f aca="false">C157*AY157</f>
        <v>0</v>
      </c>
      <c r="E157" s="147" t="n">
        <f aca="false">VLOOKUP($A157,[1]!CurveTable,MATCH($E$4,[1]!CurveType,0))</f>
        <v>4.917</v>
      </c>
      <c r="F157" s="148" t="n">
        <f aca="false">E157-Inputs!$B$16</f>
        <v>4.972</v>
      </c>
      <c r="G157" s="149" t="n">
        <f aca="false">F157</f>
        <v>4.972</v>
      </c>
      <c r="H157" s="147" t="n">
        <f aca="false">VLOOKUP($A157,[1]!CurveTable,MATCH($H$4,[1]!CurveType,0))</f>
        <v>0.6</v>
      </c>
      <c r="I157" s="148" t="n">
        <f aca="false">H157+Inputs!$B$22</f>
        <v>0.6</v>
      </c>
      <c r="J157" s="150" t="n">
        <f aca="false">I157</f>
        <v>0.6</v>
      </c>
      <c r="K157" s="147" t="n">
        <f aca="false">VLOOKUP($A157,[1]!CurveTable,MATCH($K$4,[1]!CurveType,0))</f>
        <v>0</v>
      </c>
      <c r="L157" s="148" t="n">
        <v>0</v>
      </c>
      <c r="M157" s="151" t="n">
        <f aca="false">L157</f>
        <v>0</v>
      </c>
      <c r="N157" s="147" t="n">
        <f aca="false">VLOOKUP($A157,[1]!CurveTable,MATCH($N$4,[1]!CurveType,0))</f>
        <v>0.0175</v>
      </c>
      <c r="O157" s="148" t="n">
        <f aca="false">N157+Inputs!$E$22</f>
        <v>0.0175</v>
      </c>
      <c r="P157" s="151" t="n">
        <f aca="false">O157</f>
        <v>0.0175</v>
      </c>
      <c r="Q157" s="147" t="n">
        <f aca="false">VLOOKUP($A157,[1]!CurveTable,MATCH($Q$4,[1]!CurveType,0))</f>
        <v>0.01</v>
      </c>
      <c r="R157" s="148" t="n">
        <v>0</v>
      </c>
      <c r="S157" s="151" t="n">
        <f aca="false">R157</f>
        <v>0</v>
      </c>
      <c r="T157" s="152"/>
      <c r="U157" s="153" t="n">
        <f aca="false">G157+J157</f>
        <v>5.572</v>
      </c>
      <c r="V157" s="154"/>
      <c r="W157" s="155" t="n">
        <f aca="false">VLOOKUP($A157,[1]!CurveTable,MATCH($W$4,[1]!CurveType,0))+$W$9</f>
        <v>0.34</v>
      </c>
      <c r="X157" s="155" t="n">
        <f aca="false">VLOOKUP($A157,[1]!CurveTable,MATCH($X$4,[1]!CurveType,0))+$X$9</f>
        <v>0.345</v>
      </c>
      <c r="Y157" s="139" t="n">
        <f aca="false">SQRT((X157^2*($A157-$C$3)+W157^2*(DAY(EOMONTH(A157,0))/2))/$AN157)</f>
        <v>0.342589352016131</v>
      </c>
      <c r="Z157" s="152"/>
      <c r="AA157" s="153" t="n">
        <f aca="false">G157+P157+S157</f>
        <v>4.9895</v>
      </c>
      <c r="AB157" s="154"/>
      <c r="AC157" s="155" t="n">
        <f aca="false">VLOOKUP($A157,[1]!CurveTable,MATCH($AC$4,[1]!CurveType,0))+$AC$9</f>
        <v>0.17</v>
      </c>
      <c r="AD157" s="155" t="n">
        <f aca="false">VLOOKUP($A157,[1]!CurveTable,MATCH($AD$4,[1]!CurveType,0))+$AD$9</f>
        <v>0.175</v>
      </c>
      <c r="AE157" s="139" t="n">
        <f aca="false">SQRT((AD157^2*($A157-$C$3)+AC157^2*(DAY(EOMONTH(A157,0))/2))/$AN157)</f>
        <v>0.173788096921449</v>
      </c>
      <c r="AF157" s="152"/>
      <c r="AG157" s="156" t="n">
        <f aca="false">((Inputs!$F$20*(X157*AD157)*(A157-$C$3))+(Inputs!$F$19*W157*AC157*(DAY(EOMONTH(A157,0))/2)))/(AN157*Y157*AE157)</f>
        <v>0.750000339570766</v>
      </c>
      <c r="AH157" s="152"/>
      <c r="AI157" s="140" t="n">
        <f aca="false">Inputs!$B$15</f>
        <v>0.06</v>
      </c>
      <c r="AJ157" s="157"/>
      <c r="AK157" s="140" t="n">
        <f aca="false">IF((U157-AA157-AI157)&lt;0,0,(U157-AA157-AI157))</f>
        <v>0.5225</v>
      </c>
      <c r="AL157" s="157"/>
      <c r="AM157" s="158" t="n">
        <f aca="false">WORKDAY(EOMONTH(A157-1,-1),0)</f>
        <v>42582</v>
      </c>
      <c r="AN157" s="159" t="n">
        <f aca="false">AM157-$C$3</f>
        <v>-3344</v>
      </c>
      <c r="AO157" s="159" t="n">
        <f aca="false">AO156</f>
        <v>1</v>
      </c>
      <c r="AP157" s="160"/>
      <c r="AQ157" s="161" t="e">
        <f aca="false">SPRDOPT(U157,AA157,AI157,AX157,X157,AD157,AG157,AN157,AO157,0)</f>
        <v>#NAME?</v>
      </c>
      <c r="AR157" s="162" t="e">
        <f aca="false">AQ157*C157</f>
        <v>#NAME?</v>
      </c>
      <c r="AS157" s="163" t="e">
        <f aca="false">AQ157-AK157</f>
        <v>#NAME?</v>
      </c>
      <c r="AU157" s="112" t="n">
        <f aca="false">A158-A157</f>
        <v>30</v>
      </c>
      <c r="AV157" s="164" t="n">
        <f aca="false">CHOOSE(F$3,A158+24,A157+14)</f>
        <v>42628</v>
      </c>
      <c r="AW157" s="49" t="n">
        <f aca="false">AV157-C$3</f>
        <v>-3298</v>
      </c>
      <c r="AX157" s="155" t="n">
        <f aca="false">VLOOKUP($A157,[1]!CurveTable,MATCH(AX$4,[1]!CurveType,0))</f>
        <v>0.058212852000691</v>
      </c>
      <c r="AY157" s="165" t="n">
        <f aca="false">1/(1+CHOOSE(F$3,(AX158+(Inputs!$B$14/10000))/2,(AX157+(Inputs!$B$14/10000))/2))^(2*AW157/365.25)</f>
        <v>1.67887623230669</v>
      </c>
      <c r="AZ157" s="49" t="n">
        <f aca="false">IF(AND(mthbeg&lt;=A157,mthend&gt;=A157),1,0)</f>
        <v>0</v>
      </c>
      <c r="BA157" s="111" t="n">
        <f aca="false">AU157*AZ157</f>
        <v>0</v>
      </c>
      <c r="BC157" s="142" t="n">
        <f aca="false">E157*$D157</f>
        <v>0</v>
      </c>
      <c r="BD157" s="142" t="n">
        <f aca="false">F157*$D157</f>
        <v>0</v>
      </c>
      <c r="BE157" s="142" t="n">
        <f aca="false">G157*$D157</f>
        <v>0</v>
      </c>
      <c r="BF157" s="142" t="n">
        <f aca="false">H157*$D157</f>
        <v>0</v>
      </c>
      <c r="BG157" s="142" t="n">
        <f aca="false">I157*$D157</f>
        <v>0</v>
      </c>
      <c r="BH157" s="142" t="n">
        <f aca="false">J157*$D157</f>
        <v>0</v>
      </c>
      <c r="BI157" s="142" t="n">
        <f aca="false">K157*$D157</f>
        <v>0</v>
      </c>
      <c r="BJ157" s="142" t="n">
        <f aca="false">L157*$D157</f>
        <v>0</v>
      </c>
      <c r="BK157" s="142" t="n">
        <f aca="false">M157*$D157</f>
        <v>0</v>
      </c>
      <c r="BL157" s="142" t="n">
        <f aca="false">N157*$D157</f>
        <v>0</v>
      </c>
      <c r="BM157" s="142" t="n">
        <f aca="false">O157*$D157</f>
        <v>0</v>
      </c>
      <c r="BN157" s="142" t="n">
        <f aca="false">P157*$D157</f>
        <v>0</v>
      </c>
      <c r="BO157" s="142" t="n">
        <f aca="false">Q157*$D157</f>
        <v>0</v>
      </c>
      <c r="BP157" s="142" t="n">
        <f aca="false">R157*$D157</f>
        <v>0</v>
      </c>
      <c r="BQ157" s="142" t="n">
        <f aca="false">S157*$D157</f>
        <v>0</v>
      </c>
      <c r="BR157" s="142" t="n">
        <f aca="false">U157*$D157</f>
        <v>0</v>
      </c>
      <c r="BS157" s="142" t="n">
        <f aca="false">AA157*$D157</f>
        <v>0</v>
      </c>
      <c r="BT157" s="142" t="n">
        <f aca="false">AI157*$D157</f>
        <v>0</v>
      </c>
      <c r="BU157" s="142" t="n">
        <f aca="false">AK157*D157</f>
        <v>0</v>
      </c>
    </row>
    <row r="158" customFormat="false" ht="12.75" hidden="false" customHeight="false" outlineLevel="0" collapsed="false">
      <c r="A158" s="144" t="n">
        <f aca="false">EDATE(A157,1)</f>
        <v>42644</v>
      </c>
      <c r="B158" s="145" t="n">
        <f aca="false">Inputs!$B$8</f>
        <v>50000</v>
      </c>
      <c r="C158" s="146" t="n">
        <f aca="false">IF(AZ158=0,0,IF(AND(AZ158=1,$H$3=1),B158*AU158,IF($H$3=2,B158,"N/A")))</f>
        <v>0</v>
      </c>
      <c r="D158" s="146" t="n">
        <f aca="false">C158*AY158</f>
        <v>0</v>
      </c>
      <c r="E158" s="147" t="n">
        <f aca="false">VLOOKUP($A158,[1]!CurveTable,MATCH($E$4,[1]!CurveType,0))</f>
        <v>4.917</v>
      </c>
      <c r="F158" s="148" t="n">
        <f aca="false">E158-Inputs!$B$16</f>
        <v>4.972</v>
      </c>
      <c r="G158" s="149" t="n">
        <f aca="false">F158</f>
        <v>4.972</v>
      </c>
      <c r="H158" s="147" t="n">
        <f aca="false">VLOOKUP($A158,[1]!CurveTable,MATCH($H$4,[1]!CurveType,0))</f>
        <v>0.3</v>
      </c>
      <c r="I158" s="148" t="n">
        <f aca="false">H158+Inputs!$B$22</f>
        <v>0.3</v>
      </c>
      <c r="J158" s="150" t="n">
        <f aca="false">I158</f>
        <v>0.3</v>
      </c>
      <c r="K158" s="147" t="n">
        <f aca="false">VLOOKUP($A158,[1]!CurveTable,MATCH($K$4,[1]!CurveType,0))</f>
        <v>0</v>
      </c>
      <c r="L158" s="148" t="n">
        <v>0</v>
      </c>
      <c r="M158" s="151" t="n">
        <f aca="false">L158</f>
        <v>0</v>
      </c>
      <c r="N158" s="147" t="n">
        <f aca="false">VLOOKUP($A158,[1]!CurveTable,MATCH($N$4,[1]!CurveType,0))</f>
        <v>0.016</v>
      </c>
      <c r="O158" s="148" t="n">
        <f aca="false">N158+Inputs!$E$22</f>
        <v>0.016</v>
      </c>
      <c r="P158" s="151" t="n">
        <f aca="false">O158</f>
        <v>0.016</v>
      </c>
      <c r="Q158" s="147" t="n">
        <f aca="false">VLOOKUP($A158,[1]!CurveTable,MATCH($Q$4,[1]!CurveType,0))</f>
        <v>0.01</v>
      </c>
      <c r="R158" s="148" t="n">
        <v>0</v>
      </c>
      <c r="S158" s="151" t="n">
        <f aca="false">R158</f>
        <v>0</v>
      </c>
      <c r="T158" s="152"/>
      <c r="U158" s="153" t="n">
        <f aca="false">G158+J158</f>
        <v>5.272</v>
      </c>
      <c r="V158" s="154"/>
      <c r="W158" s="155" t="n">
        <f aca="false">VLOOKUP($A158,[1]!CurveTable,MATCH($W$4,[1]!CurveType,0))+$W$9</f>
        <v>0.17</v>
      </c>
      <c r="X158" s="155" t="n">
        <f aca="false">VLOOKUP($A158,[1]!CurveTable,MATCH($X$4,[1]!CurveType,0))+$X$9</f>
        <v>0.175</v>
      </c>
      <c r="Y158" s="139" t="n">
        <f aca="false">SQRT((X158^2*($A158-$C$3)+W158^2*(DAY(EOMONTH(A158,0))/2))/$AN158)</f>
        <v>0.173790764142336</v>
      </c>
      <c r="Z158" s="152"/>
      <c r="AA158" s="153" t="n">
        <f aca="false">G158+P158+S158</f>
        <v>4.988</v>
      </c>
      <c r="AB158" s="154"/>
      <c r="AC158" s="155" t="n">
        <f aca="false">VLOOKUP($A158,[1]!CurveTable,MATCH($AC$4,[1]!CurveType,0))+$AC$9</f>
        <v>0.17</v>
      </c>
      <c r="AD158" s="155" t="n">
        <f aca="false">VLOOKUP($A158,[1]!CurveTable,MATCH($AD$4,[1]!CurveType,0))+$AD$9</f>
        <v>0.175</v>
      </c>
      <c r="AE158" s="139" t="n">
        <f aca="false">SQRT((AD158^2*($A158-$C$3)+AC158^2*(DAY(EOMONTH(A158,0))/2))/$AN158)</f>
        <v>0.173790764142336</v>
      </c>
      <c r="AF158" s="152"/>
      <c r="AG158" s="156" t="n">
        <f aca="false">((Inputs!$F$20*(X158*AD158)*(A158-$C$3))+(Inputs!$F$19*W158*AC158*(DAY(EOMONTH(A158,0))/2)))/(AN158*Y158*AE158)</f>
        <v>0.75</v>
      </c>
      <c r="AH158" s="152"/>
      <c r="AI158" s="140" t="n">
        <f aca="false">Inputs!$B$15</f>
        <v>0.06</v>
      </c>
      <c r="AJ158" s="157"/>
      <c r="AK158" s="140" t="n">
        <f aca="false">IF((U158-AA158-AI158)&lt;0,0,(U158-AA158-AI158))</f>
        <v>0.224</v>
      </c>
      <c r="AL158" s="157"/>
      <c r="AM158" s="158" t="n">
        <f aca="false">WORKDAY(EOMONTH(A158-1,-1),0)</f>
        <v>42613</v>
      </c>
      <c r="AN158" s="159" t="n">
        <f aca="false">AM158-$C$3</f>
        <v>-3313</v>
      </c>
      <c r="AO158" s="159" t="n">
        <f aca="false">AO157</f>
        <v>1</v>
      </c>
      <c r="AP158" s="160"/>
      <c r="AQ158" s="161" t="e">
        <f aca="false">SPRDOPT(U158,AA158,AI158,AX158,X158,AD158,AG158,AN158,AO158,0)</f>
        <v>#NAME?</v>
      </c>
      <c r="AR158" s="162" t="e">
        <f aca="false">AQ158*C158</f>
        <v>#NAME?</v>
      </c>
      <c r="AS158" s="163" t="e">
        <f aca="false">AQ158-AK158</f>
        <v>#NAME?</v>
      </c>
      <c r="AU158" s="112" t="n">
        <f aca="false">A159-A158</f>
        <v>31</v>
      </c>
      <c r="AV158" s="164" t="n">
        <f aca="false">CHOOSE(F$3,A159+24,A158+14)</f>
        <v>42658</v>
      </c>
      <c r="AW158" s="49" t="n">
        <f aca="false">AV158-C$3</f>
        <v>-3268</v>
      </c>
      <c r="AX158" s="155" t="n">
        <f aca="false">VLOOKUP($A158,[1]!CurveTable,MATCH(AX$4,[1]!CurveType,0))</f>
        <v>0.0582691869329817</v>
      </c>
      <c r="AY158" s="165" t="n">
        <f aca="false">1/(1+CHOOSE(F$3,(AX159+(Inputs!$B$14/10000))/2,(AX158+(Inputs!$B$14/10000))/2))^(2*AW158/365.25)</f>
        <v>1.67180078907413</v>
      </c>
      <c r="AZ158" s="49" t="n">
        <f aca="false">IF(AND(mthbeg&lt;=A158,mthend&gt;=A158),1,0)</f>
        <v>0</v>
      </c>
      <c r="BA158" s="111" t="n">
        <f aca="false">AU158*AZ158</f>
        <v>0</v>
      </c>
      <c r="BC158" s="142" t="n">
        <f aca="false">E158*$D158</f>
        <v>0</v>
      </c>
      <c r="BD158" s="142" t="n">
        <f aca="false">F158*$D158</f>
        <v>0</v>
      </c>
      <c r="BE158" s="142" t="n">
        <f aca="false">G158*$D158</f>
        <v>0</v>
      </c>
      <c r="BF158" s="142" t="n">
        <f aca="false">H158*$D158</f>
        <v>0</v>
      </c>
      <c r="BG158" s="142" t="n">
        <f aca="false">I158*$D158</f>
        <v>0</v>
      </c>
      <c r="BH158" s="142" t="n">
        <f aca="false">J158*$D158</f>
        <v>0</v>
      </c>
      <c r="BI158" s="142" t="n">
        <f aca="false">K158*$D158</f>
        <v>0</v>
      </c>
      <c r="BJ158" s="142" t="n">
        <f aca="false">L158*$D158</f>
        <v>0</v>
      </c>
      <c r="BK158" s="142" t="n">
        <f aca="false">M158*$D158</f>
        <v>0</v>
      </c>
      <c r="BL158" s="142" t="n">
        <f aca="false">N158*$D158</f>
        <v>0</v>
      </c>
      <c r="BM158" s="142" t="n">
        <f aca="false">O158*$D158</f>
        <v>0</v>
      </c>
      <c r="BN158" s="142" t="n">
        <f aca="false">P158*$D158</f>
        <v>0</v>
      </c>
      <c r="BO158" s="142" t="n">
        <f aca="false">Q158*$D158</f>
        <v>0</v>
      </c>
      <c r="BP158" s="142" t="n">
        <f aca="false">R158*$D158</f>
        <v>0</v>
      </c>
      <c r="BQ158" s="142" t="n">
        <f aca="false">S158*$D158</f>
        <v>0</v>
      </c>
      <c r="BR158" s="142" t="n">
        <f aca="false">U158*$D158</f>
        <v>0</v>
      </c>
      <c r="BS158" s="142" t="n">
        <f aca="false">AA158*$D158</f>
        <v>0</v>
      </c>
      <c r="BT158" s="142" t="n">
        <f aca="false">AI158*$D158</f>
        <v>0</v>
      </c>
      <c r="BU158" s="142" t="n">
        <f aca="false">AK158*D158</f>
        <v>0</v>
      </c>
    </row>
    <row r="159" customFormat="false" ht="12.75" hidden="false" customHeight="false" outlineLevel="0" collapsed="false">
      <c r="A159" s="144" t="n">
        <f aca="false">EDATE(A158,1)</f>
        <v>42675</v>
      </c>
      <c r="B159" s="145" t="n">
        <f aca="false">Inputs!$B$8</f>
        <v>50000</v>
      </c>
      <c r="C159" s="146" t="n">
        <f aca="false">IF(AZ159=0,0,IF(AND(AZ159=1,$H$3=1),B159*AU159,IF($H$3=2,B159,"N/A")))</f>
        <v>0</v>
      </c>
      <c r="D159" s="146" t="n">
        <f aca="false">C159*AY159</f>
        <v>0</v>
      </c>
      <c r="E159" s="147" t="n">
        <f aca="false">VLOOKUP($A159,[1]!CurveTable,MATCH($E$4,[1]!CurveType,0))</f>
        <v>5.065</v>
      </c>
      <c r="F159" s="148" t="n">
        <f aca="false">E159-Inputs!$B$16</f>
        <v>5.12</v>
      </c>
      <c r="G159" s="149" t="n">
        <f aca="false">F159</f>
        <v>5.12</v>
      </c>
      <c r="H159" s="147" t="n">
        <f aca="false">VLOOKUP($A159,[1]!CurveTable,MATCH($H$4,[1]!CurveType,0))</f>
        <v>0.23</v>
      </c>
      <c r="I159" s="148" t="n">
        <f aca="false">H159+Inputs!$B$22</f>
        <v>0.23</v>
      </c>
      <c r="J159" s="150" t="n">
        <f aca="false">I159</f>
        <v>0.23</v>
      </c>
      <c r="K159" s="147" t="n">
        <f aca="false">VLOOKUP($A159,[1]!CurveTable,MATCH($K$4,[1]!CurveType,0))</f>
        <v>0</v>
      </c>
      <c r="L159" s="148" t="n">
        <v>0</v>
      </c>
      <c r="M159" s="151" t="n">
        <f aca="false">L159</f>
        <v>0</v>
      </c>
      <c r="N159" s="147" t="n">
        <f aca="false">VLOOKUP($A159,[1]!CurveTable,MATCH($N$4,[1]!CurveType,0))</f>
        <v>0.017</v>
      </c>
      <c r="O159" s="148" t="n">
        <f aca="false">N159+Inputs!$E$22</f>
        <v>0.017</v>
      </c>
      <c r="P159" s="151" t="n">
        <f aca="false">O159</f>
        <v>0.017</v>
      </c>
      <c r="Q159" s="147" t="n">
        <f aca="false">VLOOKUP($A159,[1]!CurveTable,MATCH($Q$4,[1]!CurveType,0))</f>
        <v>0.0075</v>
      </c>
      <c r="R159" s="148" t="n">
        <v>0</v>
      </c>
      <c r="S159" s="151" t="n">
        <f aca="false">R159</f>
        <v>0</v>
      </c>
      <c r="T159" s="152"/>
      <c r="U159" s="153" t="n">
        <f aca="false">G159+J159</f>
        <v>5.35</v>
      </c>
      <c r="V159" s="154"/>
      <c r="W159" s="155" t="n">
        <f aca="false">VLOOKUP($A159,[1]!CurveTable,MATCH($W$4,[1]!CurveType,0))+$W$9</f>
        <v>0.17</v>
      </c>
      <c r="X159" s="155" t="n">
        <f aca="false">VLOOKUP($A159,[1]!CurveTable,MATCH($X$4,[1]!CurveType,0))+$X$9</f>
        <v>0.175</v>
      </c>
      <c r="Y159" s="139" t="n">
        <f aca="false">SQRT((X159^2*($A159-$C$3)+W159^2*(DAY(EOMONTH(A159,0))/2))/$AN159)</f>
        <v>0.173765499092865</v>
      </c>
      <c r="Z159" s="152"/>
      <c r="AA159" s="153" t="n">
        <f aca="false">G159+P159+S159</f>
        <v>5.137</v>
      </c>
      <c r="AB159" s="154"/>
      <c r="AC159" s="155" t="n">
        <f aca="false">VLOOKUP($A159,[1]!CurveTable,MATCH($AC$4,[1]!CurveType,0))+$AC$9</f>
        <v>0.17</v>
      </c>
      <c r="AD159" s="155" t="n">
        <f aca="false">VLOOKUP($A159,[1]!CurveTable,MATCH($AD$4,[1]!CurveType,0))+$AD$9</f>
        <v>0.175</v>
      </c>
      <c r="AE159" s="139" t="n">
        <f aca="false">SQRT((AD159^2*($A159-$C$3)+AC159^2*(DAY(EOMONTH(A159,0))/2))/$AN159)</f>
        <v>0.173765499092865</v>
      </c>
      <c r="AF159" s="152"/>
      <c r="AG159" s="156" t="n">
        <f aca="false">((Inputs!$F$20*(X159*AD159)*(A159-$C$3))+(Inputs!$F$19*W159*AC159*(DAY(EOMONTH(A159,0))/2)))/(AN159*Y159*AE159)</f>
        <v>0.75</v>
      </c>
      <c r="AH159" s="152"/>
      <c r="AI159" s="140" t="n">
        <f aca="false">Inputs!$B$15</f>
        <v>0.06</v>
      </c>
      <c r="AJ159" s="157"/>
      <c r="AK159" s="140" t="n">
        <f aca="false">IF((U159-AA159-AI159)&lt;0,0,(U159-AA159-AI159))</f>
        <v>0.153</v>
      </c>
      <c r="AL159" s="157"/>
      <c r="AM159" s="158" t="n">
        <f aca="false">WORKDAY(EOMONTH(A159-1,-1),0)</f>
        <v>42643</v>
      </c>
      <c r="AN159" s="159" t="n">
        <f aca="false">AM159-$C$3</f>
        <v>-3283</v>
      </c>
      <c r="AO159" s="159" t="n">
        <f aca="false">AO158</f>
        <v>1</v>
      </c>
      <c r="AP159" s="160"/>
      <c r="AQ159" s="161" t="e">
        <f aca="false">SPRDOPT(U159,AA159,AI159,AX159,X159,AD159,AG159,AN159,AO159,0)</f>
        <v>#NAME?</v>
      </c>
      <c r="AR159" s="162" t="e">
        <f aca="false">AQ159*C159</f>
        <v>#NAME?</v>
      </c>
      <c r="AS159" s="163" t="e">
        <f aca="false">AQ159-AK159</f>
        <v>#NAME?</v>
      </c>
      <c r="AU159" s="112" t="n">
        <f aca="false">A160-A159</f>
        <v>30</v>
      </c>
      <c r="AV159" s="164" t="n">
        <f aca="false">CHOOSE(F$3,A160+24,A159+14)</f>
        <v>42689</v>
      </c>
      <c r="AW159" s="49" t="n">
        <f aca="false">AV159-C$3</f>
        <v>-3237</v>
      </c>
      <c r="AX159" s="155" t="n">
        <f aca="false">VLOOKUP($A159,[1]!CurveTable,MATCH(AX$4,[1]!CurveType,0))</f>
        <v>0.0583273996974572</v>
      </c>
      <c r="AY159" s="165" t="n">
        <f aca="false">1/(1+CHOOSE(F$3,(AX160+(Inputs!$B$14/10000))/2,(AX159+(Inputs!$B$14/10000))/2))^(2*AW159/365.25)</f>
        <v>1.66450507468761</v>
      </c>
      <c r="AZ159" s="49" t="n">
        <f aca="false">IF(AND(mthbeg&lt;=A159,mthend&gt;=A159),1,0)</f>
        <v>0</v>
      </c>
      <c r="BA159" s="111" t="n">
        <f aca="false">AU159*AZ159</f>
        <v>0</v>
      </c>
      <c r="BC159" s="142" t="n">
        <f aca="false">E159*$D159</f>
        <v>0</v>
      </c>
      <c r="BD159" s="142" t="n">
        <f aca="false">F159*$D159</f>
        <v>0</v>
      </c>
      <c r="BE159" s="142" t="n">
        <f aca="false">G159*$D159</f>
        <v>0</v>
      </c>
      <c r="BF159" s="142" t="n">
        <f aca="false">H159*$D159</f>
        <v>0</v>
      </c>
      <c r="BG159" s="142" t="n">
        <f aca="false">I159*$D159</f>
        <v>0</v>
      </c>
      <c r="BH159" s="142" t="n">
        <f aca="false">J159*$D159</f>
        <v>0</v>
      </c>
      <c r="BI159" s="142" t="n">
        <f aca="false">K159*$D159</f>
        <v>0</v>
      </c>
      <c r="BJ159" s="142" t="n">
        <f aca="false">L159*$D159</f>
        <v>0</v>
      </c>
      <c r="BK159" s="142" t="n">
        <f aca="false">M159*$D159</f>
        <v>0</v>
      </c>
      <c r="BL159" s="142" t="n">
        <f aca="false">N159*$D159</f>
        <v>0</v>
      </c>
      <c r="BM159" s="142" t="n">
        <f aca="false">O159*$D159</f>
        <v>0</v>
      </c>
      <c r="BN159" s="142" t="n">
        <f aca="false">P159*$D159</f>
        <v>0</v>
      </c>
      <c r="BO159" s="142" t="n">
        <f aca="false">Q159*$D159</f>
        <v>0</v>
      </c>
      <c r="BP159" s="142" t="n">
        <f aca="false">R159*$D159</f>
        <v>0</v>
      </c>
      <c r="BQ159" s="142" t="n">
        <f aca="false">S159*$D159</f>
        <v>0</v>
      </c>
      <c r="BR159" s="142" t="n">
        <f aca="false">U159*$D159</f>
        <v>0</v>
      </c>
      <c r="BS159" s="142" t="n">
        <f aca="false">AA159*$D159</f>
        <v>0</v>
      </c>
      <c r="BT159" s="142" t="n">
        <f aca="false">AI159*$D159</f>
        <v>0</v>
      </c>
      <c r="BU159" s="142" t="n">
        <f aca="false">AK159*D159</f>
        <v>0</v>
      </c>
    </row>
    <row r="160" customFormat="false" ht="12.75" hidden="false" customHeight="false" outlineLevel="0" collapsed="false">
      <c r="A160" s="144" t="n">
        <f aca="false">EDATE(A159,1)</f>
        <v>42705</v>
      </c>
      <c r="B160" s="145" t="n">
        <f aca="false">Inputs!$B$8</f>
        <v>50000</v>
      </c>
      <c r="C160" s="146" t="n">
        <f aca="false">IF(AZ160=0,0,IF(AND(AZ160=1,$H$3=1),B160*AU160,IF($H$3=2,B160,"N/A")))</f>
        <v>0</v>
      </c>
      <c r="D160" s="146" t="n">
        <f aca="false">C160*AY160</f>
        <v>0</v>
      </c>
      <c r="E160" s="147" t="n">
        <f aca="false">VLOOKUP($A160,[1]!CurveTable,MATCH($E$4,[1]!CurveType,0))</f>
        <v>5.217</v>
      </c>
      <c r="F160" s="148" t="n">
        <f aca="false">E160-Inputs!$B$16</f>
        <v>5.272</v>
      </c>
      <c r="G160" s="149" t="n">
        <f aca="false">F160</f>
        <v>5.272</v>
      </c>
      <c r="H160" s="147" t="n">
        <f aca="false">VLOOKUP($A160,[1]!CurveTable,MATCH($H$4,[1]!CurveType,0))</f>
        <v>0.26</v>
      </c>
      <c r="I160" s="148" t="n">
        <f aca="false">H160+Inputs!$B$22</f>
        <v>0.26</v>
      </c>
      <c r="J160" s="150" t="n">
        <f aca="false">I160</f>
        <v>0.26</v>
      </c>
      <c r="K160" s="147" t="n">
        <f aca="false">VLOOKUP($A160,[1]!CurveTable,MATCH($K$4,[1]!CurveType,0))</f>
        <v>0</v>
      </c>
      <c r="L160" s="148" t="n">
        <v>0</v>
      </c>
      <c r="M160" s="151" t="n">
        <f aca="false">L160</f>
        <v>0</v>
      </c>
      <c r="N160" s="147" t="n">
        <f aca="false">VLOOKUP($A160,[1]!CurveTable,MATCH($N$4,[1]!CurveType,0))</f>
        <v>0.017</v>
      </c>
      <c r="O160" s="148" t="n">
        <f aca="false">N160+Inputs!$E$22</f>
        <v>0.017</v>
      </c>
      <c r="P160" s="151" t="n">
        <f aca="false">O160</f>
        <v>0.017</v>
      </c>
      <c r="Q160" s="147" t="n">
        <f aca="false">VLOOKUP($A160,[1]!CurveTable,MATCH($Q$4,[1]!CurveType,0))</f>
        <v>0.0075</v>
      </c>
      <c r="R160" s="148" t="n">
        <v>0</v>
      </c>
      <c r="S160" s="151" t="n">
        <f aca="false">R160</f>
        <v>0</v>
      </c>
      <c r="T160" s="152"/>
      <c r="U160" s="153" t="n">
        <f aca="false">G160+J160</f>
        <v>5.532</v>
      </c>
      <c r="V160" s="154"/>
      <c r="W160" s="155" t="n">
        <f aca="false">VLOOKUP($A160,[1]!CurveTable,MATCH($W$4,[1]!CurveType,0))+$W$9</f>
        <v>0.17</v>
      </c>
      <c r="X160" s="155" t="n">
        <f aca="false">VLOOKUP($A160,[1]!CurveTable,MATCH($X$4,[1]!CurveType,0))+$X$9</f>
        <v>0.175</v>
      </c>
      <c r="Y160" s="139" t="n">
        <f aca="false">SQRT((X160^2*($A160-$C$3)+W160^2*(DAY(EOMONTH(A160,0))/2))/$AN160)</f>
        <v>0.173768001270898</v>
      </c>
      <c r="Z160" s="152"/>
      <c r="AA160" s="153" t="n">
        <f aca="false">G160+P160+S160</f>
        <v>5.289</v>
      </c>
      <c r="AB160" s="154"/>
      <c r="AC160" s="155" t="n">
        <f aca="false">VLOOKUP($A160,[1]!CurveTable,MATCH($AC$4,[1]!CurveType,0))+$AC$9</f>
        <v>0.17</v>
      </c>
      <c r="AD160" s="155" t="n">
        <f aca="false">VLOOKUP($A160,[1]!CurveTable,MATCH($AD$4,[1]!CurveType,0))+$AD$9</f>
        <v>0.175</v>
      </c>
      <c r="AE160" s="139" t="n">
        <f aca="false">SQRT((AD160^2*($A160-$C$3)+AC160^2*(DAY(EOMONTH(A160,0))/2))/$AN160)</f>
        <v>0.173768001270898</v>
      </c>
      <c r="AF160" s="152"/>
      <c r="AG160" s="156" t="n">
        <f aca="false">((Inputs!$F$20*(X160*AD160)*(A160-$C$3))+(Inputs!$F$19*W160*AC160*(DAY(EOMONTH(A160,0))/2)))/(AN160*Y160*AE160)</f>
        <v>0.75</v>
      </c>
      <c r="AH160" s="152"/>
      <c r="AI160" s="140" t="n">
        <f aca="false">Inputs!$B$15</f>
        <v>0.06</v>
      </c>
      <c r="AJ160" s="157"/>
      <c r="AK160" s="140" t="n">
        <f aca="false">IF((U160-AA160-AI160)&lt;0,0,(U160-AA160-AI160))</f>
        <v>0.182999999999999</v>
      </c>
      <c r="AL160" s="157"/>
      <c r="AM160" s="158" t="n">
        <f aca="false">WORKDAY(EOMONTH(A160-1,-1),0)</f>
        <v>42674</v>
      </c>
      <c r="AN160" s="159" t="n">
        <f aca="false">AM160-$C$3</f>
        <v>-3252</v>
      </c>
      <c r="AO160" s="159" t="n">
        <f aca="false">AO159</f>
        <v>1</v>
      </c>
      <c r="AP160" s="160"/>
      <c r="AQ160" s="161" t="e">
        <f aca="false">SPRDOPT(U160,AA160,AI160,AX160,X160,AD160,AG160,AN160,AO160,0)</f>
        <v>#NAME?</v>
      </c>
      <c r="AR160" s="162" t="e">
        <f aca="false">AQ160*C160</f>
        <v>#NAME?</v>
      </c>
      <c r="AS160" s="163" t="e">
        <f aca="false">AQ160-AK160</f>
        <v>#NAME?</v>
      </c>
      <c r="AU160" s="112" t="n">
        <f aca="false">A161-A160</f>
        <v>31</v>
      </c>
      <c r="AV160" s="164" t="n">
        <f aca="false">CHOOSE(F$3,A161+24,A160+14)</f>
        <v>42719</v>
      </c>
      <c r="AW160" s="49" t="n">
        <f aca="false">AV160-C$3</f>
        <v>-3207</v>
      </c>
      <c r="AX160" s="155" t="n">
        <f aca="false">VLOOKUP($A160,[1]!CurveTable,MATCH(AX$4,[1]!CurveType,0))</f>
        <v>0.0583837346318936</v>
      </c>
      <c r="AY160" s="165" t="n">
        <f aca="false">1/(1+CHOOSE(F$3,(AX161+(Inputs!$B$14/10000))/2,(AX160+(Inputs!$B$14/10000))/2))^(2*AW160/365.25)</f>
        <v>1.65745984709663</v>
      </c>
      <c r="AZ160" s="49" t="n">
        <f aca="false">IF(AND(mthbeg&lt;=A160,mthend&gt;=A160),1,0)</f>
        <v>0</v>
      </c>
      <c r="BA160" s="111" t="n">
        <f aca="false">AU160*AZ160</f>
        <v>0</v>
      </c>
      <c r="BC160" s="142" t="n">
        <f aca="false">E160*$D160</f>
        <v>0</v>
      </c>
      <c r="BD160" s="142" t="n">
        <f aca="false">F160*$D160</f>
        <v>0</v>
      </c>
      <c r="BE160" s="142" t="n">
        <f aca="false">G160*$D160</f>
        <v>0</v>
      </c>
      <c r="BF160" s="142" t="n">
        <f aca="false">H160*$D160</f>
        <v>0</v>
      </c>
      <c r="BG160" s="142" t="n">
        <f aca="false">I160*$D160</f>
        <v>0</v>
      </c>
      <c r="BH160" s="142" t="n">
        <f aca="false">J160*$D160</f>
        <v>0</v>
      </c>
      <c r="BI160" s="142" t="n">
        <f aca="false">K160*$D160</f>
        <v>0</v>
      </c>
      <c r="BJ160" s="142" t="n">
        <f aca="false">L160*$D160</f>
        <v>0</v>
      </c>
      <c r="BK160" s="142" t="n">
        <f aca="false">M160*$D160</f>
        <v>0</v>
      </c>
      <c r="BL160" s="142" t="n">
        <f aca="false">N160*$D160</f>
        <v>0</v>
      </c>
      <c r="BM160" s="142" t="n">
        <f aca="false">O160*$D160</f>
        <v>0</v>
      </c>
      <c r="BN160" s="142" t="n">
        <f aca="false">P160*$D160</f>
        <v>0</v>
      </c>
      <c r="BO160" s="142" t="n">
        <f aca="false">Q160*$D160</f>
        <v>0</v>
      </c>
      <c r="BP160" s="142" t="n">
        <f aca="false">R160*$D160</f>
        <v>0</v>
      </c>
      <c r="BQ160" s="142" t="n">
        <f aca="false">S160*$D160</f>
        <v>0</v>
      </c>
      <c r="BR160" s="142" t="n">
        <f aca="false">U160*$D160</f>
        <v>0</v>
      </c>
      <c r="BS160" s="142" t="n">
        <f aca="false">AA160*$D160</f>
        <v>0</v>
      </c>
      <c r="BT160" s="142" t="n">
        <f aca="false">AI160*$D160</f>
        <v>0</v>
      </c>
      <c r="BU160" s="142" t="n">
        <f aca="false">AK160*D160</f>
        <v>0</v>
      </c>
    </row>
    <row r="161" customFormat="false" ht="12.75" hidden="false" customHeight="false" outlineLevel="0" collapsed="false">
      <c r="A161" s="144" t="n">
        <f aca="false">EDATE(A160,1)</f>
        <v>42736</v>
      </c>
      <c r="B161" s="145" t="n">
        <f aca="false">Inputs!$B$8</f>
        <v>50000</v>
      </c>
      <c r="C161" s="146" t="n">
        <f aca="false">IF(AZ161=0,0,IF(AND(AZ161=1,$H$3=1),B161*AU161,IF($H$3=2,B161,"N/A")))</f>
        <v>0</v>
      </c>
      <c r="D161" s="146" t="n">
        <f aca="false">C161*AY161</f>
        <v>0</v>
      </c>
      <c r="E161" s="147" t="n">
        <f aca="false">VLOOKUP($A161,[1]!CurveTable,MATCH($E$4,[1]!CurveType,0))</f>
        <v>5.2945</v>
      </c>
      <c r="F161" s="148" t="n">
        <f aca="false">E161-Inputs!$B$16</f>
        <v>5.3495</v>
      </c>
      <c r="G161" s="149" t="n">
        <f aca="false">F161</f>
        <v>5.3495</v>
      </c>
      <c r="H161" s="147" t="n">
        <f aca="false">VLOOKUP($A161,[1]!CurveTable,MATCH($H$4,[1]!CurveType,0))</f>
        <v>0.085</v>
      </c>
      <c r="I161" s="148" t="n">
        <f aca="false">H161+Inputs!$B$22</f>
        <v>0.085</v>
      </c>
      <c r="J161" s="150" t="n">
        <f aca="false">I161</f>
        <v>0.085</v>
      </c>
      <c r="K161" s="147" t="n">
        <f aca="false">VLOOKUP($A161,[1]!CurveTable,MATCH($K$4,[1]!CurveType,0))</f>
        <v>0</v>
      </c>
      <c r="L161" s="148" t="n">
        <v>0</v>
      </c>
      <c r="M161" s="151" t="n">
        <f aca="false">L161</f>
        <v>0</v>
      </c>
      <c r="N161" s="147" t="n">
        <f aca="false">VLOOKUP($A161,[1]!CurveTable,MATCH($N$4,[1]!CurveType,0))</f>
        <v>0.017</v>
      </c>
      <c r="O161" s="148" t="n">
        <f aca="false">N161+Inputs!$E$22</f>
        <v>0.017</v>
      </c>
      <c r="P161" s="151" t="n">
        <f aca="false">O161</f>
        <v>0.017</v>
      </c>
      <c r="Q161" s="147" t="n">
        <f aca="false">VLOOKUP($A161,[1]!CurveTable,MATCH($Q$4,[1]!CurveType,0))</f>
        <v>0.0075</v>
      </c>
      <c r="R161" s="148" t="n">
        <v>0</v>
      </c>
      <c r="S161" s="151" t="n">
        <f aca="false">R161</f>
        <v>0</v>
      </c>
      <c r="T161" s="152"/>
      <c r="U161" s="153" t="n">
        <f aca="false">G161+J161</f>
        <v>5.4345</v>
      </c>
      <c r="V161" s="154"/>
      <c r="W161" s="155" t="n">
        <f aca="false">VLOOKUP($A161,[1]!CurveTable,MATCH($W$4,[1]!CurveType,0))+$W$9</f>
        <v>0.17</v>
      </c>
      <c r="X161" s="155" t="n">
        <f aca="false">VLOOKUP($A161,[1]!CurveTable,MATCH($X$4,[1]!CurveType,0))+$X$9</f>
        <v>0.175</v>
      </c>
      <c r="Y161" s="139" t="n">
        <f aca="false">SQRT((X161^2*($A161-$C$3)+W161^2*(DAY(EOMONTH(A161,0))/2))/$AN161)</f>
        <v>0.173729135549555</v>
      </c>
      <c r="Z161" s="152"/>
      <c r="AA161" s="153" t="n">
        <f aca="false">G161+P161+S161</f>
        <v>5.3665</v>
      </c>
      <c r="AB161" s="154"/>
      <c r="AC161" s="155" t="n">
        <f aca="false">VLOOKUP($A161,[1]!CurveTable,MATCH($AC$4,[1]!CurveType,0))+$AC$9</f>
        <v>0.17</v>
      </c>
      <c r="AD161" s="155" t="n">
        <f aca="false">VLOOKUP($A161,[1]!CurveTable,MATCH($AD$4,[1]!CurveType,0))+$AD$9</f>
        <v>0.175</v>
      </c>
      <c r="AE161" s="139" t="n">
        <f aca="false">SQRT((AD161^2*($A161-$C$3)+AC161^2*(DAY(EOMONTH(A161,0))/2))/$AN161)</f>
        <v>0.173729135549555</v>
      </c>
      <c r="AF161" s="152"/>
      <c r="AG161" s="156" t="n">
        <f aca="false">((Inputs!$F$20*(X161*AD161)*(A161-$C$3))+(Inputs!$F$19*W161*AC161*(DAY(EOMONTH(A161,0))/2)))/(AN161*Y161*AE161)</f>
        <v>0.75</v>
      </c>
      <c r="AH161" s="152"/>
      <c r="AI161" s="140" t="n">
        <f aca="false">Inputs!$B$15</f>
        <v>0.06</v>
      </c>
      <c r="AJ161" s="157"/>
      <c r="AK161" s="140" t="n">
        <f aca="false">IF((U161-AA161-AI161)&lt;0,0,(U161-AA161-AI161))</f>
        <v>0.00799999999999962</v>
      </c>
      <c r="AL161" s="157"/>
      <c r="AM161" s="158" t="n">
        <f aca="false">WORKDAY(EOMONTH(A161-1,-1),0)</f>
        <v>42704</v>
      </c>
      <c r="AN161" s="159" t="n">
        <f aca="false">AM161-$C$3</f>
        <v>-3222</v>
      </c>
      <c r="AO161" s="159" t="n">
        <f aca="false">AO160</f>
        <v>1</v>
      </c>
      <c r="AP161" s="160"/>
      <c r="AQ161" s="161" t="e">
        <f aca="false">SPRDOPT(U161,AA161,AI161,AX161,X161,AD161,AG161,AN161,AO161,0)</f>
        <v>#NAME?</v>
      </c>
      <c r="AR161" s="162" t="e">
        <f aca="false">AQ161*C161</f>
        <v>#NAME?</v>
      </c>
      <c r="AS161" s="163" t="e">
        <f aca="false">AQ161-AK161</f>
        <v>#NAME?</v>
      </c>
      <c r="AU161" s="112" t="n">
        <f aca="false">A162-A161</f>
        <v>31</v>
      </c>
      <c r="AV161" s="164" t="n">
        <f aca="false">CHOOSE(F$3,A162+24,A161+14)</f>
        <v>42750</v>
      </c>
      <c r="AW161" s="49" t="n">
        <f aca="false">AV161-C$3</f>
        <v>-3176</v>
      </c>
      <c r="AX161" s="155" t="n">
        <f aca="false">VLOOKUP($A161,[1]!CurveTable,MATCH(AX$4,[1]!CurveType,0))</f>
        <v>0.0584419473985869</v>
      </c>
      <c r="AY161" s="165" t="n">
        <f aca="false">1/(1+CHOOSE(F$3,(AX162+(Inputs!$B$14/10000))/2,(AX161+(Inputs!$B$14/10000))/2))^(2*AW161/365.25)</f>
        <v>1.6501954933948</v>
      </c>
      <c r="AZ161" s="49" t="n">
        <f aca="false">IF(AND(mthbeg&lt;=A161,mthend&gt;=A161),1,0)</f>
        <v>0</v>
      </c>
      <c r="BA161" s="111" t="n">
        <f aca="false">AU161*AZ161</f>
        <v>0</v>
      </c>
      <c r="BC161" s="142" t="n">
        <f aca="false">E161*$D161</f>
        <v>0</v>
      </c>
      <c r="BD161" s="142" t="n">
        <f aca="false">F161*$D161</f>
        <v>0</v>
      </c>
      <c r="BE161" s="142" t="n">
        <f aca="false">G161*$D161</f>
        <v>0</v>
      </c>
      <c r="BF161" s="142" t="n">
        <f aca="false">H161*$D161</f>
        <v>0</v>
      </c>
      <c r="BG161" s="142" t="n">
        <f aca="false">I161*$D161</f>
        <v>0</v>
      </c>
      <c r="BH161" s="142" t="n">
        <f aca="false">J161*$D161</f>
        <v>0</v>
      </c>
      <c r="BI161" s="142" t="n">
        <f aca="false">K161*$D161</f>
        <v>0</v>
      </c>
      <c r="BJ161" s="142" t="n">
        <f aca="false">L161*$D161</f>
        <v>0</v>
      </c>
      <c r="BK161" s="142" t="n">
        <f aca="false">M161*$D161</f>
        <v>0</v>
      </c>
      <c r="BL161" s="142" t="n">
        <f aca="false">N161*$D161</f>
        <v>0</v>
      </c>
      <c r="BM161" s="142" t="n">
        <f aca="false">O161*$D161</f>
        <v>0</v>
      </c>
      <c r="BN161" s="142" t="n">
        <f aca="false">P161*$D161</f>
        <v>0</v>
      </c>
      <c r="BO161" s="142" t="n">
        <f aca="false">Q161*$D161</f>
        <v>0</v>
      </c>
      <c r="BP161" s="142" t="n">
        <f aca="false">R161*$D161</f>
        <v>0</v>
      </c>
      <c r="BQ161" s="142" t="n">
        <f aca="false">S161*$D161</f>
        <v>0</v>
      </c>
      <c r="BR161" s="142" t="n">
        <f aca="false">U161*$D161</f>
        <v>0</v>
      </c>
      <c r="BS161" s="142" t="n">
        <f aca="false">AA161*$D161</f>
        <v>0</v>
      </c>
      <c r="BT161" s="142" t="n">
        <f aca="false">AI161*$D161</f>
        <v>0</v>
      </c>
      <c r="BU161" s="142" t="n">
        <f aca="false">AK161*D161</f>
        <v>0</v>
      </c>
    </row>
    <row r="162" customFormat="false" ht="12.75" hidden="false" customHeight="false" outlineLevel="0" collapsed="false">
      <c r="A162" s="144" t="n">
        <f aca="false">EDATE(A161,1)</f>
        <v>42767</v>
      </c>
      <c r="B162" s="145" t="n">
        <f aca="false">Inputs!$B$8</f>
        <v>50000</v>
      </c>
      <c r="C162" s="146" t="n">
        <f aca="false">IF(AZ162=0,0,IF(AND(AZ162=1,$H$3=1),B162*AU162,IF($H$3=2,B162,"N/A")))</f>
        <v>0</v>
      </c>
      <c r="D162" s="146" t="n">
        <f aca="false">C162*AY162</f>
        <v>0</v>
      </c>
      <c r="E162" s="147" t="n">
        <f aca="false">VLOOKUP($A162,[1]!CurveTable,MATCH($E$4,[1]!CurveType,0))</f>
        <v>5.2075</v>
      </c>
      <c r="F162" s="148" t="n">
        <f aca="false">E162-Inputs!$B$16</f>
        <v>5.2625</v>
      </c>
      <c r="G162" s="149" t="n">
        <f aca="false">F162</f>
        <v>5.2625</v>
      </c>
      <c r="H162" s="147" t="n">
        <f aca="false">VLOOKUP($A162,[1]!CurveTable,MATCH($H$4,[1]!CurveType,0))</f>
        <v>0.075</v>
      </c>
      <c r="I162" s="148" t="n">
        <f aca="false">H162+Inputs!$B$22</f>
        <v>0.075</v>
      </c>
      <c r="J162" s="150" t="n">
        <f aca="false">I162</f>
        <v>0.075</v>
      </c>
      <c r="K162" s="147" t="n">
        <f aca="false">VLOOKUP($A162,[1]!CurveTable,MATCH($K$4,[1]!CurveType,0))</f>
        <v>0</v>
      </c>
      <c r="L162" s="148" t="n">
        <v>0</v>
      </c>
      <c r="M162" s="151" t="n">
        <f aca="false">L162</f>
        <v>0</v>
      </c>
      <c r="N162" s="147" t="n">
        <f aca="false">VLOOKUP($A162,[1]!CurveTable,MATCH($N$4,[1]!CurveType,0))</f>
        <v>0.017</v>
      </c>
      <c r="O162" s="148" t="n">
        <f aca="false">N162+Inputs!$E$22</f>
        <v>0.017</v>
      </c>
      <c r="P162" s="151" t="n">
        <f aca="false">O162</f>
        <v>0.017</v>
      </c>
      <c r="Q162" s="147" t="n">
        <f aca="false">VLOOKUP($A162,[1]!CurveTable,MATCH($Q$4,[1]!CurveType,0))</f>
        <v>0.0075</v>
      </c>
      <c r="R162" s="148" t="n">
        <v>0</v>
      </c>
      <c r="S162" s="151" t="n">
        <f aca="false">R162</f>
        <v>0</v>
      </c>
      <c r="T162" s="152"/>
      <c r="U162" s="153" t="n">
        <f aca="false">G162+J162</f>
        <v>5.3375</v>
      </c>
      <c r="V162" s="154"/>
      <c r="W162" s="155" t="n">
        <f aca="false">VLOOKUP($A162,[1]!CurveTable,MATCH($W$4,[1]!CurveType,0))+$W$9</f>
        <v>0.17</v>
      </c>
      <c r="X162" s="155" t="n">
        <f aca="false">VLOOKUP($A162,[1]!CurveTable,MATCH($X$4,[1]!CurveType,0))+$X$9</f>
        <v>0.175</v>
      </c>
      <c r="Y162" s="139" t="n">
        <f aca="false">SQRT((X162^2*($A162-$C$3)+W162^2*(DAY(EOMONTH(A162,0))/2))/$AN162)</f>
        <v>0.173755840575583</v>
      </c>
      <c r="Z162" s="152"/>
      <c r="AA162" s="153" t="n">
        <f aca="false">G162+P162+S162</f>
        <v>5.2795</v>
      </c>
      <c r="AB162" s="154"/>
      <c r="AC162" s="155" t="n">
        <f aca="false">VLOOKUP($A162,[1]!CurveTable,MATCH($AC$4,[1]!CurveType,0))+$AC$9</f>
        <v>0.17</v>
      </c>
      <c r="AD162" s="155" t="n">
        <f aca="false">VLOOKUP($A162,[1]!CurveTable,MATCH($AD$4,[1]!CurveType,0))+$AD$9</f>
        <v>0.175</v>
      </c>
      <c r="AE162" s="139" t="n">
        <f aca="false">SQRT((AD162^2*($A162-$C$3)+AC162^2*(DAY(EOMONTH(A162,0))/2))/$AN162)</f>
        <v>0.173755840575583</v>
      </c>
      <c r="AF162" s="152"/>
      <c r="AG162" s="156" t="n">
        <f aca="false">((Inputs!$F$20*(X162*AD162)*(A162-$C$3))+(Inputs!$F$19*W162*AC162*(DAY(EOMONTH(A162,0))/2)))/(AN162*Y162*AE162)</f>
        <v>0.75</v>
      </c>
      <c r="AH162" s="152"/>
      <c r="AI162" s="140" t="n">
        <f aca="false">Inputs!$B$15</f>
        <v>0.06</v>
      </c>
      <c r="AJ162" s="157"/>
      <c r="AK162" s="140" t="n">
        <f aca="false">IF((U162-AA162-AI162)&lt;0,0,(U162-AA162-AI162))</f>
        <v>0</v>
      </c>
      <c r="AL162" s="157"/>
      <c r="AM162" s="158" t="n">
        <f aca="false">WORKDAY(EOMONTH(A162-1,-1),0)</f>
        <v>42735</v>
      </c>
      <c r="AN162" s="159" t="n">
        <f aca="false">AM162-$C$3</f>
        <v>-3191</v>
      </c>
      <c r="AO162" s="159" t="n">
        <f aca="false">AO161</f>
        <v>1</v>
      </c>
      <c r="AP162" s="160"/>
      <c r="AQ162" s="161" t="e">
        <f aca="false">SPRDOPT(U162,AA162,AI162,AX162,X162,AD162,AG162,AN162,AO162,0)</f>
        <v>#NAME?</v>
      </c>
      <c r="AR162" s="162" t="e">
        <f aca="false">AQ162*C162</f>
        <v>#NAME?</v>
      </c>
      <c r="AS162" s="163" t="e">
        <f aca="false">AQ162-AK162</f>
        <v>#NAME?</v>
      </c>
      <c r="AU162" s="112" t="n">
        <f aca="false">A163-A162</f>
        <v>28</v>
      </c>
      <c r="AV162" s="164" t="n">
        <f aca="false">CHOOSE(F$3,A163+24,A162+14)</f>
        <v>42781</v>
      </c>
      <c r="AW162" s="49" t="n">
        <f aca="false">AV162-C$3</f>
        <v>-3145</v>
      </c>
      <c r="AX162" s="155" t="n">
        <f aca="false">VLOOKUP($A162,[1]!CurveTable,MATCH(AX$4,[1]!CurveType,0))</f>
        <v>0.0585001601664068</v>
      </c>
      <c r="AY162" s="165" t="n">
        <f aca="false">1/(1+CHOOSE(F$3,(AX163+(Inputs!$B$14/10000))/2,(AX162+(Inputs!$B$14/10000))/2))^(2*AW162/365.25)</f>
        <v>1.64294718142052</v>
      </c>
      <c r="AZ162" s="49" t="n">
        <f aca="false">IF(AND(mthbeg&lt;=A162,mthend&gt;=A162),1,0)</f>
        <v>0</v>
      </c>
      <c r="BA162" s="111" t="n">
        <f aca="false">AU162*AZ162</f>
        <v>0</v>
      </c>
      <c r="BC162" s="142" t="n">
        <f aca="false">E162*$D162</f>
        <v>0</v>
      </c>
      <c r="BD162" s="142" t="n">
        <f aca="false">F162*$D162</f>
        <v>0</v>
      </c>
      <c r="BE162" s="142" t="n">
        <f aca="false">G162*$D162</f>
        <v>0</v>
      </c>
      <c r="BF162" s="142" t="n">
        <f aca="false">H162*$D162</f>
        <v>0</v>
      </c>
      <c r="BG162" s="142" t="n">
        <f aca="false">I162*$D162</f>
        <v>0</v>
      </c>
      <c r="BH162" s="142" t="n">
        <f aca="false">J162*$D162</f>
        <v>0</v>
      </c>
      <c r="BI162" s="142" t="n">
        <f aca="false">K162*$D162</f>
        <v>0</v>
      </c>
      <c r="BJ162" s="142" t="n">
        <f aca="false">L162*$D162</f>
        <v>0</v>
      </c>
      <c r="BK162" s="142" t="n">
        <f aca="false">M162*$D162</f>
        <v>0</v>
      </c>
      <c r="BL162" s="142" t="n">
        <f aca="false">N162*$D162</f>
        <v>0</v>
      </c>
      <c r="BM162" s="142" t="n">
        <f aca="false">O162*$D162</f>
        <v>0</v>
      </c>
      <c r="BN162" s="142" t="n">
        <f aca="false">P162*$D162</f>
        <v>0</v>
      </c>
      <c r="BO162" s="142" t="n">
        <f aca="false">Q162*$D162</f>
        <v>0</v>
      </c>
      <c r="BP162" s="142" t="n">
        <f aca="false">R162*$D162</f>
        <v>0</v>
      </c>
      <c r="BQ162" s="142" t="n">
        <f aca="false">S162*$D162</f>
        <v>0</v>
      </c>
      <c r="BR162" s="142" t="n">
        <f aca="false">U162*$D162</f>
        <v>0</v>
      </c>
      <c r="BS162" s="142" t="n">
        <f aca="false">AA162*$D162</f>
        <v>0</v>
      </c>
      <c r="BT162" s="142" t="n">
        <f aca="false">AI162*$D162</f>
        <v>0</v>
      </c>
      <c r="BU162" s="142" t="n">
        <f aca="false">AK162*D162</f>
        <v>0</v>
      </c>
    </row>
    <row r="163" customFormat="false" ht="12.75" hidden="false" customHeight="false" outlineLevel="0" collapsed="false">
      <c r="A163" s="144" t="n">
        <f aca="false">EDATE(A162,1)</f>
        <v>42795</v>
      </c>
      <c r="B163" s="145" t="n">
        <f aca="false">Inputs!$B$8</f>
        <v>50000</v>
      </c>
      <c r="C163" s="146" t="n">
        <f aca="false">IF(AZ163=0,0,IF(AND(AZ163=1,$H$3=1),B163*AU163,IF($H$3=2,B163,"N/A")))</f>
        <v>0</v>
      </c>
      <c r="D163" s="146" t="n">
        <f aca="false">C163*AY163</f>
        <v>0</v>
      </c>
      <c r="E163" s="147" t="n">
        <f aca="false">VLOOKUP($A163,[1]!CurveTable,MATCH($E$4,[1]!CurveType,0))</f>
        <v>5.0685</v>
      </c>
      <c r="F163" s="148" t="n">
        <f aca="false">E163-Inputs!$B$16</f>
        <v>5.1235</v>
      </c>
      <c r="G163" s="149" t="n">
        <f aca="false">F163</f>
        <v>5.1235</v>
      </c>
      <c r="H163" s="147" t="n">
        <f aca="false">VLOOKUP($A163,[1]!CurveTable,MATCH($H$4,[1]!CurveType,0))</f>
        <v>0.115</v>
      </c>
      <c r="I163" s="148" t="n">
        <f aca="false">H163+Inputs!$B$22</f>
        <v>0.115</v>
      </c>
      <c r="J163" s="150" t="n">
        <f aca="false">I163</f>
        <v>0.115</v>
      </c>
      <c r="K163" s="147" t="n">
        <f aca="false">VLOOKUP($A163,[1]!CurveTable,MATCH($K$4,[1]!CurveType,0))</f>
        <v>0</v>
      </c>
      <c r="L163" s="148" t="n">
        <v>0</v>
      </c>
      <c r="M163" s="151" t="n">
        <f aca="false">L163</f>
        <v>0</v>
      </c>
      <c r="N163" s="147" t="n">
        <f aca="false">VLOOKUP($A163,[1]!CurveTable,MATCH($N$4,[1]!CurveType,0))</f>
        <v>0.021</v>
      </c>
      <c r="O163" s="148" t="n">
        <f aca="false">N163+Inputs!$E$22</f>
        <v>0.021</v>
      </c>
      <c r="P163" s="151" t="n">
        <f aca="false">O163</f>
        <v>0.021</v>
      </c>
      <c r="Q163" s="147" t="n">
        <f aca="false">VLOOKUP($A163,[1]!CurveTable,MATCH($Q$4,[1]!CurveType,0))</f>
        <v>0.0075</v>
      </c>
      <c r="R163" s="148" t="n">
        <v>0</v>
      </c>
      <c r="S163" s="151" t="n">
        <f aca="false">R163</f>
        <v>0</v>
      </c>
      <c r="T163" s="152"/>
      <c r="U163" s="153" t="n">
        <f aca="false">G163+J163</f>
        <v>5.2385</v>
      </c>
      <c r="V163" s="154"/>
      <c r="W163" s="155" t="n">
        <f aca="false">VLOOKUP($A163,[1]!CurveTable,MATCH($W$4,[1]!CurveType,0))+$W$9</f>
        <v>0.17</v>
      </c>
      <c r="X163" s="155" t="n">
        <f aca="false">VLOOKUP($A163,[1]!CurveTable,MATCH($X$4,[1]!CurveType,0))+$X$9</f>
        <v>0.175</v>
      </c>
      <c r="Y163" s="139" t="n">
        <f aca="false">SQRT((X163^2*($A163-$C$3)+W163^2*(DAY(EOMONTH(A163,0))/2))/$AN163)</f>
        <v>0.17378777706069</v>
      </c>
      <c r="Z163" s="152"/>
      <c r="AA163" s="153" t="n">
        <f aca="false">G163+P163+S163</f>
        <v>5.1445</v>
      </c>
      <c r="AB163" s="154"/>
      <c r="AC163" s="155" t="n">
        <f aca="false">VLOOKUP($A163,[1]!CurveTable,MATCH($AC$4,[1]!CurveType,0))+$AC$9</f>
        <v>0.17</v>
      </c>
      <c r="AD163" s="155" t="n">
        <f aca="false">VLOOKUP($A163,[1]!CurveTable,MATCH($AD$4,[1]!CurveType,0))+$AD$9</f>
        <v>0.175</v>
      </c>
      <c r="AE163" s="139" t="n">
        <f aca="false">SQRT((AD163^2*($A163-$C$3)+AC163^2*(DAY(EOMONTH(A163,0))/2))/$AN163)</f>
        <v>0.17378777706069</v>
      </c>
      <c r="AF163" s="152"/>
      <c r="AG163" s="156" t="n">
        <f aca="false">((Inputs!$F$20*(X163*AD163)*(A163-$C$3))+(Inputs!$F$19*W163*AC163*(DAY(EOMONTH(A163,0))/2)))/(AN163*Y163*AE163)</f>
        <v>0.75</v>
      </c>
      <c r="AH163" s="152"/>
      <c r="AI163" s="140" t="n">
        <f aca="false">Inputs!$B$15</f>
        <v>0.06</v>
      </c>
      <c r="AJ163" s="157"/>
      <c r="AK163" s="140" t="n">
        <f aca="false">IF((U163-AA163-AI163)&lt;0,0,(U163-AA163-AI163))</f>
        <v>0.0340000000000003</v>
      </c>
      <c r="AL163" s="157"/>
      <c r="AM163" s="158" t="n">
        <f aca="false">WORKDAY(EOMONTH(A163-1,-1),0)</f>
        <v>42766</v>
      </c>
      <c r="AN163" s="159" t="n">
        <f aca="false">AM163-$C$3</f>
        <v>-3160</v>
      </c>
      <c r="AO163" s="159" t="n">
        <f aca="false">AO162</f>
        <v>1</v>
      </c>
      <c r="AP163" s="160"/>
      <c r="AQ163" s="161" t="e">
        <f aca="false">SPRDOPT(U163,AA163,AI163,AX163,X163,AD163,AG163,AN163,AO163,0)</f>
        <v>#NAME?</v>
      </c>
      <c r="AR163" s="162" t="e">
        <f aca="false">AQ163*C163</f>
        <v>#NAME?</v>
      </c>
      <c r="AS163" s="163" t="e">
        <f aca="false">AQ163-AK163</f>
        <v>#NAME?</v>
      </c>
      <c r="AU163" s="112" t="n">
        <f aca="false">A164-A163</f>
        <v>31</v>
      </c>
      <c r="AV163" s="164" t="n">
        <f aca="false">CHOOSE(F$3,A164+24,A163+14)</f>
        <v>42809</v>
      </c>
      <c r="AW163" s="49" t="n">
        <f aca="false">AV163-C$3</f>
        <v>-3117</v>
      </c>
      <c r="AX163" s="155" t="n">
        <f aca="false">VLOOKUP($A163,[1]!CurveTable,MATCH(AX$4,[1]!CurveType,0))</f>
        <v>0.0585527394415348</v>
      </c>
      <c r="AY163" s="165" t="n">
        <f aca="false">1/(1+CHOOSE(F$3,(AX164+(Inputs!$B$14/10000))/2,(AX163+(Inputs!$B$14/10000))/2))^(2*AW163/365.25)</f>
        <v>1.63641416484192</v>
      </c>
      <c r="AZ163" s="49" t="n">
        <f aca="false">IF(AND(mthbeg&lt;=A163,mthend&gt;=A163),1,0)</f>
        <v>0</v>
      </c>
      <c r="BA163" s="111" t="n">
        <f aca="false">AU163*AZ163</f>
        <v>0</v>
      </c>
      <c r="BC163" s="142" t="n">
        <f aca="false">E163*$D163</f>
        <v>0</v>
      </c>
      <c r="BD163" s="142" t="n">
        <f aca="false">F163*$D163</f>
        <v>0</v>
      </c>
      <c r="BE163" s="142" t="n">
        <f aca="false">G163*$D163</f>
        <v>0</v>
      </c>
      <c r="BF163" s="142" t="n">
        <f aca="false">H163*$D163</f>
        <v>0</v>
      </c>
      <c r="BG163" s="142" t="n">
        <f aca="false">I163*$D163</f>
        <v>0</v>
      </c>
      <c r="BH163" s="142" t="n">
        <f aca="false">J163*$D163</f>
        <v>0</v>
      </c>
      <c r="BI163" s="142" t="n">
        <f aca="false">K163*$D163</f>
        <v>0</v>
      </c>
      <c r="BJ163" s="142" t="n">
        <f aca="false">L163*$D163</f>
        <v>0</v>
      </c>
      <c r="BK163" s="142" t="n">
        <f aca="false">M163*$D163</f>
        <v>0</v>
      </c>
      <c r="BL163" s="142" t="n">
        <f aca="false">N163*$D163</f>
        <v>0</v>
      </c>
      <c r="BM163" s="142" t="n">
        <f aca="false">O163*$D163</f>
        <v>0</v>
      </c>
      <c r="BN163" s="142" t="n">
        <f aca="false">P163*$D163</f>
        <v>0</v>
      </c>
      <c r="BO163" s="142" t="n">
        <f aca="false">Q163*$D163</f>
        <v>0</v>
      </c>
      <c r="BP163" s="142" t="n">
        <f aca="false">R163*$D163</f>
        <v>0</v>
      </c>
      <c r="BQ163" s="142" t="n">
        <f aca="false">S163*$D163</f>
        <v>0</v>
      </c>
      <c r="BR163" s="142" t="n">
        <f aca="false">U163*$D163</f>
        <v>0</v>
      </c>
      <c r="BS163" s="142" t="n">
        <f aca="false">AA163*$D163</f>
        <v>0</v>
      </c>
      <c r="BT163" s="142" t="n">
        <f aca="false">AI163*$D163</f>
        <v>0</v>
      </c>
      <c r="BU163" s="142" t="n">
        <f aca="false">AK163*D163</f>
        <v>0</v>
      </c>
    </row>
    <row r="164" customFormat="false" ht="12.75" hidden="false" customHeight="false" outlineLevel="0" collapsed="false">
      <c r="A164" s="144" t="n">
        <f aca="false">EDATE(A163,1)</f>
        <v>42826</v>
      </c>
      <c r="B164" s="145" t="n">
        <f aca="false">Inputs!$B$8</f>
        <v>50000</v>
      </c>
      <c r="C164" s="146" t="n">
        <f aca="false">IF(AZ164=0,0,IF(AND(AZ164=1,$H$3=1),B164*AU164,IF($H$3=2,B164,"N/A")))</f>
        <v>0</v>
      </c>
      <c r="D164" s="146" t="n">
        <f aca="false">C164*AY164</f>
        <v>0</v>
      </c>
      <c r="E164" s="147" t="n">
        <f aca="false">VLOOKUP($A164,[1]!CurveTable,MATCH($E$4,[1]!CurveType,0))</f>
        <v>4.9145</v>
      </c>
      <c r="F164" s="148" t="n">
        <f aca="false">E164-Inputs!$B$16</f>
        <v>4.9695</v>
      </c>
      <c r="G164" s="149" t="n">
        <f aca="false">F164</f>
        <v>4.9695</v>
      </c>
      <c r="H164" s="147" t="n">
        <f aca="false">VLOOKUP($A164,[1]!CurveTable,MATCH($H$4,[1]!CurveType,0))</f>
        <v>0.55</v>
      </c>
      <c r="I164" s="148" t="n">
        <f aca="false">H164+Inputs!$B$22</f>
        <v>0.55</v>
      </c>
      <c r="J164" s="150" t="n">
        <f aca="false">I164</f>
        <v>0.55</v>
      </c>
      <c r="K164" s="147" t="n">
        <f aca="false">VLOOKUP($A164,[1]!CurveTable,MATCH($K$4,[1]!CurveType,0))</f>
        <v>0</v>
      </c>
      <c r="L164" s="148" t="n">
        <v>0</v>
      </c>
      <c r="M164" s="151" t="n">
        <f aca="false">L164</f>
        <v>0</v>
      </c>
      <c r="N164" s="147" t="n">
        <f aca="false">VLOOKUP($A164,[1]!CurveTable,MATCH($N$4,[1]!CurveType,0))</f>
        <v>0.021</v>
      </c>
      <c r="O164" s="148" t="n">
        <f aca="false">N164+Inputs!$E$22</f>
        <v>0.021</v>
      </c>
      <c r="P164" s="151" t="n">
        <f aca="false">O164</f>
        <v>0.021</v>
      </c>
      <c r="Q164" s="147" t="n">
        <f aca="false">VLOOKUP($A164,[1]!CurveTable,MATCH($Q$4,[1]!CurveType,0))</f>
        <v>0.01</v>
      </c>
      <c r="R164" s="148" t="n">
        <v>0</v>
      </c>
      <c r="S164" s="151" t="n">
        <f aca="false">R164</f>
        <v>0</v>
      </c>
      <c r="T164" s="152"/>
      <c r="U164" s="153" t="n">
        <f aca="false">G164+J164</f>
        <v>5.5195</v>
      </c>
      <c r="V164" s="154"/>
      <c r="W164" s="155" t="n">
        <f aca="false">VLOOKUP($A164,[1]!CurveTable,MATCH($W$4,[1]!CurveType,0))+$W$9</f>
        <v>0.17</v>
      </c>
      <c r="X164" s="155" t="n">
        <f aca="false">VLOOKUP($A164,[1]!CurveTable,MATCH($X$4,[1]!CurveType,0))+$X$9</f>
        <v>0.175</v>
      </c>
      <c r="Y164" s="139" t="n">
        <f aca="false">SQRT((X164^2*($A164-$C$3)+W164^2*(DAY(EOMONTH(A164,0))/2))/$AN164)</f>
        <v>0.173705759640582</v>
      </c>
      <c r="Z164" s="152"/>
      <c r="AA164" s="153" t="n">
        <f aca="false">G164+P164+S164</f>
        <v>4.9905</v>
      </c>
      <c r="AB164" s="154"/>
      <c r="AC164" s="155" t="n">
        <f aca="false">VLOOKUP($A164,[1]!CurveTable,MATCH($AC$4,[1]!CurveType,0))+$AC$9</f>
        <v>0.17</v>
      </c>
      <c r="AD164" s="155" t="n">
        <f aca="false">VLOOKUP($A164,[1]!CurveTable,MATCH($AD$4,[1]!CurveType,0))+$AD$9</f>
        <v>0.175</v>
      </c>
      <c r="AE164" s="139" t="n">
        <f aca="false">SQRT((AD164^2*($A164-$C$3)+AC164^2*(DAY(EOMONTH(A164,0))/2))/$AN164)</f>
        <v>0.173705759640582</v>
      </c>
      <c r="AF164" s="152"/>
      <c r="AG164" s="156" t="n">
        <f aca="false">((Inputs!$F$20*(X164*AD164)*(A164-$C$3))+(Inputs!$F$19*W164*AC164*(DAY(EOMONTH(A164,0))/2)))/(AN164*Y164*AE164)</f>
        <v>0.75</v>
      </c>
      <c r="AH164" s="152"/>
      <c r="AI164" s="140" t="n">
        <f aca="false">Inputs!$B$15</f>
        <v>0.06</v>
      </c>
      <c r="AJ164" s="157"/>
      <c r="AK164" s="140" t="n">
        <f aca="false">IF((U164-AA164-AI164)&lt;0,0,(U164-AA164-AI164))</f>
        <v>0.469</v>
      </c>
      <c r="AL164" s="157"/>
      <c r="AM164" s="158" t="n">
        <f aca="false">WORKDAY(EOMONTH(A164-1,-1),0)</f>
        <v>42794</v>
      </c>
      <c r="AN164" s="159" t="n">
        <f aca="false">AM164-$C$3</f>
        <v>-3132</v>
      </c>
      <c r="AO164" s="159" t="n">
        <f aca="false">AO163</f>
        <v>1</v>
      </c>
      <c r="AP164" s="160"/>
      <c r="AQ164" s="161" t="e">
        <f aca="false">SPRDOPT(U164,AA164,AI164,AX164,X164,AD164,AG164,AN164,AO164,0)</f>
        <v>#NAME?</v>
      </c>
      <c r="AR164" s="162" t="e">
        <f aca="false">AQ164*C164</f>
        <v>#NAME?</v>
      </c>
      <c r="AS164" s="163" t="e">
        <f aca="false">AQ164-AK164</f>
        <v>#NAME?</v>
      </c>
      <c r="AU164" s="112" t="n">
        <f aca="false">A165-A164</f>
        <v>30</v>
      </c>
      <c r="AV164" s="164" t="n">
        <f aca="false">CHOOSE(F$3,A165+24,A164+14)</f>
        <v>42840</v>
      </c>
      <c r="AW164" s="49" t="n">
        <f aca="false">AV164-C$3</f>
        <v>-3086</v>
      </c>
      <c r="AX164" s="155" t="n">
        <f aca="false">VLOOKUP($A164,[1]!CurveTable,MATCH(AX$4,[1]!CurveType,0))</f>
        <v>0.0586109522114993</v>
      </c>
      <c r="AY164" s="165" t="n">
        <f aca="false">1/(1+CHOOSE(F$3,(AX165+(Inputs!$B$14/10000))/2,(AX164+(Inputs!$B$14/10000))/2))^(2*AW164/365.25)</f>
        <v>1.62919657465534</v>
      </c>
      <c r="AZ164" s="49" t="n">
        <f aca="false">IF(AND(mthbeg&lt;=A164,mthend&gt;=A164),1,0)</f>
        <v>0</v>
      </c>
      <c r="BA164" s="111" t="n">
        <f aca="false">AU164*AZ164</f>
        <v>0</v>
      </c>
      <c r="BC164" s="142" t="n">
        <f aca="false">E164*$D164</f>
        <v>0</v>
      </c>
      <c r="BD164" s="142" t="n">
        <f aca="false">F164*$D164</f>
        <v>0</v>
      </c>
      <c r="BE164" s="142" t="n">
        <f aca="false">G164*$D164</f>
        <v>0</v>
      </c>
      <c r="BF164" s="142" t="n">
        <f aca="false">H164*$D164</f>
        <v>0</v>
      </c>
      <c r="BG164" s="142" t="n">
        <f aca="false">I164*$D164</f>
        <v>0</v>
      </c>
      <c r="BH164" s="142" t="n">
        <f aca="false">J164*$D164</f>
        <v>0</v>
      </c>
      <c r="BI164" s="142" t="n">
        <f aca="false">K164*$D164</f>
        <v>0</v>
      </c>
      <c r="BJ164" s="142" t="n">
        <f aca="false">L164*$D164</f>
        <v>0</v>
      </c>
      <c r="BK164" s="142" t="n">
        <f aca="false">M164*$D164</f>
        <v>0</v>
      </c>
      <c r="BL164" s="142" t="n">
        <f aca="false">N164*$D164</f>
        <v>0</v>
      </c>
      <c r="BM164" s="142" t="n">
        <f aca="false">O164*$D164</f>
        <v>0</v>
      </c>
      <c r="BN164" s="142" t="n">
        <f aca="false">P164*$D164</f>
        <v>0</v>
      </c>
      <c r="BO164" s="142" t="n">
        <f aca="false">Q164*$D164</f>
        <v>0</v>
      </c>
      <c r="BP164" s="142" t="n">
        <f aca="false">R164*$D164</f>
        <v>0</v>
      </c>
      <c r="BQ164" s="142" t="n">
        <f aca="false">S164*$D164</f>
        <v>0</v>
      </c>
      <c r="BR164" s="142" t="n">
        <f aca="false">U164*$D164</f>
        <v>0</v>
      </c>
      <c r="BS164" s="142" t="n">
        <f aca="false">AA164*$D164</f>
        <v>0</v>
      </c>
      <c r="BT164" s="142" t="n">
        <f aca="false">AI164*$D164</f>
        <v>0</v>
      </c>
      <c r="BU164" s="142" t="n">
        <f aca="false">AK164*D164</f>
        <v>0</v>
      </c>
    </row>
    <row r="165" customFormat="false" ht="12.75" hidden="false" customHeight="false" outlineLevel="0" collapsed="false">
      <c r="A165" s="144" t="n">
        <f aca="false">EDATE(A164,1)</f>
        <v>42856</v>
      </c>
      <c r="B165" s="145" t="n">
        <f aca="false">Inputs!$B$8</f>
        <v>50000</v>
      </c>
      <c r="C165" s="146" t="n">
        <f aca="false">IF(AZ165=0,0,IF(AND(AZ165=1,$H$3=1),B165*AU165,IF($H$3=2,B165,"N/A")))</f>
        <v>0</v>
      </c>
      <c r="D165" s="146" t="n">
        <f aca="false">C165*AY165</f>
        <v>0</v>
      </c>
      <c r="E165" s="147" t="n">
        <f aca="false">VLOOKUP($A165,[1]!CurveTable,MATCH($E$4,[1]!CurveType,0))</f>
        <v>4.9195</v>
      </c>
      <c r="F165" s="148" t="n">
        <f aca="false">E165-Inputs!$B$16</f>
        <v>4.9745</v>
      </c>
      <c r="G165" s="149" t="n">
        <f aca="false">F165</f>
        <v>4.9745</v>
      </c>
      <c r="H165" s="147" t="n">
        <f aca="false">VLOOKUP($A165,[1]!CurveTable,MATCH($H$4,[1]!CurveType,0))</f>
        <v>0.7</v>
      </c>
      <c r="I165" s="148" t="n">
        <f aca="false">H165+Inputs!$B$22</f>
        <v>0.7</v>
      </c>
      <c r="J165" s="150" t="n">
        <f aca="false">I165</f>
        <v>0.7</v>
      </c>
      <c r="K165" s="147" t="n">
        <f aca="false">VLOOKUP($A165,[1]!CurveTable,MATCH($K$4,[1]!CurveType,0))</f>
        <v>0</v>
      </c>
      <c r="L165" s="148" t="n">
        <v>0</v>
      </c>
      <c r="M165" s="151" t="n">
        <f aca="false">L165</f>
        <v>0</v>
      </c>
      <c r="N165" s="147" t="n">
        <f aca="false">VLOOKUP($A165,[1]!CurveTable,MATCH($N$4,[1]!CurveType,0))</f>
        <v>0.0235</v>
      </c>
      <c r="O165" s="148" t="n">
        <f aca="false">N165+Inputs!$E$22</f>
        <v>0.0235</v>
      </c>
      <c r="P165" s="151" t="n">
        <f aca="false">O165</f>
        <v>0.0235</v>
      </c>
      <c r="Q165" s="147" t="n">
        <f aca="false">VLOOKUP($A165,[1]!CurveTable,MATCH($Q$4,[1]!CurveType,0))</f>
        <v>0.01</v>
      </c>
      <c r="R165" s="148" t="n">
        <v>0</v>
      </c>
      <c r="S165" s="151" t="n">
        <f aca="false">R165</f>
        <v>0</v>
      </c>
      <c r="T165" s="152"/>
      <c r="U165" s="153" t="n">
        <f aca="false">G165+J165</f>
        <v>5.6745</v>
      </c>
      <c r="V165" s="154"/>
      <c r="W165" s="155" t="n">
        <f aca="false">VLOOKUP($A165,[1]!CurveTable,MATCH($W$4,[1]!CurveType,0))+$W$9</f>
        <v>0.34</v>
      </c>
      <c r="X165" s="155" t="n">
        <f aca="false">VLOOKUP($A165,[1]!CurveTable,MATCH($X$4,[1]!CurveType,0))+$X$9</f>
        <v>0.345</v>
      </c>
      <c r="Y165" s="139" t="n">
        <f aca="false">SQRT((X165^2*($A165-$C$3)+W165^2*(DAY(EOMONTH(A165,0))/2))/$AN165)</f>
        <v>0.342428562213032</v>
      </c>
      <c r="Z165" s="152"/>
      <c r="AA165" s="153" t="n">
        <f aca="false">G165+P165+S165</f>
        <v>4.998</v>
      </c>
      <c r="AB165" s="154"/>
      <c r="AC165" s="155" t="n">
        <f aca="false">VLOOKUP($A165,[1]!CurveTable,MATCH($AC$4,[1]!CurveType,0))+$AC$9</f>
        <v>0.17</v>
      </c>
      <c r="AD165" s="155" t="n">
        <f aca="false">VLOOKUP($A165,[1]!CurveTable,MATCH($AD$4,[1]!CurveType,0))+$AD$9</f>
        <v>0.175</v>
      </c>
      <c r="AE165" s="139" t="n">
        <f aca="false">SQRT((AD165^2*($A165-$C$3)+AC165^2*(DAY(EOMONTH(A165,0))/2))/$AN165)</f>
        <v>0.173707787264523</v>
      </c>
      <c r="AF165" s="152"/>
      <c r="AG165" s="156" t="n">
        <f aca="false">((Inputs!$F$20*(X165*AD165)*(A165-$C$3))+(Inputs!$F$19*W165*AC165*(DAY(EOMONTH(A165,0))/2)))/(AN165*Y165*AE165)</f>
        <v>0.750000378928272</v>
      </c>
      <c r="AH165" s="152"/>
      <c r="AI165" s="140" t="n">
        <f aca="false">Inputs!$B$15</f>
        <v>0.06</v>
      </c>
      <c r="AJ165" s="157"/>
      <c r="AK165" s="140" t="n">
        <f aca="false">IF((U165-AA165-AI165)&lt;0,0,(U165-AA165-AI165))</f>
        <v>0.6165</v>
      </c>
      <c r="AL165" s="157"/>
      <c r="AM165" s="158" t="n">
        <f aca="false">WORKDAY(EOMONTH(A165-1,-1),0)</f>
        <v>42825</v>
      </c>
      <c r="AN165" s="159" t="n">
        <f aca="false">AM165-$C$3</f>
        <v>-3101</v>
      </c>
      <c r="AO165" s="159" t="n">
        <f aca="false">AO164</f>
        <v>1</v>
      </c>
      <c r="AP165" s="160"/>
      <c r="AQ165" s="161" t="e">
        <f aca="false">SPRDOPT(U165,AA165,AI165,AX165,X165,AD165,AG165,AN165,AO165,0)</f>
        <v>#NAME?</v>
      </c>
      <c r="AR165" s="162" t="e">
        <f aca="false">AQ165*C165</f>
        <v>#NAME?</v>
      </c>
      <c r="AS165" s="163" t="e">
        <f aca="false">AQ165-AK165</f>
        <v>#NAME?</v>
      </c>
      <c r="AU165" s="112" t="n">
        <f aca="false">A166-A165</f>
        <v>31</v>
      </c>
      <c r="AV165" s="164" t="n">
        <f aca="false">CHOOSE(F$3,A166+24,A165+14)</f>
        <v>42870</v>
      </c>
      <c r="AW165" s="49" t="n">
        <f aca="false">AV165-C$3</f>
        <v>-3056</v>
      </c>
      <c r="AX165" s="155" t="n">
        <f aca="false">VLOOKUP($A165,[1]!CurveTable,MATCH(AX$4,[1]!CurveType,0))</f>
        <v>0.0586672871512466</v>
      </c>
      <c r="AY165" s="165" t="n">
        <f aca="false">1/(1+CHOOSE(F$3,(AX166+(Inputs!$B$14/10000))/2,(AX165+(Inputs!$B$14/10000))/2))^(2*AW165/365.25)</f>
        <v>1.62222727259689</v>
      </c>
      <c r="AZ165" s="49" t="n">
        <f aca="false">IF(AND(mthbeg&lt;=A165,mthend&gt;=A165),1,0)</f>
        <v>0</v>
      </c>
      <c r="BA165" s="111" t="n">
        <f aca="false">AU165*AZ165</f>
        <v>0</v>
      </c>
      <c r="BC165" s="142" t="n">
        <f aca="false">E165*$D165</f>
        <v>0</v>
      </c>
      <c r="BD165" s="142" t="n">
        <f aca="false">F165*$D165</f>
        <v>0</v>
      </c>
      <c r="BE165" s="142" t="n">
        <f aca="false">G165*$D165</f>
        <v>0</v>
      </c>
      <c r="BF165" s="142" t="n">
        <f aca="false">H165*$D165</f>
        <v>0</v>
      </c>
      <c r="BG165" s="142" t="n">
        <f aca="false">I165*$D165</f>
        <v>0</v>
      </c>
      <c r="BH165" s="142" t="n">
        <f aca="false">J165*$D165</f>
        <v>0</v>
      </c>
      <c r="BI165" s="142" t="n">
        <f aca="false">K165*$D165</f>
        <v>0</v>
      </c>
      <c r="BJ165" s="142" t="n">
        <f aca="false">L165*$D165</f>
        <v>0</v>
      </c>
      <c r="BK165" s="142" t="n">
        <f aca="false">M165*$D165</f>
        <v>0</v>
      </c>
      <c r="BL165" s="142" t="n">
        <f aca="false">N165*$D165</f>
        <v>0</v>
      </c>
      <c r="BM165" s="142" t="n">
        <f aca="false">O165*$D165</f>
        <v>0</v>
      </c>
      <c r="BN165" s="142" t="n">
        <f aca="false">P165*$D165</f>
        <v>0</v>
      </c>
      <c r="BO165" s="142" t="n">
        <f aca="false">Q165*$D165</f>
        <v>0</v>
      </c>
      <c r="BP165" s="142" t="n">
        <f aca="false">R165*$D165</f>
        <v>0</v>
      </c>
      <c r="BQ165" s="142" t="n">
        <f aca="false">S165*$D165</f>
        <v>0</v>
      </c>
      <c r="BR165" s="142" t="n">
        <f aca="false">U165*$D165</f>
        <v>0</v>
      </c>
      <c r="BS165" s="142" t="n">
        <f aca="false">AA165*$D165</f>
        <v>0</v>
      </c>
      <c r="BT165" s="142" t="n">
        <f aca="false">AI165*$D165</f>
        <v>0</v>
      </c>
      <c r="BU165" s="142" t="n">
        <f aca="false">AK165*D165</f>
        <v>0</v>
      </c>
    </row>
    <row r="166" customFormat="false" ht="12.75" hidden="false" customHeight="false" outlineLevel="0" collapsed="false">
      <c r="A166" s="144" t="n">
        <f aca="false">EDATE(A165,1)</f>
        <v>42887</v>
      </c>
      <c r="B166" s="145" t="n">
        <f aca="false">Inputs!$B$8</f>
        <v>50000</v>
      </c>
      <c r="C166" s="146" t="n">
        <f aca="false">IF(AZ166=0,0,IF(AND(AZ166=1,$H$3=1),B166*AU166,IF($H$3=2,B166,"N/A")))</f>
        <v>0</v>
      </c>
      <c r="D166" s="146" t="n">
        <f aca="false">C166*AY166</f>
        <v>0</v>
      </c>
      <c r="E166" s="147" t="n">
        <f aca="false">VLOOKUP($A166,[1]!CurveTable,MATCH($E$4,[1]!CurveType,0))</f>
        <v>4.9575</v>
      </c>
      <c r="F166" s="148" t="n">
        <f aca="false">E166-Inputs!$B$16</f>
        <v>5.0125</v>
      </c>
      <c r="G166" s="149" t="n">
        <f aca="false">F166</f>
        <v>5.0125</v>
      </c>
      <c r="H166" s="147" t="n">
        <f aca="false">VLOOKUP($A166,[1]!CurveTable,MATCH($H$4,[1]!CurveType,0))</f>
        <v>0.8</v>
      </c>
      <c r="I166" s="148" t="n">
        <f aca="false">H166+Inputs!$B$22</f>
        <v>0.8</v>
      </c>
      <c r="J166" s="150" t="n">
        <f aca="false">I166</f>
        <v>0.8</v>
      </c>
      <c r="K166" s="147" t="n">
        <f aca="false">VLOOKUP($A166,[1]!CurveTable,MATCH($K$4,[1]!CurveType,0))</f>
        <v>0</v>
      </c>
      <c r="L166" s="148" t="n">
        <v>0</v>
      </c>
      <c r="M166" s="151" t="n">
        <f aca="false">L166</f>
        <v>0</v>
      </c>
      <c r="N166" s="147" t="n">
        <f aca="false">VLOOKUP($A166,[1]!CurveTable,MATCH($N$4,[1]!CurveType,0))</f>
        <v>0.021</v>
      </c>
      <c r="O166" s="148" t="n">
        <f aca="false">N166+Inputs!$E$22</f>
        <v>0.021</v>
      </c>
      <c r="P166" s="151" t="n">
        <f aca="false">O166</f>
        <v>0.021</v>
      </c>
      <c r="Q166" s="147" t="n">
        <f aca="false">VLOOKUP($A166,[1]!CurveTable,MATCH($Q$4,[1]!CurveType,0))</f>
        <v>0.01</v>
      </c>
      <c r="R166" s="148" t="n">
        <v>0</v>
      </c>
      <c r="S166" s="151" t="n">
        <f aca="false">R166</f>
        <v>0</v>
      </c>
      <c r="T166" s="152"/>
      <c r="U166" s="153" t="n">
        <f aca="false">G166+J166</f>
        <v>5.8125</v>
      </c>
      <c r="V166" s="154"/>
      <c r="W166" s="155" t="n">
        <f aca="false">VLOOKUP($A166,[1]!CurveTable,MATCH($W$4,[1]!CurveType,0))+$W$9</f>
        <v>0.34</v>
      </c>
      <c r="X166" s="155" t="n">
        <f aca="false">VLOOKUP($A166,[1]!CurveTable,MATCH($X$4,[1]!CurveType,0))+$X$9</f>
        <v>0.345</v>
      </c>
      <c r="Y166" s="139" t="n">
        <f aca="false">SQRT((X166^2*($A166-$C$3)+W166^2*(DAY(EOMONTH(A166,0))/2))/$AN166)</f>
        <v>0.342374233255841</v>
      </c>
      <c r="Z166" s="152"/>
      <c r="AA166" s="153" t="n">
        <f aca="false">G166+P166+S166</f>
        <v>5.0335</v>
      </c>
      <c r="AB166" s="154"/>
      <c r="AC166" s="155" t="n">
        <f aca="false">VLOOKUP($A166,[1]!CurveTable,MATCH($AC$4,[1]!CurveType,0))+$AC$9</f>
        <v>0.17</v>
      </c>
      <c r="AD166" s="155" t="n">
        <f aca="false">VLOOKUP($A166,[1]!CurveTable,MATCH($AD$4,[1]!CurveType,0))+$AD$9</f>
        <v>0.175</v>
      </c>
      <c r="AE166" s="139" t="n">
        <f aca="false">SQRT((AD166^2*($A166-$C$3)+AC166^2*(DAY(EOMONTH(A166,0))/2))/$AN166)</f>
        <v>0.173679954149756</v>
      </c>
      <c r="AF166" s="152"/>
      <c r="AG166" s="156" t="n">
        <f aca="false">((Inputs!$F$20*(X166*AD166)*(A166-$C$3))+(Inputs!$F$19*W166*AC166*(DAY(EOMONTH(A166,0))/2)))/(AN166*Y166*AE166)</f>
        <v>0.750000370364883</v>
      </c>
      <c r="AH166" s="152"/>
      <c r="AI166" s="140" t="n">
        <f aca="false">Inputs!$B$15</f>
        <v>0.06</v>
      </c>
      <c r="AJ166" s="157"/>
      <c r="AK166" s="140" t="n">
        <f aca="false">IF((U166-AA166-AI166)&lt;0,0,(U166-AA166-AI166))</f>
        <v>0.719</v>
      </c>
      <c r="AL166" s="157"/>
      <c r="AM166" s="158" t="n">
        <f aca="false">WORKDAY(EOMONTH(A166-1,-1),0)</f>
        <v>42855</v>
      </c>
      <c r="AN166" s="159" t="n">
        <f aca="false">AM166-$C$3</f>
        <v>-3071</v>
      </c>
      <c r="AO166" s="159" t="n">
        <f aca="false">AO165</f>
        <v>1</v>
      </c>
      <c r="AP166" s="160"/>
      <c r="AQ166" s="161" t="e">
        <f aca="false">SPRDOPT(U166,AA166,AI166,AX166,X166,AD166,AG166,AN166,AO166,0)</f>
        <v>#NAME?</v>
      </c>
      <c r="AR166" s="162" t="e">
        <f aca="false">AQ166*C166</f>
        <v>#NAME?</v>
      </c>
      <c r="AS166" s="163" t="e">
        <f aca="false">AQ166-AK166</f>
        <v>#NAME?</v>
      </c>
      <c r="AU166" s="112" t="n">
        <f aca="false">A167-A166</f>
        <v>30</v>
      </c>
      <c r="AV166" s="164" t="n">
        <f aca="false">CHOOSE(F$3,A167+24,A166+14)</f>
        <v>42901</v>
      </c>
      <c r="AW166" s="49" t="n">
        <f aca="false">AV166-C$3</f>
        <v>-3025</v>
      </c>
      <c r="AX166" s="155" t="n">
        <f aca="false">VLOOKUP($A166,[1]!CurveTable,MATCH(AX$4,[1]!CurveType,0))</f>
        <v>0.0587254999234279</v>
      </c>
      <c r="AY166" s="165" t="n">
        <f aca="false">1/(1+CHOOSE(F$3,(AX167+(Inputs!$B$14/10000))/2,(AX166+(Inputs!$B$14/10000))/2))^(2*AW166/365.25)</f>
        <v>1.61504170377776</v>
      </c>
      <c r="AZ166" s="49" t="n">
        <f aca="false">IF(AND(mthbeg&lt;=A166,mthend&gt;=A166),1,0)</f>
        <v>0</v>
      </c>
      <c r="BA166" s="111" t="n">
        <f aca="false">AU166*AZ166</f>
        <v>0</v>
      </c>
      <c r="BC166" s="142" t="n">
        <f aca="false">E166*$D166</f>
        <v>0</v>
      </c>
      <c r="BD166" s="142" t="n">
        <f aca="false">F166*$D166</f>
        <v>0</v>
      </c>
      <c r="BE166" s="142" t="n">
        <f aca="false">G166*$D166</f>
        <v>0</v>
      </c>
      <c r="BF166" s="142" t="n">
        <f aca="false">H166*$D166</f>
        <v>0</v>
      </c>
      <c r="BG166" s="142" t="n">
        <f aca="false">I166*$D166</f>
        <v>0</v>
      </c>
      <c r="BH166" s="142" t="n">
        <f aca="false">J166*$D166</f>
        <v>0</v>
      </c>
      <c r="BI166" s="142" t="n">
        <f aca="false">K166*$D166</f>
        <v>0</v>
      </c>
      <c r="BJ166" s="142" t="n">
        <f aca="false">L166*$D166</f>
        <v>0</v>
      </c>
      <c r="BK166" s="142" t="n">
        <f aca="false">M166*$D166</f>
        <v>0</v>
      </c>
      <c r="BL166" s="142" t="n">
        <f aca="false">N166*$D166</f>
        <v>0</v>
      </c>
      <c r="BM166" s="142" t="n">
        <f aca="false">O166*$D166</f>
        <v>0</v>
      </c>
      <c r="BN166" s="142" t="n">
        <f aca="false">P166*$D166</f>
        <v>0</v>
      </c>
      <c r="BO166" s="142" t="n">
        <f aca="false">Q166*$D166</f>
        <v>0</v>
      </c>
      <c r="BP166" s="142" t="n">
        <f aca="false">R166*$D166</f>
        <v>0</v>
      </c>
      <c r="BQ166" s="142" t="n">
        <f aca="false">S166*$D166</f>
        <v>0</v>
      </c>
      <c r="BR166" s="142" t="n">
        <f aca="false">U166*$D166</f>
        <v>0</v>
      </c>
      <c r="BS166" s="142" t="n">
        <f aca="false">AA166*$D166</f>
        <v>0</v>
      </c>
      <c r="BT166" s="142" t="n">
        <f aca="false">AI166*$D166</f>
        <v>0</v>
      </c>
      <c r="BU166" s="142" t="n">
        <f aca="false">AK166*D166</f>
        <v>0</v>
      </c>
    </row>
    <row r="167" customFormat="false" ht="12.75" hidden="false" customHeight="false" outlineLevel="0" collapsed="false">
      <c r="A167" s="144" t="n">
        <f aca="false">EDATE(A166,1)</f>
        <v>42917</v>
      </c>
      <c r="B167" s="145" t="n">
        <f aca="false">Inputs!$B$8</f>
        <v>50000</v>
      </c>
      <c r="C167" s="146" t="n">
        <f aca="false">IF(AZ167=0,0,IF(AND(AZ167=1,$H$3=1),B167*AU167,IF($H$3=2,B167,"N/A")))</f>
        <v>0</v>
      </c>
      <c r="D167" s="146" t="n">
        <f aca="false">C167*AY167</f>
        <v>0</v>
      </c>
      <c r="E167" s="147" t="n">
        <f aca="false">VLOOKUP($A167,[1]!CurveTable,MATCH($E$4,[1]!CurveType,0))</f>
        <v>5.0025</v>
      </c>
      <c r="F167" s="148" t="n">
        <f aca="false">E167-Inputs!$B$16</f>
        <v>5.0575</v>
      </c>
      <c r="G167" s="149" t="n">
        <f aca="false">F167</f>
        <v>5.0575</v>
      </c>
      <c r="H167" s="147" t="n">
        <f aca="false">VLOOKUP($A167,[1]!CurveTable,MATCH($H$4,[1]!CurveType,0))</f>
        <v>1</v>
      </c>
      <c r="I167" s="148" t="n">
        <f aca="false">H167+Inputs!$B$22</f>
        <v>1</v>
      </c>
      <c r="J167" s="150" t="n">
        <f aca="false">I167</f>
        <v>1</v>
      </c>
      <c r="K167" s="147" t="n">
        <f aca="false">VLOOKUP($A167,[1]!CurveTable,MATCH($K$4,[1]!CurveType,0))</f>
        <v>0</v>
      </c>
      <c r="L167" s="148" t="n">
        <v>0</v>
      </c>
      <c r="M167" s="151" t="n">
        <f aca="false">L167</f>
        <v>0</v>
      </c>
      <c r="N167" s="147" t="n">
        <f aca="false">VLOOKUP($A167,[1]!CurveTable,MATCH($N$4,[1]!CurveType,0))</f>
        <v>0.0185</v>
      </c>
      <c r="O167" s="148" t="n">
        <f aca="false">N167+Inputs!$E$22</f>
        <v>0.0185</v>
      </c>
      <c r="P167" s="151" t="n">
        <f aca="false">O167</f>
        <v>0.0185</v>
      </c>
      <c r="Q167" s="147" t="n">
        <f aca="false">VLOOKUP($A167,[1]!CurveTable,MATCH($Q$4,[1]!CurveType,0))</f>
        <v>0.01</v>
      </c>
      <c r="R167" s="148" t="n">
        <v>0</v>
      </c>
      <c r="S167" s="151" t="n">
        <f aca="false">R167</f>
        <v>0</v>
      </c>
      <c r="T167" s="152"/>
      <c r="U167" s="153" t="n">
        <f aca="false">G167+J167</f>
        <v>6.0575</v>
      </c>
      <c r="V167" s="154"/>
      <c r="W167" s="155" t="n">
        <f aca="false">VLOOKUP($A167,[1]!CurveTable,MATCH($W$4,[1]!CurveType,0))+$W$9</f>
        <v>0.34</v>
      </c>
      <c r="X167" s="155" t="n">
        <f aca="false">VLOOKUP($A167,[1]!CurveTable,MATCH($X$4,[1]!CurveType,0))+$X$9</f>
        <v>0.345</v>
      </c>
      <c r="Y167" s="139" t="n">
        <f aca="false">SQRT((X167^2*($A167-$C$3)+W167^2*(DAY(EOMONTH(A167,0))/2))/$AN167)</f>
        <v>0.342376766631364</v>
      </c>
      <c r="Z167" s="152"/>
      <c r="AA167" s="153" t="n">
        <f aca="false">G167+P167+S167</f>
        <v>5.076</v>
      </c>
      <c r="AB167" s="154"/>
      <c r="AC167" s="155" t="n">
        <f aca="false">VLOOKUP($A167,[1]!CurveTable,MATCH($AC$4,[1]!CurveType,0))+$AC$9</f>
        <v>0.17</v>
      </c>
      <c r="AD167" s="155" t="n">
        <f aca="false">VLOOKUP($A167,[1]!CurveTable,MATCH($AD$4,[1]!CurveType,0))+$AD$9</f>
        <v>0.175</v>
      </c>
      <c r="AE167" s="139" t="n">
        <f aca="false">SQRT((AD167^2*($A167-$C$3)+AC167^2*(DAY(EOMONTH(A167,0))/2))/$AN167)</f>
        <v>0.173681759601926</v>
      </c>
      <c r="AF167" s="152"/>
      <c r="AG167" s="156" t="n">
        <f aca="false">((Inputs!$F$20*(X167*AD167)*(A167-$C$3))+(Inputs!$F$19*W167*AC167*(DAY(EOMONTH(A167,0))/2)))/(AN167*Y167*AE167)</f>
        <v>0.750000386686253</v>
      </c>
      <c r="AH167" s="152"/>
      <c r="AI167" s="140" t="n">
        <f aca="false">Inputs!$B$15</f>
        <v>0.06</v>
      </c>
      <c r="AJ167" s="157"/>
      <c r="AK167" s="140" t="n">
        <f aca="false">IF((U167-AA167-AI167)&lt;0,0,(U167-AA167-AI167))</f>
        <v>0.9215</v>
      </c>
      <c r="AL167" s="157"/>
      <c r="AM167" s="158" t="n">
        <f aca="false">WORKDAY(EOMONTH(A167-1,-1),0)</f>
        <v>42886</v>
      </c>
      <c r="AN167" s="159" t="n">
        <f aca="false">AM167-$C$3</f>
        <v>-3040</v>
      </c>
      <c r="AO167" s="159" t="n">
        <f aca="false">AO166</f>
        <v>1</v>
      </c>
      <c r="AP167" s="160"/>
      <c r="AQ167" s="161" t="e">
        <f aca="false">SPRDOPT(U167,AA167,AI167,AX167,X167,AD167,AG167,AN167,AO167,0)</f>
        <v>#NAME?</v>
      </c>
      <c r="AR167" s="162" t="e">
        <f aca="false">AQ167*C167</f>
        <v>#NAME?</v>
      </c>
      <c r="AS167" s="163" t="e">
        <f aca="false">AQ167-AK167</f>
        <v>#NAME?</v>
      </c>
      <c r="AU167" s="112" t="n">
        <f aca="false">A168-A167</f>
        <v>31</v>
      </c>
      <c r="AV167" s="164" t="n">
        <f aca="false">CHOOSE(F$3,A168+24,A167+14)</f>
        <v>42931</v>
      </c>
      <c r="AW167" s="49" t="n">
        <f aca="false">AV167-C$3</f>
        <v>-2995</v>
      </c>
      <c r="AX167" s="155" t="n">
        <f aca="false">VLOOKUP($A167,[1]!CurveTable,MATCH(AX$4,[1]!CurveType,0))</f>
        <v>0.0587818348653215</v>
      </c>
      <c r="AY167" s="165" t="n">
        <f aca="false">1/(1+CHOOSE(F$3,(AX168+(Inputs!$B$14/10000))/2,(AX167+(Inputs!$B$14/10000))/2))^(2*AW167/365.25)</f>
        <v>1.60810351503022</v>
      </c>
      <c r="AZ167" s="49" t="n">
        <f aca="false">IF(AND(mthbeg&lt;=A167,mthend&gt;=A167),1,0)</f>
        <v>0</v>
      </c>
      <c r="BA167" s="111" t="n">
        <f aca="false">AU167*AZ167</f>
        <v>0</v>
      </c>
      <c r="BC167" s="142" t="n">
        <f aca="false">E167*$D167</f>
        <v>0</v>
      </c>
      <c r="BD167" s="142" t="n">
        <f aca="false">F167*$D167</f>
        <v>0</v>
      </c>
      <c r="BE167" s="142" t="n">
        <f aca="false">G167*$D167</f>
        <v>0</v>
      </c>
      <c r="BF167" s="142" t="n">
        <f aca="false">H167*$D167</f>
        <v>0</v>
      </c>
      <c r="BG167" s="142" t="n">
        <f aca="false">I167*$D167</f>
        <v>0</v>
      </c>
      <c r="BH167" s="142" t="n">
        <f aca="false">J167*$D167</f>
        <v>0</v>
      </c>
      <c r="BI167" s="142" t="n">
        <f aca="false">K167*$D167</f>
        <v>0</v>
      </c>
      <c r="BJ167" s="142" t="n">
        <f aca="false">L167*$D167</f>
        <v>0</v>
      </c>
      <c r="BK167" s="142" t="n">
        <f aca="false">M167*$D167</f>
        <v>0</v>
      </c>
      <c r="BL167" s="142" t="n">
        <f aca="false">N167*$D167</f>
        <v>0</v>
      </c>
      <c r="BM167" s="142" t="n">
        <f aca="false">O167*$D167</f>
        <v>0</v>
      </c>
      <c r="BN167" s="142" t="n">
        <f aca="false">P167*$D167</f>
        <v>0</v>
      </c>
      <c r="BO167" s="142" t="n">
        <f aca="false">Q167*$D167</f>
        <v>0</v>
      </c>
      <c r="BP167" s="142" t="n">
        <f aca="false">R167*$D167</f>
        <v>0</v>
      </c>
      <c r="BQ167" s="142" t="n">
        <f aca="false">S167*$D167</f>
        <v>0</v>
      </c>
      <c r="BR167" s="142" t="n">
        <f aca="false">U167*$D167</f>
        <v>0</v>
      </c>
      <c r="BS167" s="142" t="n">
        <f aca="false">AA167*$D167</f>
        <v>0</v>
      </c>
      <c r="BT167" s="142" t="n">
        <f aca="false">AI167*$D167</f>
        <v>0</v>
      </c>
      <c r="BU167" s="142" t="n">
        <f aca="false">AK167*D167</f>
        <v>0</v>
      </c>
    </row>
    <row r="168" customFormat="false" ht="12.75" hidden="false" customHeight="false" outlineLevel="0" collapsed="false">
      <c r="A168" s="144" t="n">
        <f aca="false">EDATE(A167,1)</f>
        <v>42948</v>
      </c>
      <c r="B168" s="145" t="n">
        <f aca="false">Inputs!$B$8</f>
        <v>50000</v>
      </c>
      <c r="C168" s="146" t="n">
        <f aca="false">IF(AZ168=0,0,IF(AND(AZ168=1,$H$3=1),B168*AU168,IF($H$3=2,B168,"N/A")))</f>
        <v>0</v>
      </c>
      <c r="D168" s="146" t="n">
        <f aca="false">C168*AY168</f>
        <v>0</v>
      </c>
      <c r="E168" s="147" t="n">
        <f aca="false">VLOOKUP($A168,[1]!CurveTable,MATCH($E$4,[1]!CurveType,0))</f>
        <v>5.0405</v>
      </c>
      <c r="F168" s="148" t="n">
        <f aca="false">E168-Inputs!$B$16</f>
        <v>5.0955</v>
      </c>
      <c r="G168" s="149" t="n">
        <f aca="false">F168</f>
        <v>5.0955</v>
      </c>
      <c r="H168" s="147" t="n">
        <f aca="false">VLOOKUP($A168,[1]!CurveTable,MATCH($H$4,[1]!CurveType,0))</f>
        <v>1</v>
      </c>
      <c r="I168" s="148" t="n">
        <f aca="false">H168+Inputs!$B$22</f>
        <v>1</v>
      </c>
      <c r="J168" s="150" t="n">
        <f aca="false">I168</f>
        <v>1</v>
      </c>
      <c r="K168" s="147" t="n">
        <f aca="false">VLOOKUP($A168,[1]!CurveTable,MATCH($K$4,[1]!CurveType,0))</f>
        <v>0</v>
      </c>
      <c r="L168" s="148" t="n">
        <v>0</v>
      </c>
      <c r="M168" s="151" t="n">
        <f aca="false">L168</f>
        <v>0</v>
      </c>
      <c r="N168" s="147" t="n">
        <f aca="false">VLOOKUP($A168,[1]!CurveTable,MATCH($N$4,[1]!CurveType,0))</f>
        <v>0.0185</v>
      </c>
      <c r="O168" s="148" t="n">
        <f aca="false">N168+Inputs!$E$22</f>
        <v>0.0185</v>
      </c>
      <c r="P168" s="151" t="n">
        <f aca="false">O168</f>
        <v>0.0185</v>
      </c>
      <c r="Q168" s="147" t="n">
        <f aca="false">VLOOKUP($A168,[1]!CurveTable,MATCH($Q$4,[1]!CurveType,0))</f>
        <v>0.01</v>
      </c>
      <c r="R168" s="148" t="n">
        <v>0</v>
      </c>
      <c r="S168" s="151" t="n">
        <f aca="false">R168</f>
        <v>0</v>
      </c>
      <c r="T168" s="152"/>
      <c r="U168" s="153" t="n">
        <f aca="false">G168+J168</f>
        <v>6.0955</v>
      </c>
      <c r="V168" s="154"/>
      <c r="W168" s="155" t="n">
        <f aca="false">VLOOKUP($A168,[1]!CurveTable,MATCH($W$4,[1]!CurveType,0))+$W$9</f>
        <v>0.34</v>
      </c>
      <c r="X168" s="155" t="n">
        <f aca="false">VLOOKUP($A168,[1]!CurveTable,MATCH($X$4,[1]!CurveType,0))+$X$9</f>
        <v>0.345</v>
      </c>
      <c r="Y168" s="139" t="n">
        <f aca="false">SQRT((X168^2*($A168-$C$3)+W168^2*(DAY(EOMONTH(A168,0))/2))/$AN168)</f>
        <v>0.342292762921118</v>
      </c>
      <c r="Z168" s="152"/>
      <c r="AA168" s="153" t="n">
        <f aca="false">G168+P168+S168</f>
        <v>5.114</v>
      </c>
      <c r="AB168" s="154"/>
      <c r="AC168" s="155" t="n">
        <f aca="false">VLOOKUP($A168,[1]!CurveTable,MATCH($AC$4,[1]!CurveType,0))+$AC$9</f>
        <v>0.17</v>
      </c>
      <c r="AD168" s="155" t="n">
        <f aca="false">VLOOKUP($A168,[1]!CurveTable,MATCH($AD$4,[1]!CurveType,0))+$AD$9</f>
        <v>0.175</v>
      </c>
      <c r="AE168" s="139" t="n">
        <f aca="false">SQRT((AD168^2*($A168-$C$3)+AC168^2*(DAY(EOMONTH(A168,0))/2))/$AN168)</f>
        <v>0.173639275530176</v>
      </c>
      <c r="AF168" s="152"/>
      <c r="AG168" s="156" t="n">
        <f aca="false">((Inputs!$F$20*(X168*AD168)*(A168-$C$3))+(Inputs!$F$19*W168*AC168*(DAY(EOMONTH(A168,0))/2)))/(AN168*Y168*AE168)</f>
        <v>0.75000039075185</v>
      </c>
      <c r="AH168" s="152"/>
      <c r="AI168" s="140" t="n">
        <f aca="false">Inputs!$B$15</f>
        <v>0.06</v>
      </c>
      <c r="AJ168" s="157"/>
      <c r="AK168" s="140" t="n">
        <f aca="false">IF((U168-AA168-AI168)&lt;0,0,(U168-AA168-AI168))</f>
        <v>0.9215</v>
      </c>
      <c r="AL168" s="157"/>
      <c r="AM168" s="158" t="n">
        <f aca="false">WORKDAY(EOMONTH(A168-1,-1),0)</f>
        <v>42916</v>
      </c>
      <c r="AN168" s="159" t="n">
        <f aca="false">AM168-$C$3</f>
        <v>-3010</v>
      </c>
      <c r="AO168" s="159" t="n">
        <f aca="false">AO167</f>
        <v>1</v>
      </c>
      <c r="AP168" s="160"/>
      <c r="AQ168" s="161" t="e">
        <f aca="false">SPRDOPT(U168,AA168,AI168,AX168,X168,AD168,AG168,AN168,AO168,0)</f>
        <v>#NAME?</v>
      </c>
      <c r="AR168" s="162" t="e">
        <f aca="false">AQ168*C168</f>
        <v>#NAME?</v>
      </c>
      <c r="AS168" s="163" t="e">
        <f aca="false">AQ168-AK168</f>
        <v>#NAME?</v>
      </c>
      <c r="AU168" s="112" t="n">
        <f aca="false">A169-A168</f>
        <v>31</v>
      </c>
      <c r="AV168" s="164" t="n">
        <f aca="false">CHOOSE(F$3,A169+24,A168+14)</f>
        <v>42962</v>
      </c>
      <c r="AW168" s="49" t="n">
        <f aca="false">AV168-C$3</f>
        <v>-2964</v>
      </c>
      <c r="AX168" s="155" t="n">
        <f aca="false">VLOOKUP($A168,[1]!CurveTable,MATCH(AX$4,[1]!CurveType,0))</f>
        <v>0.0588400476397197</v>
      </c>
      <c r="AY168" s="165" t="n">
        <f aca="false">1/(1+CHOOSE(F$3,(AX169+(Inputs!$B$14/10000))/2,(AX168+(Inputs!$B$14/10000))/2))^(2*AW168/365.25)</f>
        <v>1.60095022420332</v>
      </c>
      <c r="AZ168" s="49" t="n">
        <f aca="false">IF(AND(mthbeg&lt;=A168,mthend&gt;=A168),1,0)</f>
        <v>0</v>
      </c>
      <c r="BA168" s="111" t="n">
        <f aca="false">AU168*AZ168</f>
        <v>0</v>
      </c>
      <c r="BC168" s="142" t="n">
        <f aca="false">E168*$D168</f>
        <v>0</v>
      </c>
      <c r="BD168" s="142" t="n">
        <f aca="false">F168*$D168</f>
        <v>0</v>
      </c>
      <c r="BE168" s="142" t="n">
        <f aca="false">G168*$D168</f>
        <v>0</v>
      </c>
      <c r="BF168" s="142" t="n">
        <f aca="false">H168*$D168</f>
        <v>0</v>
      </c>
      <c r="BG168" s="142" t="n">
        <f aca="false">I168*$D168</f>
        <v>0</v>
      </c>
      <c r="BH168" s="142" t="n">
        <f aca="false">J168*$D168</f>
        <v>0</v>
      </c>
      <c r="BI168" s="142" t="n">
        <f aca="false">K168*$D168</f>
        <v>0</v>
      </c>
      <c r="BJ168" s="142" t="n">
        <f aca="false">L168*$D168</f>
        <v>0</v>
      </c>
      <c r="BK168" s="142" t="n">
        <f aca="false">M168*$D168</f>
        <v>0</v>
      </c>
      <c r="BL168" s="142" t="n">
        <f aca="false">N168*$D168</f>
        <v>0</v>
      </c>
      <c r="BM168" s="142" t="n">
        <f aca="false">O168*$D168</f>
        <v>0</v>
      </c>
      <c r="BN168" s="142" t="n">
        <f aca="false">P168*$D168</f>
        <v>0</v>
      </c>
      <c r="BO168" s="142" t="n">
        <f aca="false">Q168*$D168</f>
        <v>0</v>
      </c>
      <c r="BP168" s="142" t="n">
        <f aca="false">R168*$D168</f>
        <v>0</v>
      </c>
      <c r="BQ168" s="142" t="n">
        <f aca="false">S168*$D168</f>
        <v>0</v>
      </c>
      <c r="BR168" s="142" t="n">
        <f aca="false">U168*$D168</f>
        <v>0</v>
      </c>
      <c r="BS168" s="142" t="n">
        <f aca="false">AA168*$D168</f>
        <v>0</v>
      </c>
      <c r="BT168" s="142" t="n">
        <f aca="false">AI168*$D168</f>
        <v>0</v>
      </c>
      <c r="BU168" s="142" t="n">
        <f aca="false">AK168*D168</f>
        <v>0</v>
      </c>
    </row>
    <row r="169" customFormat="false" ht="12.75" hidden="false" customHeight="false" outlineLevel="0" collapsed="false">
      <c r="A169" s="144" t="n">
        <f aca="false">EDATE(A168,1)</f>
        <v>42979</v>
      </c>
      <c r="B169" s="145" t="n">
        <f aca="false">Inputs!$B$8</f>
        <v>50000</v>
      </c>
      <c r="C169" s="146" t="n">
        <f aca="false">IF(AZ169=0,0,IF(AND(AZ169=1,$H$3=1),B169*AU169,IF($H$3=2,B169,"N/A")))</f>
        <v>0</v>
      </c>
      <c r="D169" s="146" t="n">
        <f aca="false">C169*AY169</f>
        <v>0</v>
      </c>
      <c r="E169" s="147" t="n">
        <f aca="false">VLOOKUP($A169,[1]!CurveTable,MATCH($E$4,[1]!CurveType,0))</f>
        <v>5.0345</v>
      </c>
      <c r="F169" s="148" t="n">
        <f aca="false">E169-Inputs!$B$16</f>
        <v>5.0895</v>
      </c>
      <c r="G169" s="149" t="n">
        <f aca="false">F169</f>
        <v>5.0895</v>
      </c>
      <c r="H169" s="147" t="n">
        <f aca="false">VLOOKUP($A169,[1]!CurveTable,MATCH($H$4,[1]!CurveType,0))</f>
        <v>0.6</v>
      </c>
      <c r="I169" s="148" t="n">
        <f aca="false">H169+Inputs!$B$22</f>
        <v>0.6</v>
      </c>
      <c r="J169" s="150" t="n">
        <f aca="false">I169</f>
        <v>0.6</v>
      </c>
      <c r="K169" s="147" t="n">
        <f aca="false">VLOOKUP($A169,[1]!CurveTable,MATCH($K$4,[1]!CurveType,0))</f>
        <v>0</v>
      </c>
      <c r="L169" s="148" t="n">
        <v>0</v>
      </c>
      <c r="M169" s="151" t="n">
        <f aca="false">L169</f>
        <v>0</v>
      </c>
      <c r="N169" s="147" t="n">
        <f aca="false">VLOOKUP($A169,[1]!CurveTable,MATCH($N$4,[1]!CurveType,0))</f>
        <v>0.0185</v>
      </c>
      <c r="O169" s="148" t="n">
        <f aca="false">N169+Inputs!$E$22</f>
        <v>0.0185</v>
      </c>
      <c r="P169" s="151" t="n">
        <f aca="false">O169</f>
        <v>0.0185</v>
      </c>
      <c r="Q169" s="147" t="n">
        <f aca="false">VLOOKUP($A169,[1]!CurveTable,MATCH($Q$4,[1]!CurveType,0))</f>
        <v>0.01</v>
      </c>
      <c r="R169" s="148" t="n">
        <v>0</v>
      </c>
      <c r="S169" s="151" t="n">
        <f aca="false">R169</f>
        <v>0</v>
      </c>
      <c r="T169" s="152"/>
      <c r="U169" s="153" t="n">
        <f aca="false">G169+J169</f>
        <v>5.6895</v>
      </c>
      <c r="V169" s="154"/>
      <c r="W169" s="155" t="n">
        <f aca="false">VLOOKUP($A169,[1]!CurveTable,MATCH($W$4,[1]!CurveType,0))+$W$9</f>
        <v>0.34</v>
      </c>
      <c r="X169" s="155" t="n">
        <f aca="false">VLOOKUP($A169,[1]!CurveTable,MATCH($X$4,[1]!CurveType,0))+$X$9</f>
        <v>0.345</v>
      </c>
      <c r="Y169" s="139" t="n">
        <f aca="false">SQRT((X169^2*($A169-$C$3)+W169^2*(DAY(EOMONTH(A169,0))/2))/$AN169)</f>
        <v>0.342292821469288</v>
      </c>
      <c r="Z169" s="152"/>
      <c r="AA169" s="153" t="n">
        <f aca="false">G169+P169+S169</f>
        <v>5.108</v>
      </c>
      <c r="AB169" s="154"/>
      <c r="AC169" s="155" t="n">
        <f aca="false">VLOOKUP($A169,[1]!CurveTable,MATCH($AC$4,[1]!CurveType,0))+$AC$9</f>
        <v>0.17</v>
      </c>
      <c r="AD169" s="155" t="n">
        <f aca="false">VLOOKUP($A169,[1]!CurveTable,MATCH($AD$4,[1]!CurveType,0))+$AD$9</f>
        <v>0.175</v>
      </c>
      <c r="AE169" s="139" t="n">
        <f aca="false">SQRT((AD169^2*($A169-$C$3)+AC169^2*(DAY(EOMONTH(A169,0))/2))/$AN169)</f>
        <v>0.173639027631321</v>
      </c>
      <c r="AF169" s="152"/>
      <c r="AG169" s="156" t="n">
        <f aca="false">((Inputs!$F$20*(X169*AD169)*(A169-$C$3))+(Inputs!$F$19*W169*AC169*(DAY(EOMONTH(A169,0))/2)))/(AN169*Y169*AE169)</f>
        <v>0.750000382040253</v>
      </c>
      <c r="AH169" s="152"/>
      <c r="AI169" s="140" t="n">
        <f aca="false">Inputs!$B$15</f>
        <v>0.06</v>
      </c>
      <c r="AJ169" s="157"/>
      <c r="AK169" s="140" t="n">
        <f aca="false">IF((U169-AA169-AI169)&lt;0,0,(U169-AA169-AI169))</f>
        <v>0.521499999999999</v>
      </c>
      <c r="AL169" s="157"/>
      <c r="AM169" s="158" t="n">
        <f aca="false">WORKDAY(EOMONTH(A169-1,-1),0)</f>
        <v>42947</v>
      </c>
      <c r="AN169" s="159" t="n">
        <f aca="false">AM169-$C$3</f>
        <v>-2979</v>
      </c>
      <c r="AO169" s="159" t="n">
        <f aca="false">AO168</f>
        <v>1</v>
      </c>
      <c r="AP169" s="160"/>
      <c r="AQ169" s="161" t="e">
        <f aca="false">SPRDOPT(U169,AA169,AI169,AX169,X169,AD169,AG169,AN169,AO169,0)</f>
        <v>#NAME?</v>
      </c>
      <c r="AR169" s="162" t="e">
        <f aca="false">AQ169*C169</f>
        <v>#NAME?</v>
      </c>
      <c r="AS169" s="163" t="e">
        <f aca="false">AQ169-AK169</f>
        <v>#NAME?</v>
      </c>
      <c r="AU169" s="112" t="n">
        <f aca="false">A170-A169</f>
        <v>30</v>
      </c>
      <c r="AV169" s="164" t="n">
        <f aca="false">CHOOSE(F$3,A170+24,A169+14)</f>
        <v>42993</v>
      </c>
      <c r="AW169" s="49" t="n">
        <f aca="false">AV169-C$3</f>
        <v>-2933</v>
      </c>
      <c r="AX169" s="155" t="n">
        <f aca="false">VLOOKUP($A169,[1]!CurveTable,MATCH(AX$4,[1]!CurveType,0))</f>
        <v>0.0588982604152442</v>
      </c>
      <c r="AY169" s="165" t="n">
        <f aca="false">1/(1+CHOOSE(F$3,(AX170+(Inputs!$B$14/10000))/2,(AX169+(Inputs!$B$14/10000))/2))^(2*AW169/365.25)</f>
        <v>1.59381343340424</v>
      </c>
      <c r="AZ169" s="49" t="n">
        <f aca="false">IF(AND(mthbeg&lt;=A169,mthend&gt;=A169),1,0)</f>
        <v>0</v>
      </c>
      <c r="BA169" s="111" t="n">
        <f aca="false">AU169*AZ169</f>
        <v>0</v>
      </c>
      <c r="BC169" s="142" t="n">
        <f aca="false">E169*$D169</f>
        <v>0</v>
      </c>
      <c r="BD169" s="142" t="n">
        <f aca="false">F169*$D169</f>
        <v>0</v>
      </c>
      <c r="BE169" s="142" t="n">
        <f aca="false">G169*$D169</f>
        <v>0</v>
      </c>
      <c r="BF169" s="142" t="n">
        <f aca="false">H169*$D169</f>
        <v>0</v>
      </c>
      <c r="BG169" s="142" t="n">
        <f aca="false">I169*$D169</f>
        <v>0</v>
      </c>
      <c r="BH169" s="142" t="n">
        <f aca="false">J169*$D169</f>
        <v>0</v>
      </c>
      <c r="BI169" s="142" t="n">
        <f aca="false">K169*$D169</f>
        <v>0</v>
      </c>
      <c r="BJ169" s="142" t="n">
        <f aca="false">L169*$D169</f>
        <v>0</v>
      </c>
      <c r="BK169" s="142" t="n">
        <f aca="false">M169*$D169</f>
        <v>0</v>
      </c>
      <c r="BL169" s="142" t="n">
        <f aca="false">N169*$D169</f>
        <v>0</v>
      </c>
      <c r="BM169" s="142" t="n">
        <f aca="false">O169*$D169</f>
        <v>0</v>
      </c>
      <c r="BN169" s="142" t="n">
        <f aca="false">P169*$D169</f>
        <v>0</v>
      </c>
      <c r="BO169" s="142" t="n">
        <f aca="false">Q169*$D169</f>
        <v>0</v>
      </c>
      <c r="BP169" s="142" t="n">
        <f aca="false">R169*$D169</f>
        <v>0</v>
      </c>
      <c r="BQ169" s="142" t="n">
        <f aca="false">S169*$D169</f>
        <v>0</v>
      </c>
      <c r="BR169" s="142" t="n">
        <f aca="false">U169*$D169</f>
        <v>0</v>
      </c>
      <c r="BS169" s="142" t="n">
        <f aca="false">AA169*$D169</f>
        <v>0</v>
      </c>
      <c r="BT169" s="142" t="n">
        <f aca="false">AI169*$D169</f>
        <v>0</v>
      </c>
      <c r="BU169" s="142" t="n">
        <f aca="false">AK169*D169</f>
        <v>0</v>
      </c>
    </row>
    <row r="170" customFormat="false" ht="12.75" hidden="false" customHeight="false" outlineLevel="0" collapsed="false">
      <c r="A170" s="144" t="n">
        <f aca="false">EDATE(A169,1)</f>
        <v>43009</v>
      </c>
      <c r="B170" s="145" t="n">
        <f aca="false">Inputs!$B$8</f>
        <v>50000</v>
      </c>
      <c r="C170" s="146" t="n">
        <f aca="false">IF(AZ170=0,0,IF(AND(AZ170=1,$H$3=1),B170*AU170,IF($H$3=2,B170,"N/A")))</f>
        <v>0</v>
      </c>
      <c r="D170" s="146" t="n">
        <f aca="false">C170*AY170</f>
        <v>0</v>
      </c>
      <c r="E170" s="147" t="n">
        <f aca="false">VLOOKUP($A170,[1]!CurveTable,MATCH($E$4,[1]!CurveType,0))</f>
        <v>5.0345</v>
      </c>
      <c r="F170" s="148" t="n">
        <f aca="false">E170-Inputs!$B$16</f>
        <v>5.0895</v>
      </c>
      <c r="G170" s="149" t="n">
        <f aca="false">F170</f>
        <v>5.0895</v>
      </c>
      <c r="H170" s="147" t="n">
        <f aca="false">VLOOKUP($A170,[1]!CurveTable,MATCH($H$4,[1]!CurveType,0))</f>
        <v>0.3</v>
      </c>
      <c r="I170" s="148" t="n">
        <f aca="false">H170+Inputs!$B$22</f>
        <v>0.3</v>
      </c>
      <c r="J170" s="150" t="n">
        <f aca="false">I170</f>
        <v>0.3</v>
      </c>
      <c r="K170" s="147" t="n">
        <f aca="false">VLOOKUP($A170,[1]!CurveTable,MATCH($K$4,[1]!CurveType,0))</f>
        <v>0</v>
      </c>
      <c r="L170" s="148" t="n">
        <v>0</v>
      </c>
      <c r="M170" s="151" t="n">
        <f aca="false">L170</f>
        <v>0</v>
      </c>
      <c r="N170" s="147" t="n">
        <f aca="false">VLOOKUP($A170,[1]!CurveTable,MATCH($N$4,[1]!CurveType,0))</f>
        <v>0.017</v>
      </c>
      <c r="O170" s="148" t="n">
        <f aca="false">N170+Inputs!$E$22</f>
        <v>0.017</v>
      </c>
      <c r="P170" s="151" t="n">
        <f aca="false">O170</f>
        <v>0.017</v>
      </c>
      <c r="Q170" s="147" t="n">
        <f aca="false">VLOOKUP($A170,[1]!CurveTable,MATCH($Q$4,[1]!CurveType,0))</f>
        <v>0.01</v>
      </c>
      <c r="R170" s="148" t="n">
        <v>0</v>
      </c>
      <c r="S170" s="151" t="n">
        <f aca="false">R170</f>
        <v>0</v>
      </c>
      <c r="T170" s="152"/>
      <c r="U170" s="153" t="n">
        <f aca="false">G170+J170</f>
        <v>5.3895</v>
      </c>
      <c r="V170" s="154"/>
      <c r="W170" s="155" t="n">
        <f aca="false">VLOOKUP($A170,[1]!CurveTable,MATCH($W$4,[1]!CurveType,0))+$W$9</f>
        <v>0.17</v>
      </c>
      <c r="X170" s="155" t="n">
        <f aca="false">VLOOKUP($A170,[1]!CurveTable,MATCH($X$4,[1]!CurveType,0))+$X$9</f>
        <v>0.175</v>
      </c>
      <c r="Y170" s="139" t="n">
        <f aca="false">SQRT((X170^2*($A170-$C$3)+W170^2*(DAY(EOMONTH(A170,0))/2))/$AN170)</f>
        <v>0.173640459452144</v>
      </c>
      <c r="Z170" s="152"/>
      <c r="AA170" s="153" t="n">
        <f aca="false">G170+P170+S170</f>
        <v>5.1065</v>
      </c>
      <c r="AB170" s="154"/>
      <c r="AC170" s="155" t="n">
        <f aca="false">VLOOKUP($A170,[1]!CurveTable,MATCH($AC$4,[1]!CurveType,0))+$AC$9</f>
        <v>0.17</v>
      </c>
      <c r="AD170" s="155" t="n">
        <f aca="false">VLOOKUP($A170,[1]!CurveTable,MATCH($AD$4,[1]!CurveType,0))+$AD$9</f>
        <v>0.175</v>
      </c>
      <c r="AE170" s="139" t="n">
        <f aca="false">SQRT((AD170^2*($A170-$C$3)+AC170^2*(DAY(EOMONTH(A170,0))/2))/$AN170)</f>
        <v>0.173640459452144</v>
      </c>
      <c r="AF170" s="152"/>
      <c r="AG170" s="156" t="n">
        <f aca="false">((Inputs!$F$20*(X170*AD170)*(A170-$C$3))+(Inputs!$F$19*W170*AC170*(DAY(EOMONTH(A170,0))/2)))/(AN170*Y170*AE170)</f>
        <v>0.75</v>
      </c>
      <c r="AH170" s="152"/>
      <c r="AI170" s="140" t="n">
        <f aca="false">Inputs!$B$15</f>
        <v>0.06</v>
      </c>
      <c r="AJ170" s="157"/>
      <c r="AK170" s="140" t="n">
        <f aca="false">IF((U170-AA170-AI170)&lt;0,0,(U170-AA170-AI170))</f>
        <v>0.222999999999999</v>
      </c>
      <c r="AL170" s="157"/>
      <c r="AM170" s="158" t="n">
        <f aca="false">WORKDAY(EOMONTH(A170-1,-1),0)</f>
        <v>42978</v>
      </c>
      <c r="AN170" s="159" t="n">
        <f aca="false">AM170-$C$3</f>
        <v>-2948</v>
      </c>
      <c r="AO170" s="159" t="n">
        <f aca="false">AO169</f>
        <v>1</v>
      </c>
      <c r="AP170" s="160"/>
      <c r="AQ170" s="161" t="e">
        <f aca="false">SPRDOPT(U170,AA170,AI170,AX170,X170,AD170,AG170,AN170,AO170,0)</f>
        <v>#NAME?</v>
      </c>
      <c r="AR170" s="162" t="e">
        <f aca="false">AQ170*C170</f>
        <v>#NAME?</v>
      </c>
      <c r="AS170" s="163" t="e">
        <f aca="false">AQ170-AK170</f>
        <v>#NAME?</v>
      </c>
      <c r="AU170" s="112" t="n">
        <f aca="false">A171-A170</f>
        <v>31</v>
      </c>
      <c r="AV170" s="164" t="n">
        <f aca="false">CHOOSE(F$3,A171+24,A170+14)</f>
        <v>43023</v>
      </c>
      <c r="AW170" s="49" t="n">
        <f aca="false">AV170-C$3</f>
        <v>-2903</v>
      </c>
      <c r="AX170" s="155" t="n">
        <f aca="false">VLOOKUP($A170,[1]!CurveTable,MATCH(AX$4,[1]!CurveType,0))</f>
        <v>0.0589545953603734</v>
      </c>
      <c r="AY170" s="165" t="n">
        <f aca="false">1/(1+CHOOSE(F$3,(AX171+(Inputs!$B$14/10000))/2,(AX170+(Inputs!$B$14/10000))/2))^(2*AW170/365.25)</f>
        <v>1.5869226321587</v>
      </c>
      <c r="AZ170" s="49" t="n">
        <f aca="false">IF(AND(mthbeg&lt;=A170,mthend&gt;=A170),1,0)</f>
        <v>0</v>
      </c>
      <c r="BA170" s="111" t="n">
        <f aca="false">AU170*AZ170</f>
        <v>0</v>
      </c>
      <c r="BC170" s="142" t="n">
        <f aca="false">E170*$D170</f>
        <v>0</v>
      </c>
      <c r="BD170" s="142" t="n">
        <f aca="false">F170*$D170</f>
        <v>0</v>
      </c>
      <c r="BE170" s="142" t="n">
        <f aca="false">G170*$D170</f>
        <v>0</v>
      </c>
      <c r="BF170" s="142" t="n">
        <f aca="false">H170*$D170</f>
        <v>0</v>
      </c>
      <c r="BG170" s="142" t="n">
        <f aca="false">I170*$D170</f>
        <v>0</v>
      </c>
      <c r="BH170" s="142" t="n">
        <f aca="false">J170*$D170</f>
        <v>0</v>
      </c>
      <c r="BI170" s="142" t="n">
        <f aca="false">K170*$D170</f>
        <v>0</v>
      </c>
      <c r="BJ170" s="142" t="n">
        <f aca="false">L170*$D170</f>
        <v>0</v>
      </c>
      <c r="BK170" s="142" t="n">
        <f aca="false">M170*$D170</f>
        <v>0</v>
      </c>
      <c r="BL170" s="142" t="n">
        <f aca="false">N170*$D170</f>
        <v>0</v>
      </c>
      <c r="BM170" s="142" t="n">
        <f aca="false">O170*$D170</f>
        <v>0</v>
      </c>
      <c r="BN170" s="142" t="n">
        <f aca="false">P170*$D170</f>
        <v>0</v>
      </c>
      <c r="BO170" s="142" t="n">
        <f aca="false">Q170*$D170</f>
        <v>0</v>
      </c>
      <c r="BP170" s="142" t="n">
        <f aca="false">R170*$D170</f>
        <v>0</v>
      </c>
      <c r="BQ170" s="142" t="n">
        <f aca="false">S170*$D170</f>
        <v>0</v>
      </c>
      <c r="BR170" s="142" t="n">
        <f aca="false">U170*$D170</f>
        <v>0</v>
      </c>
      <c r="BS170" s="142" t="n">
        <f aca="false">AA170*$D170</f>
        <v>0</v>
      </c>
      <c r="BT170" s="142" t="n">
        <f aca="false">AI170*$D170</f>
        <v>0</v>
      </c>
      <c r="BU170" s="142" t="n">
        <f aca="false">AK170*D170</f>
        <v>0</v>
      </c>
    </row>
    <row r="171" customFormat="false" ht="12.75" hidden="false" customHeight="false" outlineLevel="0" collapsed="false">
      <c r="A171" s="144" t="n">
        <f aca="false">EDATE(A170,1)</f>
        <v>43040</v>
      </c>
      <c r="B171" s="145" t="n">
        <f aca="false">Inputs!$B$8</f>
        <v>50000</v>
      </c>
      <c r="C171" s="146" t="n">
        <f aca="false">IF(AZ171=0,0,IF(AND(AZ171=1,$H$3=1),B171*AU171,IF($H$3=2,B171,"N/A")))</f>
        <v>0</v>
      </c>
      <c r="D171" s="146" t="n">
        <f aca="false">C171*AY171</f>
        <v>0</v>
      </c>
      <c r="E171" s="147" t="n">
        <f aca="false">VLOOKUP($A171,[1]!CurveTable,MATCH($E$4,[1]!CurveType,0))</f>
        <v>5.1825</v>
      </c>
      <c r="F171" s="148" t="n">
        <f aca="false">E171-Inputs!$B$16</f>
        <v>5.2375</v>
      </c>
      <c r="G171" s="149" t="n">
        <f aca="false">F171</f>
        <v>5.2375</v>
      </c>
      <c r="H171" s="147" t="n">
        <f aca="false">VLOOKUP($A171,[1]!CurveTable,MATCH($H$4,[1]!CurveType,0))</f>
        <v>0.23</v>
      </c>
      <c r="I171" s="148" t="n">
        <f aca="false">H171+Inputs!$B$22</f>
        <v>0.23</v>
      </c>
      <c r="J171" s="150" t="n">
        <f aca="false">I171</f>
        <v>0.23</v>
      </c>
      <c r="K171" s="147" t="n">
        <f aca="false">VLOOKUP($A171,[1]!CurveTable,MATCH($K$4,[1]!CurveType,0))</f>
        <v>0</v>
      </c>
      <c r="L171" s="148" t="n">
        <v>0</v>
      </c>
      <c r="M171" s="151" t="n">
        <f aca="false">L171</f>
        <v>0</v>
      </c>
      <c r="N171" s="147" t="n">
        <f aca="false">VLOOKUP($A171,[1]!CurveTable,MATCH($N$4,[1]!CurveType,0))</f>
        <v>0.018</v>
      </c>
      <c r="O171" s="148" t="n">
        <f aca="false">N171+Inputs!$E$22</f>
        <v>0.018</v>
      </c>
      <c r="P171" s="151" t="n">
        <f aca="false">O171</f>
        <v>0.018</v>
      </c>
      <c r="Q171" s="147" t="n">
        <f aca="false">VLOOKUP($A171,[1]!CurveTable,MATCH($Q$4,[1]!CurveType,0))</f>
        <v>0.0075</v>
      </c>
      <c r="R171" s="148" t="n">
        <v>0</v>
      </c>
      <c r="S171" s="151" t="n">
        <f aca="false">R171</f>
        <v>0</v>
      </c>
      <c r="T171" s="152"/>
      <c r="U171" s="153" t="n">
        <f aca="false">G171+J171</f>
        <v>5.4675</v>
      </c>
      <c r="V171" s="154"/>
      <c r="W171" s="155" t="n">
        <f aca="false">VLOOKUP($A171,[1]!CurveTable,MATCH($W$4,[1]!CurveType,0))+$W$9</f>
        <v>0.17</v>
      </c>
      <c r="X171" s="155" t="n">
        <f aca="false">VLOOKUP($A171,[1]!CurveTable,MATCH($X$4,[1]!CurveType,0))+$X$9</f>
        <v>0.175</v>
      </c>
      <c r="Y171" s="139" t="n">
        <f aca="false">SQRT((X171^2*($A171-$C$3)+W171^2*(DAY(EOMONTH(A171,0))/2))/$AN171)</f>
        <v>0.173610463025216</v>
      </c>
      <c r="Z171" s="152"/>
      <c r="AA171" s="153" t="n">
        <f aca="false">G171+P171+S171</f>
        <v>5.2555</v>
      </c>
      <c r="AB171" s="154"/>
      <c r="AC171" s="155" t="n">
        <f aca="false">VLOOKUP($A171,[1]!CurveTable,MATCH($AC$4,[1]!CurveType,0))+$AC$9</f>
        <v>0.17</v>
      </c>
      <c r="AD171" s="155" t="n">
        <f aca="false">VLOOKUP($A171,[1]!CurveTable,MATCH($AD$4,[1]!CurveType,0))+$AD$9</f>
        <v>0.175</v>
      </c>
      <c r="AE171" s="139" t="n">
        <f aca="false">SQRT((AD171^2*($A171-$C$3)+AC171^2*(DAY(EOMONTH(A171,0))/2))/$AN171)</f>
        <v>0.173610463025216</v>
      </c>
      <c r="AF171" s="152"/>
      <c r="AG171" s="156" t="n">
        <f aca="false">((Inputs!$F$20*(X171*AD171)*(A171-$C$3))+(Inputs!$F$19*W171*AC171*(DAY(EOMONTH(A171,0))/2)))/(AN171*Y171*AE171)</f>
        <v>0.75</v>
      </c>
      <c r="AH171" s="152"/>
      <c r="AI171" s="140" t="n">
        <f aca="false">Inputs!$B$15</f>
        <v>0.06</v>
      </c>
      <c r="AJ171" s="157"/>
      <c r="AK171" s="140" t="n">
        <f aca="false">IF((U171-AA171-AI171)&lt;0,0,(U171-AA171-AI171))</f>
        <v>0.152000000000001</v>
      </c>
      <c r="AL171" s="157"/>
      <c r="AM171" s="158" t="n">
        <f aca="false">WORKDAY(EOMONTH(A171-1,-1),0)</f>
        <v>43008</v>
      </c>
      <c r="AN171" s="159" t="n">
        <f aca="false">AM171-$C$3</f>
        <v>-2918</v>
      </c>
      <c r="AO171" s="159" t="n">
        <f aca="false">AO170</f>
        <v>1</v>
      </c>
      <c r="AP171" s="160"/>
      <c r="AQ171" s="161" t="e">
        <f aca="false">SPRDOPT(U171,AA171,AI171,AX171,X171,AD171,AG171,AN171,AO171,0)</f>
        <v>#NAME?</v>
      </c>
      <c r="AR171" s="162" t="e">
        <f aca="false">AQ171*C171</f>
        <v>#NAME?</v>
      </c>
      <c r="AS171" s="163" t="e">
        <f aca="false">AQ171-AK171</f>
        <v>#NAME?</v>
      </c>
      <c r="AU171" s="112" t="n">
        <f aca="false">A172-A171</f>
        <v>30</v>
      </c>
      <c r="AV171" s="164" t="n">
        <f aca="false">CHOOSE(F$3,A172+24,A171+14)</f>
        <v>43054</v>
      </c>
      <c r="AW171" s="49" t="n">
        <f aca="false">AV171-C$3</f>
        <v>-2872</v>
      </c>
      <c r="AX171" s="155" t="n">
        <f aca="false">VLOOKUP($A171,[1]!CurveTable,MATCH(AX$4,[1]!CurveType,0))</f>
        <v>0.0590128081381147</v>
      </c>
      <c r="AY171" s="165" t="n">
        <f aca="false">1/(1+CHOOSE(F$3,(AX172+(Inputs!$B$14/10000))/2,(AX171+(Inputs!$B$14/10000))/2))^(2*AW171/365.25)</f>
        <v>1.57981849525309</v>
      </c>
      <c r="AZ171" s="49" t="n">
        <f aca="false">IF(AND(mthbeg&lt;=A171,mthend&gt;=A171),1,0)</f>
        <v>0</v>
      </c>
      <c r="BA171" s="111" t="n">
        <f aca="false">AU171*AZ171</f>
        <v>0</v>
      </c>
      <c r="BC171" s="142" t="n">
        <f aca="false">E171*$D171</f>
        <v>0</v>
      </c>
      <c r="BD171" s="142" t="n">
        <f aca="false">F171*$D171</f>
        <v>0</v>
      </c>
      <c r="BE171" s="142" t="n">
        <f aca="false">G171*$D171</f>
        <v>0</v>
      </c>
      <c r="BF171" s="142" t="n">
        <f aca="false">H171*$D171</f>
        <v>0</v>
      </c>
      <c r="BG171" s="142" t="n">
        <f aca="false">I171*$D171</f>
        <v>0</v>
      </c>
      <c r="BH171" s="142" t="n">
        <f aca="false">J171*$D171</f>
        <v>0</v>
      </c>
      <c r="BI171" s="142" t="n">
        <f aca="false">K171*$D171</f>
        <v>0</v>
      </c>
      <c r="BJ171" s="142" t="n">
        <f aca="false">L171*$D171</f>
        <v>0</v>
      </c>
      <c r="BK171" s="142" t="n">
        <f aca="false">M171*$D171</f>
        <v>0</v>
      </c>
      <c r="BL171" s="142" t="n">
        <f aca="false">N171*$D171</f>
        <v>0</v>
      </c>
      <c r="BM171" s="142" t="n">
        <f aca="false">O171*$D171</f>
        <v>0</v>
      </c>
      <c r="BN171" s="142" t="n">
        <f aca="false">P171*$D171</f>
        <v>0</v>
      </c>
      <c r="BO171" s="142" t="n">
        <f aca="false">Q171*$D171</f>
        <v>0</v>
      </c>
      <c r="BP171" s="142" t="n">
        <f aca="false">R171*$D171</f>
        <v>0</v>
      </c>
      <c r="BQ171" s="142" t="n">
        <f aca="false">S171*$D171</f>
        <v>0</v>
      </c>
      <c r="BR171" s="142" t="n">
        <f aca="false">U171*$D171</f>
        <v>0</v>
      </c>
      <c r="BS171" s="142" t="n">
        <f aca="false">AA171*$D171</f>
        <v>0</v>
      </c>
      <c r="BT171" s="142" t="n">
        <f aca="false">AI171*$D171</f>
        <v>0</v>
      </c>
      <c r="BU171" s="142" t="n">
        <f aca="false">AK171*D171</f>
        <v>0</v>
      </c>
    </row>
    <row r="172" customFormat="false" ht="12.75" hidden="false" customHeight="false" outlineLevel="0" collapsed="false">
      <c r="A172" s="144" t="n">
        <f aca="false">EDATE(A171,1)</f>
        <v>43070</v>
      </c>
      <c r="B172" s="145" t="n">
        <f aca="false">Inputs!$B$8</f>
        <v>50000</v>
      </c>
      <c r="C172" s="146" t="n">
        <f aca="false">IF(AZ172=0,0,IF(AND(AZ172=1,$H$3=1),B172*AU172,IF($H$3=2,B172,"N/A")))</f>
        <v>0</v>
      </c>
      <c r="D172" s="146" t="n">
        <f aca="false">C172*AY172</f>
        <v>0</v>
      </c>
      <c r="E172" s="147" t="n">
        <f aca="false">VLOOKUP($A172,[1]!CurveTable,MATCH($E$4,[1]!CurveType,0))</f>
        <v>5.3345</v>
      </c>
      <c r="F172" s="148" t="n">
        <f aca="false">E172-Inputs!$B$16</f>
        <v>5.3895</v>
      </c>
      <c r="G172" s="149" t="n">
        <f aca="false">F172</f>
        <v>5.3895</v>
      </c>
      <c r="H172" s="147" t="n">
        <f aca="false">VLOOKUP($A172,[1]!CurveTable,MATCH($H$4,[1]!CurveType,0))</f>
        <v>0.26</v>
      </c>
      <c r="I172" s="148" t="n">
        <f aca="false">H172+Inputs!$B$22</f>
        <v>0.26</v>
      </c>
      <c r="J172" s="150" t="n">
        <f aca="false">I172</f>
        <v>0.26</v>
      </c>
      <c r="K172" s="147" t="n">
        <f aca="false">VLOOKUP($A172,[1]!CurveTable,MATCH($K$4,[1]!CurveType,0))</f>
        <v>0</v>
      </c>
      <c r="L172" s="148" t="n">
        <v>0</v>
      </c>
      <c r="M172" s="151" t="n">
        <f aca="false">L172</f>
        <v>0</v>
      </c>
      <c r="N172" s="147" t="n">
        <f aca="false">VLOOKUP($A172,[1]!CurveTable,MATCH($N$4,[1]!CurveType,0))</f>
        <v>0.018</v>
      </c>
      <c r="O172" s="148" t="n">
        <f aca="false">N172+Inputs!$E$22</f>
        <v>0.018</v>
      </c>
      <c r="P172" s="151" t="n">
        <f aca="false">O172</f>
        <v>0.018</v>
      </c>
      <c r="Q172" s="147" t="n">
        <f aca="false">VLOOKUP($A172,[1]!CurveTable,MATCH($Q$4,[1]!CurveType,0))</f>
        <v>0.0075</v>
      </c>
      <c r="R172" s="148" t="n">
        <v>0</v>
      </c>
      <c r="S172" s="151" t="n">
        <f aca="false">R172</f>
        <v>0</v>
      </c>
      <c r="T172" s="152"/>
      <c r="U172" s="153" t="n">
        <f aca="false">G172+J172</f>
        <v>5.6495</v>
      </c>
      <c r="V172" s="154"/>
      <c r="W172" s="155" t="n">
        <f aca="false">VLOOKUP($A172,[1]!CurveTable,MATCH($W$4,[1]!CurveType,0))+$W$9</f>
        <v>0.17</v>
      </c>
      <c r="X172" s="155" t="n">
        <f aca="false">VLOOKUP($A172,[1]!CurveTable,MATCH($X$4,[1]!CurveType,0))+$X$9</f>
        <v>0.175</v>
      </c>
      <c r="Y172" s="139" t="n">
        <f aca="false">SQRT((X172^2*($A172-$C$3)+W172^2*(DAY(EOMONTH(A172,0))/2))/$AN172)</f>
        <v>0.173611618596033</v>
      </c>
      <c r="Z172" s="152"/>
      <c r="AA172" s="153" t="n">
        <f aca="false">G172+P172+S172</f>
        <v>5.4075</v>
      </c>
      <c r="AB172" s="154"/>
      <c r="AC172" s="155" t="n">
        <f aca="false">VLOOKUP($A172,[1]!CurveTable,MATCH($AC$4,[1]!CurveType,0))+$AC$9</f>
        <v>0.17</v>
      </c>
      <c r="AD172" s="155" t="n">
        <f aca="false">VLOOKUP($A172,[1]!CurveTable,MATCH($AD$4,[1]!CurveType,0))+$AD$9</f>
        <v>0.175</v>
      </c>
      <c r="AE172" s="139" t="n">
        <f aca="false">SQRT((AD172^2*($A172-$C$3)+AC172^2*(DAY(EOMONTH(A172,0))/2))/$AN172)</f>
        <v>0.173611618596033</v>
      </c>
      <c r="AF172" s="152"/>
      <c r="AG172" s="156" t="n">
        <f aca="false">((Inputs!$F$20*(X172*AD172)*(A172-$C$3))+(Inputs!$F$19*W172*AC172*(DAY(EOMONTH(A172,0))/2)))/(AN172*Y172*AE172)</f>
        <v>0.75</v>
      </c>
      <c r="AH172" s="152"/>
      <c r="AI172" s="140" t="n">
        <f aca="false">Inputs!$B$15</f>
        <v>0.06</v>
      </c>
      <c r="AJ172" s="157"/>
      <c r="AK172" s="140" t="n">
        <f aca="false">IF((U172-AA172-AI172)&lt;0,0,(U172-AA172-AI172))</f>
        <v>0.182</v>
      </c>
      <c r="AL172" s="157"/>
      <c r="AM172" s="158" t="n">
        <f aca="false">WORKDAY(EOMONTH(A172-1,-1),0)</f>
        <v>43039</v>
      </c>
      <c r="AN172" s="159" t="n">
        <f aca="false">AM172-$C$3</f>
        <v>-2887</v>
      </c>
      <c r="AO172" s="159" t="n">
        <f aca="false">AO171</f>
        <v>1</v>
      </c>
      <c r="AP172" s="160"/>
      <c r="AQ172" s="161" t="e">
        <f aca="false">SPRDOPT(U172,AA172,AI172,AX172,X172,AD172,AG172,AN172,AO172,0)</f>
        <v>#NAME?</v>
      </c>
      <c r="AR172" s="162" t="e">
        <f aca="false">AQ172*C172</f>
        <v>#NAME?</v>
      </c>
      <c r="AS172" s="163" t="e">
        <f aca="false">AQ172-AK172</f>
        <v>#NAME?</v>
      </c>
      <c r="AU172" s="112" t="n">
        <f aca="false">A173-A172</f>
        <v>31</v>
      </c>
      <c r="AV172" s="164" t="n">
        <f aca="false">CHOOSE(F$3,A173+24,A172+14)</f>
        <v>43084</v>
      </c>
      <c r="AW172" s="49" t="n">
        <f aca="false">AV172-C$3</f>
        <v>-2842</v>
      </c>
      <c r="AX172" s="155" t="n">
        <f aca="false">VLOOKUP($A172,[1]!CurveTable,MATCH(AX$4,[1]!CurveType,0))</f>
        <v>0.0590691430853889</v>
      </c>
      <c r="AY172" s="165" t="n">
        <f aca="false">1/(1+CHOOSE(F$3,(AX173+(Inputs!$B$14/10000))/2,(AX172+(Inputs!$B$14/10000))/2))^(2*AW172/365.25)</f>
        <v>1.57295941229886</v>
      </c>
      <c r="AZ172" s="49" t="n">
        <f aca="false">IF(AND(mthbeg&lt;=A172,mthend&gt;=A172),1,0)</f>
        <v>0</v>
      </c>
      <c r="BA172" s="111" t="n">
        <f aca="false">AU172*AZ172</f>
        <v>0</v>
      </c>
      <c r="BC172" s="142" t="n">
        <f aca="false">E172*$D172</f>
        <v>0</v>
      </c>
      <c r="BD172" s="142" t="n">
        <f aca="false">F172*$D172</f>
        <v>0</v>
      </c>
      <c r="BE172" s="142" t="n">
        <f aca="false">G172*$D172</f>
        <v>0</v>
      </c>
      <c r="BF172" s="142" t="n">
        <f aca="false">H172*$D172</f>
        <v>0</v>
      </c>
      <c r="BG172" s="142" t="n">
        <f aca="false">I172*$D172</f>
        <v>0</v>
      </c>
      <c r="BH172" s="142" t="n">
        <f aca="false">J172*$D172</f>
        <v>0</v>
      </c>
      <c r="BI172" s="142" t="n">
        <f aca="false">K172*$D172</f>
        <v>0</v>
      </c>
      <c r="BJ172" s="142" t="n">
        <f aca="false">L172*$D172</f>
        <v>0</v>
      </c>
      <c r="BK172" s="142" t="n">
        <f aca="false">M172*$D172</f>
        <v>0</v>
      </c>
      <c r="BL172" s="142" t="n">
        <f aca="false">N172*$D172</f>
        <v>0</v>
      </c>
      <c r="BM172" s="142" t="n">
        <f aca="false">O172*$D172</f>
        <v>0</v>
      </c>
      <c r="BN172" s="142" t="n">
        <f aca="false">P172*$D172</f>
        <v>0</v>
      </c>
      <c r="BO172" s="142" t="n">
        <f aca="false">Q172*$D172</f>
        <v>0</v>
      </c>
      <c r="BP172" s="142" t="n">
        <f aca="false">R172*$D172</f>
        <v>0</v>
      </c>
      <c r="BQ172" s="142" t="n">
        <f aca="false">S172*$D172</f>
        <v>0</v>
      </c>
      <c r="BR172" s="142" t="n">
        <f aca="false">U172*$D172</f>
        <v>0</v>
      </c>
      <c r="BS172" s="142" t="n">
        <f aca="false">AA172*$D172</f>
        <v>0</v>
      </c>
      <c r="BT172" s="142" t="n">
        <f aca="false">AI172*$D172</f>
        <v>0</v>
      </c>
      <c r="BU172" s="142" t="n">
        <f aca="false">AK172*D172</f>
        <v>0</v>
      </c>
    </row>
    <row r="173" customFormat="false" ht="12.75" hidden="false" customHeight="false" outlineLevel="0" collapsed="false">
      <c r="A173" s="144" t="n">
        <f aca="false">EDATE(A172,1)</f>
        <v>43101</v>
      </c>
      <c r="B173" s="145" t="n">
        <f aca="false">Inputs!$B$8</f>
        <v>50000</v>
      </c>
      <c r="C173" s="146" t="n">
        <f aca="false">IF(AZ173=0,0,IF(AND(AZ173=1,$H$3=1),B173*AU173,IF($H$3=2,B173,"N/A")))</f>
        <v>0</v>
      </c>
      <c r="D173" s="146" t="n">
        <f aca="false">C173*AY173</f>
        <v>0</v>
      </c>
      <c r="E173" s="147" t="n">
        <f aca="false">VLOOKUP($A173,[1]!CurveTable,MATCH($E$4,[1]!CurveType,0))</f>
        <v>5.412</v>
      </c>
      <c r="F173" s="148" t="n">
        <f aca="false">E173-Inputs!$B$16</f>
        <v>5.467</v>
      </c>
      <c r="G173" s="149" t="n">
        <f aca="false">F173</f>
        <v>5.467</v>
      </c>
      <c r="H173" s="147" t="n">
        <f aca="false">VLOOKUP($A173,[1]!CurveTable,MATCH($H$4,[1]!CurveType,0))</f>
        <v>0.085</v>
      </c>
      <c r="I173" s="148" t="n">
        <f aca="false">H173+Inputs!$B$22</f>
        <v>0.085</v>
      </c>
      <c r="J173" s="150" t="n">
        <f aca="false">I173</f>
        <v>0.085</v>
      </c>
      <c r="K173" s="147" t="n">
        <f aca="false">VLOOKUP($A173,[1]!CurveTable,MATCH($K$4,[1]!CurveType,0))</f>
        <v>0</v>
      </c>
      <c r="L173" s="148" t="n">
        <v>0</v>
      </c>
      <c r="M173" s="151" t="n">
        <f aca="false">L173</f>
        <v>0</v>
      </c>
      <c r="N173" s="147" t="n">
        <f aca="false">VLOOKUP($A173,[1]!CurveTable,MATCH($N$4,[1]!CurveType,0))</f>
        <v>0.018</v>
      </c>
      <c r="O173" s="148" t="n">
        <f aca="false">N173+Inputs!$E$22</f>
        <v>0.018</v>
      </c>
      <c r="P173" s="151" t="n">
        <f aca="false">O173</f>
        <v>0.018</v>
      </c>
      <c r="Q173" s="147" t="n">
        <f aca="false">VLOOKUP($A173,[1]!CurveTable,MATCH($Q$4,[1]!CurveType,0))</f>
        <v>0.0075</v>
      </c>
      <c r="R173" s="148" t="n">
        <v>0</v>
      </c>
      <c r="S173" s="151" t="n">
        <f aca="false">R173</f>
        <v>0</v>
      </c>
      <c r="T173" s="152"/>
      <c r="U173" s="153" t="n">
        <f aca="false">G173+J173</f>
        <v>5.552</v>
      </c>
      <c r="V173" s="154"/>
      <c r="W173" s="155" t="n">
        <f aca="false">VLOOKUP($A173,[1]!CurveTable,MATCH($W$4,[1]!CurveType,0))+$W$9</f>
        <v>0.17</v>
      </c>
      <c r="X173" s="155" t="n">
        <f aca="false">VLOOKUP($A173,[1]!CurveTable,MATCH($X$4,[1]!CurveType,0))+$X$9</f>
        <v>0.175</v>
      </c>
      <c r="Y173" s="139" t="n">
        <f aca="false">SQRT((X173^2*($A173-$C$3)+W173^2*(DAY(EOMONTH(A173,0))/2))/$AN173)</f>
        <v>0.173566104149472</v>
      </c>
      <c r="Z173" s="152"/>
      <c r="AA173" s="153" t="n">
        <f aca="false">G173+P173+S173</f>
        <v>5.485</v>
      </c>
      <c r="AB173" s="154"/>
      <c r="AC173" s="155" t="n">
        <f aca="false">VLOOKUP($A173,[1]!CurveTable,MATCH($AC$4,[1]!CurveType,0))+$AC$9</f>
        <v>0.17</v>
      </c>
      <c r="AD173" s="155" t="n">
        <f aca="false">VLOOKUP($A173,[1]!CurveTable,MATCH($AD$4,[1]!CurveType,0))+$AD$9</f>
        <v>0.175</v>
      </c>
      <c r="AE173" s="139" t="n">
        <f aca="false">SQRT((AD173^2*($A173-$C$3)+AC173^2*(DAY(EOMONTH(A173,0))/2))/$AN173)</f>
        <v>0.173566104149472</v>
      </c>
      <c r="AF173" s="152"/>
      <c r="AG173" s="156" t="n">
        <f aca="false">((Inputs!$F$20*(X173*AD173)*(A173-$C$3))+(Inputs!$F$19*W173*AC173*(DAY(EOMONTH(A173,0))/2)))/(AN173*Y173*AE173)</f>
        <v>0.75</v>
      </c>
      <c r="AH173" s="152"/>
      <c r="AI173" s="140" t="n">
        <f aca="false">Inputs!$B$15</f>
        <v>0.06</v>
      </c>
      <c r="AJ173" s="157"/>
      <c r="AK173" s="140" t="n">
        <f aca="false">IF((U173-AA173-AI173)&lt;0,0,(U173-AA173-AI173))</f>
        <v>0.00700000000000017</v>
      </c>
      <c r="AL173" s="157"/>
      <c r="AM173" s="158" t="n">
        <f aca="false">WORKDAY(EOMONTH(A173-1,-1),0)</f>
        <v>43069</v>
      </c>
      <c r="AN173" s="159" t="n">
        <f aca="false">AM173-$C$3</f>
        <v>-2857</v>
      </c>
      <c r="AO173" s="159" t="n">
        <f aca="false">AO172</f>
        <v>1</v>
      </c>
      <c r="AP173" s="160"/>
      <c r="AQ173" s="161" t="e">
        <f aca="false">SPRDOPT(U173,AA173,AI173,AX173,X173,AD173,AG173,AN173,AO173,0)</f>
        <v>#NAME?</v>
      </c>
      <c r="AR173" s="162" t="e">
        <f aca="false">AQ173*C173</f>
        <v>#NAME?</v>
      </c>
      <c r="AS173" s="163" t="e">
        <f aca="false">AQ173-AK173</f>
        <v>#NAME?</v>
      </c>
      <c r="AU173" s="112" t="n">
        <f aca="false">A174-A173</f>
        <v>31</v>
      </c>
      <c r="AV173" s="164" t="n">
        <f aca="false">CHOOSE(F$3,A174+24,A173+14)</f>
        <v>43115</v>
      </c>
      <c r="AW173" s="49" t="n">
        <f aca="false">AV173-C$3</f>
        <v>-2811</v>
      </c>
      <c r="AX173" s="155" t="n">
        <f aca="false">VLOOKUP($A173,[1]!CurveTable,MATCH(AX$4,[1]!CurveType,0))</f>
        <v>0.0591273558653471</v>
      </c>
      <c r="AY173" s="165" t="n">
        <f aca="false">1/(1+CHOOSE(F$3,(AX174+(Inputs!$B$14/10000))/2,(AX173+(Inputs!$B$14/10000))/2))^(2*AW173/365.25)</f>
        <v>1.56588817116191</v>
      </c>
      <c r="AZ173" s="49" t="n">
        <f aca="false">IF(AND(mthbeg&lt;=A173,mthend&gt;=A173),1,0)</f>
        <v>0</v>
      </c>
      <c r="BA173" s="111" t="n">
        <f aca="false">AU173*AZ173</f>
        <v>0</v>
      </c>
      <c r="BC173" s="142" t="n">
        <f aca="false">E173*$D173</f>
        <v>0</v>
      </c>
      <c r="BD173" s="142" t="n">
        <f aca="false">F173*$D173</f>
        <v>0</v>
      </c>
      <c r="BE173" s="142" t="n">
        <f aca="false">G173*$D173</f>
        <v>0</v>
      </c>
      <c r="BF173" s="142" t="n">
        <f aca="false">H173*$D173</f>
        <v>0</v>
      </c>
      <c r="BG173" s="142" t="n">
        <f aca="false">I173*$D173</f>
        <v>0</v>
      </c>
      <c r="BH173" s="142" t="n">
        <f aca="false">J173*$D173</f>
        <v>0</v>
      </c>
      <c r="BI173" s="142" t="n">
        <f aca="false">K173*$D173</f>
        <v>0</v>
      </c>
      <c r="BJ173" s="142" t="n">
        <f aca="false">L173*$D173</f>
        <v>0</v>
      </c>
      <c r="BK173" s="142" t="n">
        <f aca="false">M173*$D173</f>
        <v>0</v>
      </c>
      <c r="BL173" s="142" t="n">
        <f aca="false">N173*$D173</f>
        <v>0</v>
      </c>
      <c r="BM173" s="142" t="n">
        <f aca="false">O173*$D173</f>
        <v>0</v>
      </c>
      <c r="BN173" s="142" t="n">
        <f aca="false">P173*$D173</f>
        <v>0</v>
      </c>
      <c r="BO173" s="142" t="n">
        <f aca="false">Q173*$D173</f>
        <v>0</v>
      </c>
      <c r="BP173" s="142" t="n">
        <f aca="false">R173*$D173</f>
        <v>0</v>
      </c>
      <c r="BQ173" s="142" t="n">
        <f aca="false">S173*$D173</f>
        <v>0</v>
      </c>
      <c r="BR173" s="142" t="n">
        <f aca="false">U173*$D173</f>
        <v>0</v>
      </c>
      <c r="BS173" s="142" t="n">
        <f aca="false">AA173*$D173</f>
        <v>0</v>
      </c>
      <c r="BT173" s="142" t="n">
        <f aca="false">AI173*$D173</f>
        <v>0</v>
      </c>
      <c r="BU173" s="142" t="n">
        <f aca="false">AK173*D173</f>
        <v>0</v>
      </c>
    </row>
    <row r="174" customFormat="false" ht="12.75" hidden="false" customHeight="false" outlineLevel="0" collapsed="false">
      <c r="A174" s="144" t="n">
        <f aca="false">EDATE(A173,1)</f>
        <v>43132</v>
      </c>
      <c r="B174" s="145" t="n">
        <f aca="false">Inputs!$B$8</f>
        <v>50000</v>
      </c>
      <c r="C174" s="146" t="n">
        <f aca="false">IF(AZ174=0,0,IF(AND(AZ174=1,$H$3=1),B174*AU174,IF($H$3=2,B174,"N/A")))</f>
        <v>0</v>
      </c>
      <c r="D174" s="146" t="n">
        <f aca="false">C174*AY174</f>
        <v>0</v>
      </c>
      <c r="E174" s="147" t="n">
        <f aca="false">VLOOKUP($A174,[1]!CurveTable,MATCH($E$4,[1]!CurveType,0))</f>
        <v>5.325</v>
      </c>
      <c r="F174" s="148" t="n">
        <f aca="false">E174-Inputs!$B$16</f>
        <v>5.38</v>
      </c>
      <c r="G174" s="149" t="n">
        <f aca="false">F174</f>
        <v>5.38</v>
      </c>
      <c r="H174" s="147" t="n">
        <f aca="false">VLOOKUP($A174,[1]!CurveTable,MATCH($H$4,[1]!CurveType,0))</f>
        <v>0.075</v>
      </c>
      <c r="I174" s="148" t="n">
        <f aca="false">H174+Inputs!$B$22</f>
        <v>0.075</v>
      </c>
      <c r="J174" s="150" t="n">
        <f aca="false">I174</f>
        <v>0.075</v>
      </c>
      <c r="K174" s="147" t="n">
        <f aca="false">VLOOKUP($A174,[1]!CurveTable,MATCH($K$4,[1]!CurveType,0))</f>
        <v>0</v>
      </c>
      <c r="L174" s="148" t="n">
        <v>0</v>
      </c>
      <c r="M174" s="151" t="n">
        <f aca="false">L174</f>
        <v>0</v>
      </c>
      <c r="N174" s="147" t="n">
        <f aca="false">VLOOKUP($A174,[1]!CurveTable,MATCH($N$4,[1]!CurveType,0))</f>
        <v>0.018</v>
      </c>
      <c r="O174" s="148" t="n">
        <f aca="false">N174+Inputs!$E$22</f>
        <v>0.018</v>
      </c>
      <c r="P174" s="151" t="n">
        <f aca="false">O174</f>
        <v>0.018</v>
      </c>
      <c r="Q174" s="147" t="n">
        <f aca="false">VLOOKUP($A174,[1]!CurveTable,MATCH($Q$4,[1]!CurveType,0))</f>
        <v>0.0075</v>
      </c>
      <c r="R174" s="148" t="n">
        <v>0</v>
      </c>
      <c r="S174" s="151" t="n">
        <f aca="false">R174</f>
        <v>0</v>
      </c>
      <c r="T174" s="152"/>
      <c r="U174" s="153" t="n">
        <f aca="false">G174+J174</f>
        <v>5.455</v>
      </c>
      <c r="V174" s="154"/>
      <c r="W174" s="155" t="n">
        <f aca="false">VLOOKUP($A174,[1]!CurveTable,MATCH($W$4,[1]!CurveType,0))+$W$9</f>
        <v>0.17</v>
      </c>
      <c r="X174" s="155" t="n">
        <f aca="false">VLOOKUP($A174,[1]!CurveTable,MATCH($X$4,[1]!CurveType,0))+$X$9</f>
        <v>0.175</v>
      </c>
      <c r="Y174" s="139" t="n">
        <f aca="false">SQRT((X174^2*($A174-$C$3)+W174^2*(DAY(EOMONTH(A174,0))/2))/$AN174)</f>
        <v>0.173594497435794</v>
      </c>
      <c r="Z174" s="152"/>
      <c r="AA174" s="153" t="n">
        <f aca="false">G174+P174+S174</f>
        <v>5.398</v>
      </c>
      <c r="AB174" s="154"/>
      <c r="AC174" s="155" t="n">
        <f aca="false">VLOOKUP($A174,[1]!CurveTable,MATCH($AC$4,[1]!CurveType,0))+$AC$9</f>
        <v>0.17</v>
      </c>
      <c r="AD174" s="155" t="n">
        <f aca="false">VLOOKUP($A174,[1]!CurveTable,MATCH($AD$4,[1]!CurveType,0))+$AD$9</f>
        <v>0.175</v>
      </c>
      <c r="AE174" s="139" t="n">
        <f aca="false">SQRT((AD174^2*($A174-$C$3)+AC174^2*(DAY(EOMONTH(A174,0))/2))/$AN174)</f>
        <v>0.173594497435794</v>
      </c>
      <c r="AF174" s="152"/>
      <c r="AG174" s="156" t="n">
        <f aca="false">((Inputs!$F$20*(X174*AD174)*(A174-$C$3))+(Inputs!$F$19*W174*AC174*(DAY(EOMONTH(A174,0))/2)))/(AN174*Y174*AE174)</f>
        <v>0.75</v>
      </c>
      <c r="AH174" s="152"/>
      <c r="AI174" s="140" t="n">
        <f aca="false">Inputs!$B$15</f>
        <v>0.06</v>
      </c>
      <c r="AJ174" s="157"/>
      <c r="AK174" s="140" t="n">
        <f aca="false">IF((U174-AA174-AI174)&lt;0,0,(U174-AA174-AI174))</f>
        <v>0</v>
      </c>
      <c r="AL174" s="157"/>
      <c r="AM174" s="158" t="n">
        <f aca="false">WORKDAY(EOMONTH(A174-1,-1),0)</f>
        <v>43100</v>
      </c>
      <c r="AN174" s="159" t="n">
        <f aca="false">AM174-$C$3</f>
        <v>-2826</v>
      </c>
      <c r="AO174" s="159" t="n">
        <f aca="false">AO173</f>
        <v>1</v>
      </c>
      <c r="AP174" s="160"/>
      <c r="AQ174" s="161" t="e">
        <f aca="false">SPRDOPT(U174,AA174,AI174,AX174,X174,AD174,AG174,AN174,AO174,0)</f>
        <v>#NAME?</v>
      </c>
      <c r="AR174" s="162" t="e">
        <f aca="false">AQ174*C174</f>
        <v>#NAME?</v>
      </c>
      <c r="AS174" s="163" t="e">
        <f aca="false">AQ174-AK174</f>
        <v>#NAME?</v>
      </c>
      <c r="AU174" s="112" t="n">
        <f aca="false">A175-A174</f>
        <v>28</v>
      </c>
      <c r="AV174" s="164" t="n">
        <f aca="false">CHOOSE(F$3,A175+24,A174+14)</f>
        <v>43146</v>
      </c>
      <c r="AW174" s="49" t="n">
        <f aca="false">AV174-C$3</f>
        <v>-2780</v>
      </c>
      <c r="AX174" s="155" t="n">
        <f aca="false">VLOOKUP($A174,[1]!CurveTable,MATCH(AX$4,[1]!CurveType,0))</f>
        <v>0.0591855686464315</v>
      </c>
      <c r="AY174" s="165" t="n">
        <f aca="false">1/(1+CHOOSE(F$3,(AX175+(Inputs!$B$14/10000))/2,(AX174+(Inputs!$B$14/10000))/2))^(2*AW174/365.25)</f>
        <v>1.55883373836474</v>
      </c>
      <c r="AZ174" s="49" t="n">
        <f aca="false">IF(AND(mthbeg&lt;=A174,mthend&gt;=A174),1,0)</f>
        <v>0</v>
      </c>
      <c r="BA174" s="111" t="n">
        <f aca="false">AU174*AZ174</f>
        <v>0</v>
      </c>
      <c r="BC174" s="142" t="n">
        <f aca="false">E174*$D174</f>
        <v>0</v>
      </c>
      <c r="BD174" s="142" t="n">
        <f aca="false">F174*$D174</f>
        <v>0</v>
      </c>
      <c r="BE174" s="142" t="n">
        <f aca="false">G174*$D174</f>
        <v>0</v>
      </c>
      <c r="BF174" s="142" t="n">
        <f aca="false">H174*$D174</f>
        <v>0</v>
      </c>
      <c r="BG174" s="142" t="n">
        <f aca="false">I174*$D174</f>
        <v>0</v>
      </c>
      <c r="BH174" s="142" t="n">
        <f aca="false">J174*$D174</f>
        <v>0</v>
      </c>
      <c r="BI174" s="142" t="n">
        <f aca="false">K174*$D174</f>
        <v>0</v>
      </c>
      <c r="BJ174" s="142" t="n">
        <f aca="false">L174*$D174</f>
        <v>0</v>
      </c>
      <c r="BK174" s="142" t="n">
        <f aca="false">M174*$D174</f>
        <v>0</v>
      </c>
      <c r="BL174" s="142" t="n">
        <f aca="false">N174*$D174</f>
        <v>0</v>
      </c>
      <c r="BM174" s="142" t="n">
        <f aca="false">O174*$D174</f>
        <v>0</v>
      </c>
      <c r="BN174" s="142" t="n">
        <f aca="false">P174*$D174</f>
        <v>0</v>
      </c>
      <c r="BO174" s="142" t="n">
        <f aca="false">Q174*$D174</f>
        <v>0</v>
      </c>
      <c r="BP174" s="142" t="n">
        <f aca="false">R174*$D174</f>
        <v>0</v>
      </c>
      <c r="BQ174" s="142" t="n">
        <f aca="false">S174*$D174</f>
        <v>0</v>
      </c>
      <c r="BR174" s="142" t="n">
        <f aca="false">U174*$D174</f>
        <v>0</v>
      </c>
      <c r="BS174" s="142" t="n">
        <f aca="false">AA174*$D174</f>
        <v>0</v>
      </c>
      <c r="BT174" s="142" t="n">
        <f aca="false">AI174*$D174</f>
        <v>0</v>
      </c>
      <c r="BU174" s="142" t="n">
        <f aca="false">AK174*D174</f>
        <v>0</v>
      </c>
    </row>
    <row r="175" customFormat="false" ht="12.75" hidden="false" customHeight="false" outlineLevel="0" collapsed="false">
      <c r="A175" s="144" t="n">
        <f aca="false">EDATE(A174,1)</f>
        <v>43160</v>
      </c>
      <c r="B175" s="145" t="n">
        <f aca="false">Inputs!$B$8</f>
        <v>50000</v>
      </c>
      <c r="C175" s="146" t="n">
        <f aca="false">IF(AZ175=0,0,IF(AND(AZ175=1,$H$3=1),B175*AU175,IF($H$3=2,B175,"N/A")))</f>
        <v>0</v>
      </c>
      <c r="D175" s="146" t="n">
        <f aca="false">C175*AY175</f>
        <v>0</v>
      </c>
      <c r="E175" s="147" t="n">
        <f aca="false">VLOOKUP($A175,[1]!CurveTable,MATCH($E$4,[1]!CurveType,0))</f>
        <v>5.186</v>
      </c>
      <c r="F175" s="148" t="n">
        <f aca="false">E175-Inputs!$B$16</f>
        <v>5.241</v>
      </c>
      <c r="G175" s="149" t="n">
        <f aca="false">F175</f>
        <v>5.241</v>
      </c>
      <c r="H175" s="147" t="n">
        <f aca="false">VLOOKUP($A175,[1]!CurveTable,MATCH($H$4,[1]!CurveType,0))</f>
        <v>0.115</v>
      </c>
      <c r="I175" s="148" t="n">
        <f aca="false">H175+Inputs!$B$22</f>
        <v>0.115</v>
      </c>
      <c r="J175" s="150" t="n">
        <f aca="false">I175</f>
        <v>0.115</v>
      </c>
      <c r="K175" s="147" t="n">
        <f aca="false">VLOOKUP($A175,[1]!CurveTable,MATCH($K$4,[1]!CurveType,0))</f>
        <v>0</v>
      </c>
      <c r="L175" s="148" t="n">
        <v>0</v>
      </c>
      <c r="M175" s="151" t="n">
        <f aca="false">L175</f>
        <v>0</v>
      </c>
      <c r="N175" s="147" t="n">
        <f aca="false">VLOOKUP($A175,[1]!CurveTable,MATCH($N$4,[1]!CurveType,0))</f>
        <v>0.022</v>
      </c>
      <c r="O175" s="148" t="n">
        <f aca="false">N175+Inputs!$E$22</f>
        <v>0.022</v>
      </c>
      <c r="P175" s="151" t="n">
        <f aca="false">O175</f>
        <v>0.022</v>
      </c>
      <c r="Q175" s="147" t="n">
        <f aca="false">VLOOKUP($A175,[1]!CurveTable,MATCH($Q$4,[1]!CurveType,0))</f>
        <v>0.0075</v>
      </c>
      <c r="R175" s="148" t="n">
        <v>0</v>
      </c>
      <c r="S175" s="151" t="n">
        <f aca="false">R175</f>
        <v>0</v>
      </c>
      <c r="T175" s="152"/>
      <c r="U175" s="153" t="n">
        <f aca="false">G175+J175</f>
        <v>5.356</v>
      </c>
      <c r="V175" s="154"/>
      <c r="W175" s="155" t="n">
        <f aca="false">VLOOKUP($A175,[1]!CurveTable,MATCH($W$4,[1]!CurveType,0))+$W$9</f>
        <v>0.17</v>
      </c>
      <c r="X175" s="155" t="n">
        <f aca="false">VLOOKUP($A175,[1]!CurveTable,MATCH($X$4,[1]!CurveType,0))+$X$9</f>
        <v>0.175</v>
      </c>
      <c r="Y175" s="139" t="n">
        <f aca="false">SQRT((X175^2*($A175-$C$3)+W175^2*(DAY(EOMONTH(A175,0))/2))/$AN175)</f>
        <v>0.173628847672805</v>
      </c>
      <c r="Z175" s="152"/>
      <c r="AA175" s="153" t="n">
        <f aca="false">G175+P175+S175</f>
        <v>5.263</v>
      </c>
      <c r="AB175" s="154"/>
      <c r="AC175" s="155" t="n">
        <f aca="false">VLOOKUP($A175,[1]!CurveTable,MATCH($AC$4,[1]!CurveType,0))+$AC$9</f>
        <v>0.17</v>
      </c>
      <c r="AD175" s="155" t="n">
        <f aca="false">VLOOKUP($A175,[1]!CurveTable,MATCH($AD$4,[1]!CurveType,0))+$AD$9</f>
        <v>0.175</v>
      </c>
      <c r="AE175" s="139" t="n">
        <f aca="false">SQRT((AD175^2*($A175-$C$3)+AC175^2*(DAY(EOMONTH(A175,0))/2))/$AN175)</f>
        <v>0.173628847672805</v>
      </c>
      <c r="AF175" s="152"/>
      <c r="AG175" s="156" t="n">
        <f aca="false">((Inputs!$F$20*(X175*AD175)*(A175-$C$3))+(Inputs!$F$19*W175*AC175*(DAY(EOMONTH(A175,0))/2)))/(AN175*Y175*AE175)</f>
        <v>0.75</v>
      </c>
      <c r="AH175" s="152"/>
      <c r="AI175" s="140" t="n">
        <f aca="false">Inputs!$B$15</f>
        <v>0.06</v>
      </c>
      <c r="AJ175" s="157"/>
      <c r="AK175" s="140" t="n">
        <f aca="false">IF((U175-AA175-AI175)&lt;0,0,(U175-AA175-AI175))</f>
        <v>0.033</v>
      </c>
      <c r="AL175" s="157"/>
      <c r="AM175" s="158" t="n">
        <f aca="false">WORKDAY(EOMONTH(A175-1,-1),0)</f>
        <v>43131</v>
      </c>
      <c r="AN175" s="159" t="n">
        <f aca="false">AM175-$C$3</f>
        <v>-2795</v>
      </c>
      <c r="AO175" s="159" t="n">
        <f aca="false">AO174</f>
        <v>1</v>
      </c>
      <c r="AP175" s="160"/>
      <c r="AQ175" s="161" t="e">
        <f aca="false">SPRDOPT(U175,AA175,AI175,AX175,X175,AD175,AG175,AN175,AO175,0)</f>
        <v>#NAME?</v>
      </c>
      <c r="AR175" s="162" t="e">
        <f aca="false">AQ175*C175</f>
        <v>#NAME?</v>
      </c>
      <c r="AS175" s="163" t="e">
        <f aca="false">AQ175-AK175</f>
        <v>#NAME?</v>
      </c>
      <c r="AU175" s="112" t="n">
        <f aca="false">A176-A175</f>
        <v>31</v>
      </c>
      <c r="AV175" s="164" t="n">
        <f aca="false">CHOOSE(F$3,A176+24,A175+14)</f>
        <v>43174</v>
      </c>
      <c r="AW175" s="49" t="n">
        <f aca="false">AV175-C$3</f>
        <v>-2752</v>
      </c>
      <c r="AX175" s="155" t="n">
        <f aca="false">VLOOKUP($A175,[1]!CurveTable,MATCH(AX$4,[1]!CurveType,0))</f>
        <v>0.0592381479335406</v>
      </c>
      <c r="AY175" s="165" t="n">
        <f aca="false">1/(1+CHOOSE(F$3,(AX176+(Inputs!$B$14/10000))/2,(AX175+(Inputs!$B$14/10000))/2))^(2*AW175/365.25)</f>
        <v>1.55247648981966</v>
      </c>
      <c r="AZ175" s="49" t="n">
        <f aca="false">IF(AND(mthbeg&lt;=A175,mthend&gt;=A175),1,0)</f>
        <v>0</v>
      </c>
      <c r="BA175" s="111" t="n">
        <f aca="false">AU175*AZ175</f>
        <v>0</v>
      </c>
      <c r="BC175" s="142" t="n">
        <f aca="false">E175*$D175</f>
        <v>0</v>
      </c>
      <c r="BD175" s="142" t="n">
        <f aca="false">F175*$D175</f>
        <v>0</v>
      </c>
      <c r="BE175" s="142" t="n">
        <f aca="false">G175*$D175</f>
        <v>0</v>
      </c>
      <c r="BF175" s="142" t="n">
        <f aca="false">H175*$D175</f>
        <v>0</v>
      </c>
      <c r="BG175" s="142" t="n">
        <f aca="false">I175*$D175</f>
        <v>0</v>
      </c>
      <c r="BH175" s="142" t="n">
        <f aca="false">J175*$D175</f>
        <v>0</v>
      </c>
      <c r="BI175" s="142" t="n">
        <f aca="false">K175*$D175</f>
        <v>0</v>
      </c>
      <c r="BJ175" s="142" t="n">
        <f aca="false">L175*$D175</f>
        <v>0</v>
      </c>
      <c r="BK175" s="142" t="n">
        <f aca="false">M175*$D175</f>
        <v>0</v>
      </c>
      <c r="BL175" s="142" t="n">
        <f aca="false">N175*$D175</f>
        <v>0</v>
      </c>
      <c r="BM175" s="142" t="n">
        <f aca="false">O175*$D175</f>
        <v>0</v>
      </c>
      <c r="BN175" s="142" t="n">
        <f aca="false">P175*$D175</f>
        <v>0</v>
      </c>
      <c r="BO175" s="142" t="n">
        <f aca="false">Q175*$D175</f>
        <v>0</v>
      </c>
      <c r="BP175" s="142" t="n">
        <f aca="false">R175*$D175</f>
        <v>0</v>
      </c>
      <c r="BQ175" s="142" t="n">
        <f aca="false">S175*$D175</f>
        <v>0</v>
      </c>
      <c r="BR175" s="142" t="n">
        <f aca="false">U175*$D175</f>
        <v>0</v>
      </c>
      <c r="BS175" s="142" t="n">
        <f aca="false">AA175*$D175</f>
        <v>0</v>
      </c>
      <c r="BT175" s="142" t="n">
        <f aca="false">AI175*$D175</f>
        <v>0</v>
      </c>
      <c r="BU175" s="142" t="n">
        <f aca="false">AK175*D175</f>
        <v>0</v>
      </c>
    </row>
    <row r="176" customFormat="false" ht="12.75" hidden="false" customHeight="false" outlineLevel="0" collapsed="false">
      <c r="A176" s="144" t="n">
        <f aca="false">EDATE(A175,1)</f>
        <v>43191</v>
      </c>
      <c r="B176" s="145" t="n">
        <f aca="false">Inputs!$B$8</f>
        <v>50000</v>
      </c>
      <c r="C176" s="146" t="n">
        <f aca="false">IF(AZ176=0,0,IF(AND(AZ176=1,$H$3=1),B176*AU176,IF($H$3=2,B176,"N/A")))</f>
        <v>0</v>
      </c>
      <c r="D176" s="146" t="n">
        <f aca="false">C176*AY176</f>
        <v>0</v>
      </c>
      <c r="E176" s="147" t="n">
        <f aca="false">VLOOKUP($A176,[1]!CurveTable,MATCH($E$4,[1]!CurveType,0))</f>
        <v>5.032</v>
      </c>
      <c r="F176" s="148" t="n">
        <f aca="false">E176-Inputs!$B$16</f>
        <v>5.087</v>
      </c>
      <c r="G176" s="149" t="n">
        <f aca="false">F176</f>
        <v>5.087</v>
      </c>
      <c r="H176" s="147" t="n">
        <f aca="false">VLOOKUP($A176,[1]!CurveTable,MATCH($H$4,[1]!CurveType,0))</f>
        <v>0.55</v>
      </c>
      <c r="I176" s="148" t="n">
        <f aca="false">H176+Inputs!$B$22</f>
        <v>0.55</v>
      </c>
      <c r="J176" s="150" t="n">
        <f aca="false">I176</f>
        <v>0.55</v>
      </c>
      <c r="K176" s="147" t="n">
        <f aca="false">VLOOKUP($A176,[1]!CurveTable,MATCH($K$4,[1]!CurveType,0))</f>
        <v>0</v>
      </c>
      <c r="L176" s="148" t="n">
        <v>0</v>
      </c>
      <c r="M176" s="151" t="n">
        <f aca="false">L176</f>
        <v>0</v>
      </c>
      <c r="N176" s="147" t="n">
        <f aca="false">VLOOKUP($A176,[1]!CurveTable,MATCH($N$4,[1]!CurveType,0))</f>
        <v>0.022</v>
      </c>
      <c r="O176" s="148" t="n">
        <f aca="false">N176+Inputs!$E$22</f>
        <v>0.022</v>
      </c>
      <c r="P176" s="151" t="n">
        <f aca="false">O176</f>
        <v>0.022</v>
      </c>
      <c r="Q176" s="147" t="n">
        <f aca="false">VLOOKUP($A176,[1]!CurveTable,MATCH($Q$4,[1]!CurveType,0))</f>
        <v>0.01</v>
      </c>
      <c r="R176" s="148" t="n">
        <v>0</v>
      </c>
      <c r="S176" s="151" t="n">
        <f aca="false">R176</f>
        <v>0</v>
      </c>
      <c r="T176" s="152"/>
      <c r="U176" s="153" t="n">
        <f aca="false">G176+J176</f>
        <v>5.637</v>
      </c>
      <c r="V176" s="154"/>
      <c r="W176" s="155" t="n">
        <f aca="false">VLOOKUP($A176,[1]!CurveTable,MATCH($W$4,[1]!CurveType,0))+$W$9</f>
        <v>0.17</v>
      </c>
      <c r="X176" s="155" t="n">
        <f aca="false">VLOOKUP($A176,[1]!CurveTable,MATCH($X$4,[1]!CurveType,0))+$X$9</f>
        <v>0.175</v>
      </c>
      <c r="Y176" s="139" t="n">
        <f aca="false">SQRT((X176^2*($A176-$C$3)+W176^2*(DAY(EOMONTH(A176,0))/2))/$AN176)</f>
        <v>0.173534313416048</v>
      </c>
      <c r="Z176" s="152"/>
      <c r="AA176" s="153" t="n">
        <f aca="false">G176+P176+S176</f>
        <v>5.109</v>
      </c>
      <c r="AB176" s="154"/>
      <c r="AC176" s="155" t="n">
        <f aca="false">VLOOKUP($A176,[1]!CurveTable,MATCH($AC$4,[1]!CurveType,0))+$AC$9</f>
        <v>0.17</v>
      </c>
      <c r="AD176" s="155" t="n">
        <f aca="false">VLOOKUP($A176,[1]!CurveTable,MATCH($AD$4,[1]!CurveType,0))+$AD$9</f>
        <v>0.175</v>
      </c>
      <c r="AE176" s="139" t="n">
        <f aca="false">SQRT((AD176^2*($A176-$C$3)+AC176^2*(DAY(EOMONTH(A176,0))/2))/$AN176)</f>
        <v>0.173534313416048</v>
      </c>
      <c r="AF176" s="152"/>
      <c r="AG176" s="156" t="n">
        <f aca="false">((Inputs!$F$20*(X176*AD176)*(A176-$C$3))+(Inputs!$F$19*W176*AC176*(DAY(EOMONTH(A176,0))/2)))/(AN176*Y176*AE176)</f>
        <v>0.75</v>
      </c>
      <c r="AH176" s="152"/>
      <c r="AI176" s="140" t="n">
        <f aca="false">Inputs!$B$15</f>
        <v>0.06</v>
      </c>
      <c r="AJ176" s="157"/>
      <c r="AK176" s="140" t="n">
        <f aca="false">IF((U176-AA176-AI176)&lt;0,0,(U176-AA176-AI176))</f>
        <v>0.468</v>
      </c>
      <c r="AL176" s="157"/>
      <c r="AM176" s="158" t="n">
        <f aca="false">WORKDAY(EOMONTH(A176-1,-1),0)</f>
        <v>43159</v>
      </c>
      <c r="AN176" s="159" t="n">
        <f aca="false">AM176-$C$3</f>
        <v>-2767</v>
      </c>
      <c r="AO176" s="159" t="n">
        <f aca="false">AO175</f>
        <v>1</v>
      </c>
      <c r="AP176" s="160"/>
      <c r="AQ176" s="161" t="e">
        <f aca="false">SPRDOPT(U176,AA176,AI176,AX176,X176,AD176,AG176,AN176,AO176,0)</f>
        <v>#NAME?</v>
      </c>
      <c r="AR176" s="162" t="e">
        <f aca="false">AQ176*C176</f>
        <v>#NAME?</v>
      </c>
      <c r="AS176" s="163" t="e">
        <f aca="false">AQ176-AK176</f>
        <v>#NAME?</v>
      </c>
      <c r="AU176" s="112" t="n">
        <f aca="false">A177-A176</f>
        <v>30</v>
      </c>
      <c r="AV176" s="164" t="n">
        <f aca="false">CHOOSE(F$3,A177+24,A176+14)</f>
        <v>43205</v>
      </c>
      <c r="AW176" s="49" t="n">
        <f aca="false">AV176-C$3</f>
        <v>-2721</v>
      </c>
      <c r="AX176" s="155" t="n">
        <f aca="false">VLOOKUP($A176,[1]!CurveTable,MATCH(AX$4,[1]!CurveType,0))</f>
        <v>0.0592963607167691</v>
      </c>
      <c r="AY176" s="165" t="n">
        <f aca="false">1/(1+CHOOSE(F$3,(AX177+(Inputs!$B$14/10000))/2,(AX176+(Inputs!$B$14/10000))/2))^(2*AW176/365.25)</f>
        <v>1.54545421273991</v>
      </c>
      <c r="AZ176" s="49" t="n">
        <f aca="false">IF(AND(mthbeg&lt;=A176,mthend&gt;=A176),1,0)</f>
        <v>0</v>
      </c>
      <c r="BA176" s="111" t="n">
        <f aca="false">AU176*AZ176</f>
        <v>0</v>
      </c>
      <c r="BC176" s="142" t="n">
        <f aca="false">E176*$D176</f>
        <v>0</v>
      </c>
      <c r="BD176" s="142" t="n">
        <f aca="false">F176*$D176</f>
        <v>0</v>
      </c>
      <c r="BE176" s="142" t="n">
        <f aca="false">G176*$D176</f>
        <v>0</v>
      </c>
      <c r="BF176" s="142" t="n">
        <f aca="false">H176*$D176</f>
        <v>0</v>
      </c>
      <c r="BG176" s="142" t="n">
        <f aca="false">I176*$D176</f>
        <v>0</v>
      </c>
      <c r="BH176" s="142" t="n">
        <f aca="false">J176*$D176</f>
        <v>0</v>
      </c>
      <c r="BI176" s="142" t="n">
        <f aca="false">K176*$D176</f>
        <v>0</v>
      </c>
      <c r="BJ176" s="142" t="n">
        <f aca="false">L176*$D176</f>
        <v>0</v>
      </c>
      <c r="BK176" s="142" t="n">
        <f aca="false">M176*$D176</f>
        <v>0</v>
      </c>
      <c r="BL176" s="142" t="n">
        <f aca="false">N176*$D176</f>
        <v>0</v>
      </c>
      <c r="BM176" s="142" t="n">
        <f aca="false">O176*$D176</f>
        <v>0</v>
      </c>
      <c r="BN176" s="142" t="n">
        <f aca="false">P176*$D176</f>
        <v>0</v>
      </c>
      <c r="BO176" s="142" t="n">
        <f aca="false">Q176*$D176</f>
        <v>0</v>
      </c>
      <c r="BP176" s="142" t="n">
        <f aca="false">R176*$D176</f>
        <v>0</v>
      </c>
      <c r="BQ176" s="142" t="n">
        <f aca="false">S176*$D176</f>
        <v>0</v>
      </c>
      <c r="BR176" s="142" t="n">
        <f aca="false">U176*$D176</f>
        <v>0</v>
      </c>
      <c r="BS176" s="142" t="n">
        <f aca="false">AA176*$D176</f>
        <v>0</v>
      </c>
      <c r="BT176" s="142" t="n">
        <f aca="false">AI176*$D176</f>
        <v>0</v>
      </c>
      <c r="BU176" s="142" t="n">
        <f aca="false">AK176*D176</f>
        <v>0</v>
      </c>
    </row>
    <row r="177" customFormat="false" ht="12.75" hidden="false" customHeight="false" outlineLevel="0" collapsed="false">
      <c r="A177" s="144" t="n">
        <f aca="false">EDATE(A176,1)</f>
        <v>43221</v>
      </c>
      <c r="B177" s="145" t="n">
        <f aca="false">Inputs!$B$8</f>
        <v>50000</v>
      </c>
      <c r="C177" s="146" t="n">
        <f aca="false">IF(AZ177=0,0,IF(AND(AZ177=1,$H$3=1),B177*AU177,IF($H$3=2,B177,"N/A")))</f>
        <v>0</v>
      </c>
      <c r="D177" s="146" t="n">
        <f aca="false">C177*AY177</f>
        <v>0</v>
      </c>
      <c r="E177" s="147" t="n">
        <f aca="false">VLOOKUP($A177,[1]!CurveTable,MATCH($E$4,[1]!CurveType,0))</f>
        <v>5.037</v>
      </c>
      <c r="F177" s="148" t="n">
        <f aca="false">E177-Inputs!$B$16</f>
        <v>5.092</v>
      </c>
      <c r="G177" s="149" t="n">
        <f aca="false">F177</f>
        <v>5.092</v>
      </c>
      <c r="H177" s="147" t="n">
        <f aca="false">VLOOKUP($A177,[1]!CurveTable,MATCH($H$4,[1]!CurveType,0))</f>
        <v>0.7</v>
      </c>
      <c r="I177" s="148" t="n">
        <f aca="false">H177+Inputs!$B$22</f>
        <v>0.7</v>
      </c>
      <c r="J177" s="150" t="n">
        <f aca="false">I177</f>
        <v>0.7</v>
      </c>
      <c r="K177" s="147" t="n">
        <f aca="false">VLOOKUP($A177,[1]!CurveTable,MATCH($K$4,[1]!CurveType,0))</f>
        <v>0</v>
      </c>
      <c r="L177" s="148" t="n">
        <v>0</v>
      </c>
      <c r="M177" s="151" t="n">
        <f aca="false">L177</f>
        <v>0</v>
      </c>
      <c r="N177" s="147" t="n">
        <f aca="false">VLOOKUP($A177,[1]!CurveTable,MATCH($N$4,[1]!CurveType,0))</f>
        <v>0.0245</v>
      </c>
      <c r="O177" s="148" t="n">
        <f aca="false">N177+Inputs!$E$22</f>
        <v>0.0245</v>
      </c>
      <c r="P177" s="151" t="n">
        <f aca="false">O177</f>
        <v>0.0245</v>
      </c>
      <c r="Q177" s="147" t="n">
        <f aca="false">VLOOKUP($A177,[1]!CurveTable,MATCH($Q$4,[1]!CurveType,0))</f>
        <v>0.01</v>
      </c>
      <c r="R177" s="148" t="n">
        <v>0</v>
      </c>
      <c r="S177" s="151" t="n">
        <f aca="false">R177</f>
        <v>0</v>
      </c>
      <c r="T177" s="152"/>
      <c r="U177" s="153" t="n">
        <f aca="false">G177+J177</f>
        <v>5.792</v>
      </c>
      <c r="V177" s="154"/>
      <c r="W177" s="155" t="n">
        <f aca="false">VLOOKUP($A177,[1]!CurveTable,MATCH($W$4,[1]!CurveType,0))+$W$9</f>
        <v>0.34</v>
      </c>
      <c r="X177" s="155" t="n">
        <f aca="false">VLOOKUP($A177,[1]!CurveTable,MATCH($X$4,[1]!CurveType,0))+$X$9</f>
        <v>0.345</v>
      </c>
      <c r="Y177" s="139" t="n">
        <f aca="false">SQRT((X177^2*($A177-$C$3)+W177^2*(DAY(EOMONTH(A177,0))/2))/$AN177)</f>
        <v>0.34208405453265</v>
      </c>
      <c r="Z177" s="152"/>
      <c r="AA177" s="153" t="n">
        <f aca="false">G177+P177+S177</f>
        <v>5.1165</v>
      </c>
      <c r="AB177" s="154"/>
      <c r="AC177" s="155" t="n">
        <f aca="false">VLOOKUP($A177,[1]!CurveTable,MATCH($AC$4,[1]!CurveType,0))+$AC$9</f>
        <v>0.17</v>
      </c>
      <c r="AD177" s="155" t="n">
        <f aca="false">VLOOKUP($A177,[1]!CurveTable,MATCH($AD$4,[1]!CurveType,0))+$AD$9</f>
        <v>0.175</v>
      </c>
      <c r="AE177" s="139" t="n">
        <f aca="false">SQRT((AD177^2*($A177-$C$3)+AC177^2*(DAY(EOMONTH(A177,0))/2))/$AN177)</f>
        <v>0.173534670306097</v>
      </c>
      <c r="AF177" s="152"/>
      <c r="AG177" s="156" t="n">
        <f aca="false">((Inputs!$F$20*(X177*AD177)*(A177-$C$3))+(Inputs!$F$19*W177*AC177*(DAY(EOMONTH(A177,0))/2)))/(AN177*Y177*AE177)</f>
        <v>0.750000430623379</v>
      </c>
      <c r="AH177" s="152"/>
      <c r="AI177" s="140" t="n">
        <f aca="false">Inputs!$B$15</f>
        <v>0.06</v>
      </c>
      <c r="AJ177" s="157"/>
      <c r="AK177" s="140" t="n">
        <f aca="false">IF((U177-AA177-AI177)&lt;0,0,(U177-AA177-AI177))</f>
        <v>0.6155</v>
      </c>
      <c r="AL177" s="157"/>
      <c r="AM177" s="158" t="n">
        <f aca="false">WORKDAY(EOMONTH(A177-1,-1),0)</f>
        <v>43190</v>
      </c>
      <c r="AN177" s="159" t="n">
        <f aca="false">AM177-$C$3</f>
        <v>-2736</v>
      </c>
      <c r="AO177" s="159" t="n">
        <f aca="false">AO176</f>
        <v>1</v>
      </c>
      <c r="AP177" s="160"/>
      <c r="AQ177" s="161" t="e">
        <f aca="false">SPRDOPT(U177,AA177,AI177,AX177,X177,AD177,AG177,AN177,AO177,0)</f>
        <v>#NAME?</v>
      </c>
      <c r="AR177" s="162" t="e">
        <f aca="false">AQ177*C177</f>
        <v>#NAME?</v>
      </c>
      <c r="AS177" s="163" t="e">
        <f aca="false">AQ177-AK177</f>
        <v>#NAME?</v>
      </c>
      <c r="AU177" s="112" t="n">
        <f aca="false">A178-A177</f>
        <v>31</v>
      </c>
      <c r="AV177" s="164" t="n">
        <f aca="false">CHOOSE(F$3,A178+24,A177+14)</f>
        <v>43235</v>
      </c>
      <c r="AW177" s="49" t="n">
        <f aca="false">AV177-C$3</f>
        <v>-2691</v>
      </c>
      <c r="AX177" s="155" t="n">
        <f aca="false">VLOOKUP($A177,[1]!CurveTable,MATCH(AX$4,[1]!CurveType,0))</f>
        <v>0.0593526956693524</v>
      </c>
      <c r="AY177" s="165" t="n">
        <f aca="false">1/(1+CHOOSE(F$3,(AX178+(Inputs!$B$14/10000))/2,(AX177+(Inputs!$B$14/10000))/2))^(2*AW177/365.25)</f>
        <v>1.53867462827673</v>
      </c>
      <c r="AZ177" s="49" t="n">
        <f aca="false">IF(AND(mthbeg&lt;=A177,mthend&gt;=A177),1,0)</f>
        <v>0</v>
      </c>
      <c r="BA177" s="111" t="n">
        <f aca="false">AU177*AZ177</f>
        <v>0</v>
      </c>
      <c r="BC177" s="142" t="n">
        <f aca="false">E177*$D177</f>
        <v>0</v>
      </c>
      <c r="BD177" s="142" t="n">
        <f aca="false">F177*$D177</f>
        <v>0</v>
      </c>
      <c r="BE177" s="142" t="n">
        <f aca="false">G177*$D177</f>
        <v>0</v>
      </c>
      <c r="BF177" s="142" t="n">
        <f aca="false">H177*$D177</f>
        <v>0</v>
      </c>
      <c r="BG177" s="142" t="n">
        <f aca="false">I177*$D177</f>
        <v>0</v>
      </c>
      <c r="BH177" s="142" t="n">
        <f aca="false">J177*$D177</f>
        <v>0</v>
      </c>
      <c r="BI177" s="142" t="n">
        <f aca="false">K177*$D177</f>
        <v>0</v>
      </c>
      <c r="BJ177" s="142" t="n">
        <f aca="false">L177*$D177</f>
        <v>0</v>
      </c>
      <c r="BK177" s="142" t="n">
        <f aca="false">M177*$D177</f>
        <v>0</v>
      </c>
      <c r="BL177" s="142" t="n">
        <f aca="false">N177*$D177</f>
        <v>0</v>
      </c>
      <c r="BM177" s="142" t="n">
        <f aca="false">O177*$D177</f>
        <v>0</v>
      </c>
      <c r="BN177" s="142" t="n">
        <f aca="false">P177*$D177</f>
        <v>0</v>
      </c>
      <c r="BO177" s="142" t="n">
        <f aca="false">Q177*$D177</f>
        <v>0</v>
      </c>
      <c r="BP177" s="142" t="n">
        <f aca="false">R177*$D177</f>
        <v>0</v>
      </c>
      <c r="BQ177" s="142" t="n">
        <f aca="false">S177*$D177</f>
        <v>0</v>
      </c>
      <c r="BR177" s="142" t="n">
        <f aca="false">U177*$D177</f>
        <v>0</v>
      </c>
      <c r="BS177" s="142" t="n">
        <f aca="false">AA177*$D177</f>
        <v>0</v>
      </c>
      <c r="BT177" s="142" t="n">
        <f aca="false">AI177*$D177</f>
        <v>0</v>
      </c>
      <c r="BU177" s="142" t="n">
        <f aca="false">AK177*D177</f>
        <v>0</v>
      </c>
    </row>
    <row r="178" customFormat="false" ht="12.75" hidden="false" customHeight="false" outlineLevel="0" collapsed="false">
      <c r="A178" s="144" t="n">
        <f aca="false">EDATE(A177,1)</f>
        <v>43252</v>
      </c>
      <c r="B178" s="145" t="n">
        <f aca="false">Inputs!$B$8</f>
        <v>50000</v>
      </c>
      <c r="C178" s="146" t="n">
        <f aca="false">IF(AZ178=0,0,IF(AND(AZ178=1,$H$3=1),B178*AU178,IF($H$3=2,B178,"N/A")))</f>
        <v>0</v>
      </c>
      <c r="D178" s="146" t="n">
        <f aca="false">C178*AY178</f>
        <v>0</v>
      </c>
      <c r="E178" s="147" t="n">
        <f aca="false">VLOOKUP($A178,[1]!CurveTable,MATCH($E$4,[1]!CurveType,0))</f>
        <v>5.075</v>
      </c>
      <c r="F178" s="148" t="n">
        <f aca="false">E178-Inputs!$B$16</f>
        <v>5.13</v>
      </c>
      <c r="G178" s="149" t="n">
        <f aca="false">F178</f>
        <v>5.13</v>
      </c>
      <c r="H178" s="147" t="n">
        <f aca="false">VLOOKUP($A178,[1]!CurveTable,MATCH($H$4,[1]!CurveType,0))</f>
        <v>0.8</v>
      </c>
      <c r="I178" s="148" t="n">
        <f aca="false">H178+Inputs!$B$22</f>
        <v>0.8</v>
      </c>
      <c r="J178" s="150" t="n">
        <f aca="false">I178</f>
        <v>0.8</v>
      </c>
      <c r="K178" s="147" t="n">
        <f aca="false">VLOOKUP($A178,[1]!CurveTable,MATCH($K$4,[1]!CurveType,0))</f>
        <v>0</v>
      </c>
      <c r="L178" s="148" t="n">
        <v>0</v>
      </c>
      <c r="M178" s="151" t="n">
        <f aca="false">L178</f>
        <v>0</v>
      </c>
      <c r="N178" s="147" t="n">
        <f aca="false">VLOOKUP($A178,[1]!CurveTable,MATCH($N$4,[1]!CurveType,0))</f>
        <v>0.022</v>
      </c>
      <c r="O178" s="148" t="n">
        <f aca="false">N178+Inputs!$E$22</f>
        <v>0.022</v>
      </c>
      <c r="P178" s="151" t="n">
        <f aca="false">O178</f>
        <v>0.022</v>
      </c>
      <c r="Q178" s="147" t="n">
        <f aca="false">VLOOKUP($A178,[1]!CurveTable,MATCH($Q$4,[1]!CurveType,0))</f>
        <v>0.01</v>
      </c>
      <c r="R178" s="148" t="n">
        <v>0</v>
      </c>
      <c r="S178" s="151" t="n">
        <f aca="false">R178</f>
        <v>0</v>
      </c>
      <c r="T178" s="152"/>
      <c r="U178" s="153" t="n">
        <f aca="false">G178+J178</f>
        <v>5.93</v>
      </c>
      <c r="V178" s="154"/>
      <c r="W178" s="155" t="n">
        <f aca="false">VLOOKUP($A178,[1]!CurveTable,MATCH($W$4,[1]!CurveType,0))+$W$9</f>
        <v>0.34</v>
      </c>
      <c r="X178" s="155" t="n">
        <f aca="false">VLOOKUP($A178,[1]!CurveTable,MATCH($X$4,[1]!CurveType,0))+$X$9</f>
        <v>0.345</v>
      </c>
      <c r="Y178" s="139" t="n">
        <f aca="false">SQRT((X178^2*($A178-$C$3)+W178^2*(DAY(EOMONTH(A178,0))/2))/$AN178)</f>
        <v>0.342018512614705</v>
      </c>
      <c r="Z178" s="152"/>
      <c r="AA178" s="153" t="n">
        <f aca="false">G178+P178+S178</f>
        <v>5.152</v>
      </c>
      <c r="AB178" s="154"/>
      <c r="AC178" s="155" t="n">
        <f aca="false">VLOOKUP($A178,[1]!CurveTable,MATCH($AC$4,[1]!CurveType,0))+$AC$9</f>
        <v>0.17</v>
      </c>
      <c r="AD178" s="155" t="n">
        <f aca="false">VLOOKUP($A178,[1]!CurveTable,MATCH($AD$4,[1]!CurveType,0))+$AD$9</f>
        <v>0.175</v>
      </c>
      <c r="AE178" s="139" t="n">
        <f aca="false">SQRT((AD178^2*($A178-$C$3)+AC178^2*(DAY(EOMONTH(A178,0))/2))/$AN178)</f>
        <v>0.173501130475922</v>
      </c>
      <c r="AF178" s="152"/>
      <c r="AG178" s="156" t="n">
        <f aca="false">((Inputs!$F$20*(X178*AD178)*(A178-$C$3))+(Inputs!$F$19*W178*AC178*(DAY(EOMONTH(A178,0))/2)))/(AN178*Y178*AE178)</f>
        <v>0.750000421465693</v>
      </c>
      <c r="AH178" s="152"/>
      <c r="AI178" s="140" t="n">
        <f aca="false">Inputs!$B$15</f>
        <v>0.06</v>
      </c>
      <c r="AJ178" s="157"/>
      <c r="AK178" s="140" t="n">
        <f aca="false">IF((U178-AA178-AI178)&lt;0,0,(U178-AA178-AI178))</f>
        <v>0.718</v>
      </c>
      <c r="AL178" s="157"/>
      <c r="AM178" s="158" t="n">
        <f aca="false">WORKDAY(EOMONTH(A178-1,-1),0)</f>
        <v>43220</v>
      </c>
      <c r="AN178" s="159" t="n">
        <f aca="false">AM178-$C$3</f>
        <v>-2706</v>
      </c>
      <c r="AO178" s="159" t="n">
        <f aca="false">AO177</f>
        <v>1</v>
      </c>
      <c r="AP178" s="160"/>
      <c r="AQ178" s="161" t="e">
        <f aca="false">SPRDOPT(U178,AA178,AI178,AX178,X178,AD178,AG178,AN178,AO178,0)</f>
        <v>#NAME?</v>
      </c>
      <c r="AR178" s="162" t="e">
        <f aca="false">AQ178*C178</f>
        <v>#NAME?</v>
      </c>
      <c r="AS178" s="163" t="e">
        <f aca="false">AQ178-AK178</f>
        <v>#NAME?</v>
      </c>
      <c r="AU178" s="112" t="n">
        <f aca="false">A179-A178</f>
        <v>30</v>
      </c>
      <c r="AV178" s="164" t="n">
        <f aca="false">CHOOSE(F$3,A179+24,A178+14)</f>
        <v>43266</v>
      </c>
      <c r="AW178" s="49" t="n">
        <f aca="false">AV178-C$3</f>
        <v>-2660</v>
      </c>
      <c r="AX178" s="155" t="n">
        <f aca="false">VLOOKUP($A178,[1]!CurveTable,MATCH(AX$4,[1]!CurveType,0))</f>
        <v>0.0594109084547969</v>
      </c>
      <c r="AY178" s="165" t="n">
        <f aca="false">1/(1+CHOOSE(F$3,(AX179+(Inputs!$B$14/10000))/2,(AX178+(Inputs!$B$14/10000))/2))^(2*AW178/365.25)</f>
        <v>1.5316858205672</v>
      </c>
      <c r="AZ178" s="49" t="n">
        <f aca="false">IF(AND(mthbeg&lt;=A178,mthend&gt;=A178),1,0)</f>
        <v>0</v>
      </c>
      <c r="BA178" s="111" t="n">
        <f aca="false">AU178*AZ178</f>
        <v>0</v>
      </c>
      <c r="BC178" s="142" t="n">
        <f aca="false">E178*$D178</f>
        <v>0</v>
      </c>
      <c r="BD178" s="142" t="n">
        <f aca="false">F178*$D178</f>
        <v>0</v>
      </c>
      <c r="BE178" s="142" t="n">
        <f aca="false">G178*$D178</f>
        <v>0</v>
      </c>
      <c r="BF178" s="142" t="n">
        <f aca="false">H178*$D178</f>
        <v>0</v>
      </c>
      <c r="BG178" s="142" t="n">
        <f aca="false">I178*$D178</f>
        <v>0</v>
      </c>
      <c r="BH178" s="142" t="n">
        <f aca="false">J178*$D178</f>
        <v>0</v>
      </c>
      <c r="BI178" s="142" t="n">
        <f aca="false">K178*$D178</f>
        <v>0</v>
      </c>
      <c r="BJ178" s="142" t="n">
        <f aca="false">L178*$D178</f>
        <v>0</v>
      </c>
      <c r="BK178" s="142" t="n">
        <f aca="false">M178*$D178</f>
        <v>0</v>
      </c>
      <c r="BL178" s="142" t="n">
        <f aca="false">N178*$D178</f>
        <v>0</v>
      </c>
      <c r="BM178" s="142" t="n">
        <f aca="false">O178*$D178</f>
        <v>0</v>
      </c>
      <c r="BN178" s="142" t="n">
        <f aca="false">P178*$D178</f>
        <v>0</v>
      </c>
      <c r="BO178" s="142" t="n">
        <f aca="false">Q178*$D178</f>
        <v>0</v>
      </c>
      <c r="BP178" s="142" t="n">
        <f aca="false">R178*$D178</f>
        <v>0</v>
      </c>
      <c r="BQ178" s="142" t="n">
        <f aca="false">S178*$D178</f>
        <v>0</v>
      </c>
      <c r="BR178" s="142" t="n">
        <f aca="false">U178*$D178</f>
        <v>0</v>
      </c>
      <c r="BS178" s="142" t="n">
        <f aca="false">AA178*$D178</f>
        <v>0</v>
      </c>
      <c r="BT178" s="142" t="n">
        <f aca="false">AI178*$D178</f>
        <v>0</v>
      </c>
      <c r="BU178" s="142" t="n">
        <f aca="false">AK178*D178</f>
        <v>0</v>
      </c>
    </row>
    <row r="179" customFormat="false" ht="12.75" hidden="false" customHeight="false" outlineLevel="0" collapsed="false">
      <c r="A179" s="144" t="n">
        <f aca="false">EDATE(A178,1)</f>
        <v>43282</v>
      </c>
      <c r="B179" s="145" t="n">
        <f aca="false">Inputs!$B$8</f>
        <v>50000</v>
      </c>
      <c r="C179" s="146" t="n">
        <f aca="false">IF(AZ179=0,0,IF(AND(AZ179=1,$H$3=1),B179*AU179,IF($H$3=2,B179,"N/A")))</f>
        <v>0</v>
      </c>
      <c r="D179" s="146" t="n">
        <f aca="false">C179*AY179</f>
        <v>0</v>
      </c>
      <c r="E179" s="147" t="n">
        <f aca="false">VLOOKUP($A179,[1]!CurveTable,MATCH($E$4,[1]!CurveType,0))</f>
        <v>5.12</v>
      </c>
      <c r="F179" s="148" t="n">
        <f aca="false">E179-Inputs!$B$16</f>
        <v>5.175</v>
      </c>
      <c r="G179" s="149" t="n">
        <f aca="false">F179</f>
        <v>5.175</v>
      </c>
      <c r="H179" s="147" t="n">
        <f aca="false">VLOOKUP($A179,[1]!CurveTable,MATCH($H$4,[1]!CurveType,0))</f>
        <v>1</v>
      </c>
      <c r="I179" s="148" t="n">
        <f aca="false">H179+Inputs!$B$22</f>
        <v>1</v>
      </c>
      <c r="J179" s="150" t="n">
        <f aca="false">I179</f>
        <v>1</v>
      </c>
      <c r="K179" s="147" t="n">
        <f aca="false">VLOOKUP($A179,[1]!CurveTable,MATCH($K$4,[1]!CurveType,0))</f>
        <v>0</v>
      </c>
      <c r="L179" s="148" t="n">
        <v>0</v>
      </c>
      <c r="M179" s="151" t="n">
        <f aca="false">L179</f>
        <v>0</v>
      </c>
      <c r="N179" s="147" t="n">
        <f aca="false">VLOOKUP($A179,[1]!CurveTable,MATCH($N$4,[1]!CurveType,0))</f>
        <v>0.0195</v>
      </c>
      <c r="O179" s="148" t="n">
        <f aca="false">N179+Inputs!$E$22</f>
        <v>0.0195</v>
      </c>
      <c r="P179" s="151" t="n">
        <f aca="false">O179</f>
        <v>0.0195</v>
      </c>
      <c r="Q179" s="147" t="n">
        <f aca="false">VLOOKUP($A179,[1]!CurveTable,MATCH($Q$4,[1]!CurveType,0))</f>
        <v>0.01</v>
      </c>
      <c r="R179" s="148" t="n">
        <v>0</v>
      </c>
      <c r="S179" s="151" t="n">
        <f aca="false">R179</f>
        <v>0</v>
      </c>
      <c r="T179" s="152"/>
      <c r="U179" s="153" t="n">
        <f aca="false">G179+J179</f>
        <v>6.175</v>
      </c>
      <c r="V179" s="154"/>
      <c r="W179" s="155" t="n">
        <f aca="false">VLOOKUP($A179,[1]!CurveTable,MATCH($W$4,[1]!CurveType,0))+$W$9</f>
        <v>0.34</v>
      </c>
      <c r="X179" s="155" t="n">
        <f aca="false">VLOOKUP($A179,[1]!CurveTable,MATCH($X$4,[1]!CurveType,0))+$X$9</f>
        <v>0.345</v>
      </c>
      <c r="Y179" s="139" t="n">
        <f aca="false">SQRT((X179^2*($A179-$C$3)+W179^2*(DAY(EOMONTH(A179,0))/2))/$AN179)</f>
        <v>0.342017270154757</v>
      </c>
      <c r="Z179" s="152"/>
      <c r="AA179" s="153" t="n">
        <f aca="false">G179+P179+S179</f>
        <v>5.1945</v>
      </c>
      <c r="AB179" s="154"/>
      <c r="AC179" s="155" t="n">
        <f aca="false">VLOOKUP($A179,[1]!CurveTable,MATCH($AC$4,[1]!CurveType,0))+$AC$9</f>
        <v>0.17</v>
      </c>
      <c r="AD179" s="155" t="n">
        <f aca="false">VLOOKUP($A179,[1]!CurveTable,MATCH($AD$4,[1]!CurveType,0))+$AD$9</f>
        <v>0.175</v>
      </c>
      <c r="AE179" s="139" t="n">
        <f aca="false">SQRT((AD179^2*($A179-$C$3)+AC179^2*(DAY(EOMONTH(A179,0))/2))/$AN179)</f>
        <v>0.173501110987851</v>
      </c>
      <c r="AF179" s="152"/>
      <c r="AG179" s="156" t="n">
        <f aca="false">((Inputs!$F$20*(X179*AD179)*(A179-$C$3))+(Inputs!$F$19*W179*AC179*(DAY(EOMONTH(A179,0))/2)))/(AN179*Y179*AE179)</f>
        <v>0.750000440670497</v>
      </c>
      <c r="AH179" s="152"/>
      <c r="AI179" s="140" t="n">
        <f aca="false">Inputs!$B$15</f>
        <v>0.06</v>
      </c>
      <c r="AJ179" s="157"/>
      <c r="AK179" s="140" t="n">
        <f aca="false">IF((U179-AA179-AI179)&lt;0,0,(U179-AA179-AI179))</f>
        <v>0.9205</v>
      </c>
      <c r="AL179" s="157"/>
      <c r="AM179" s="158" t="n">
        <f aca="false">WORKDAY(EOMONTH(A179-1,-1),0)</f>
        <v>43251</v>
      </c>
      <c r="AN179" s="159" t="n">
        <f aca="false">AM179-$C$3</f>
        <v>-2675</v>
      </c>
      <c r="AO179" s="159" t="n">
        <f aca="false">AO178</f>
        <v>1</v>
      </c>
      <c r="AP179" s="160"/>
      <c r="AQ179" s="161" t="e">
        <f aca="false">SPRDOPT(U179,AA179,AI179,AX179,X179,AD179,AG179,AN179,AO179,0)</f>
        <v>#NAME?</v>
      </c>
      <c r="AR179" s="162" t="e">
        <f aca="false">AQ179*C179</f>
        <v>#NAME?</v>
      </c>
      <c r="AS179" s="163" t="e">
        <f aca="false">AQ179-AK179</f>
        <v>#NAME?</v>
      </c>
      <c r="AU179" s="112" t="n">
        <f aca="false">A180-A179</f>
        <v>31</v>
      </c>
      <c r="AV179" s="164" t="n">
        <f aca="false">CHOOSE(F$3,A180+24,A179+14)</f>
        <v>43296</v>
      </c>
      <c r="AW179" s="49" t="n">
        <f aca="false">AV179-C$3</f>
        <v>-2630</v>
      </c>
      <c r="AX179" s="155" t="n">
        <f aca="false">VLOOKUP($A179,[1]!CurveTable,MATCH(AX$4,[1]!CurveType,0))</f>
        <v>0.0594672434095256</v>
      </c>
      <c r="AY179" s="165" t="n">
        <f aca="false">1/(1+CHOOSE(F$3,(AX180+(Inputs!$B$14/10000))/2,(AX179+(Inputs!$B$14/10000))/2))^(2*AW179/365.25)</f>
        <v>1.52493873375362</v>
      </c>
      <c r="AZ179" s="49" t="n">
        <f aca="false">IF(AND(mthbeg&lt;=A179,mthend&gt;=A179),1,0)</f>
        <v>0</v>
      </c>
      <c r="BA179" s="111" t="n">
        <f aca="false">AU179*AZ179</f>
        <v>0</v>
      </c>
      <c r="BC179" s="142" t="n">
        <f aca="false">E179*$D179</f>
        <v>0</v>
      </c>
      <c r="BD179" s="142" t="n">
        <f aca="false">F179*$D179</f>
        <v>0</v>
      </c>
      <c r="BE179" s="142" t="n">
        <f aca="false">G179*$D179</f>
        <v>0</v>
      </c>
      <c r="BF179" s="142" t="n">
        <f aca="false">H179*$D179</f>
        <v>0</v>
      </c>
      <c r="BG179" s="142" t="n">
        <f aca="false">I179*$D179</f>
        <v>0</v>
      </c>
      <c r="BH179" s="142" t="n">
        <f aca="false">J179*$D179</f>
        <v>0</v>
      </c>
      <c r="BI179" s="142" t="n">
        <f aca="false">K179*$D179</f>
        <v>0</v>
      </c>
      <c r="BJ179" s="142" t="n">
        <f aca="false">L179*$D179</f>
        <v>0</v>
      </c>
      <c r="BK179" s="142" t="n">
        <f aca="false">M179*$D179</f>
        <v>0</v>
      </c>
      <c r="BL179" s="142" t="n">
        <f aca="false">N179*$D179</f>
        <v>0</v>
      </c>
      <c r="BM179" s="142" t="n">
        <f aca="false">O179*$D179</f>
        <v>0</v>
      </c>
      <c r="BN179" s="142" t="n">
        <f aca="false">P179*$D179</f>
        <v>0</v>
      </c>
      <c r="BO179" s="142" t="n">
        <f aca="false">Q179*$D179</f>
        <v>0</v>
      </c>
      <c r="BP179" s="142" t="n">
        <f aca="false">R179*$D179</f>
        <v>0</v>
      </c>
      <c r="BQ179" s="142" t="n">
        <f aca="false">S179*$D179</f>
        <v>0</v>
      </c>
      <c r="BR179" s="142" t="n">
        <f aca="false">U179*$D179</f>
        <v>0</v>
      </c>
      <c r="BS179" s="142" t="n">
        <f aca="false">AA179*$D179</f>
        <v>0</v>
      </c>
      <c r="BT179" s="142" t="n">
        <f aca="false">AI179*$D179</f>
        <v>0</v>
      </c>
      <c r="BU179" s="142" t="n">
        <f aca="false">AK179*D179</f>
        <v>0</v>
      </c>
    </row>
    <row r="180" customFormat="false" ht="12.75" hidden="false" customHeight="false" outlineLevel="0" collapsed="false">
      <c r="A180" s="144" t="n">
        <f aca="false">EDATE(A179,1)</f>
        <v>43313</v>
      </c>
      <c r="B180" s="145" t="n">
        <f aca="false">Inputs!$B$8</f>
        <v>50000</v>
      </c>
      <c r="C180" s="146" t="n">
        <f aca="false">IF(AZ180=0,0,IF(AND(AZ180=1,$H$3=1),B180*AU180,IF($H$3=2,B180,"N/A")))</f>
        <v>0</v>
      </c>
      <c r="D180" s="146" t="n">
        <f aca="false">C180*AY180</f>
        <v>0</v>
      </c>
      <c r="E180" s="147" t="n">
        <f aca="false">VLOOKUP($A180,[1]!CurveTable,MATCH($E$4,[1]!CurveType,0))</f>
        <v>5.158</v>
      </c>
      <c r="F180" s="148" t="n">
        <f aca="false">E180-Inputs!$B$16</f>
        <v>5.213</v>
      </c>
      <c r="G180" s="149" t="n">
        <f aca="false">F180</f>
        <v>5.213</v>
      </c>
      <c r="H180" s="147" t="n">
        <f aca="false">VLOOKUP($A180,[1]!CurveTable,MATCH($H$4,[1]!CurveType,0))</f>
        <v>1</v>
      </c>
      <c r="I180" s="148" t="n">
        <f aca="false">H180+Inputs!$B$22</f>
        <v>1</v>
      </c>
      <c r="J180" s="150" t="n">
        <f aca="false">I180</f>
        <v>1</v>
      </c>
      <c r="K180" s="147" t="n">
        <f aca="false">VLOOKUP($A180,[1]!CurveTable,MATCH($K$4,[1]!CurveType,0))</f>
        <v>0</v>
      </c>
      <c r="L180" s="148" t="n">
        <v>0</v>
      </c>
      <c r="M180" s="151" t="n">
        <f aca="false">L180</f>
        <v>0</v>
      </c>
      <c r="N180" s="147" t="n">
        <f aca="false">VLOOKUP($A180,[1]!CurveTable,MATCH($N$4,[1]!CurveType,0))</f>
        <v>0.0195</v>
      </c>
      <c r="O180" s="148" t="n">
        <f aca="false">N180+Inputs!$E$22</f>
        <v>0.0195</v>
      </c>
      <c r="P180" s="151" t="n">
        <f aca="false">O180</f>
        <v>0.0195</v>
      </c>
      <c r="Q180" s="147" t="n">
        <f aca="false">VLOOKUP($A180,[1]!CurveTable,MATCH($Q$4,[1]!CurveType,0))</f>
        <v>0.01</v>
      </c>
      <c r="R180" s="148" t="n">
        <v>0</v>
      </c>
      <c r="S180" s="151" t="n">
        <f aca="false">R180</f>
        <v>0</v>
      </c>
      <c r="T180" s="152"/>
      <c r="U180" s="153" t="n">
        <f aca="false">G180+J180</f>
        <v>6.213</v>
      </c>
      <c r="V180" s="154"/>
      <c r="W180" s="155" t="n">
        <f aca="false">VLOOKUP($A180,[1]!CurveTable,MATCH($W$4,[1]!CurveType,0))+$W$9</f>
        <v>0.34</v>
      </c>
      <c r="X180" s="155" t="n">
        <f aca="false">VLOOKUP($A180,[1]!CurveTable,MATCH($X$4,[1]!CurveType,0))+$X$9</f>
        <v>0.345</v>
      </c>
      <c r="Y180" s="139" t="n">
        <f aca="false">SQRT((X180^2*($A180-$C$3)+W180^2*(DAY(EOMONTH(A180,0))/2))/$AN180)</f>
        <v>0.341917491346186</v>
      </c>
      <c r="Z180" s="152"/>
      <c r="AA180" s="153" t="n">
        <f aca="false">G180+P180+S180</f>
        <v>5.2325</v>
      </c>
      <c r="AB180" s="154"/>
      <c r="AC180" s="155" t="n">
        <f aca="false">VLOOKUP($A180,[1]!CurveTable,MATCH($AC$4,[1]!CurveType,0))+$AC$9</f>
        <v>0.17</v>
      </c>
      <c r="AD180" s="155" t="n">
        <f aca="false">VLOOKUP($A180,[1]!CurveTable,MATCH($AD$4,[1]!CurveType,0))+$AD$9</f>
        <v>0.175</v>
      </c>
      <c r="AE180" s="139" t="n">
        <f aca="false">SQRT((AD180^2*($A180-$C$3)+AC180^2*(DAY(EOMONTH(A180,0))/2))/$AN180)</f>
        <v>0.173450662509953</v>
      </c>
      <c r="AF180" s="152"/>
      <c r="AG180" s="156" t="n">
        <f aca="false">((Inputs!$F$20*(X180*AD180)*(A180-$C$3))+(Inputs!$F$19*W180*AC180*(DAY(EOMONTH(A180,0))/2)))/(AN180*Y180*AE180)</f>
        <v>0.750000445958229</v>
      </c>
      <c r="AH180" s="152"/>
      <c r="AI180" s="140" t="n">
        <f aca="false">Inputs!$B$15</f>
        <v>0.06</v>
      </c>
      <c r="AJ180" s="157"/>
      <c r="AK180" s="140" t="n">
        <f aca="false">IF((U180-AA180-AI180)&lt;0,0,(U180-AA180-AI180))</f>
        <v>0.9205</v>
      </c>
      <c r="AL180" s="157"/>
      <c r="AM180" s="158" t="n">
        <f aca="false">WORKDAY(EOMONTH(A180-1,-1),0)</f>
        <v>43281</v>
      </c>
      <c r="AN180" s="159" t="n">
        <f aca="false">AM180-$C$3</f>
        <v>-2645</v>
      </c>
      <c r="AO180" s="159" t="n">
        <f aca="false">AO179</f>
        <v>1</v>
      </c>
      <c r="AP180" s="160"/>
      <c r="AQ180" s="161" t="e">
        <f aca="false">SPRDOPT(U180,AA180,AI180,AX180,X180,AD180,AG180,AN180,AO180,0)</f>
        <v>#NAME?</v>
      </c>
      <c r="AR180" s="162" t="e">
        <f aca="false">AQ180*C180</f>
        <v>#NAME?</v>
      </c>
      <c r="AS180" s="163" t="e">
        <f aca="false">AQ180-AK180</f>
        <v>#NAME?</v>
      </c>
      <c r="AU180" s="112" t="n">
        <f aca="false">A181-A180</f>
        <v>31</v>
      </c>
      <c r="AV180" s="164" t="n">
        <f aca="false">CHOOSE(F$3,A181+24,A180+14)</f>
        <v>43327</v>
      </c>
      <c r="AW180" s="49" t="n">
        <f aca="false">AV180-C$3</f>
        <v>-2599</v>
      </c>
      <c r="AX180" s="155" t="n">
        <f aca="false">VLOOKUP($A180,[1]!CurveTable,MATCH(AX$4,[1]!CurveType,0))</f>
        <v>0.0595254561971865</v>
      </c>
      <c r="AY180" s="165" t="n">
        <f aca="false">1/(1+CHOOSE(F$3,(AX181+(Inputs!$B$14/10000))/2,(AX180+(Inputs!$B$14/10000))/2))^(2*AW180/365.25)</f>
        <v>1.51798361702548</v>
      </c>
      <c r="AZ180" s="49" t="n">
        <f aca="false">IF(AND(mthbeg&lt;=A180,mthend&gt;=A180),1,0)</f>
        <v>0</v>
      </c>
      <c r="BA180" s="111" t="n">
        <f aca="false">AU180*AZ180</f>
        <v>0</v>
      </c>
      <c r="BC180" s="142" t="n">
        <f aca="false">E180*$D180</f>
        <v>0</v>
      </c>
      <c r="BD180" s="142" t="n">
        <f aca="false">F180*$D180</f>
        <v>0</v>
      </c>
      <c r="BE180" s="142" t="n">
        <f aca="false">G180*$D180</f>
        <v>0</v>
      </c>
      <c r="BF180" s="142" t="n">
        <f aca="false">H180*$D180</f>
        <v>0</v>
      </c>
      <c r="BG180" s="142" t="n">
        <f aca="false">I180*$D180</f>
        <v>0</v>
      </c>
      <c r="BH180" s="142" t="n">
        <f aca="false">J180*$D180</f>
        <v>0</v>
      </c>
      <c r="BI180" s="142" t="n">
        <f aca="false">K180*$D180</f>
        <v>0</v>
      </c>
      <c r="BJ180" s="142" t="n">
        <f aca="false">L180*$D180</f>
        <v>0</v>
      </c>
      <c r="BK180" s="142" t="n">
        <f aca="false">M180*$D180</f>
        <v>0</v>
      </c>
      <c r="BL180" s="142" t="n">
        <f aca="false">N180*$D180</f>
        <v>0</v>
      </c>
      <c r="BM180" s="142" t="n">
        <f aca="false">O180*$D180</f>
        <v>0</v>
      </c>
      <c r="BN180" s="142" t="n">
        <f aca="false">P180*$D180</f>
        <v>0</v>
      </c>
      <c r="BO180" s="142" t="n">
        <f aca="false">Q180*$D180</f>
        <v>0</v>
      </c>
      <c r="BP180" s="142" t="n">
        <f aca="false">R180*$D180</f>
        <v>0</v>
      </c>
      <c r="BQ180" s="142" t="n">
        <f aca="false">S180*$D180</f>
        <v>0</v>
      </c>
      <c r="BR180" s="142" t="n">
        <f aca="false">U180*$D180</f>
        <v>0</v>
      </c>
      <c r="BS180" s="142" t="n">
        <f aca="false">AA180*$D180</f>
        <v>0</v>
      </c>
      <c r="BT180" s="142" t="n">
        <f aca="false">AI180*$D180</f>
        <v>0</v>
      </c>
      <c r="BU180" s="142" t="n">
        <f aca="false">AK180*D180</f>
        <v>0</v>
      </c>
    </row>
    <row r="181" customFormat="false" ht="12.75" hidden="false" customHeight="false" outlineLevel="0" collapsed="false">
      <c r="A181" s="144" t="n">
        <f aca="false">EDATE(A180,1)</f>
        <v>43344</v>
      </c>
      <c r="B181" s="145" t="n">
        <f aca="false">Inputs!$B$8</f>
        <v>50000</v>
      </c>
      <c r="C181" s="146" t="n">
        <f aca="false">IF(AZ181=0,0,IF(AND(AZ181=1,$H$3=1),B181*AU181,IF($H$3=2,B181,"N/A")))</f>
        <v>0</v>
      </c>
      <c r="D181" s="146" t="n">
        <f aca="false">C181*AY181</f>
        <v>0</v>
      </c>
      <c r="E181" s="147" t="n">
        <f aca="false">VLOOKUP($A181,[1]!CurveTable,MATCH($E$4,[1]!CurveType,0))</f>
        <v>5.152</v>
      </c>
      <c r="F181" s="148" t="n">
        <f aca="false">E181-Inputs!$B$16</f>
        <v>5.207</v>
      </c>
      <c r="G181" s="149" t="n">
        <f aca="false">F181</f>
        <v>5.207</v>
      </c>
      <c r="H181" s="147" t="n">
        <f aca="false">VLOOKUP($A181,[1]!CurveTable,MATCH($H$4,[1]!CurveType,0))</f>
        <v>0.6</v>
      </c>
      <c r="I181" s="148" t="n">
        <f aca="false">H181+Inputs!$B$22</f>
        <v>0.6</v>
      </c>
      <c r="J181" s="150" t="n">
        <f aca="false">I181</f>
        <v>0.6</v>
      </c>
      <c r="K181" s="147" t="n">
        <f aca="false">VLOOKUP($A181,[1]!CurveTable,MATCH($K$4,[1]!CurveType,0))</f>
        <v>0</v>
      </c>
      <c r="L181" s="148" t="n">
        <v>0</v>
      </c>
      <c r="M181" s="151" t="n">
        <f aca="false">L181</f>
        <v>0</v>
      </c>
      <c r="N181" s="147" t="n">
        <f aca="false">VLOOKUP($A181,[1]!CurveTable,MATCH($N$4,[1]!CurveType,0))</f>
        <v>0.0195</v>
      </c>
      <c r="O181" s="148" t="n">
        <f aca="false">N181+Inputs!$E$22</f>
        <v>0.0195</v>
      </c>
      <c r="P181" s="151" t="n">
        <f aca="false">O181</f>
        <v>0.0195</v>
      </c>
      <c r="Q181" s="147" t="n">
        <f aca="false">VLOOKUP($A181,[1]!CurveTable,MATCH($Q$4,[1]!CurveType,0))</f>
        <v>0.01</v>
      </c>
      <c r="R181" s="148" t="n">
        <v>0</v>
      </c>
      <c r="S181" s="151" t="n">
        <f aca="false">R181</f>
        <v>0</v>
      </c>
      <c r="T181" s="152"/>
      <c r="U181" s="153" t="n">
        <f aca="false">G181+J181</f>
        <v>5.807</v>
      </c>
      <c r="V181" s="154"/>
      <c r="W181" s="155" t="n">
        <f aca="false">VLOOKUP($A181,[1]!CurveTable,MATCH($W$4,[1]!CurveType,0))+$W$9</f>
        <v>0.34</v>
      </c>
      <c r="X181" s="155" t="n">
        <f aca="false">VLOOKUP($A181,[1]!CurveTable,MATCH($X$4,[1]!CurveType,0))+$X$9</f>
        <v>0.345</v>
      </c>
      <c r="Y181" s="139" t="n">
        <f aca="false">SQRT((X181^2*($A181-$C$3)+W181^2*(DAY(EOMONTH(A181,0))/2))/$AN181)</f>
        <v>0.341913105244407</v>
      </c>
      <c r="Z181" s="152"/>
      <c r="AA181" s="153" t="n">
        <f aca="false">G181+P181+S181</f>
        <v>5.2265</v>
      </c>
      <c r="AB181" s="154"/>
      <c r="AC181" s="155" t="n">
        <f aca="false">VLOOKUP($A181,[1]!CurveTable,MATCH($AC$4,[1]!CurveType,0))+$AC$9</f>
        <v>0.17</v>
      </c>
      <c r="AD181" s="155" t="n">
        <f aca="false">VLOOKUP($A181,[1]!CurveTable,MATCH($AD$4,[1]!CurveType,0))+$AD$9</f>
        <v>0.175</v>
      </c>
      <c r="AE181" s="139" t="n">
        <f aca="false">SQRT((AD181^2*($A181-$C$3)+AC181^2*(DAY(EOMONTH(A181,0))/2))/$AN181)</f>
        <v>0.173448141651582</v>
      </c>
      <c r="AF181" s="152"/>
      <c r="AG181" s="156" t="n">
        <f aca="false">((Inputs!$F$20*(X181*AD181)*(A181-$C$3))+(Inputs!$F$19*W181*AC181*(DAY(EOMONTH(A181,0))/2)))/(AN181*Y181*AE181)</f>
        <v>0.750000436651068</v>
      </c>
      <c r="AH181" s="152"/>
      <c r="AI181" s="140" t="n">
        <f aca="false">Inputs!$B$15</f>
        <v>0.06</v>
      </c>
      <c r="AJ181" s="157"/>
      <c r="AK181" s="140" t="n">
        <f aca="false">IF((U181-AA181-AI181)&lt;0,0,(U181-AA181-AI181))</f>
        <v>0.5205</v>
      </c>
      <c r="AL181" s="157"/>
      <c r="AM181" s="158" t="n">
        <f aca="false">WORKDAY(EOMONTH(A181-1,-1),0)</f>
        <v>43312</v>
      </c>
      <c r="AN181" s="159" t="n">
        <f aca="false">AM181-$C$3</f>
        <v>-2614</v>
      </c>
      <c r="AO181" s="159" t="n">
        <f aca="false">AO180</f>
        <v>1</v>
      </c>
      <c r="AP181" s="160"/>
      <c r="AQ181" s="161" t="e">
        <f aca="false">SPRDOPT(U181,AA181,AI181,AX181,X181,AD181,AG181,AN181,AO181,0)</f>
        <v>#NAME?</v>
      </c>
      <c r="AR181" s="162" t="e">
        <f aca="false">AQ181*C181</f>
        <v>#NAME?</v>
      </c>
      <c r="AS181" s="163" t="e">
        <f aca="false">AQ181-AK181</f>
        <v>#NAME?</v>
      </c>
      <c r="AU181" s="112" t="n">
        <f aca="false">A182-A181</f>
        <v>30</v>
      </c>
      <c r="AV181" s="164" t="n">
        <f aca="false">CHOOSE(F$3,A182+24,A181+14)</f>
        <v>43358</v>
      </c>
      <c r="AW181" s="49" t="n">
        <f aca="false">AV181-C$3</f>
        <v>-2568</v>
      </c>
      <c r="AX181" s="155" t="n">
        <f aca="false">VLOOKUP($A181,[1]!CurveTable,MATCH(AX$4,[1]!CurveType,0))</f>
        <v>0.0595836689859732</v>
      </c>
      <c r="AY181" s="165" t="n">
        <f aca="false">1/(1+CHOOSE(F$3,(AX182+(Inputs!$B$14/10000))/2,(AX181+(Inputs!$B$14/10000))/2))^(2*AW181/365.25)</f>
        <v>1.51104570501623</v>
      </c>
      <c r="AZ181" s="49" t="n">
        <f aca="false">IF(AND(mthbeg&lt;=A181,mthend&gt;=A181),1,0)</f>
        <v>0</v>
      </c>
      <c r="BA181" s="111" t="n">
        <f aca="false">AU181*AZ181</f>
        <v>0</v>
      </c>
      <c r="BC181" s="142" t="n">
        <f aca="false">E181*$D181</f>
        <v>0</v>
      </c>
      <c r="BD181" s="142" t="n">
        <f aca="false">F181*$D181</f>
        <v>0</v>
      </c>
      <c r="BE181" s="142" t="n">
        <f aca="false">G181*$D181</f>
        <v>0</v>
      </c>
      <c r="BF181" s="142" t="n">
        <f aca="false">H181*$D181</f>
        <v>0</v>
      </c>
      <c r="BG181" s="142" t="n">
        <f aca="false">I181*$D181</f>
        <v>0</v>
      </c>
      <c r="BH181" s="142" t="n">
        <f aca="false">J181*$D181</f>
        <v>0</v>
      </c>
      <c r="BI181" s="142" t="n">
        <f aca="false">K181*$D181</f>
        <v>0</v>
      </c>
      <c r="BJ181" s="142" t="n">
        <f aca="false">L181*$D181</f>
        <v>0</v>
      </c>
      <c r="BK181" s="142" t="n">
        <f aca="false">M181*$D181</f>
        <v>0</v>
      </c>
      <c r="BL181" s="142" t="n">
        <f aca="false">N181*$D181</f>
        <v>0</v>
      </c>
      <c r="BM181" s="142" t="n">
        <f aca="false">O181*$D181</f>
        <v>0</v>
      </c>
      <c r="BN181" s="142" t="n">
        <f aca="false">P181*$D181</f>
        <v>0</v>
      </c>
      <c r="BO181" s="142" t="n">
        <f aca="false">Q181*$D181</f>
        <v>0</v>
      </c>
      <c r="BP181" s="142" t="n">
        <f aca="false">R181*$D181</f>
        <v>0</v>
      </c>
      <c r="BQ181" s="142" t="n">
        <f aca="false">S181*$D181</f>
        <v>0</v>
      </c>
      <c r="BR181" s="142" t="n">
        <f aca="false">U181*$D181</f>
        <v>0</v>
      </c>
      <c r="BS181" s="142" t="n">
        <f aca="false">AA181*$D181</f>
        <v>0</v>
      </c>
      <c r="BT181" s="142" t="n">
        <f aca="false">AI181*$D181</f>
        <v>0</v>
      </c>
      <c r="BU181" s="142" t="n">
        <f aca="false">AK181*D181</f>
        <v>0</v>
      </c>
    </row>
    <row r="182" customFormat="false" ht="12.75" hidden="false" customHeight="false" outlineLevel="0" collapsed="false">
      <c r="A182" s="144" t="n">
        <f aca="false">EDATE(A181,1)</f>
        <v>43374</v>
      </c>
      <c r="B182" s="145" t="n">
        <f aca="false">Inputs!$B$8</f>
        <v>50000</v>
      </c>
      <c r="C182" s="146" t="n">
        <f aca="false">IF(AZ182=0,0,IF(AND(AZ182=1,$H$3=1),B182*AU182,IF($H$3=2,B182,"N/A")))</f>
        <v>0</v>
      </c>
      <c r="D182" s="146" t="n">
        <f aca="false">C182*AY182</f>
        <v>0</v>
      </c>
      <c r="E182" s="147" t="n">
        <f aca="false">VLOOKUP($A182,[1]!CurveTable,MATCH($E$4,[1]!CurveType,0))</f>
        <v>5.152</v>
      </c>
      <c r="F182" s="148" t="n">
        <f aca="false">E182-Inputs!$B$16</f>
        <v>5.207</v>
      </c>
      <c r="G182" s="149" t="n">
        <f aca="false">F182</f>
        <v>5.207</v>
      </c>
      <c r="H182" s="147" t="n">
        <f aca="false">VLOOKUP($A182,[1]!CurveTable,MATCH($H$4,[1]!CurveType,0))</f>
        <v>0.3</v>
      </c>
      <c r="I182" s="148" t="n">
        <f aca="false">H182+Inputs!$B$22</f>
        <v>0.3</v>
      </c>
      <c r="J182" s="150" t="n">
        <f aca="false">I182</f>
        <v>0.3</v>
      </c>
      <c r="K182" s="147" t="n">
        <f aca="false">VLOOKUP($A182,[1]!CurveTable,MATCH($K$4,[1]!CurveType,0))</f>
        <v>0</v>
      </c>
      <c r="L182" s="148" t="n">
        <v>0</v>
      </c>
      <c r="M182" s="151" t="n">
        <f aca="false">L182</f>
        <v>0</v>
      </c>
      <c r="N182" s="147" t="n">
        <f aca="false">VLOOKUP($A182,[1]!CurveTable,MATCH($N$4,[1]!CurveType,0))</f>
        <v>0.018</v>
      </c>
      <c r="O182" s="148" t="n">
        <f aca="false">N182+Inputs!$E$22</f>
        <v>0.018</v>
      </c>
      <c r="P182" s="151" t="n">
        <f aca="false">O182</f>
        <v>0.018</v>
      </c>
      <c r="Q182" s="147" t="n">
        <f aca="false">VLOOKUP($A182,[1]!CurveTable,MATCH($Q$4,[1]!CurveType,0))</f>
        <v>0.01</v>
      </c>
      <c r="R182" s="148" t="n">
        <v>0</v>
      </c>
      <c r="S182" s="151" t="n">
        <f aca="false">R182</f>
        <v>0</v>
      </c>
      <c r="T182" s="152"/>
      <c r="U182" s="153" t="n">
        <f aca="false">G182+J182</f>
        <v>5.507</v>
      </c>
      <c r="V182" s="154"/>
      <c r="W182" s="155" t="n">
        <f aca="false">VLOOKUP($A182,[1]!CurveTable,MATCH($W$4,[1]!CurveType,0))+$W$9</f>
        <v>0.17</v>
      </c>
      <c r="X182" s="155" t="n">
        <f aca="false">VLOOKUP($A182,[1]!CurveTable,MATCH($X$4,[1]!CurveType,0))+$X$9</f>
        <v>0.175</v>
      </c>
      <c r="Y182" s="139" t="n">
        <f aca="false">SQRT((X182^2*($A182-$C$3)+W182^2*(DAY(EOMONTH(A182,0))/2))/$AN182)</f>
        <v>0.173447485416897</v>
      </c>
      <c r="Z182" s="152"/>
      <c r="AA182" s="153" t="n">
        <f aca="false">G182+P182+S182</f>
        <v>5.225</v>
      </c>
      <c r="AB182" s="154"/>
      <c r="AC182" s="155" t="n">
        <f aca="false">VLOOKUP($A182,[1]!CurveTable,MATCH($AC$4,[1]!CurveType,0))+$AC$9</f>
        <v>0.17</v>
      </c>
      <c r="AD182" s="155" t="n">
        <f aca="false">VLOOKUP($A182,[1]!CurveTable,MATCH($AD$4,[1]!CurveType,0))+$AD$9</f>
        <v>0.175</v>
      </c>
      <c r="AE182" s="139" t="n">
        <f aca="false">SQRT((AD182^2*($A182-$C$3)+AC182^2*(DAY(EOMONTH(A182,0))/2))/$AN182)</f>
        <v>0.173447485416897</v>
      </c>
      <c r="AF182" s="152"/>
      <c r="AG182" s="156" t="n">
        <f aca="false">((Inputs!$F$20*(X182*AD182)*(A182-$C$3))+(Inputs!$F$19*W182*AC182*(DAY(EOMONTH(A182,0))/2)))/(AN182*Y182*AE182)</f>
        <v>0.75</v>
      </c>
      <c r="AH182" s="152"/>
      <c r="AI182" s="140" t="n">
        <f aca="false">Inputs!$B$15</f>
        <v>0.06</v>
      </c>
      <c r="AJ182" s="157"/>
      <c r="AK182" s="140" t="n">
        <f aca="false">IF((U182-AA182-AI182)&lt;0,0,(U182-AA182-AI182))</f>
        <v>0.222</v>
      </c>
      <c r="AL182" s="157"/>
      <c r="AM182" s="158" t="n">
        <f aca="false">WORKDAY(EOMONTH(A182-1,-1),0)</f>
        <v>43343</v>
      </c>
      <c r="AN182" s="159" t="n">
        <f aca="false">AM182-$C$3</f>
        <v>-2583</v>
      </c>
      <c r="AO182" s="159" t="n">
        <f aca="false">AO181</f>
        <v>1</v>
      </c>
      <c r="AP182" s="160"/>
      <c r="AQ182" s="161" t="e">
        <f aca="false">SPRDOPT(U182,AA182,AI182,AX182,X182,AD182,AG182,AN182,AO182,0)</f>
        <v>#NAME?</v>
      </c>
      <c r="AR182" s="162" t="e">
        <f aca="false">AQ182*C182</f>
        <v>#NAME?</v>
      </c>
      <c r="AS182" s="163" t="e">
        <f aca="false">AQ182-AK182</f>
        <v>#NAME?</v>
      </c>
      <c r="AU182" s="112" t="n">
        <f aca="false">A183-A182</f>
        <v>31</v>
      </c>
      <c r="AV182" s="164" t="n">
        <f aca="false">CHOOSE(F$3,A183+24,A182+14)</f>
        <v>43388</v>
      </c>
      <c r="AW182" s="49" t="n">
        <f aca="false">AV182-C$3</f>
        <v>-2538</v>
      </c>
      <c r="AX182" s="155" t="n">
        <f aca="false">VLOOKUP($A182,[1]!CurveTable,MATCH(AX$4,[1]!CurveType,0))</f>
        <v>0.0596400039439362</v>
      </c>
      <c r="AY182" s="165" t="n">
        <f aca="false">1/(1+CHOOSE(F$3,(AX183+(Inputs!$B$14/10000))/2,(AX182+(Inputs!$B$14/10000))/2))^(2*AW182/365.25)</f>
        <v>1.50434802959637</v>
      </c>
      <c r="AZ182" s="49" t="n">
        <f aca="false">IF(AND(mthbeg&lt;=A182,mthend&gt;=A182),1,0)</f>
        <v>0</v>
      </c>
      <c r="BA182" s="111" t="n">
        <f aca="false">AU182*AZ182</f>
        <v>0</v>
      </c>
      <c r="BC182" s="142" t="n">
        <f aca="false">E182*$D182</f>
        <v>0</v>
      </c>
      <c r="BD182" s="142" t="n">
        <f aca="false">F182*$D182</f>
        <v>0</v>
      </c>
      <c r="BE182" s="142" t="n">
        <f aca="false">G182*$D182</f>
        <v>0</v>
      </c>
      <c r="BF182" s="142" t="n">
        <f aca="false">H182*$D182</f>
        <v>0</v>
      </c>
      <c r="BG182" s="142" t="n">
        <f aca="false">I182*$D182</f>
        <v>0</v>
      </c>
      <c r="BH182" s="142" t="n">
        <f aca="false">J182*$D182</f>
        <v>0</v>
      </c>
      <c r="BI182" s="142" t="n">
        <f aca="false">K182*$D182</f>
        <v>0</v>
      </c>
      <c r="BJ182" s="142" t="n">
        <f aca="false">L182*$D182</f>
        <v>0</v>
      </c>
      <c r="BK182" s="142" t="n">
        <f aca="false">M182*$D182</f>
        <v>0</v>
      </c>
      <c r="BL182" s="142" t="n">
        <f aca="false">N182*$D182</f>
        <v>0</v>
      </c>
      <c r="BM182" s="142" t="n">
        <f aca="false">O182*$D182</f>
        <v>0</v>
      </c>
      <c r="BN182" s="142" t="n">
        <f aca="false">P182*$D182</f>
        <v>0</v>
      </c>
      <c r="BO182" s="142" t="n">
        <f aca="false">Q182*$D182</f>
        <v>0</v>
      </c>
      <c r="BP182" s="142" t="n">
        <f aca="false">R182*$D182</f>
        <v>0</v>
      </c>
      <c r="BQ182" s="142" t="n">
        <f aca="false">S182*$D182</f>
        <v>0</v>
      </c>
      <c r="BR182" s="142" t="n">
        <f aca="false">U182*$D182</f>
        <v>0</v>
      </c>
      <c r="BS182" s="142" t="n">
        <f aca="false">AA182*$D182</f>
        <v>0</v>
      </c>
      <c r="BT182" s="142" t="n">
        <f aca="false">AI182*$D182</f>
        <v>0</v>
      </c>
      <c r="BU182" s="142" t="n">
        <f aca="false">AK182*D182</f>
        <v>0</v>
      </c>
    </row>
    <row r="183" customFormat="false" ht="12.75" hidden="false" customHeight="false" outlineLevel="0" collapsed="false">
      <c r="A183" s="144" t="n">
        <f aca="false">EDATE(A182,1)</f>
        <v>43405</v>
      </c>
      <c r="B183" s="145" t="n">
        <f aca="false">Inputs!$B$8</f>
        <v>50000</v>
      </c>
      <c r="C183" s="146" t="n">
        <f aca="false">IF(AZ183=0,0,IF(AND(AZ183=1,$H$3=1),B183*AU183,IF($H$3=2,B183,"N/A")))</f>
        <v>0</v>
      </c>
      <c r="D183" s="146" t="n">
        <f aca="false">C183*AY183</f>
        <v>0</v>
      </c>
      <c r="E183" s="147" t="n">
        <f aca="false">VLOOKUP($A183,[1]!CurveTable,MATCH($E$4,[1]!CurveType,0))</f>
        <v>5.3</v>
      </c>
      <c r="F183" s="148" t="n">
        <f aca="false">E183-Inputs!$B$16</f>
        <v>5.355</v>
      </c>
      <c r="G183" s="149" t="n">
        <f aca="false">F183</f>
        <v>5.355</v>
      </c>
      <c r="H183" s="147" t="n">
        <f aca="false">VLOOKUP($A183,[1]!CurveTable,MATCH($H$4,[1]!CurveType,0))</f>
        <v>0.23</v>
      </c>
      <c r="I183" s="148" t="n">
        <f aca="false">H183+Inputs!$B$22</f>
        <v>0.23</v>
      </c>
      <c r="J183" s="150" t="n">
        <f aca="false">I183</f>
        <v>0.23</v>
      </c>
      <c r="K183" s="147" t="n">
        <f aca="false">VLOOKUP($A183,[1]!CurveTable,MATCH($K$4,[1]!CurveType,0))</f>
        <v>0</v>
      </c>
      <c r="L183" s="148" t="n">
        <v>0</v>
      </c>
      <c r="M183" s="151" t="n">
        <f aca="false">L183</f>
        <v>0</v>
      </c>
      <c r="N183" s="147" t="n">
        <f aca="false">VLOOKUP($A183,[1]!CurveTable,MATCH($N$4,[1]!CurveType,0))</f>
        <v>0.019</v>
      </c>
      <c r="O183" s="148" t="n">
        <f aca="false">N183+Inputs!$E$22</f>
        <v>0.019</v>
      </c>
      <c r="P183" s="151" t="n">
        <f aca="false">O183</f>
        <v>0.019</v>
      </c>
      <c r="Q183" s="147" t="n">
        <f aca="false">VLOOKUP($A183,[1]!CurveTable,MATCH($Q$4,[1]!CurveType,0))</f>
        <v>0.0075</v>
      </c>
      <c r="R183" s="148" t="n">
        <v>0</v>
      </c>
      <c r="S183" s="151" t="n">
        <f aca="false">R183</f>
        <v>0</v>
      </c>
      <c r="T183" s="152"/>
      <c r="U183" s="153" t="n">
        <f aca="false">G183+J183</f>
        <v>5.585</v>
      </c>
      <c r="V183" s="154"/>
      <c r="W183" s="155" t="n">
        <f aca="false">VLOOKUP($A183,[1]!CurveTable,MATCH($W$4,[1]!CurveType,0))+$W$9</f>
        <v>0.17</v>
      </c>
      <c r="X183" s="155" t="n">
        <f aca="false">VLOOKUP($A183,[1]!CurveTable,MATCH($X$4,[1]!CurveType,0))+$X$9</f>
        <v>0.175</v>
      </c>
      <c r="Y183" s="139" t="n">
        <f aca="false">SQRT((X183^2*($A183-$C$3)+W183^2*(DAY(EOMONTH(A183,0))/2))/$AN183)</f>
        <v>0.173410892512523</v>
      </c>
      <c r="Z183" s="152"/>
      <c r="AA183" s="153" t="n">
        <f aca="false">G183+P183+S183</f>
        <v>5.374</v>
      </c>
      <c r="AB183" s="154"/>
      <c r="AC183" s="155" t="n">
        <f aca="false">VLOOKUP($A183,[1]!CurveTable,MATCH($AC$4,[1]!CurveType,0))+$AC$9</f>
        <v>0.17</v>
      </c>
      <c r="AD183" s="155" t="n">
        <f aca="false">VLOOKUP($A183,[1]!CurveTable,MATCH($AD$4,[1]!CurveType,0))+$AD$9</f>
        <v>0.175</v>
      </c>
      <c r="AE183" s="139" t="n">
        <f aca="false">SQRT((AD183^2*($A183-$C$3)+AC183^2*(DAY(EOMONTH(A183,0))/2))/$AN183)</f>
        <v>0.173410892512523</v>
      </c>
      <c r="AF183" s="152"/>
      <c r="AG183" s="156" t="n">
        <f aca="false">((Inputs!$F$20*(X183*AD183)*(A183-$C$3))+(Inputs!$F$19*W183*AC183*(DAY(EOMONTH(A183,0))/2)))/(AN183*Y183*AE183)</f>
        <v>0.75</v>
      </c>
      <c r="AH183" s="152"/>
      <c r="AI183" s="140" t="n">
        <f aca="false">Inputs!$B$15</f>
        <v>0.06</v>
      </c>
      <c r="AJ183" s="157"/>
      <c r="AK183" s="140" t="n">
        <f aca="false">IF((U183-AA183-AI183)&lt;0,0,(U183-AA183-AI183))</f>
        <v>0.151</v>
      </c>
      <c r="AL183" s="157"/>
      <c r="AM183" s="158" t="n">
        <f aca="false">WORKDAY(EOMONTH(A183-1,-1),0)</f>
        <v>43373</v>
      </c>
      <c r="AN183" s="159" t="n">
        <f aca="false">AM183-$C$3</f>
        <v>-2553</v>
      </c>
      <c r="AO183" s="159" t="n">
        <f aca="false">AO182</f>
        <v>1</v>
      </c>
      <c r="AP183" s="160"/>
      <c r="AQ183" s="161" t="e">
        <f aca="false">SPRDOPT(U183,AA183,AI183,AX183,X183,AD183,AG183,AN183,AO183,0)</f>
        <v>#NAME?</v>
      </c>
      <c r="AR183" s="162" t="e">
        <f aca="false">AQ183*C183</f>
        <v>#NAME?</v>
      </c>
      <c r="AS183" s="163" t="e">
        <f aca="false">AQ183-AK183</f>
        <v>#NAME?</v>
      </c>
      <c r="AU183" s="112" t="n">
        <f aca="false">A184-A183</f>
        <v>30</v>
      </c>
      <c r="AV183" s="164" t="n">
        <f aca="false">CHOOSE(F$3,A184+24,A183+14)</f>
        <v>43419</v>
      </c>
      <c r="AW183" s="49" t="n">
        <f aca="false">AV183-C$3</f>
        <v>-2507</v>
      </c>
      <c r="AX183" s="155" t="n">
        <f aca="false">VLOOKUP($A183,[1]!CurveTable,MATCH(AX$4,[1]!CurveType,0))</f>
        <v>0.0596982167349394</v>
      </c>
      <c r="AY183" s="165" t="n">
        <f aca="false">1/(1+CHOOSE(F$3,(AX184+(Inputs!$B$14/10000))/2,(AX183+(Inputs!$B$14/10000))/2))^(2*AW183/365.25)</f>
        <v>1.49744413185964</v>
      </c>
      <c r="AZ183" s="49" t="n">
        <f aca="false">IF(AND(mthbeg&lt;=A183,mthend&gt;=A183),1,0)</f>
        <v>0</v>
      </c>
      <c r="BA183" s="111" t="n">
        <f aca="false">AU183*AZ183</f>
        <v>0</v>
      </c>
      <c r="BC183" s="142" t="n">
        <f aca="false">E183*$D183</f>
        <v>0</v>
      </c>
      <c r="BD183" s="142" t="n">
        <f aca="false">F183*$D183</f>
        <v>0</v>
      </c>
      <c r="BE183" s="142" t="n">
        <f aca="false">G183*$D183</f>
        <v>0</v>
      </c>
      <c r="BF183" s="142" t="n">
        <f aca="false">H183*$D183</f>
        <v>0</v>
      </c>
      <c r="BG183" s="142" t="n">
        <f aca="false">I183*$D183</f>
        <v>0</v>
      </c>
      <c r="BH183" s="142" t="n">
        <f aca="false">J183*$D183</f>
        <v>0</v>
      </c>
      <c r="BI183" s="142" t="n">
        <f aca="false">K183*$D183</f>
        <v>0</v>
      </c>
      <c r="BJ183" s="142" t="n">
        <f aca="false">L183*$D183</f>
        <v>0</v>
      </c>
      <c r="BK183" s="142" t="n">
        <f aca="false">M183*$D183</f>
        <v>0</v>
      </c>
      <c r="BL183" s="142" t="n">
        <f aca="false">N183*$D183</f>
        <v>0</v>
      </c>
      <c r="BM183" s="142" t="n">
        <f aca="false">O183*$D183</f>
        <v>0</v>
      </c>
      <c r="BN183" s="142" t="n">
        <f aca="false">P183*$D183</f>
        <v>0</v>
      </c>
      <c r="BO183" s="142" t="n">
        <f aca="false">Q183*$D183</f>
        <v>0</v>
      </c>
      <c r="BP183" s="142" t="n">
        <f aca="false">R183*$D183</f>
        <v>0</v>
      </c>
      <c r="BQ183" s="142" t="n">
        <f aca="false">S183*$D183</f>
        <v>0</v>
      </c>
      <c r="BR183" s="142" t="n">
        <f aca="false">U183*$D183</f>
        <v>0</v>
      </c>
      <c r="BS183" s="142" t="n">
        <f aca="false">AA183*$D183</f>
        <v>0</v>
      </c>
      <c r="BT183" s="142" t="n">
        <f aca="false">AI183*$D183</f>
        <v>0</v>
      </c>
      <c r="BU183" s="142" t="n">
        <f aca="false">AK183*D183</f>
        <v>0</v>
      </c>
    </row>
    <row r="184" customFormat="false" ht="12.75" hidden="false" customHeight="false" outlineLevel="0" collapsed="false">
      <c r="A184" s="144" t="n">
        <f aca="false">EDATE(A183,1)</f>
        <v>43435</v>
      </c>
      <c r="B184" s="145" t="n">
        <f aca="false">Inputs!$B$8</f>
        <v>50000</v>
      </c>
      <c r="C184" s="146" t="n">
        <f aca="false">IF(AZ184=0,0,IF(AND(AZ184=1,$H$3=1),B184*AU184,IF($H$3=2,B184,"N/A")))</f>
        <v>0</v>
      </c>
      <c r="D184" s="146" t="n">
        <f aca="false">C184*AY184</f>
        <v>0</v>
      </c>
      <c r="E184" s="147" t="n">
        <f aca="false">VLOOKUP($A184,[1]!CurveTable,MATCH($E$4,[1]!CurveType,0))</f>
        <v>5.452</v>
      </c>
      <c r="F184" s="148" t="n">
        <f aca="false">E184-Inputs!$B$16</f>
        <v>5.507</v>
      </c>
      <c r="G184" s="149" t="n">
        <f aca="false">F184</f>
        <v>5.507</v>
      </c>
      <c r="H184" s="147" t="n">
        <f aca="false">VLOOKUP($A184,[1]!CurveTable,MATCH($H$4,[1]!CurveType,0))</f>
        <v>0.26</v>
      </c>
      <c r="I184" s="148" t="n">
        <f aca="false">H184+Inputs!$B$22</f>
        <v>0.26</v>
      </c>
      <c r="J184" s="150" t="n">
        <f aca="false">I184</f>
        <v>0.26</v>
      </c>
      <c r="K184" s="147" t="n">
        <f aca="false">VLOOKUP($A184,[1]!CurveTable,MATCH($K$4,[1]!CurveType,0))</f>
        <v>0</v>
      </c>
      <c r="L184" s="148" t="n">
        <v>0</v>
      </c>
      <c r="M184" s="151" t="n">
        <f aca="false">L184</f>
        <v>0</v>
      </c>
      <c r="N184" s="147" t="n">
        <f aca="false">VLOOKUP($A184,[1]!CurveTable,MATCH($N$4,[1]!CurveType,0))</f>
        <v>0.019</v>
      </c>
      <c r="O184" s="148" t="n">
        <f aca="false">N184+Inputs!$E$22</f>
        <v>0.019</v>
      </c>
      <c r="P184" s="151" t="n">
        <f aca="false">O184</f>
        <v>0.019</v>
      </c>
      <c r="Q184" s="147" t="n">
        <f aca="false">VLOOKUP($A184,[1]!CurveTable,MATCH($Q$4,[1]!CurveType,0))</f>
        <v>0.0075</v>
      </c>
      <c r="R184" s="148" t="n">
        <v>0</v>
      </c>
      <c r="S184" s="151" t="n">
        <f aca="false">R184</f>
        <v>0</v>
      </c>
      <c r="T184" s="152"/>
      <c r="U184" s="153" t="n">
        <f aca="false">G184+J184</f>
        <v>5.767</v>
      </c>
      <c r="V184" s="154"/>
      <c r="W184" s="155" t="n">
        <f aca="false">VLOOKUP($A184,[1]!CurveTable,MATCH($W$4,[1]!CurveType,0))+$W$9</f>
        <v>0.17</v>
      </c>
      <c r="X184" s="155" t="n">
        <f aca="false">VLOOKUP($A184,[1]!CurveTable,MATCH($X$4,[1]!CurveType,0))+$X$9</f>
        <v>0.175</v>
      </c>
      <c r="Y184" s="139" t="n">
        <f aca="false">SQRT((X184^2*($A184-$C$3)+W184^2*(DAY(EOMONTH(A184,0))/2))/$AN184)</f>
        <v>0.173409762349279</v>
      </c>
      <c r="Z184" s="152"/>
      <c r="AA184" s="153" t="n">
        <f aca="false">G184+P184+S184</f>
        <v>5.526</v>
      </c>
      <c r="AB184" s="154"/>
      <c r="AC184" s="155" t="n">
        <f aca="false">VLOOKUP($A184,[1]!CurveTable,MATCH($AC$4,[1]!CurveType,0))+$AC$9</f>
        <v>0.17</v>
      </c>
      <c r="AD184" s="155" t="n">
        <f aca="false">VLOOKUP($A184,[1]!CurveTable,MATCH($AD$4,[1]!CurveType,0))+$AD$9</f>
        <v>0.175</v>
      </c>
      <c r="AE184" s="139" t="n">
        <f aca="false">SQRT((AD184^2*($A184-$C$3)+AC184^2*(DAY(EOMONTH(A184,0))/2))/$AN184)</f>
        <v>0.173409762349279</v>
      </c>
      <c r="AF184" s="152"/>
      <c r="AG184" s="156" t="n">
        <f aca="false">((Inputs!$F$20*(X184*AD184)*(A184-$C$3))+(Inputs!$F$19*W184*AC184*(DAY(EOMONTH(A184,0))/2)))/(AN184*Y184*AE184)</f>
        <v>0.75</v>
      </c>
      <c r="AH184" s="152"/>
      <c r="AI184" s="140" t="n">
        <f aca="false">Inputs!$B$15</f>
        <v>0.06</v>
      </c>
      <c r="AJ184" s="157"/>
      <c r="AK184" s="140" t="n">
        <f aca="false">IF((U184-AA184-AI184)&lt;0,0,(U184-AA184-AI184))</f>
        <v>0.181</v>
      </c>
      <c r="AL184" s="157"/>
      <c r="AM184" s="158" t="n">
        <f aca="false">WORKDAY(EOMONTH(A184-1,-1),0)</f>
        <v>43404</v>
      </c>
      <c r="AN184" s="159" t="n">
        <f aca="false">AM184-$C$3</f>
        <v>-2522</v>
      </c>
      <c r="AO184" s="159" t="n">
        <f aca="false">AO183</f>
        <v>1</v>
      </c>
      <c r="AP184" s="160"/>
      <c r="AQ184" s="161" t="e">
        <f aca="false">SPRDOPT(U184,AA184,AI184,AX184,X184,AD184,AG184,AN184,AO184,0)</f>
        <v>#NAME?</v>
      </c>
      <c r="AR184" s="162" t="e">
        <f aca="false">AQ184*C184</f>
        <v>#NAME?</v>
      </c>
      <c r="AS184" s="163" t="e">
        <f aca="false">AQ184-AK184</f>
        <v>#NAME?</v>
      </c>
      <c r="AU184" s="112" t="n">
        <f aca="false">A185-A184</f>
        <v>31</v>
      </c>
      <c r="AV184" s="164" t="n">
        <f aca="false">CHOOSE(F$3,A185+24,A184+14)</f>
        <v>43449</v>
      </c>
      <c r="AW184" s="49" t="n">
        <f aca="false">AV184-C$3</f>
        <v>-2477</v>
      </c>
      <c r="AX184" s="155" t="n">
        <f aca="false">VLOOKUP($A184,[1]!CurveTable,MATCH(AX$4,[1]!CurveType,0))</f>
        <v>0.0597545516950468</v>
      </c>
      <c r="AY184" s="165" t="n">
        <f aca="false">1/(1+CHOOSE(F$3,(AX185+(Inputs!$B$14/10000))/2,(AX184+(Inputs!$B$14/10000))/2))^(2*AW184/365.25)</f>
        <v>1.49077947440153</v>
      </c>
      <c r="AZ184" s="49" t="n">
        <f aca="false">IF(AND(mthbeg&lt;=A184,mthend&gt;=A184),1,0)</f>
        <v>0</v>
      </c>
      <c r="BA184" s="111" t="n">
        <f aca="false">AU184*AZ184</f>
        <v>0</v>
      </c>
      <c r="BC184" s="142" t="n">
        <f aca="false">E184*$D184</f>
        <v>0</v>
      </c>
      <c r="BD184" s="142" t="n">
        <f aca="false">F184*$D184</f>
        <v>0</v>
      </c>
      <c r="BE184" s="142" t="n">
        <f aca="false">G184*$D184</f>
        <v>0</v>
      </c>
      <c r="BF184" s="142" t="n">
        <f aca="false">H184*$D184</f>
        <v>0</v>
      </c>
      <c r="BG184" s="142" t="n">
        <f aca="false">I184*$D184</f>
        <v>0</v>
      </c>
      <c r="BH184" s="142" t="n">
        <f aca="false">J184*$D184</f>
        <v>0</v>
      </c>
      <c r="BI184" s="142" t="n">
        <f aca="false">K184*$D184</f>
        <v>0</v>
      </c>
      <c r="BJ184" s="142" t="n">
        <f aca="false">L184*$D184</f>
        <v>0</v>
      </c>
      <c r="BK184" s="142" t="n">
        <f aca="false">M184*$D184</f>
        <v>0</v>
      </c>
      <c r="BL184" s="142" t="n">
        <f aca="false">N184*$D184</f>
        <v>0</v>
      </c>
      <c r="BM184" s="142" t="n">
        <f aca="false">O184*$D184</f>
        <v>0</v>
      </c>
      <c r="BN184" s="142" t="n">
        <f aca="false">P184*$D184</f>
        <v>0</v>
      </c>
      <c r="BO184" s="142" t="n">
        <f aca="false">Q184*$D184</f>
        <v>0</v>
      </c>
      <c r="BP184" s="142" t="n">
        <f aca="false">R184*$D184</f>
        <v>0</v>
      </c>
      <c r="BQ184" s="142" t="n">
        <f aca="false">S184*$D184</f>
        <v>0</v>
      </c>
      <c r="BR184" s="142" t="n">
        <f aca="false">U184*$D184</f>
        <v>0</v>
      </c>
      <c r="BS184" s="142" t="n">
        <f aca="false">AA184*$D184</f>
        <v>0</v>
      </c>
      <c r="BT184" s="142" t="n">
        <f aca="false">AI184*$D184</f>
        <v>0</v>
      </c>
      <c r="BU184" s="142" t="n">
        <f aca="false">AK184*D184</f>
        <v>0</v>
      </c>
    </row>
    <row r="185" customFormat="false" ht="12.75" hidden="false" customHeight="false" outlineLevel="0" collapsed="false">
      <c r="A185" s="144" t="n">
        <f aca="false">EDATE(A184,1)</f>
        <v>43466</v>
      </c>
      <c r="B185" s="145" t="n">
        <f aca="false">Inputs!$B$8</f>
        <v>50000</v>
      </c>
      <c r="C185" s="146" t="n">
        <f aca="false">IF(AZ185=0,0,IF(AND(AZ185=1,$H$3=1),B185*AU185,IF($H$3=2,B185,"N/A")))</f>
        <v>0</v>
      </c>
      <c r="D185" s="146" t="n">
        <f aca="false">C185*AY185</f>
        <v>0</v>
      </c>
      <c r="E185" s="147" t="n">
        <f aca="false">VLOOKUP($A185,[1]!CurveTable,MATCH($E$4,[1]!CurveType,0))</f>
        <v>5.5295</v>
      </c>
      <c r="F185" s="148" t="n">
        <f aca="false">E185-Inputs!$B$16</f>
        <v>5.5845</v>
      </c>
      <c r="G185" s="149" t="n">
        <f aca="false">F185</f>
        <v>5.5845</v>
      </c>
      <c r="H185" s="147" t="n">
        <f aca="false">VLOOKUP($A185,[1]!CurveTable,MATCH($H$4,[1]!CurveType,0))</f>
        <v>0.085</v>
      </c>
      <c r="I185" s="148" t="n">
        <f aca="false">H185+Inputs!$B$22</f>
        <v>0.085</v>
      </c>
      <c r="J185" s="150" t="n">
        <f aca="false">I185</f>
        <v>0.085</v>
      </c>
      <c r="K185" s="147" t="n">
        <f aca="false">VLOOKUP($A185,[1]!CurveTable,MATCH($K$4,[1]!CurveType,0))</f>
        <v>0</v>
      </c>
      <c r="L185" s="148" t="n">
        <v>0</v>
      </c>
      <c r="M185" s="151" t="n">
        <f aca="false">L185</f>
        <v>0</v>
      </c>
      <c r="N185" s="147" t="n">
        <f aca="false">VLOOKUP($A185,[1]!CurveTable,MATCH($N$4,[1]!CurveType,0))</f>
        <v>0.019</v>
      </c>
      <c r="O185" s="148" t="n">
        <f aca="false">N185+Inputs!$E$22</f>
        <v>0.019</v>
      </c>
      <c r="P185" s="151" t="n">
        <f aca="false">O185</f>
        <v>0.019</v>
      </c>
      <c r="Q185" s="147" t="n">
        <f aca="false">VLOOKUP($A185,[1]!CurveTable,MATCH($Q$4,[1]!CurveType,0))</f>
        <v>0.0075</v>
      </c>
      <c r="R185" s="148" t="n">
        <v>0</v>
      </c>
      <c r="S185" s="151" t="n">
        <f aca="false">R185</f>
        <v>0</v>
      </c>
      <c r="T185" s="152"/>
      <c r="U185" s="153" t="n">
        <f aca="false">G185+J185</f>
        <v>5.6695</v>
      </c>
      <c r="V185" s="154"/>
      <c r="W185" s="155" t="n">
        <f aca="false">VLOOKUP($A185,[1]!CurveTable,MATCH($W$4,[1]!CurveType,0))+$W$9</f>
        <v>0.17</v>
      </c>
      <c r="X185" s="155" t="n">
        <f aca="false">VLOOKUP($A185,[1]!CurveTable,MATCH($X$4,[1]!CurveType,0))+$X$9</f>
        <v>0.175</v>
      </c>
      <c r="Y185" s="139" t="n">
        <f aca="false">SQRT((X185^2*($A185-$C$3)+W185^2*(DAY(EOMONTH(A185,0))/2))/$AN185)</f>
        <v>0.173355087483293</v>
      </c>
      <c r="Z185" s="152"/>
      <c r="AA185" s="153" t="n">
        <f aca="false">G185+P185+S185</f>
        <v>5.6035</v>
      </c>
      <c r="AB185" s="154"/>
      <c r="AC185" s="155" t="n">
        <f aca="false">VLOOKUP($A185,[1]!CurveTable,MATCH($AC$4,[1]!CurveType,0))+$AC$9</f>
        <v>0.17</v>
      </c>
      <c r="AD185" s="155" t="n">
        <f aca="false">VLOOKUP($A185,[1]!CurveTable,MATCH($AD$4,[1]!CurveType,0))+$AD$9</f>
        <v>0.175</v>
      </c>
      <c r="AE185" s="139" t="n">
        <f aca="false">SQRT((AD185^2*($A185-$C$3)+AC185^2*(DAY(EOMONTH(A185,0))/2))/$AN185)</f>
        <v>0.173355087483293</v>
      </c>
      <c r="AF185" s="152"/>
      <c r="AG185" s="156" t="n">
        <f aca="false">((Inputs!$F$20*(X185*AD185)*(A185-$C$3))+(Inputs!$F$19*W185*AC185*(DAY(EOMONTH(A185,0))/2)))/(AN185*Y185*AE185)</f>
        <v>0.75</v>
      </c>
      <c r="AH185" s="152"/>
      <c r="AI185" s="140" t="n">
        <f aca="false">Inputs!$B$15</f>
        <v>0.06</v>
      </c>
      <c r="AJ185" s="157"/>
      <c r="AK185" s="140" t="n">
        <f aca="false">IF((U185-AA185-AI185)&lt;0,0,(U185-AA185-AI185))</f>
        <v>0.00599999999999984</v>
      </c>
      <c r="AL185" s="157"/>
      <c r="AM185" s="158" t="n">
        <f aca="false">WORKDAY(EOMONTH(A185-1,-1),0)</f>
        <v>43434</v>
      </c>
      <c r="AN185" s="159" t="n">
        <f aca="false">AM185-$C$3</f>
        <v>-2492</v>
      </c>
      <c r="AO185" s="159" t="n">
        <f aca="false">AO184</f>
        <v>1</v>
      </c>
      <c r="AP185" s="160"/>
      <c r="AQ185" s="161" t="e">
        <f aca="false">SPRDOPT(U185,AA185,AI185,AX185,X185,AD185,AG185,AN185,AO185,0)</f>
        <v>#NAME?</v>
      </c>
      <c r="AR185" s="162" t="e">
        <f aca="false">AQ185*C185</f>
        <v>#NAME?</v>
      </c>
      <c r="AS185" s="163" t="e">
        <f aca="false">AQ185-AK185</f>
        <v>#NAME?</v>
      </c>
      <c r="AU185" s="112" t="n">
        <f aca="false">A186-A185</f>
        <v>31</v>
      </c>
      <c r="AV185" s="164" t="n">
        <f aca="false">CHOOSE(F$3,A186+24,A185+14)</f>
        <v>43480</v>
      </c>
      <c r="AW185" s="49" t="n">
        <f aca="false">AV185-C$3</f>
        <v>-2446</v>
      </c>
      <c r="AX185" s="155" t="n">
        <f aca="false">VLOOKUP($A185,[1]!CurveTable,MATCH(AX$4,[1]!CurveType,0))</f>
        <v>0.0598127644882656</v>
      </c>
      <c r="AY185" s="165" t="n">
        <f aca="false">1/(1+CHOOSE(F$3,(AX186+(Inputs!$B$14/10000))/2,(AX185+(Inputs!$B$14/10000))/2))^(2*AW185/365.25)</f>
        <v>1.48390979806875</v>
      </c>
      <c r="AZ185" s="49" t="n">
        <f aca="false">IF(AND(mthbeg&lt;=A185,mthend&gt;=A185),1,0)</f>
        <v>0</v>
      </c>
      <c r="BA185" s="111" t="n">
        <f aca="false">AU185*AZ185</f>
        <v>0</v>
      </c>
      <c r="BC185" s="142" t="n">
        <f aca="false">E185*$D185</f>
        <v>0</v>
      </c>
      <c r="BD185" s="142" t="n">
        <f aca="false">F185*$D185</f>
        <v>0</v>
      </c>
      <c r="BE185" s="142" t="n">
        <f aca="false">G185*$D185</f>
        <v>0</v>
      </c>
      <c r="BF185" s="142" t="n">
        <f aca="false">H185*$D185</f>
        <v>0</v>
      </c>
      <c r="BG185" s="142" t="n">
        <f aca="false">I185*$D185</f>
        <v>0</v>
      </c>
      <c r="BH185" s="142" t="n">
        <f aca="false">J185*$D185</f>
        <v>0</v>
      </c>
      <c r="BI185" s="142" t="n">
        <f aca="false">K185*$D185</f>
        <v>0</v>
      </c>
      <c r="BJ185" s="142" t="n">
        <f aca="false">L185*$D185</f>
        <v>0</v>
      </c>
      <c r="BK185" s="142" t="n">
        <f aca="false">M185*$D185</f>
        <v>0</v>
      </c>
      <c r="BL185" s="142" t="n">
        <f aca="false">N185*$D185</f>
        <v>0</v>
      </c>
      <c r="BM185" s="142" t="n">
        <f aca="false">O185*$D185</f>
        <v>0</v>
      </c>
      <c r="BN185" s="142" t="n">
        <f aca="false">P185*$D185</f>
        <v>0</v>
      </c>
      <c r="BO185" s="142" t="n">
        <f aca="false">Q185*$D185</f>
        <v>0</v>
      </c>
      <c r="BP185" s="142" t="n">
        <f aca="false">R185*$D185</f>
        <v>0</v>
      </c>
      <c r="BQ185" s="142" t="n">
        <f aca="false">S185*$D185</f>
        <v>0</v>
      </c>
      <c r="BR185" s="142" t="n">
        <f aca="false">U185*$D185</f>
        <v>0</v>
      </c>
      <c r="BS185" s="142" t="n">
        <f aca="false">AA185*$D185</f>
        <v>0</v>
      </c>
      <c r="BT185" s="142" t="n">
        <f aca="false">AI185*$D185</f>
        <v>0</v>
      </c>
      <c r="BU185" s="142" t="n">
        <f aca="false">AK185*D185</f>
        <v>0</v>
      </c>
    </row>
    <row r="186" customFormat="false" ht="12.75" hidden="false" customHeight="false" outlineLevel="0" collapsed="false">
      <c r="A186" s="144" t="n">
        <f aca="false">EDATE(A185,1)</f>
        <v>43497</v>
      </c>
      <c r="B186" s="145" t="n">
        <f aca="false">Inputs!$B$8</f>
        <v>50000</v>
      </c>
      <c r="C186" s="146" t="n">
        <f aca="false">IF(AZ186=0,0,IF(AND(AZ186=1,$H$3=1),B186*AU186,IF($H$3=2,B186,"N/A")))</f>
        <v>0</v>
      </c>
      <c r="D186" s="146" t="n">
        <f aca="false">C186*AY186</f>
        <v>0</v>
      </c>
      <c r="E186" s="147" t="n">
        <f aca="false">VLOOKUP($A186,[1]!CurveTable,MATCH($E$4,[1]!CurveType,0))</f>
        <v>5.4425</v>
      </c>
      <c r="F186" s="148" t="n">
        <f aca="false">E186-Inputs!$B$16</f>
        <v>5.4975</v>
      </c>
      <c r="G186" s="149" t="n">
        <f aca="false">F186</f>
        <v>5.4975</v>
      </c>
      <c r="H186" s="147" t="n">
        <f aca="false">VLOOKUP($A186,[1]!CurveTable,MATCH($H$4,[1]!CurveType,0))</f>
        <v>0.075</v>
      </c>
      <c r="I186" s="148" t="n">
        <f aca="false">H186+Inputs!$B$22</f>
        <v>0.075</v>
      </c>
      <c r="J186" s="150" t="n">
        <f aca="false">I186</f>
        <v>0.075</v>
      </c>
      <c r="K186" s="147" t="n">
        <f aca="false">VLOOKUP($A186,[1]!CurveTable,MATCH($K$4,[1]!CurveType,0))</f>
        <v>0</v>
      </c>
      <c r="L186" s="148" t="n">
        <v>0</v>
      </c>
      <c r="M186" s="151" t="n">
        <f aca="false">L186</f>
        <v>0</v>
      </c>
      <c r="N186" s="147" t="n">
        <f aca="false">VLOOKUP($A186,[1]!CurveTable,MATCH($N$4,[1]!CurveType,0))</f>
        <v>0.019</v>
      </c>
      <c r="O186" s="148" t="n">
        <f aca="false">N186+Inputs!$E$22</f>
        <v>0.019</v>
      </c>
      <c r="P186" s="151" t="n">
        <f aca="false">O186</f>
        <v>0.019</v>
      </c>
      <c r="Q186" s="147" t="n">
        <f aca="false">VLOOKUP($A186,[1]!CurveTable,MATCH($Q$4,[1]!CurveType,0))</f>
        <v>0.0075</v>
      </c>
      <c r="R186" s="148" t="n">
        <v>0</v>
      </c>
      <c r="S186" s="151" t="n">
        <f aca="false">R186</f>
        <v>0</v>
      </c>
      <c r="T186" s="152"/>
      <c r="U186" s="153" t="n">
        <f aca="false">G186+J186</f>
        <v>5.5725</v>
      </c>
      <c r="V186" s="154"/>
      <c r="W186" s="155" t="n">
        <f aca="false">VLOOKUP($A186,[1]!CurveTable,MATCH($W$4,[1]!CurveType,0))+$W$9</f>
        <v>0.17</v>
      </c>
      <c r="X186" s="155" t="n">
        <f aca="false">VLOOKUP($A186,[1]!CurveTable,MATCH($X$4,[1]!CurveType,0))+$X$9</f>
        <v>0.175</v>
      </c>
      <c r="Y186" s="139" t="n">
        <f aca="false">SQRT((X186^2*($A186-$C$3)+W186^2*(DAY(EOMONTH(A186,0))/2))/$AN186)</f>
        <v>0.173385071957104</v>
      </c>
      <c r="Z186" s="152"/>
      <c r="AA186" s="153" t="n">
        <f aca="false">G186+P186+S186</f>
        <v>5.5165</v>
      </c>
      <c r="AB186" s="154"/>
      <c r="AC186" s="155" t="n">
        <f aca="false">VLOOKUP($A186,[1]!CurveTable,MATCH($AC$4,[1]!CurveType,0))+$AC$9</f>
        <v>0.17</v>
      </c>
      <c r="AD186" s="155" t="n">
        <f aca="false">VLOOKUP($A186,[1]!CurveTable,MATCH($AD$4,[1]!CurveType,0))+$AD$9</f>
        <v>0.175</v>
      </c>
      <c r="AE186" s="139" t="n">
        <f aca="false">SQRT((AD186^2*($A186-$C$3)+AC186^2*(DAY(EOMONTH(A186,0))/2))/$AN186)</f>
        <v>0.173385071957104</v>
      </c>
      <c r="AF186" s="152"/>
      <c r="AG186" s="156" t="n">
        <f aca="false">((Inputs!$F$20*(X186*AD186)*(A186-$C$3))+(Inputs!$F$19*W186*AC186*(DAY(EOMONTH(A186,0))/2)))/(AN186*Y186*AE186)</f>
        <v>0.75</v>
      </c>
      <c r="AH186" s="152"/>
      <c r="AI186" s="140" t="n">
        <f aca="false">Inputs!$B$15</f>
        <v>0.06</v>
      </c>
      <c r="AJ186" s="157"/>
      <c r="AK186" s="140" t="n">
        <f aca="false">IF((U186-AA186-AI186)&lt;0,0,(U186-AA186-AI186))</f>
        <v>0</v>
      </c>
      <c r="AL186" s="157"/>
      <c r="AM186" s="158" t="n">
        <f aca="false">WORKDAY(EOMONTH(A186-1,-1),0)</f>
        <v>43465</v>
      </c>
      <c r="AN186" s="159" t="n">
        <f aca="false">AM186-$C$3</f>
        <v>-2461</v>
      </c>
      <c r="AO186" s="159" t="n">
        <f aca="false">AO185</f>
        <v>1</v>
      </c>
      <c r="AP186" s="160"/>
      <c r="AQ186" s="161" t="e">
        <f aca="false">SPRDOPT(U186,AA186,AI186,AX186,X186,AD186,AG186,AN186,AO186,0)</f>
        <v>#NAME?</v>
      </c>
      <c r="AR186" s="162" t="e">
        <f aca="false">AQ186*C186</f>
        <v>#NAME?</v>
      </c>
      <c r="AS186" s="163" t="e">
        <f aca="false">AQ186-AK186</f>
        <v>#NAME?</v>
      </c>
      <c r="AU186" s="112" t="n">
        <f aca="false">A187-A186</f>
        <v>28</v>
      </c>
      <c r="AV186" s="164" t="n">
        <f aca="false">CHOOSE(F$3,A187+24,A186+14)</f>
        <v>43511</v>
      </c>
      <c r="AW186" s="49" t="n">
        <f aca="false">AV186-C$3</f>
        <v>-2415</v>
      </c>
      <c r="AX186" s="155" t="n">
        <f aca="false">VLOOKUP($A186,[1]!CurveTable,MATCH(AX$4,[1]!CurveType,0))</f>
        <v>0.0598709772826109</v>
      </c>
      <c r="AY186" s="165" t="n">
        <f aca="false">1/(1+CHOOSE(F$3,(AX187+(Inputs!$B$14/10000))/2,(AX186+(Inputs!$B$14/10000))/2))^(2*AW186/365.25)</f>
        <v>1.47705759048176</v>
      </c>
      <c r="AZ186" s="49" t="n">
        <f aca="false">IF(AND(mthbeg&lt;=A186,mthend&gt;=A186),1,0)</f>
        <v>0</v>
      </c>
      <c r="BA186" s="111" t="n">
        <f aca="false">AU186*AZ186</f>
        <v>0</v>
      </c>
      <c r="BC186" s="142" t="n">
        <f aca="false">E186*$D186</f>
        <v>0</v>
      </c>
      <c r="BD186" s="142" t="n">
        <f aca="false">F186*$D186</f>
        <v>0</v>
      </c>
      <c r="BE186" s="142" t="n">
        <f aca="false">G186*$D186</f>
        <v>0</v>
      </c>
      <c r="BF186" s="142" t="n">
        <f aca="false">H186*$D186</f>
        <v>0</v>
      </c>
      <c r="BG186" s="142" t="n">
        <f aca="false">I186*$D186</f>
        <v>0</v>
      </c>
      <c r="BH186" s="142" t="n">
        <f aca="false">J186*$D186</f>
        <v>0</v>
      </c>
      <c r="BI186" s="142" t="n">
        <f aca="false">K186*$D186</f>
        <v>0</v>
      </c>
      <c r="BJ186" s="142" t="n">
        <f aca="false">L186*$D186</f>
        <v>0</v>
      </c>
      <c r="BK186" s="142" t="n">
        <f aca="false">M186*$D186</f>
        <v>0</v>
      </c>
      <c r="BL186" s="142" t="n">
        <f aca="false">N186*$D186</f>
        <v>0</v>
      </c>
      <c r="BM186" s="142" t="n">
        <f aca="false">O186*$D186</f>
        <v>0</v>
      </c>
      <c r="BN186" s="142" t="n">
        <f aca="false">P186*$D186</f>
        <v>0</v>
      </c>
      <c r="BO186" s="142" t="n">
        <f aca="false">Q186*$D186</f>
        <v>0</v>
      </c>
      <c r="BP186" s="142" t="n">
        <f aca="false">R186*$D186</f>
        <v>0</v>
      </c>
      <c r="BQ186" s="142" t="n">
        <f aca="false">S186*$D186</f>
        <v>0</v>
      </c>
      <c r="BR186" s="142" t="n">
        <f aca="false">U186*$D186</f>
        <v>0</v>
      </c>
      <c r="BS186" s="142" t="n">
        <f aca="false">AA186*$D186</f>
        <v>0</v>
      </c>
      <c r="BT186" s="142" t="n">
        <f aca="false">AI186*$D186</f>
        <v>0</v>
      </c>
      <c r="BU186" s="142" t="n">
        <f aca="false">AK186*D186</f>
        <v>0</v>
      </c>
    </row>
    <row r="187" customFormat="false" ht="12.75" hidden="false" customHeight="false" outlineLevel="0" collapsed="false">
      <c r="A187" s="144" t="n">
        <f aca="false">EDATE(A186,1)</f>
        <v>43525</v>
      </c>
      <c r="B187" s="145" t="n">
        <f aca="false">Inputs!$B$8</f>
        <v>50000</v>
      </c>
      <c r="C187" s="146" t="n">
        <f aca="false">IF(AZ187=0,0,IF(AND(AZ187=1,$H$3=1),B187*AU187,IF($H$3=2,B187,"N/A")))</f>
        <v>0</v>
      </c>
      <c r="D187" s="146" t="n">
        <f aca="false">C187*AY187</f>
        <v>0</v>
      </c>
      <c r="E187" s="147" t="n">
        <f aca="false">VLOOKUP($A187,[1]!CurveTable,MATCH($E$4,[1]!CurveType,0))</f>
        <v>5.3035</v>
      </c>
      <c r="F187" s="148" t="n">
        <f aca="false">E187-Inputs!$B$16</f>
        <v>5.3585</v>
      </c>
      <c r="G187" s="149" t="n">
        <f aca="false">F187</f>
        <v>5.3585</v>
      </c>
      <c r="H187" s="147" t="n">
        <f aca="false">VLOOKUP($A187,[1]!CurveTable,MATCH($H$4,[1]!CurveType,0))</f>
        <v>0.115</v>
      </c>
      <c r="I187" s="148" t="n">
        <f aca="false">H187+Inputs!$B$22</f>
        <v>0.115</v>
      </c>
      <c r="J187" s="150" t="n">
        <f aca="false">I187</f>
        <v>0.115</v>
      </c>
      <c r="K187" s="147" t="n">
        <f aca="false">VLOOKUP($A187,[1]!CurveTable,MATCH($K$4,[1]!CurveType,0))</f>
        <v>0</v>
      </c>
      <c r="L187" s="148" t="n">
        <v>0</v>
      </c>
      <c r="M187" s="151" t="n">
        <f aca="false">L187</f>
        <v>0</v>
      </c>
      <c r="N187" s="147" t="n">
        <f aca="false">VLOOKUP($A187,[1]!CurveTable,MATCH($N$4,[1]!CurveType,0))</f>
        <v>0.023</v>
      </c>
      <c r="O187" s="148" t="n">
        <f aca="false">N187+Inputs!$E$22</f>
        <v>0.023</v>
      </c>
      <c r="P187" s="151" t="n">
        <f aca="false">O187</f>
        <v>0.023</v>
      </c>
      <c r="Q187" s="147" t="n">
        <f aca="false">VLOOKUP($A187,[1]!CurveTable,MATCH($Q$4,[1]!CurveType,0))</f>
        <v>0.0075</v>
      </c>
      <c r="R187" s="148" t="n">
        <v>0</v>
      </c>
      <c r="S187" s="151" t="n">
        <f aca="false">R187</f>
        <v>0</v>
      </c>
      <c r="T187" s="152"/>
      <c r="U187" s="153" t="n">
        <f aca="false">G187+J187</f>
        <v>5.4735</v>
      </c>
      <c r="V187" s="154"/>
      <c r="W187" s="155" t="n">
        <f aca="false">VLOOKUP($A187,[1]!CurveTable,MATCH($W$4,[1]!CurveType,0))+$W$9</f>
        <v>0.17</v>
      </c>
      <c r="X187" s="155" t="n">
        <f aca="false">VLOOKUP($A187,[1]!CurveTable,MATCH($X$4,[1]!CurveType,0))+$X$9</f>
        <v>0.175</v>
      </c>
      <c r="Y187" s="139" t="n">
        <f aca="false">SQRT((X187^2*($A187-$C$3)+W187^2*(DAY(EOMONTH(A187,0))/2))/$AN187)</f>
        <v>0.173421956214083</v>
      </c>
      <c r="Z187" s="152"/>
      <c r="AA187" s="153" t="n">
        <f aca="false">G187+P187+S187</f>
        <v>5.3815</v>
      </c>
      <c r="AB187" s="154"/>
      <c r="AC187" s="155" t="n">
        <f aca="false">VLOOKUP($A187,[1]!CurveTable,MATCH($AC$4,[1]!CurveType,0))+$AC$9</f>
        <v>0.17</v>
      </c>
      <c r="AD187" s="155" t="n">
        <f aca="false">VLOOKUP($A187,[1]!CurveTable,MATCH($AD$4,[1]!CurveType,0))+$AD$9</f>
        <v>0.175</v>
      </c>
      <c r="AE187" s="139" t="n">
        <f aca="false">SQRT((AD187^2*($A187-$C$3)+AC187^2*(DAY(EOMONTH(A187,0))/2))/$AN187)</f>
        <v>0.173421956214083</v>
      </c>
      <c r="AF187" s="152"/>
      <c r="AG187" s="156" t="n">
        <f aca="false">((Inputs!$F$20*(X187*AD187)*(A187-$C$3))+(Inputs!$F$19*W187*AC187*(DAY(EOMONTH(A187,0))/2)))/(AN187*Y187*AE187)</f>
        <v>0.75</v>
      </c>
      <c r="AH187" s="152"/>
      <c r="AI187" s="140" t="n">
        <f aca="false">Inputs!$B$15</f>
        <v>0.06</v>
      </c>
      <c r="AJ187" s="157"/>
      <c r="AK187" s="140" t="n">
        <f aca="false">IF((U187-AA187-AI187)&lt;0,0,(U187-AA187-AI187))</f>
        <v>0.0320000000000005</v>
      </c>
      <c r="AL187" s="157"/>
      <c r="AM187" s="158" t="n">
        <f aca="false">WORKDAY(EOMONTH(A187-1,-1),0)</f>
        <v>43496</v>
      </c>
      <c r="AN187" s="159" t="n">
        <f aca="false">AM187-$C$3</f>
        <v>-2430</v>
      </c>
      <c r="AO187" s="159" t="n">
        <f aca="false">AO186</f>
        <v>1</v>
      </c>
      <c r="AP187" s="160"/>
      <c r="AQ187" s="161" t="e">
        <f aca="false">SPRDOPT(U187,AA187,AI187,AX187,X187,AD187,AG187,AN187,AO187,0)</f>
        <v>#NAME?</v>
      </c>
      <c r="AR187" s="162" t="e">
        <f aca="false">AQ187*C187</f>
        <v>#NAME?</v>
      </c>
      <c r="AS187" s="163" t="e">
        <f aca="false">AQ187-AK187</f>
        <v>#NAME?</v>
      </c>
      <c r="AU187" s="112" t="n">
        <f aca="false">A188-A187</f>
        <v>31</v>
      </c>
      <c r="AV187" s="164" t="n">
        <f aca="false">CHOOSE(F$3,A188+24,A187+14)</f>
        <v>43539</v>
      </c>
      <c r="AW187" s="49" t="n">
        <f aca="false">AV187-C$3</f>
        <v>-2387</v>
      </c>
      <c r="AX187" s="155" t="n">
        <f aca="false">VLOOKUP($A187,[1]!CurveTable,MATCH(AX$4,[1]!CurveType,0))</f>
        <v>0.0599235565816967</v>
      </c>
      <c r="AY187" s="165" t="n">
        <f aca="false">1/(1+CHOOSE(F$3,(AX188+(Inputs!$B$14/10000))/2,(AX187+(Inputs!$B$14/10000))/2))^(2*AW187/365.25)</f>
        <v>1.47088355717255</v>
      </c>
      <c r="AZ187" s="49" t="n">
        <f aca="false">IF(AND(mthbeg&lt;=A187,mthend&gt;=A187),1,0)</f>
        <v>0</v>
      </c>
      <c r="BA187" s="111" t="n">
        <f aca="false">AU187*AZ187</f>
        <v>0</v>
      </c>
      <c r="BC187" s="142" t="n">
        <f aca="false">E187*$D187</f>
        <v>0</v>
      </c>
      <c r="BD187" s="142" t="n">
        <f aca="false">F187*$D187</f>
        <v>0</v>
      </c>
      <c r="BE187" s="142" t="n">
        <f aca="false">G187*$D187</f>
        <v>0</v>
      </c>
      <c r="BF187" s="142" t="n">
        <f aca="false">H187*$D187</f>
        <v>0</v>
      </c>
      <c r="BG187" s="142" t="n">
        <f aca="false">I187*$D187</f>
        <v>0</v>
      </c>
      <c r="BH187" s="142" t="n">
        <f aca="false">J187*$D187</f>
        <v>0</v>
      </c>
      <c r="BI187" s="142" t="n">
        <f aca="false">K187*$D187</f>
        <v>0</v>
      </c>
      <c r="BJ187" s="142" t="n">
        <f aca="false">L187*$D187</f>
        <v>0</v>
      </c>
      <c r="BK187" s="142" t="n">
        <f aca="false">M187*$D187</f>
        <v>0</v>
      </c>
      <c r="BL187" s="142" t="n">
        <f aca="false">N187*$D187</f>
        <v>0</v>
      </c>
      <c r="BM187" s="142" t="n">
        <f aca="false">O187*$D187</f>
        <v>0</v>
      </c>
      <c r="BN187" s="142" t="n">
        <f aca="false">P187*$D187</f>
        <v>0</v>
      </c>
      <c r="BO187" s="142" t="n">
        <f aca="false">Q187*$D187</f>
        <v>0</v>
      </c>
      <c r="BP187" s="142" t="n">
        <f aca="false">R187*$D187</f>
        <v>0</v>
      </c>
      <c r="BQ187" s="142" t="n">
        <f aca="false">S187*$D187</f>
        <v>0</v>
      </c>
      <c r="BR187" s="142" t="n">
        <f aca="false">U187*$D187</f>
        <v>0</v>
      </c>
      <c r="BS187" s="142" t="n">
        <f aca="false">AA187*$D187</f>
        <v>0</v>
      </c>
      <c r="BT187" s="142" t="n">
        <f aca="false">AI187*$D187</f>
        <v>0</v>
      </c>
      <c r="BU187" s="142" t="n">
        <f aca="false">AK187*D187</f>
        <v>0</v>
      </c>
    </row>
    <row r="188" customFormat="false" ht="12.75" hidden="false" customHeight="false" outlineLevel="0" collapsed="false">
      <c r="A188" s="144" t="n">
        <f aca="false">EDATE(A187,1)</f>
        <v>43556</v>
      </c>
      <c r="B188" s="145" t="n">
        <f aca="false">Inputs!$B$8</f>
        <v>50000</v>
      </c>
      <c r="C188" s="146" t="n">
        <f aca="false">IF(AZ188=0,0,IF(AND(AZ188=1,$H$3=1),B188*AU188,IF($H$3=2,B188,"N/A")))</f>
        <v>0</v>
      </c>
      <c r="D188" s="146" t="n">
        <f aca="false">C188*AY188</f>
        <v>0</v>
      </c>
      <c r="E188" s="147" t="n">
        <f aca="false">VLOOKUP($A188,[1]!CurveTable,MATCH($E$4,[1]!CurveType,0))</f>
        <v>5.1495</v>
      </c>
      <c r="F188" s="148" t="n">
        <f aca="false">E188-Inputs!$B$16</f>
        <v>5.2045</v>
      </c>
      <c r="G188" s="149" t="n">
        <f aca="false">F188</f>
        <v>5.2045</v>
      </c>
      <c r="H188" s="147" t="n">
        <f aca="false">VLOOKUP($A188,[1]!CurveTable,MATCH($H$4,[1]!CurveType,0))</f>
        <v>0.55</v>
      </c>
      <c r="I188" s="148" t="n">
        <f aca="false">H188+Inputs!$B$22</f>
        <v>0.55</v>
      </c>
      <c r="J188" s="150" t="n">
        <f aca="false">I188</f>
        <v>0.55</v>
      </c>
      <c r="K188" s="147" t="n">
        <f aca="false">VLOOKUP($A188,[1]!CurveTable,MATCH($K$4,[1]!CurveType,0))</f>
        <v>0</v>
      </c>
      <c r="L188" s="148" t="n">
        <v>0</v>
      </c>
      <c r="M188" s="151" t="n">
        <f aca="false">L188</f>
        <v>0</v>
      </c>
      <c r="N188" s="147" t="n">
        <f aca="false">VLOOKUP($A188,[1]!CurveTable,MATCH($N$4,[1]!CurveType,0))</f>
        <v>0.023</v>
      </c>
      <c r="O188" s="148" t="n">
        <f aca="false">N188+Inputs!$E$22</f>
        <v>0.023</v>
      </c>
      <c r="P188" s="151" t="n">
        <f aca="false">O188</f>
        <v>0.023</v>
      </c>
      <c r="Q188" s="147" t="n">
        <f aca="false">VLOOKUP($A188,[1]!CurveTable,MATCH($Q$4,[1]!CurveType,0))</f>
        <v>0.01</v>
      </c>
      <c r="R188" s="148" t="n">
        <v>0</v>
      </c>
      <c r="S188" s="151" t="n">
        <f aca="false">R188</f>
        <v>0</v>
      </c>
      <c r="T188" s="152"/>
      <c r="U188" s="153" t="n">
        <f aca="false">G188+J188</f>
        <v>5.7545</v>
      </c>
      <c r="V188" s="154"/>
      <c r="W188" s="155" t="n">
        <f aca="false">VLOOKUP($A188,[1]!CurveTable,MATCH($W$4,[1]!CurveType,0))+$W$9</f>
        <v>0.17</v>
      </c>
      <c r="X188" s="155" t="n">
        <f aca="false">VLOOKUP($A188,[1]!CurveTable,MATCH($X$4,[1]!CurveType,0))+$X$9</f>
        <v>0.175</v>
      </c>
      <c r="Y188" s="139" t="n">
        <f aca="false">SQRT((X188^2*($A188-$C$3)+W188^2*(DAY(EOMONTH(A188,0))/2))/$AN188)</f>
        <v>0.173310507634764</v>
      </c>
      <c r="Z188" s="152"/>
      <c r="AA188" s="153" t="n">
        <f aca="false">G188+P188+S188</f>
        <v>5.2275</v>
      </c>
      <c r="AB188" s="154"/>
      <c r="AC188" s="155" t="n">
        <f aca="false">VLOOKUP($A188,[1]!CurveTable,MATCH($AC$4,[1]!CurveType,0))+$AC$9</f>
        <v>0.17</v>
      </c>
      <c r="AD188" s="155" t="n">
        <f aca="false">VLOOKUP($A188,[1]!CurveTable,MATCH($AD$4,[1]!CurveType,0))+$AD$9</f>
        <v>0.175</v>
      </c>
      <c r="AE188" s="139" t="n">
        <f aca="false">SQRT((AD188^2*($A188-$C$3)+AC188^2*(DAY(EOMONTH(A188,0))/2))/$AN188)</f>
        <v>0.173310507634764</v>
      </c>
      <c r="AF188" s="152"/>
      <c r="AG188" s="156" t="n">
        <f aca="false">((Inputs!$F$20*(X188*AD188)*(A188-$C$3))+(Inputs!$F$19*W188*AC188*(DAY(EOMONTH(A188,0))/2)))/(AN188*Y188*AE188)</f>
        <v>0.75</v>
      </c>
      <c r="AH188" s="152"/>
      <c r="AI188" s="140" t="n">
        <f aca="false">Inputs!$B$15</f>
        <v>0.06</v>
      </c>
      <c r="AJ188" s="157"/>
      <c r="AK188" s="140" t="n">
        <f aca="false">IF((U188-AA188-AI188)&lt;0,0,(U188-AA188-AI188))</f>
        <v>0.467</v>
      </c>
      <c r="AL188" s="157"/>
      <c r="AM188" s="158" t="n">
        <f aca="false">WORKDAY(EOMONTH(A188-1,-1),0)</f>
        <v>43524</v>
      </c>
      <c r="AN188" s="159" t="n">
        <f aca="false">AM188-$C$3</f>
        <v>-2402</v>
      </c>
      <c r="AO188" s="159" t="n">
        <f aca="false">AO187</f>
        <v>1</v>
      </c>
      <c r="AP188" s="160"/>
      <c r="AQ188" s="161" t="e">
        <f aca="false">SPRDOPT(U188,AA188,AI188,AX188,X188,AD188,AG188,AN188,AO188,0)</f>
        <v>#NAME?</v>
      </c>
      <c r="AR188" s="162" t="e">
        <f aca="false">AQ188*C188</f>
        <v>#NAME?</v>
      </c>
      <c r="AS188" s="163" t="e">
        <f aca="false">AQ188-AK188</f>
        <v>#NAME?</v>
      </c>
      <c r="AU188" s="112" t="n">
        <f aca="false">A189-A188</f>
        <v>30</v>
      </c>
      <c r="AV188" s="164" t="n">
        <f aca="false">CHOOSE(F$3,A189+24,A188+14)</f>
        <v>43570</v>
      </c>
      <c r="AW188" s="49" t="n">
        <f aca="false">AV188-C$3</f>
        <v>-2356</v>
      </c>
      <c r="AX188" s="155" t="n">
        <f aca="false">VLOOKUP($A188,[1]!CurveTable,MATCH(AX$4,[1]!CurveType,0))</f>
        <v>0.0599817693781848</v>
      </c>
      <c r="AY188" s="165" t="n">
        <f aca="false">1/(1+CHOOSE(F$3,(AX189+(Inputs!$B$14/10000))/2,(AX188+(Inputs!$B$14/10000))/2))^(2*AW188/365.25)</f>
        <v>1.46406473755538</v>
      </c>
      <c r="AZ188" s="49" t="n">
        <f aca="false">IF(AND(mthbeg&lt;=A188,mthend&gt;=A188),1,0)</f>
        <v>0</v>
      </c>
      <c r="BA188" s="111" t="n">
        <f aca="false">AU188*AZ188</f>
        <v>0</v>
      </c>
      <c r="BC188" s="142" t="n">
        <f aca="false">E188*$D188</f>
        <v>0</v>
      </c>
      <c r="BD188" s="142" t="n">
        <f aca="false">F188*$D188</f>
        <v>0</v>
      </c>
      <c r="BE188" s="142" t="n">
        <f aca="false">G188*$D188</f>
        <v>0</v>
      </c>
      <c r="BF188" s="142" t="n">
        <f aca="false">H188*$D188</f>
        <v>0</v>
      </c>
      <c r="BG188" s="142" t="n">
        <f aca="false">I188*$D188</f>
        <v>0</v>
      </c>
      <c r="BH188" s="142" t="n">
        <f aca="false">J188*$D188</f>
        <v>0</v>
      </c>
      <c r="BI188" s="142" t="n">
        <f aca="false">K188*$D188</f>
        <v>0</v>
      </c>
      <c r="BJ188" s="142" t="n">
        <f aca="false">L188*$D188</f>
        <v>0</v>
      </c>
      <c r="BK188" s="142" t="n">
        <f aca="false">M188*$D188</f>
        <v>0</v>
      </c>
      <c r="BL188" s="142" t="n">
        <f aca="false">N188*$D188</f>
        <v>0</v>
      </c>
      <c r="BM188" s="142" t="n">
        <f aca="false">O188*$D188</f>
        <v>0</v>
      </c>
      <c r="BN188" s="142" t="n">
        <f aca="false">P188*$D188</f>
        <v>0</v>
      </c>
      <c r="BO188" s="142" t="n">
        <f aca="false">Q188*$D188</f>
        <v>0</v>
      </c>
      <c r="BP188" s="142" t="n">
        <f aca="false">R188*$D188</f>
        <v>0</v>
      </c>
      <c r="BQ188" s="142" t="n">
        <f aca="false">S188*$D188</f>
        <v>0</v>
      </c>
      <c r="BR188" s="142" t="n">
        <f aca="false">U188*$D188</f>
        <v>0</v>
      </c>
      <c r="BS188" s="142" t="n">
        <f aca="false">AA188*$D188</f>
        <v>0</v>
      </c>
      <c r="BT188" s="142" t="n">
        <f aca="false">AI188*$D188</f>
        <v>0</v>
      </c>
      <c r="BU188" s="142" t="n">
        <f aca="false">AK188*D188</f>
        <v>0</v>
      </c>
    </row>
    <row r="189" customFormat="false" ht="12.75" hidden="false" customHeight="false" outlineLevel="0" collapsed="false">
      <c r="A189" s="144" t="n">
        <f aca="false">EDATE(A188,1)</f>
        <v>43586</v>
      </c>
      <c r="B189" s="145" t="n">
        <f aca="false">Inputs!$B$8</f>
        <v>50000</v>
      </c>
      <c r="C189" s="146" t="n">
        <f aca="false">IF(AZ189=0,0,IF(AND(AZ189=1,$H$3=1),B189*AU189,IF($H$3=2,B189,"N/A")))</f>
        <v>0</v>
      </c>
      <c r="D189" s="146" t="n">
        <f aca="false">C189*AY189</f>
        <v>0</v>
      </c>
      <c r="E189" s="147" t="n">
        <f aca="false">VLOOKUP($A189,[1]!CurveTable,MATCH($E$4,[1]!CurveType,0))</f>
        <v>5.1545</v>
      </c>
      <c r="F189" s="148" t="n">
        <f aca="false">E189-Inputs!$B$16</f>
        <v>5.2095</v>
      </c>
      <c r="G189" s="149" t="n">
        <f aca="false">F189</f>
        <v>5.2095</v>
      </c>
      <c r="H189" s="147" t="n">
        <f aca="false">VLOOKUP($A189,[1]!CurveTable,MATCH($H$4,[1]!CurveType,0))</f>
        <v>0.7</v>
      </c>
      <c r="I189" s="148" t="n">
        <f aca="false">H189+Inputs!$B$22</f>
        <v>0.7</v>
      </c>
      <c r="J189" s="150" t="n">
        <f aca="false">I189</f>
        <v>0.7</v>
      </c>
      <c r="K189" s="147" t="n">
        <f aca="false">VLOOKUP($A189,[1]!CurveTable,MATCH($K$4,[1]!CurveType,0))</f>
        <v>0</v>
      </c>
      <c r="L189" s="148" t="n">
        <v>0</v>
      </c>
      <c r="M189" s="151" t="n">
        <f aca="false">L189</f>
        <v>0</v>
      </c>
      <c r="N189" s="147" t="n">
        <f aca="false">VLOOKUP($A189,[1]!CurveTable,MATCH($N$4,[1]!CurveType,0))</f>
        <v>0.0255</v>
      </c>
      <c r="O189" s="148" t="n">
        <f aca="false">N189+Inputs!$E$22</f>
        <v>0.0255</v>
      </c>
      <c r="P189" s="151" t="n">
        <f aca="false">O189</f>
        <v>0.0255</v>
      </c>
      <c r="Q189" s="147" t="n">
        <f aca="false">VLOOKUP($A189,[1]!CurveTable,MATCH($Q$4,[1]!CurveType,0))</f>
        <v>0.01</v>
      </c>
      <c r="R189" s="148" t="n">
        <v>0</v>
      </c>
      <c r="S189" s="151" t="n">
        <f aca="false">R189</f>
        <v>0</v>
      </c>
      <c r="T189" s="152"/>
      <c r="U189" s="153" t="n">
        <f aca="false">G189+J189</f>
        <v>5.9095</v>
      </c>
      <c r="V189" s="154"/>
      <c r="W189" s="155" t="n">
        <f aca="false">VLOOKUP($A189,[1]!CurveTable,MATCH($W$4,[1]!CurveType,0))+$W$9</f>
        <v>0.34</v>
      </c>
      <c r="X189" s="155" t="n">
        <f aca="false">VLOOKUP($A189,[1]!CurveTable,MATCH($X$4,[1]!CurveType,0))+$X$9</f>
        <v>0.345</v>
      </c>
      <c r="Y189" s="139" t="n">
        <f aca="false">SQRT((X189^2*($A189-$C$3)+W189^2*(DAY(EOMONTH(A189,0))/2))/$AN189)</f>
        <v>0.341632953112029</v>
      </c>
      <c r="Z189" s="152"/>
      <c r="AA189" s="153" t="n">
        <f aca="false">G189+P189+S189</f>
        <v>5.235</v>
      </c>
      <c r="AB189" s="154"/>
      <c r="AC189" s="155" t="n">
        <f aca="false">VLOOKUP($A189,[1]!CurveTable,MATCH($AC$4,[1]!CurveType,0))+$AC$9</f>
        <v>0.17</v>
      </c>
      <c r="AD189" s="155" t="n">
        <f aca="false">VLOOKUP($A189,[1]!CurveTable,MATCH($AD$4,[1]!CurveType,0))+$AD$9</f>
        <v>0.175</v>
      </c>
      <c r="AE189" s="139" t="n">
        <f aca="false">SQRT((AD189^2*($A189-$C$3)+AC189^2*(DAY(EOMONTH(A189,0))/2))/$AN189)</f>
        <v>0.173307991907606</v>
      </c>
      <c r="AF189" s="152"/>
      <c r="AG189" s="156" t="n">
        <f aca="false">((Inputs!$F$20*(X189*AD189)*(A189-$C$3))+(Inputs!$F$19*W189*AC189*(DAY(EOMONTH(A189,0))/2)))/(AN189*Y189*AE189)</f>
        <v>0.750000498651043</v>
      </c>
      <c r="AH189" s="152"/>
      <c r="AI189" s="140" t="n">
        <f aca="false">Inputs!$B$15</f>
        <v>0.06</v>
      </c>
      <c r="AJ189" s="157"/>
      <c r="AK189" s="140" t="n">
        <f aca="false">IF((U189-AA189-AI189)&lt;0,0,(U189-AA189-AI189))</f>
        <v>0.6145</v>
      </c>
      <c r="AL189" s="157"/>
      <c r="AM189" s="158" t="n">
        <f aca="false">WORKDAY(EOMONTH(A189-1,-1),0)</f>
        <v>43555</v>
      </c>
      <c r="AN189" s="159" t="n">
        <f aca="false">AM189-$C$3</f>
        <v>-2371</v>
      </c>
      <c r="AO189" s="159" t="n">
        <f aca="false">AO188</f>
        <v>1</v>
      </c>
      <c r="AP189" s="160"/>
      <c r="AQ189" s="161" t="e">
        <f aca="false">SPRDOPT(U189,AA189,AI189,AX189,X189,AD189,AG189,AN189,AO189,0)</f>
        <v>#NAME?</v>
      </c>
      <c r="AR189" s="162" t="e">
        <f aca="false">AQ189*C189</f>
        <v>#NAME?</v>
      </c>
      <c r="AS189" s="163" t="e">
        <f aca="false">AQ189-AK189</f>
        <v>#NAME?</v>
      </c>
      <c r="AU189" s="112" t="n">
        <f aca="false">A190-A189</f>
        <v>31</v>
      </c>
      <c r="AV189" s="164" t="n">
        <f aca="false">CHOOSE(F$3,A190+24,A189+14)</f>
        <v>43600</v>
      </c>
      <c r="AW189" s="49" t="n">
        <f aca="false">AV189-C$3</f>
        <v>-2326</v>
      </c>
      <c r="AX189" s="155" t="n">
        <f aca="false">VLOOKUP($A189,[1]!CurveTable,MATCH(AX$4,[1]!CurveType,0))</f>
        <v>0.0600381043436</v>
      </c>
      <c r="AY189" s="165" t="n">
        <f aca="false">1/(1+CHOOSE(F$3,(AX190+(Inputs!$B$14/10000))/2,(AX189+(Inputs!$B$14/10000))/2))^(2*AW189/365.25)</f>
        <v>1.45748265166304</v>
      </c>
      <c r="AZ189" s="49" t="n">
        <f aca="false">IF(AND(mthbeg&lt;=A189,mthend&gt;=A189),1,0)</f>
        <v>0</v>
      </c>
      <c r="BA189" s="111" t="n">
        <f aca="false">AU189*AZ189</f>
        <v>0</v>
      </c>
      <c r="BC189" s="142" t="n">
        <f aca="false">E189*$D189</f>
        <v>0</v>
      </c>
      <c r="BD189" s="142" t="n">
        <f aca="false">F189*$D189</f>
        <v>0</v>
      </c>
      <c r="BE189" s="142" t="n">
        <f aca="false">G189*$D189</f>
        <v>0</v>
      </c>
      <c r="BF189" s="142" t="n">
        <f aca="false">H189*$D189</f>
        <v>0</v>
      </c>
      <c r="BG189" s="142" t="n">
        <f aca="false">I189*$D189</f>
        <v>0</v>
      </c>
      <c r="BH189" s="142" t="n">
        <f aca="false">J189*$D189</f>
        <v>0</v>
      </c>
      <c r="BI189" s="142" t="n">
        <f aca="false">K189*$D189</f>
        <v>0</v>
      </c>
      <c r="BJ189" s="142" t="n">
        <f aca="false">L189*$D189</f>
        <v>0</v>
      </c>
      <c r="BK189" s="142" t="n">
        <f aca="false">M189*$D189</f>
        <v>0</v>
      </c>
      <c r="BL189" s="142" t="n">
        <f aca="false">N189*$D189</f>
        <v>0</v>
      </c>
      <c r="BM189" s="142" t="n">
        <f aca="false">O189*$D189</f>
        <v>0</v>
      </c>
      <c r="BN189" s="142" t="n">
        <f aca="false">P189*$D189</f>
        <v>0</v>
      </c>
      <c r="BO189" s="142" t="n">
        <f aca="false">Q189*$D189</f>
        <v>0</v>
      </c>
      <c r="BP189" s="142" t="n">
        <f aca="false">R189*$D189</f>
        <v>0</v>
      </c>
      <c r="BQ189" s="142" t="n">
        <f aca="false">S189*$D189</f>
        <v>0</v>
      </c>
      <c r="BR189" s="142" t="n">
        <f aca="false">U189*$D189</f>
        <v>0</v>
      </c>
      <c r="BS189" s="142" t="n">
        <f aca="false">AA189*$D189</f>
        <v>0</v>
      </c>
      <c r="BT189" s="142" t="n">
        <f aca="false">AI189*$D189</f>
        <v>0</v>
      </c>
      <c r="BU189" s="142" t="n">
        <f aca="false">AK189*D189</f>
        <v>0</v>
      </c>
    </row>
    <row r="190" customFormat="false" ht="12.75" hidden="false" customHeight="false" outlineLevel="0" collapsed="false">
      <c r="A190" s="144" t="n">
        <f aca="false">EDATE(A189,1)</f>
        <v>43617</v>
      </c>
      <c r="B190" s="145" t="n">
        <f aca="false">Inputs!$B$8</f>
        <v>50000</v>
      </c>
      <c r="C190" s="146" t="n">
        <f aca="false">IF(AZ190=0,0,IF(AND(AZ190=1,$H$3=1),B190*AU190,IF($H$3=2,B190,"N/A")))</f>
        <v>0</v>
      </c>
      <c r="D190" s="146" t="n">
        <f aca="false">C190*AY190</f>
        <v>0</v>
      </c>
      <c r="E190" s="147" t="n">
        <f aca="false">VLOOKUP($A190,[1]!CurveTable,MATCH($E$4,[1]!CurveType,0))</f>
        <v>5.1925</v>
      </c>
      <c r="F190" s="148" t="n">
        <f aca="false">E190-Inputs!$B$16</f>
        <v>5.2475</v>
      </c>
      <c r="G190" s="149" t="n">
        <f aca="false">F190</f>
        <v>5.2475</v>
      </c>
      <c r="H190" s="147" t="n">
        <f aca="false">VLOOKUP($A190,[1]!CurveTable,MATCH($H$4,[1]!CurveType,0))</f>
        <v>0.8</v>
      </c>
      <c r="I190" s="148" t="n">
        <f aca="false">H190+Inputs!$B$22</f>
        <v>0.8</v>
      </c>
      <c r="J190" s="150" t="n">
        <f aca="false">I190</f>
        <v>0.8</v>
      </c>
      <c r="K190" s="147" t="n">
        <f aca="false">VLOOKUP($A190,[1]!CurveTable,MATCH($K$4,[1]!CurveType,0))</f>
        <v>0</v>
      </c>
      <c r="L190" s="148" t="n">
        <v>0</v>
      </c>
      <c r="M190" s="151" t="n">
        <f aca="false">L190</f>
        <v>0</v>
      </c>
      <c r="N190" s="147" t="n">
        <f aca="false">VLOOKUP($A190,[1]!CurveTable,MATCH($N$4,[1]!CurveType,0))</f>
        <v>0.023</v>
      </c>
      <c r="O190" s="148" t="n">
        <f aca="false">N190+Inputs!$E$22</f>
        <v>0.023</v>
      </c>
      <c r="P190" s="151" t="n">
        <f aca="false">O190</f>
        <v>0.023</v>
      </c>
      <c r="Q190" s="147" t="n">
        <f aca="false">VLOOKUP($A190,[1]!CurveTable,MATCH($Q$4,[1]!CurveType,0))</f>
        <v>0.01</v>
      </c>
      <c r="R190" s="148" t="n">
        <v>0</v>
      </c>
      <c r="S190" s="151" t="n">
        <f aca="false">R190</f>
        <v>0</v>
      </c>
      <c r="T190" s="152"/>
      <c r="U190" s="153" t="n">
        <f aca="false">G190+J190</f>
        <v>6.0475</v>
      </c>
      <c r="V190" s="154"/>
      <c r="W190" s="155" t="n">
        <f aca="false">VLOOKUP($A190,[1]!CurveTable,MATCH($W$4,[1]!CurveType,0))+$W$9</f>
        <v>0.34</v>
      </c>
      <c r="X190" s="155" t="n">
        <f aca="false">VLOOKUP($A190,[1]!CurveTable,MATCH($X$4,[1]!CurveType,0))+$X$9</f>
        <v>0.345</v>
      </c>
      <c r="Y190" s="139" t="n">
        <f aca="false">SQRT((X190^2*($A190-$C$3)+W190^2*(DAY(EOMONTH(A190,0))/2))/$AN190)</f>
        <v>0.341551304918455</v>
      </c>
      <c r="Z190" s="152"/>
      <c r="AA190" s="153" t="n">
        <f aca="false">G190+P190+S190</f>
        <v>5.2705</v>
      </c>
      <c r="AB190" s="154"/>
      <c r="AC190" s="155" t="n">
        <f aca="false">VLOOKUP($A190,[1]!CurveTable,MATCH($AC$4,[1]!CurveType,0))+$AC$9</f>
        <v>0.17</v>
      </c>
      <c r="AD190" s="155" t="n">
        <f aca="false">VLOOKUP($A190,[1]!CurveTable,MATCH($AD$4,[1]!CurveType,0))+$AD$9</f>
        <v>0.175</v>
      </c>
      <c r="AE190" s="139" t="n">
        <f aca="false">SQRT((AD190^2*($A190-$C$3)+AC190^2*(DAY(EOMONTH(A190,0))/2))/$AN190)</f>
        <v>0.173266263900088</v>
      </c>
      <c r="AF190" s="152"/>
      <c r="AG190" s="156" t="n">
        <f aca="false">((Inputs!$F$20*(X190*AD190)*(A190-$C$3))+(Inputs!$F$19*W190*AC190*(DAY(EOMONTH(A190,0))/2)))/(AN190*Y190*AE190)</f>
        <v>0.750000488924075</v>
      </c>
      <c r="AH190" s="152"/>
      <c r="AI190" s="140" t="n">
        <f aca="false">Inputs!$B$15</f>
        <v>0.06</v>
      </c>
      <c r="AJ190" s="157"/>
      <c r="AK190" s="140" t="n">
        <f aca="false">IF((U190-AA190-AI190)&lt;0,0,(U190-AA190-AI190))</f>
        <v>0.717</v>
      </c>
      <c r="AL190" s="157"/>
      <c r="AM190" s="158" t="n">
        <f aca="false">WORKDAY(EOMONTH(A190-1,-1),0)</f>
        <v>43585</v>
      </c>
      <c r="AN190" s="159" t="n">
        <f aca="false">AM190-$C$3</f>
        <v>-2341</v>
      </c>
      <c r="AO190" s="159" t="n">
        <f aca="false">AO189</f>
        <v>1</v>
      </c>
      <c r="AP190" s="160"/>
      <c r="AQ190" s="161" t="e">
        <f aca="false">SPRDOPT(U190,AA190,AI190,AX190,X190,AD190,AG190,AN190,AO190,0)</f>
        <v>#NAME?</v>
      </c>
      <c r="AR190" s="162" t="e">
        <f aca="false">AQ190*C190</f>
        <v>#NAME?</v>
      </c>
      <c r="AS190" s="163" t="e">
        <f aca="false">AQ190-AK190</f>
        <v>#NAME?</v>
      </c>
      <c r="AU190" s="112" t="n">
        <f aca="false">A191-A190</f>
        <v>30</v>
      </c>
      <c r="AV190" s="164" t="n">
        <f aca="false">CHOOSE(F$3,A191+24,A190+14)</f>
        <v>43631</v>
      </c>
      <c r="AW190" s="49" t="n">
        <f aca="false">AV190-C$3</f>
        <v>-2295</v>
      </c>
      <c r="AX190" s="155" t="n">
        <f aca="false">VLOOKUP($A190,[1]!CurveTable,MATCH(AX$4,[1]!CurveType,0))</f>
        <v>0.0600963171423037</v>
      </c>
      <c r="AY190" s="165" t="n">
        <f aca="false">1/(1+CHOOSE(F$3,(AX191+(Inputs!$B$14/10000))/2,(AX190+(Inputs!$B$14/10000))/2))^(2*AW190/365.25)</f>
        <v>1.45069854156216</v>
      </c>
      <c r="AZ190" s="49" t="n">
        <f aca="false">IF(AND(mthbeg&lt;=A190,mthend&gt;=A190),1,0)</f>
        <v>0</v>
      </c>
      <c r="BA190" s="111" t="n">
        <f aca="false">AU190*AZ190</f>
        <v>0</v>
      </c>
      <c r="BC190" s="142" t="n">
        <f aca="false">E190*$D190</f>
        <v>0</v>
      </c>
      <c r="BD190" s="142" t="n">
        <f aca="false">F190*$D190</f>
        <v>0</v>
      </c>
      <c r="BE190" s="142" t="n">
        <f aca="false">G190*$D190</f>
        <v>0</v>
      </c>
      <c r="BF190" s="142" t="n">
        <f aca="false">H190*$D190</f>
        <v>0</v>
      </c>
      <c r="BG190" s="142" t="n">
        <f aca="false">I190*$D190</f>
        <v>0</v>
      </c>
      <c r="BH190" s="142" t="n">
        <f aca="false">J190*$D190</f>
        <v>0</v>
      </c>
      <c r="BI190" s="142" t="n">
        <f aca="false">K190*$D190</f>
        <v>0</v>
      </c>
      <c r="BJ190" s="142" t="n">
        <f aca="false">L190*$D190</f>
        <v>0</v>
      </c>
      <c r="BK190" s="142" t="n">
        <f aca="false">M190*$D190</f>
        <v>0</v>
      </c>
      <c r="BL190" s="142" t="n">
        <f aca="false">N190*$D190</f>
        <v>0</v>
      </c>
      <c r="BM190" s="142" t="n">
        <f aca="false">O190*$D190</f>
        <v>0</v>
      </c>
      <c r="BN190" s="142" t="n">
        <f aca="false">P190*$D190</f>
        <v>0</v>
      </c>
      <c r="BO190" s="142" t="n">
        <f aca="false">Q190*$D190</f>
        <v>0</v>
      </c>
      <c r="BP190" s="142" t="n">
        <f aca="false">R190*$D190</f>
        <v>0</v>
      </c>
      <c r="BQ190" s="142" t="n">
        <f aca="false">S190*$D190</f>
        <v>0</v>
      </c>
      <c r="BR190" s="142" t="n">
        <f aca="false">U190*$D190</f>
        <v>0</v>
      </c>
      <c r="BS190" s="142" t="n">
        <f aca="false">AA190*$D190</f>
        <v>0</v>
      </c>
      <c r="BT190" s="142" t="n">
        <f aca="false">AI190*$D190</f>
        <v>0</v>
      </c>
      <c r="BU190" s="142" t="n">
        <f aca="false">AK190*D190</f>
        <v>0</v>
      </c>
    </row>
    <row r="191" customFormat="false" ht="12.75" hidden="false" customHeight="false" outlineLevel="0" collapsed="false">
      <c r="A191" s="144" t="n">
        <f aca="false">EDATE(A190,1)</f>
        <v>43647</v>
      </c>
      <c r="B191" s="145" t="n">
        <f aca="false">Inputs!$B$8</f>
        <v>50000</v>
      </c>
      <c r="C191" s="146" t="n">
        <f aca="false">IF(AZ191=0,0,IF(AND(AZ191=1,$H$3=1),B191*AU191,IF($H$3=2,B191,"N/A")))</f>
        <v>0</v>
      </c>
      <c r="D191" s="146" t="n">
        <f aca="false">C191*AY191</f>
        <v>0</v>
      </c>
      <c r="E191" s="147" t="n">
        <f aca="false">VLOOKUP($A191,[1]!CurveTable,MATCH($E$4,[1]!CurveType,0))</f>
        <v>5.2375</v>
      </c>
      <c r="F191" s="148" t="n">
        <f aca="false">E191-Inputs!$B$16</f>
        <v>5.2925</v>
      </c>
      <c r="G191" s="149" t="n">
        <f aca="false">F191</f>
        <v>5.2925</v>
      </c>
      <c r="H191" s="147" t="n">
        <f aca="false">VLOOKUP($A191,[1]!CurveTable,MATCH($H$4,[1]!CurveType,0))</f>
        <v>1</v>
      </c>
      <c r="I191" s="148" t="n">
        <f aca="false">H191+Inputs!$B$22</f>
        <v>1</v>
      </c>
      <c r="J191" s="150" t="n">
        <f aca="false">I191</f>
        <v>1</v>
      </c>
      <c r="K191" s="147" t="n">
        <f aca="false">VLOOKUP($A191,[1]!CurveTable,MATCH($K$4,[1]!CurveType,0))</f>
        <v>0</v>
      </c>
      <c r="L191" s="148" t="n">
        <v>0</v>
      </c>
      <c r="M191" s="151" t="n">
        <f aca="false">L191</f>
        <v>0</v>
      </c>
      <c r="N191" s="147" t="n">
        <f aca="false">VLOOKUP($A191,[1]!CurveTable,MATCH($N$4,[1]!CurveType,0))</f>
        <v>0.0205</v>
      </c>
      <c r="O191" s="148" t="n">
        <f aca="false">N191+Inputs!$E$22</f>
        <v>0.0205</v>
      </c>
      <c r="P191" s="151" t="n">
        <f aca="false">O191</f>
        <v>0.0205</v>
      </c>
      <c r="Q191" s="147" t="n">
        <f aca="false">VLOOKUP($A191,[1]!CurveTable,MATCH($Q$4,[1]!CurveType,0))</f>
        <v>0.01</v>
      </c>
      <c r="R191" s="148" t="n">
        <v>0</v>
      </c>
      <c r="S191" s="151" t="n">
        <f aca="false">R191</f>
        <v>0</v>
      </c>
      <c r="T191" s="152"/>
      <c r="U191" s="153" t="n">
        <f aca="false">G191+J191</f>
        <v>6.2925</v>
      </c>
      <c r="V191" s="154"/>
      <c r="W191" s="155" t="n">
        <f aca="false">VLOOKUP($A191,[1]!CurveTable,MATCH($W$4,[1]!CurveType,0))+$W$9</f>
        <v>0.34</v>
      </c>
      <c r="X191" s="155" t="n">
        <f aca="false">VLOOKUP($A191,[1]!CurveTable,MATCH($X$4,[1]!CurveType,0))+$X$9</f>
        <v>0.345</v>
      </c>
      <c r="Y191" s="139" t="n">
        <f aca="false">SQRT((X191^2*($A191-$C$3)+W191^2*(DAY(EOMONTH(A191,0))/2))/$AN191)</f>
        <v>0.341543589911337</v>
      </c>
      <c r="Z191" s="152"/>
      <c r="AA191" s="153" t="n">
        <f aca="false">G191+P191+S191</f>
        <v>5.313</v>
      </c>
      <c r="AB191" s="154"/>
      <c r="AC191" s="155" t="n">
        <f aca="false">VLOOKUP($A191,[1]!CurveTable,MATCH($AC$4,[1]!CurveType,0))+$AC$9</f>
        <v>0.17</v>
      </c>
      <c r="AD191" s="155" t="n">
        <f aca="false">VLOOKUP($A191,[1]!CurveTable,MATCH($AD$4,[1]!CurveType,0))+$AD$9</f>
        <v>0.175</v>
      </c>
      <c r="AE191" s="139" t="n">
        <f aca="false">SQRT((AD191^2*($A191-$C$3)+AC191^2*(DAY(EOMONTH(A191,0))/2))/$AN191)</f>
        <v>0.173263087247681</v>
      </c>
      <c r="AF191" s="152"/>
      <c r="AG191" s="156" t="n">
        <f aca="false">((Inputs!$F$20*(X191*AD191)*(A191-$C$3))+(Inputs!$F$19*W191*AC191*(DAY(EOMONTH(A191,0))/2)))/(AN191*Y191*AE191)</f>
        <v>0.750000512172976</v>
      </c>
      <c r="AH191" s="152"/>
      <c r="AI191" s="140" t="n">
        <f aca="false">Inputs!$B$15</f>
        <v>0.06</v>
      </c>
      <c r="AJ191" s="157"/>
      <c r="AK191" s="140" t="n">
        <f aca="false">IF((U191-AA191-AI191)&lt;0,0,(U191-AA191-AI191))</f>
        <v>0.9195</v>
      </c>
      <c r="AL191" s="157"/>
      <c r="AM191" s="158" t="n">
        <f aca="false">WORKDAY(EOMONTH(A191-1,-1),0)</f>
        <v>43616</v>
      </c>
      <c r="AN191" s="159" t="n">
        <f aca="false">AM191-$C$3</f>
        <v>-2310</v>
      </c>
      <c r="AO191" s="159" t="n">
        <f aca="false">AO190</f>
        <v>1</v>
      </c>
      <c r="AP191" s="160"/>
      <c r="AQ191" s="161" t="e">
        <f aca="false">SPRDOPT(U191,AA191,AI191,AX191,X191,AD191,AG191,AN191,AO191,0)</f>
        <v>#NAME?</v>
      </c>
      <c r="AR191" s="162" t="e">
        <f aca="false">AQ191*C191</f>
        <v>#NAME?</v>
      </c>
      <c r="AS191" s="163" t="e">
        <f aca="false">AQ191-AK191</f>
        <v>#NAME?</v>
      </c>
      <c r="AU191" s="112" t="n">
        <f aca="false">A192-A191</f>
        <v>31</v>
      </c>
      <c r="AV191" s="164" t="n">
        <f aca="false">CHOOSE(F$3,A192+24,A191+14)</f>
        <v>43661</v>
      </c>
      <c r="AW191" s="49" t="n">
        <f aca="false">AV191-C$3</f>
        <v>-2265</v>
      </c>
      <c r="AX191" s="155" t="n">
        <f aca="false">VLOOKUP($A191,[1]!CurveTable,MATCH(AX$4,[1]!CurveType,0))</f>
        <v>0.0601526521098625</v>
      </c>
      <c r="AY191" s="165" t="n">
        <f aca="false">1/(1+CHOOSE(F$3,(AX192+(Inputs!$B$14/10000))/2,(AX191+(Inputs!$B$14/10000))/2))^(2*AW191/365.25)</f>
        <v>1.44415013684142</v>
      </c>
      <c r="AZ191" s="49" t="n">
        <f aca="false">IF(AND(mthbeg&lt;=A191,mthend&gt;=A191),1,0)</f>
        <v>0</v>
      </c>
      <c r="BA191" s="111" t="n">
        <f aca="false">AU191*AZ191</f>
        <v>0</v>
      </c>
      <c r="BC191" s="142" t="n">
        <f aca="false">E191*$D191</f>
        <v>0</v>
      </c>
      <c r="BD191" s="142" t="n">
        <f aca="false">F191*$D191</f>
        <v>0</v>
      </c>
      <c r="BE191" s="142" t="n">
        <f aca="false">G191*$D191</f>
        <v>0</v>
      </c>
      <c r="BF191" s="142" t="n">
        <f aca="false">H191*$D191</f>
        <v>0</v>
      </c>
      <c r="BG191" s="142" t="n">
        <f aca="false">I191*$D191</f>
        <v>0</v>
      </c>
      <c r="BH191" s="142" t="n">
        <f aca="false">J191*$D191</f>
        <v>0</v>
      </c>
      <c r="BI191" s="142" t="n">
        <f aca="false">K191*$D191</f>
        <v>0</v>
      </c>
      <c r="BJ191" s="142" t="n">
        <f aca="false">L191*$D191</f>
        <v>0</v>
      </c>
      <c r="BK191" s="142" t="n">
        <f aca="false">M191*$D191</f>
        <v>0</v>
      </c>
      <c r="BL191" s="142" t="n">
        <f aca="false">N191*$D191</f>
        <v>0</v>
      </c>
      <c r="BM191" s="142" t="n">
        <f aca="false">O191*$D191</f>
        <v>0</v>
      </c>
      <c r="BN191" s="142" t="n">
        <f aca="false">P191*$D191</f>
        <v>0</v>
      </c>
      <c r="BO191" s="142" t="n">
        <f aca="false">Q191*$D191</f>
        <v>0</v>
      </c>
      <c r="BP191" s="142" t="n">
        <f aca="false">R191*$D191</f>
        <v>0</v>
      </c>
      <c r="BQ191" s="142" t="n">
        <f aca="false">S191*$D191</f>
        <v>0</v>
      </c>
      <c r="BR191" s="142" t="n">
        <f aca="false">U191*$D191</f>
        <v>0</v>
      </c>
      <c r="BS191" s="142" t="n">
        <f aca="false">AA191*$D191</f>
        <v>0</v>
      </c>
      <c r="BT191" s="142" t="n">
        <f aca="false">AI191*$D191</f>
        <v>0</v>
      </c>
      <c r="BU191" s="142" t="n">
        <f aca="false">AK191*D191</f>
        <v>0</v>
      </c>
    </row>
    <row r="192" customFormat="false" ht="12.75" hidden="false" customHeight="false" outlineLevel="0" collapsed="false">
      <c r="A192" s="144" t="n">
        <f aca="false">EDATE(A191,1)</f>
        <v>43678</v>
      </c>
      <c r="B192" s="145" t="n">
        <f aca="false">Inputs!$B$8</f>
        <v>50000</v>
      </c>
      <c r="C192" s="146" t="n">
        <f aca="false">IF(AZ192=0,0,IF(AND(AZ192=1,$H$3=1),B192*AU192,IF($H$3=2,B192,"N/A")))</f>
        <v>0</v>
      </c>
      <c r="D192" s="146" t="n">
        <f aca="false">C192*AY192</f>
        <v>0</v>
      </c>
      <c r="E192" s="147" t="n">
        <f aca="false">VLOOKUP($A192,[1]!CurveTable,MATCH($E$4,[1]!CurveType,0))</f>
        <v>5.2755</v>
      </c>
      <c r="F192" s="148" t="n">
        <f aca="false">E192-Inputs!$B$16</f>
        <v>5.3305</v>
      </c>
      <c r="G192" s="149" t="n">
        <f aca="false">F192</f>
        <v>5.3305</v>
      </c>
      <c r="H192" s="147" t="n">
        <f aca="false">VLOOKUP($A192,[1]!CurveTable,MATCH($H$4,[1]!CurveType,0))</f>
        <v>1</v>
      </c>
      <c r="I192" s="148" t="n">
        <f aca="false">H192+Inputs!$B$22</f>
        <v>1</v>
      </c>
      <c r="J192" s="150" t="n">
        <f aca="false">I192</f>
        <v>1</v>
      </c>
      <c r="K192" s="147" t="n">
        <f aca="false">VLOOKUP($A192,[1]!CurveTable,MATCH($K$4,[1]!CurveType,0))</f>
        <v>0</v>
      </c>
      <c r="L192" s="148" t="n">
        <v>0</v>
      </c>
      <c r="M192" s="151" t="n">
        <f aca="false">L192</f>
        <v>0</v>
      </c>
      <c r="N192" s="147" t="n">
        <f aca="false">VLOOKUP($A192,[1]!CurveTable,MATCH($N$4,[1]!CurveType,0))</f>
        <v>0.0205</v>
      </c>
      <c r="O192" s="148" t="n">
        <f aca="false">N192+Inputs!$E$22</f>
        <v>0.0205</v>
      </c>
      <c r="P192" s="151" t="n">
        <f aca="false">O192</f>
        <v>0.0205</v>
      </c>
      <c r="Q192" s="147" t="n">
        <f aca="false">VLOOKUP($A192,[1]!CurveTable,MATCH($Q$4,[1]!CurveType,0))</f>
        <v>0.01</v>
      </c>
      <c r="R192" s="148" t="n">
        <v>0</v>
      </c>
      <c r="S192" s="151" t="n">
        <f aca="false">R192</f>
        <v>0</v>
      </c>
      <c r="T192" s="152"/>
      <c r="U192" s="153" t="n">
        <f aca="false">G192+J192</f>
        <v>6.3305</v>
      </c>
      <c r="V192" s="154"/>
      <c r="W192" s="155" t="n">
        <f aca="false">VLOOKUP($A192,[1]!CurveTable,MATCH($W$4,[1]!CurveType,0))+$W$9</f>
        <v>0.34</v>
      </c>
      <c r="X192" s="155" t="n">
        <f aca="false">VLOOKUP($A192,[1]!CurveTable,MATCH($X$4,[1]!CurveType,0))+$X$9</f>
        <v>0.345</v>
      </c>
      <c r="Y192" s="139" t="n">
        <f aca="false">SQRT((X192^2*($A192-$C$3)+W192^2*(DAY(EOMONTH(A192,0))/2))/$AN192)</f>
        <v>0.341421435313057</v>
      </c>
      <c r="Z192" s="152"/>
      <c r="AA192" s="153" t="n">
        <f aca="false">G192+P192+S192</f>
        <v>5.351</v>
      </c>
      <c r="AB192" s="154"/>
      <c r="AC192" s="155" t="n">
        <f aca="false">VLOOKUP($A192,[1]!CurveTable,MATCH($AC$4,[1]!CurveType,0))+$AC$9</f>
        <v>0.17</v>
      </c>
      <c r="AD192" s="155" t="n">
        <f aca="false">VLOOKUP($A192,[1]!CurveTable,MATCH($AD$4,[1]!CurveType,0))+$AD$9</f>
        <v>0.175</v>
      </c>
      <c r="AE192" s="139" t="n">
        <f aca="false">SQRT((AD192^2*($A192-$C$3)+AC192^2*(DAY(EOMONTH(A192,0))/2))/$AN192)</f>
        <v>0.173201345665531</v>
      </c>
      <c r="AF192" s="152"/>
      <c r="AG192" s="156" t="n">
        <f aca="false">((Inputs!$F$20*(X192*AD192)*(A192-$C$3))+(Inputs!$F$19*W192*AC192*(DAY(EOMONTH(A192,0))/2)))/(AN192*Y192*AE192)</f>
        <v>0.750000519329734</v>
      </c>
      <c r="AH192" s="152"/>
      <c r="AI192" s="140" t="n">
        <f aca="false">Inputs!$B$15</f>
        <v>0.06</v>
      </c>
      <c r="AJ192" s="157"/>
      <c r="AK192" s="140" t="n">
        <f aca="false">IF((U192-AA192-AI192)&lt;0,0,(U192-AA192-AI192))</f>
        <v>0.9195</v>
      </c>
      <c r="AL192" s="157"/>
      <c r="AM192" s="158" t="n">
        <f aca="false">WORKDAY(EOMONTH(A192-1,-1),0)</f>
        <v>43646</v>
      </c>
      <c r="AN192" s="159" t="n">
        <f aca="false">AM192-$C$3</f>
        <v>-2280</v>
      </c>
      <c r="AO192" s="159" t="n">
        <f aca="false">AO191</f>
        <v>1</v>
      </c>
      <c r="AP192" s="160"/>
      <c r="AQ192" s="161" t="e">
        <f aca="false">SPRDOPT(U192,AA192,AI192,AX192,X192,AD192,AG192,AN192,AO192,0)</f>
        <v>#NAME?</v>
      </c>
      <c r="AR192" s="162" t="e">
        <f aca="false">AQ192*C192</f>
        <v>#NAME?</v>
      </c>
      <c r="AS192" s="163" t="e">
        <f aca="false">AQ192-AK192</f>
        <v>#NAME?</v>
      </c>
      <c r="AU192" s="112" t="n">
        <f aca="false">A193-A192</f>
        <v>31</v>
      </c>
      <c r="AV192" s="164" t="n">
        <f aca="false">CHOOSE(F$3,A193+24,A192+14)</f>
        <v>43692</v>
      </c>
      <c r="AW192" s="49" t="n">
        <f aca="false">AV192-C$3</f>
        <v>-2234</v>
      </c>
      <c r="AX192" s="155" t="n">
        <f aca="false">VLOOKUP($A192,[1]!CurveTable,MATCH(AX$4,[1]!CurveType,0))</f>
        <v>0.0602108649107818</v>
      </c>
      <c r="AY192" s="165" t="n">
        <f aca="false">1/(1+CHOOSE(F$3,(AX193+(Inputs!$B$14/10000))/2,(AX192+(Inputs!$B$14/10000))/2))^(2*AW192/365.25)</f>
        <v>1.43740092355483</v>
      </c>
      <c r="AZ192" s="49" t="n">
        <f aca="false">IF(AND(mthbeg&lt;=A192,mthend&gt;=A192),1,0)</f>
        <v>0</v>
      </c>
      <c r="BA192" s="111" t="n">
        <f aca="false">AU192*AZ192</f>
        <v>0</v>
      </c>
      <c r="BC192" s="142" t="n">
        <f aca="false">E192*$D192</f>
        <v>0</v>
      </c>
      <c r="BD192" s="142" t="n">
        <f aca="false">F192*$D192</f>
        <v>0</v>
      </c>
      <c r="BE192" s="142" t="n">
        <f aca="false">G192*$D192</f>
        <v>0</v>
      </c>
      <c r="BF192" s="142" t="n">
        <f aca="false">H192*$D192</f>
        <v>0</v>
      </c>
      <c r="BG192" s="142" t="n">
        <f aca="false">I192*$D192</f>
        <v>0</v>
      </c>
      <c r="BH192" s="142" t="n">
        <f aca="false">J192*$D192</f>
        <v>0</v>
      </c>
      <c r="BI192" s="142" t="n">
        <f aca="false">K192*$D192</f>
        <v>0</v>
      </c>
      <c r="BJ192" s="142" t="n">
        <f aca="false">L192*$D192</f>
        <v>0</v>
      </c>
      <c r="BK192" s="142" t="n">
        <f aca="false">M192*$D192</f>
        <v>0</v>
      </c>
      <c r="BL192" s="142" t="n">
        <f aca="false">N192*$D192</f>
        <v>0</v>
      </c>
      <c r="BM192" s="142" t="n">
        <f aca="false">O192*$D192</f>
        <v>0</v>
      </c>
      <c r="BN192" s="142" t="n">
        <f aca="false">P192*$D192</f>
        <v>0</v>
      </c>
      <c r="BO192" s="142" t="n">
        <f aca="false">Q192*$D192</f>
        <v>0</v>
      </c>
      <c r="BP192" s="142" t="n">
        <f aca="false">R192*$D192</f>
        <v>0</v>
      </c>
      <c r="BQ192" s="142" t="n">
        <f aca="false">S192*$D192</f>
        <v>0</v>
      </c>
      <c r="BR192" s="142" t="n">
        <f aca="false">U192*$D192</f>
        <v>0</v>
      </c>
      <c r="BS192" s="142" t="n">
        <f aca="false">AA192*$D192</f>
        <v>0</v>
      </c>
      <c r="BT192" s="142" t="n">
        <f aca="false">AI192*$D192</f>
        <v>0</v>
      </c>
      <c r="BU192" s="142" t="n">
        <f aca="false">AK192*D192</f>
        <v>0</v>
      </c>
    </row>
    <row r="193" customFormat="false" ht="12.75" hidden="false" customHeight="false" outlineLevel="0" collapsed="false">
      <c r="A193" s="144" t="n">
        <f aca="false">EDATE(A192,1)</f>
        <v>43709</v>
      </c>
      <c r="B193" s="145" t="n">
        <f aca="false">Inputs!$B$8</f>
        <v>50000</v>
      </c>
      <c r="C193" s="146" t="n">
        <f aca="false">IF(AZ193=0,0,IF(AND(AZ193=1,$H$3=1),B193*AU193,IF($H$3=2,B193,"N/A")))</f>
        <v>0</v>
      </c>
      <c r="D193" s="146" t="n">
        <f aca="false">C193*AY193</f>
        <v>0</v>
      </c>
      <c r="E193" s="147" t="n">
        <f aca="false">VLOOKUP($A193,[1]!CurveTable,MATCH($E$4,[1]!CurveType,0))</f>
        <v>5.2695</v>
      </c>
      <c r="F193" s="148" t="n">
        <f aca="false">E193-Inputs!$B$16</f>
        <v>5.3245</v>
      </c>
      <c r="G193" s="149" t="n">
        <f aca="false">F193</f>
        <v>5.3245</v>
      </c>
      <c r="H193" s="147" t="n">
        <f aca="false">VLOOKUP($A193,[1]!CurveTable,MATCH($H$4,[1]!CurveType,0))</f>
        <v>0.6</v>
      </c>
      <c r="I193" s="148" t="n">
        <f aca="false">H193+Inputs!$B$22</f>
        <v>0.6</v>
      </c>
      <c r="J193" s="150" t="n">
        <f aca="false">I193</f>
        <v>0.6</v>
      </c>
      <c r="K193" s="147" t="n">
        <f aca="false">VLOOKUP($A193,[1]!CurveTable,MATCH($K$4,[1]!CurveType,0))</f>
        <v>0</v>
      </c>
      <c r="L193" s="148" t="n">
        <v>0</v>
      </c>
      <c r="M193" s="151" t="n">
        <f aca="false">L193</f>
        <v>0</v>
      </c>
      <c r="N193" s="147" t="n">
        <f aca="false">VLOOKUP($A193,[1]!CurveTable,MATCH($N$4,[1]!CurveType,0))</f>
        <v>0.0205</v>
      </c>
      <c r="O193" s="148" t="n">
        <f aca="false">N193+Inputs!$E$22</f>
        <v>0.0205</v>
      </c>
      <c r="P193" s="151" t="n">
        <f aca="false">O193</f>
        <v>0.0205</v>
      </c>
      <c r="Q193" s="147" t="n">
        <f aca="false">VLOOKUP($A193,[1]!CurveTable,MATCH($Q$4,[1]!CurveType,0))</f>
        <v>0.01</v>
      </c>
      <c r="R193" s="148" t="n">
        <v>0</v>
      </c>
      <c r="S193" s="151" t="n">
        <f aca="false">R193</f>
        <v>0</v>
      </c>
      <c r="T193" s="152"/>
      <c r="U193" s="153" t="n">
        <f aca="false">G193+J193</f>
        <v>5.9245</v>
      </c>
      <c r="V193" s="154"/>
      <c r="W193" s="155" t="n">
        <f aca="false">VLOOKUP($A193,[1]!CurveTable,MATCH($W$4,[1]!CurveType,0))+$W$9</f>
        <v>0.34</v>
      </c>
      <c r="X193" s="155" t="n">
        <f aca="false">VLOOKUP($A193,[1]!CurveTable,MATCH($X$4,[1]!CurveType,0))+$X$9</f>
        <v>0.345</v>
      </c>
      <c r="Y193" s="139" t="n">
        <f aca="false">SQRT((X193^2*($A193-$C$3)+W193^2*(DAY(EOMONTH(A193,0))/2))/$AN193)</f>
        <v>0.341409487232608</v>
      </c>
      <c r="Z193" s="152"/>
      <c r="AA193" s="153" t="n">
        <f aca="false">G193+P193+S193</f>
        <v>5.345</v>
      </c>
      <c r="AB193" s="154"/>
      <c r="AC193" s="155" t="n">
        <f aca="false">VLOOKUP($A193,[1]!CurveTable,MATCH($AC$4,[1]!CurveType,0))+$AC$9</f>
        <v>0.17</v>
      </c>
      <c r="AD193" s="155" t="n">
        <f aca="false">VLOOKUP($A193,[1]!CurveTable,MATCH($AD$4,[1]!CurveType,0))+$AD$9</f>
        <v>0.175</v>
      </c>
      <c r="AE193" s="139" t="n">
        <f aca="false">SQRT((AD193^2*($A193-$C$3)+AC193^2*(DAY(EOMONTH(A193,0))/2))/$AN193)</f>
        <v>0.17319497233971</v>
      </c>
      <c r="AF193" s="152"/>
      <c r="AG193" s="156" t="n">
        <f aca="false">((Inputs!$F$20*(X193*AD193)*(A193-$C$3))+(Inputs!$F$19*W193*AC193*(DAY(EOMONTH(A193,0))/2)))/(AN193*Y193*AE193)</f>
        <v>0.750000509477819</v>
      </c>
      <c r="AH193" s="152"/>
      <c r="AI193" s="140" t="n">
        <f aca="false">Inputs!$B$15</f>
        <v>0.06</v>
      </c>
      <c r="AJ193" s="157"/>
      <c r="AK193" s="140" t="n">
        <f aca="false">IF((U193-AA193-AI193)&lt;0,0,(U193-AA193-AI193))</f>
        <v>0.519499999999999</v>
      </c>
      <c r="AL193" s="157"/>
      <c r="AM193" s="158" t="n">
        <f aca="false">WORKDAY(EOMONTH(A193-1,-1),0)</f>
        <v>43677</v>
      </c>
      <c r="AN193" s="159" t="n">
        <f aca="false">AM193-$C$3</f>
        <v>-2249</v>
      </c>
      <c r="AO193" s="159" t="n">
        <f aca="false">AO192</f>
        <v>1</v>
      </c>
      <c r="AP193" s="160"/>
      <c r="AQ193" s="161" t="e">
        <f aca="false">SPRDOPT(U193,AA193,AI193,AX193,X193,AD193,AG193,AN193,AO193,0)</f>
        <v>#NAME?</v>
      </c>
      <c r="AR193" s="162" t="e">
        <f aca="false">AQ193*C193</f>
        <v>#NAME?</v>
      </c>
      <c r="AS193" s="163" t="e">
        <f aca="false">AQ193-AK193</f>
        <v>#NAME?</v>
      </c>
      <c r="AU193" s="112" t="n">
        <f aca="false">A194-A193</f>
        <v>30</v>
      </c>
      <c r="AV193" s="164" t="n">
        <f aca="false">CHOOSE(F$3,A194+24,A193+14)</f>
        <v>43723</v>
      </c>
      <c r="AW193" s="49" t="n">
        <f aca="false">AV193-C$3</f>
        <v>-2203</v>
      </c>
      <c r="AX193" s="155" t="n">
        <f aca="false">VLOOKUP($A193,[1]!CurveTable,MATCH(AX$4,[1]!CurveType,0))</f>
        <v>0.0602690777128263</v>
      </c>
      <c r="AY193" s="165" t="n">
        <f aca="false">1/(1+CHOOSE(F$3,(AX194+(Inputs!$B$14/10000))/2,(AX193+(Inputs!$B$14/10000))/2))^(2*AW193/365.25)</f>
        <v>1.43066951468091</v>
      </c>
      <c r="AZ193" s="49" t="n">
        <f aca="false">IF(AND(mthbeg&lt;=A193,mthend&gt;=A193),1,0)</f>
        <v>0</v>
      </c>
      <c r="BA193" s="111" t="n">
        <f aca="false">AU193*AZ193</f>
        <v>0</v>
      </c>
      <c r="BC193" s="142" t="n">
        <f aca="false">E193*$D193</f>
        <v>0</v>
      </c>
      <c r="BD193" s="142" t="n">
        <f aca="false">F193*$D193</f>
        <v>0</v>
      </c>
      <c r="BE193" s="142" t="n">
        <f aca="false">G193*$D193</f>
        <v>0</v>
      </c>
      <c r="BF193" s="142" t="n">
        <f aca="false">H193*$D193</f>
        <v>0</v>
      </c>
      <c r="BG193" s="142" t="n">
        <f aca="false">I193*$D193</f>
        <v>0</v>
      </c>
      <c r="BH193" s="142" t="n">
        <f aca="false">J193*$D193</f>
        <v>0</v>
      </c>
      <c r="BI193" s="142" t="n">
        <f aca="false">K193*$D193</f>
        <v>0</v>
      </c>
      <c r="BJ193" s="142" t="n">
        <f aca="false">L193*$D193</f>
        <v>0</v>
      </c>
      <c r="BK193" s="142" t="n">
        <f aca="false">M193*$D193</f>
        <v>0</v>
      </c>
      <c r="BL193" s="142" t="n">
        <f aca="false">N193*$D193</f>
        <v>0</v>
      </c>
      <c r="BM193" s="142" t="n">
        <f aca="false">O193*$D193</f>
        <v>0</v>
      </c>
      <c r="BN193" s="142" t="n">
        <f aca="false">P193*$D193</f>
        <v>0</v>
      </c>
      <c r="BO193" s="142" t="n">
        <f aca="false">Q193*$D193</f>
        <v>0</v>
      </c>
      <c r="BP193" s="142" t="n">
        <f aca="false">R193*$D193</f>
        <v>0</v>
      </c>
      <c r="BQ193" s="142" t="n">
        <f aca="false">S193*$D193</f>
        <v>0</v>
      </c>
      <c r="BR193" s="142" t="n">
        <f aca="false">U193*$D193</f>
        <v>0</v>
      </c>
      <c r="BS193" s="142" t="n">
        <f aca="false">AA193*$D193</f>
        <v>0</v>
      </c>
      <c r="BT193" s="142" t="n">
        <f aca="false">AI193*$D193</f>
        <v>0</v>
      </c>
      <c r="BU193" s="142" t="n">
        <f aca="false">AK193*D193</f>
        <v>0</v>
      </c>
    </row>
    <row r="194" customFormat="false" ht="12.75" hidden="false" customHeight="false" outlineLevel="0" collapsed="false">
      <c r="A194" s="144" t="n">
        <f aca="false">EDATE(A193,1)</f>
        <v>43739</v>
      </c>
      <c r="B194" s="145" t="n">
        <f aca="false">Inputs!$B$8</f>
        <v>50000</v>
      </c>
      <c r="C194" s="146" t="n">
        <f aca="false">IF(AZ194=0,0,IF(AND(AZ194=1,$H$3=1),B194*AU194,IF($H$3=2,B194,"N/A")))</f>
        <v>0</v>
      </c>
      <c r="D194" s="146" t="n">
        <f aca="false">C194*AY194</f>
        <v>0</v>
      </c>
      <c r="E194" s="147" t="n">
        <f aca="false">VLOOKUP($A194,[1]!CurveTable,MATCH($E$4,[1]!CurveType,0))</f>
        <v>5.2695</v>
      </c>
      <c r="F194" s="148" t="n">
        <f aca="false">E194-Inputs!$B$16</f>
        <v>5.3245</v>
      </c>
      <c r="G194" s="149" t="n">
        <f aca="false">F194</f>
        <v>5.3245</v>
      </c>
      <c r="H194" s="147" t="n">
        <f aca="false">VLOOKUP($A194,[1]!CurveTable,MATCH($H$4,[1]!CurveType,0))</f>
        <v>0.3</v>
      </c>
      <c r="I194" s="148" t="n">
        <f aca="false">H194+Inputs!$B$22</f>
        <v>0.3</v>
      </c>
      <c r="J194" s="150" t="n">
        <f aca="false">I194</f>
        <v>0.3</v>
      </c>
      <c r="K194" s="147" t="n">
        <f aca="false">VLOOKUP($A194,[1]!CurveTable,MATCH($K$4,[1]!CurveType,0))</f>
        <v>0</v>
      </c>
      <c r="L194" s="148" t="n">
        <v>0</v>
      </c>
      <c r="M194" s="151" t="n">
        <f aca="false">L194</f>
        <v>0</v>
      </c>
      <c r="N194" s="147" t="n">
        <f aca="false">VLOOKUP($A194,[1]!CurveTable,MATCH($N$4,[1]!CurveType,0))</f>
        <v>0.019</v>
      </c>
      <c r="O194" s="148" t="n">
        <f aca="false">N194+Inputs!$E$22</f>
        <v>0.019</v>
      </c>
      <c r="P194" s="151" t="n">
        <f aca="false">O194</f>
        <v>0.019</v>
      </c>
      <c r="Q194" s="147" t="n">
        <f aca="false">VLOOKUP($A194,[1]!CurveTable,MATCH($Q$4,[1]!CurveType,0))</f>
        <v>0.01</v>
      </c>
      <c r="R194" s="148" t="n">
        <v>0</v>
      </c>
      <c r="S194" s="151" t="n">
        <f aca="false">R194</f>
        <v>0</v>
      </c>
      <c r="T194" s="152"/>
      <c r="U194" s="153" t="n">
        <f aca="false">G194+J194</f>
        <v>5.6245</v>
      </c>
      <c r="V194" s="154"/>
      <c r="W194" s="155" t="n">
        <f aca="false">VLOOKUP($A194,[1]!CurveTable,MATCH($W$4,[1]!CurveType,0))+$W$9</f>
        <v>0.17</v>
      </c>
      <c r="X194" s="155" t="n">
        <f aca="false">VLOOKUP($A194,[1]!CurveTable,MATCH($X$4,[1]!CurveType,0))+$X$9</f>
        <v>0.175</v>
      </c>
      <c r="Y194" s="139" t="n">
        <f aca="false">SQRT((X194^2*($A194-$C$3)+W194^2*(DAY(EOMONTH(A194,0))/2))/$AN194)</f>
        <v>0.173190665922992</v>
      </c>
      <c r="Z194" s="152"/>
      <c r="AA194" s="153" t="n">
        <f aca="false">G194+P194+S194</f>
        <v>5.3435</v>
      </c>
      <c r="AB194" s="154"/>
      <c r="AC194" s="155" t="n">
        <f aca="false">VLOOKUP($A194,[1]!CurveTable,MATCH($AC$4,[1]!CurveType,0))+$AC$9</f>
        <v>0.17</v>
      </c>
      <c r="AD194" s="155" t="n">
        <f aca="false">VLOOKUP($A194,[1]!CurveTable,MATCH($AD$4,[1]!CurveType,0))+$AD$9</f>
        <v>0.175</v>
      </c>
      <c r="AE194" s="139" t="n">
        <f aca="false">SQRT((AD194^2*($A194-$C$3)+AC194^2*(DAY(EOMONTH(A194,0))/2))/$AN194)</f>
        <v>0.173190665922992</v>
      </c>
      <c r="AF194" s="152"/>
      <c r="AG194" s="156" t="n">
        <f aca="false">((Inputs!$F$20*(X194*AD194)*(A194-$C$3))+(Inputs!$F$19*W194*AC194*(DAY(EOMONTH(A194,0))/2)))/(AN194*Y194*AE194)</f>
        <v>0.75</v>
      </c>
      <c r="AH194" s="152"/>
      <c r="AI194" s="140" t="n">
        <f aca="false">Inputs!$B$15</f>
        <v>0.06</v>
      </c>
      <c r="AJ194" s="157"/>
      <c r="AK194" s="140" t="n">
        <f aca="false">IF((U194-AA194-AI194)&lt;0,0,(U194-AA194-AI194))</f>
        <v>0.221</v>
      </c>
      <c r="AL194" s="157"/>
      <c r="AM194" s="158" t="n">
        <f aca="false">WORKDAY(EOMONTH(A194-1,-1),0)</f>
        <v>43708</v>
      </c>
      <c r="AN194" s="159" t="n">
        <f aca="false">AM194-$C$3</f>
        <v>-2218</v>
      </c>
      <c r="AO194" s="159" t="n">
        <f aca="false">AO193</f>
        <v>1</v>
      </c>
      <c r="AP194" s="160"/>
      <c r="AQ194" s="161" t="e">
        <f aca="false">SPRDOPT(U194,AA194,AI194,AX194,X194,AD194,AG194,AN194,AO194,0)</f>
        <v>#NAME?</v>
      </c>
      <c r="AR194" s="162" t="e">
        <f aca="false">AQ194*C194</f>
        <v>#NAME?</v>
      </c>
      <c r="AS194" s="163" t="e">
        <f aca="false">AQ194-AK194</f>
        <v>#NAME?</v>
      </c>
      <c r="AU194" s="112" t="n">
        <f aca="false">A195-A194</f>
        <v>31</v>
      </c>
      <c r="AV194" s="164" t="n">
        <f aca="false">CHOOSE(F$3,A195+24,A194+14)</f>
        <v>43753</v>
      </c>
      <c r="AW194" s="49" t="n">
        <f aca="false">AV194-C$3</f>
        <v>-2173</v>
      </c>
      <c r="AX194" s="155" t="n">
        <f aca="false">VLOOKUP($A194,[1]!CurveTable,MATCH(AX$4,[1]!CurveType,0))</f>
        <v>0.060325412683619</v>
      </c>
      <c r="AY194" s="165" t="n">
        <f aca="false">1/(1+CHOOSE(F$3,(AX195+(Inputs!$B$14/10000))/2,(AX194+(Inputs!$B$14/10000))/2))^(2*AW194/365.25)</f>
        <v>1.42417224369638</v>
      </c>
      <c r="AZ194" s="49" t="n">
        <f aca="false">IF(AND(mthbeg&lt;=A194,mthend&gt;=A194),1,0)</f>
        <v>0</v>
      </c>
      <c r="BA194" s="111" t="n">
        <f aca="false">AU194*AZ194</f>
        <v>0</v>
      </c>
      <c r="BC194" s="142" t="n">
        <f aca="false">E194*$D194</f>
        <v>0</v>
      </c>
      <c r="BD194" s="142" t="n">
        <f aca="false">F194*$D194</f>
        <v>0</v>
      </c>
      <c r="BE194" s="142" t="n">
        <f aca="false">G194*$D194</f>
        <v>0</v>
      </c>
      <c r="BF194" s="142" t="n">
        <f aca="false">H194*$D194</f>
        <v>0</v>
      </c>
      <c r="BG194" s="142" t="n">
        <f aca="false">I194*$D194</f>
        <v>0</v>
      </c>
      <c r="BH194" s="142" t="n">
        <f aca="false">J194*$D194</f>
        <v>0</v>
      </c>
      <c r="BI194" s="142" t="n">
        <f aca="false">K194*$D194</f>
        <v>0</v>
      </c>
      <c r="BJ194" s="142" t="n">
        <f aca="false">L194*$D194</f>
        <v>0</v>
      </c>
      <c r="BK194" s="142" t="n">
        <f aca="false">M194*$D194</f>
        <v>0</v>
      </c>
      <c r="BL194" s="142" t="n">
        <f aca="false">N194*$D194</f>
        <v>0</v>
      </c>
      <c r="BM194" s="142" t="n">
        <f aca="false">O194*$D194</f>
        <v>0</v>
      </c>
      <c r="BN194" s="142" t="n">
        <f aca="false">P194*$D194</f>
        <v>0</v>
      </c>
      <c r="BO194" s="142" t="n">
        <f aca="false">Q194*$D194</f>
        <v>0</v>
      </c>
      <c r="BP194" s="142" t="n">
        <f aca="false">R194*$D194</f>
        <v>0</v>
      </c>
      <c r="BQ194" s="142" t="n">
        <f aca="false">S194*$D194</f>
        <v>0</v>
      </c>
      <c r="BR194" s="142" t="n">
        <f aca="false">U194*$D194</f>
        <v>0</v>
      </c>
      <c r="BS194" s="142" t="n">
        <f aca="false">AA194*$D194</f>
        <v>0</v>
      </c>
      <c r="BT194" s="142" t="n">
        <f aca="false">AI194*$D194</f>
        <v>0</v>
      </c>
      <c r="BU194" s="142" t="n">
        <f aca="false">AK194*D194</f>
        <v>0</v>
      </c>
    </row>
    <row r="195" customFormat="false" ht="12.75" hidden="false" customHeight="false" outlineLevel="0" collapsed="false">
      <c r="A195" s="144" t="n">
        <f aca="false">EDATE(A194,1)</f>
        <v>43770</v>
      </c>
      <c r="B195" s="145" t="n">
        <f aca="false">Inputs!$B$8</f>
        <v>50000</v>
      </c>
      <c r="C195" s="146" t="n">
        <f aca="false">IF(AZ195=0,0,IF(AND(AZ195=1,$H$3=1),B195*AU195,IF($H$3=2,B195,"N/A")))</f>
        <v>0</v>
      </c>
      <c r="D195" s="146" t="n">
        <f aca="false">C195*AY195</f>
        <v>0</v>
      </c>
      <c r="E195" s="147" t="n">
        <f aca="false">VLOOKUP($A195,[1]!CurveTable,MATCH($E$4,[1]!CurveType,0))</f>
        <v>5.4175</v>
      </c>
      <c r="F195" s="148" t="n">
        <f aca="false">E195-Inputs!$B$16</f>
        <v>5.4725</v>
      </c>
      <c r="G195" s="149" t="n">
        <f aca="false">F195</f>
        <v>5.4725</v>
      </c>
      <c r="H195" s="147" t="n">
        <f aca="false">VLOOKUP($A195,[1]!CurveTable,MATCH($H$4,[1]!CurveType,0))</f>
        <v>0.23</v>
      </c>
      <c r="I195" s="148" t="n">
        <f aca="false">H195+Inputs!$B$22</f>
        <v>0.23</v>
      </c>
      <c r="J195" s="150" t="n">
        <f aca="false">I195</f>
        <v>0.23</v>
      </c>
      <c r="K195" s="147" t="n">
        <f aca="false">VLOOKUP($A195,[1]!CurveTable,MATCH($K$4,[1]!CurveType,0))</f>
        <v>0</v>
      </c>
      <c r="L195" s="148" t="n">
        <v>0</v>
      </c>
      <c r="M195" s="151" t="n">
        <f aca="false">L195</f>
        <v>0</v>
      </c>
      <c r="N195" s="147" t="n">
        <f aca="false">VLOOKUP($A195,[1]!CurveTable,MATCH($N$4,[1]!CurveType,0))</f>
        <v>0.02</v>
      </c>
      <c r="O195" s="148" t="n">
        <f aca="false">N195+Inputs!$E$22</f>
        <v>0.02</v>
      </c>
      <c r="P195" s="151" t="n">
        <f aca="false">O195</f>
        <v>0.02</v>
      </c>
      <c r="Q195" s="147" t="n">
        <f aca="false">VLOOKUP($A195,[1]!CurveTable,MATCH($Q$4,[1]!CurveType,0))</f>
        <v>0.0075</v>
      </c>
      <c r="R195" s="148" t="n">
        <v>0</v>
      </c>
      <c r="S195" s="151" t="n">
        <f aca="false">R195</f>
        <v>0</v>
      </c>
      <c r="T195" s="152"/>
      <c r="U195" s="153" t="n">
        <f aca="false">G195+J195</f>
        <v>5.7025</v>
      </c>
      <c r="V195" s="154"/>
      <c r="W195" s="155" t="n">
        <f aca="false">VLOOKUP($A195,[1]!CurveTable,MATCH($W$4,[1]!CurveType,0))+$W$9</f>
        <v>0.17</v>
      </c>
      <c r="X195" s="155" t="n">
        <f aca="false">VLOOKUP($A195,[1]!CurveTable,MATCH($X$4,[1]!CurveType,0))+$X$9</f>
        <v>0.175</v>
      </c>
      <c r="Y195" s="139" t="n">
        <f aca="false">SQRT((X195^2*($A195-$C$3)+W195^2*(DAY(EOMONTH(A195,0))/2))/$AN195)</f>
        <v>0.173144379735537</v>
      </c>
      <c r="Z195" s="152"/>
      <c r="AA195" s="153" t="n">
        <f aca="false">G195+P195+S195</f>
        <v>5.4925</v>
      </c>
      <c r="AB195" s="154"/>
      <c r="AC195" s="155" t="n">
        <f aca="false">VLOOKUP($A195,[1]!CurveTable,MATCH($AC$4,[1]!CurveType,0))+$AC$9</f>
        <v>0.17</v>
      </c>
      <c r="AD195" s="155" t="n">
        <f aca="false">VLOOKUP($A195,[1]!CurveTable,MATCH($AD$4,[1]!CurveType,0))+$AD$9</f>
        <v>0.175</v>
      </c>
      <c r="AE195" s="139" t="n">
        <f aca="false">SQRT((AD195^2*($A195-$C$3)+AC195^2*(DAY(EOMONTH(A195,0))/2))/$AN195)</f>
        <v>0.173144379735537</v>
      </c>
      <c r="AF195" s="152"/>
      <c r="AG195" s="156" t="n">
        <f aca="false">((Inputs!$F$20*(X195*AD195)*(A195-$C$3))+(Inputs!$F$19*W195*AC195*(DAY(EOMONTH(A195,0))/2)))/(AN195*Y195*AE195)</f>
        <v>0.75</v>
      </c>
      <c r="AH195" s="152"/>
      <c r="AI195" s="140" t="n">
        <f aca="false">Inputs!$B$15</f>
        <v>0.06</v>
      </c>
      <c r="AJ195" s="157"/>
      <c r="AK195" s="140" t="n">
        <f aca="false">IF((U195-AA195-AI195)&lt;0,0,(U195-AA195-AI195))</f>
        <v>0.150000000000001</v>
      </c>
      <c r="AL195" s="157"/>
      <c r="AM195" s="158" t="n">
        <f aca="false">WORKDAY(EOMONTH(A195-1,-1),0)</f>
        <v>43738</v>
      </c>
      <c r="AN195" s="159" t="n">
        <f aca="false">AM195-$C$3</f>
        <v>-2188</v>
      </c>
      <c r="AO195" s="159" t="n">
        <f aca="false">AO194</f>
        <v>1</v>
      </c>
      <c r="AP195" s="160"/>
      <c r="AQ195" s="161" t="e">
        <f aca="false">SPRDOPT(U195,AA195,AI195,AX195,X195,AD195,AG195,AN195,AO195,0)</f>
        <v>#NAME?</v>
      </c>
      <c r="AR195" s="162" t="e">
        <f aca="false">AQ195*C195</f>
        <v>#NAME?</v>
      </c>
      <c r="AS195" s="163" t="e">
        <f aca="false">AQ195-AK195</f>
        <v>#NAME?</v>
      </c>
      <c r="AU195" s="112" t="n">
        <f aca="false">A196-A195</f>
        <v>30</v>
      </c>
      <c r="AV195" s="164" t="n">
        <f aca="false">CHOOSE(F$3,A196+24,A195+14)</f>
        <v>43784</v>
      </c>
      <c r="AW195" s="49" t="n">
        <f aca="false">AV195-C$3</f>
        <v>-2142</v>
      </c>
      <c r="AX195" s="155" t="n">
        <f aca="false">VLOOKUP($A195,[1]!CurveTable,MATCH(AX$4,[1]!CurveType,0))</f>
        <v>0.0603836254878791</v>
      </c>
      <c r="AY195" s="165" t="n">
        <f aca="false">1/(1+CHOOSE(F$3,(AX196+(Inputs!$B$14/10000))/2,(AX195+(Inputs!$B$14/10000))/2))^(2*AW195/365.25)</f>
        <v>1.41747600343526</v>
      </c>
      <c r="AZ195" s="49" t="n">
        <f aca="false">IF(AND(mthbeg&lt;=A195,mthend&gt;=A195),1,0)</f>
        <v>0</v>
      </c>
      <c r="BA195" s="111" t="n">
        <f aca="false">AU195*AZ195</f>
        <v>0</v>
      </c>
      <c r="BC195" s="142" t="n">
        <f aca="false">E195*$D195</f>
        <v>0</v>
      </c>
      <c r="BD195" s="142" t="n">
        <f aca="false">F195*$D195</f>
        <v>0</v>
      </c>
      <c r="BE195" s="142" t="n">
        <f aca="false">G195*$D195</f>
        <v>0</v>
      </c>
      <c r="BF195" s="142" t="n">
        <f aca="false">H195*$D195</f>
        <v>0</v>
      </c>
      <c r="BG195" s="142" t="n">
        <f aca="false">I195*$D195</f>
        <v>0</v>
      </c>
      <c r="BH195" s="142" t="n">
        <f aca="false">J195*$D195</f>
        <v>0</v>
      </c>
      <c r="BI195" s="142" t="n">
        <f aca="false">K195*$D195</f>
        <v>0</v>
      </c>
      <c r="BJ195" s="142" t="n">
        <f aca="false">L195*$D195</f>
        <v>0</v>
      </c>
      <c r="BK195" s="142" t="n">
        <f aca="false">M195*$D195</f>
        <v>0</v>
      </c>
      <c r="BL195" s="142" t="n">
        <f aca="false">N195*$D195</f>
        <v>0</v>
      </c>
      <c r="BM195" s="142" t="n">
        <f aca="false">O195*$D195</f>
        <v>0</v>
      </c>
      <c r="BN195" s="142" t="n">
        <f aca="false">P195*$D195</f>
        <v>0</v>
      </c>
      <c r="BO195" s="142" t="n">
        <f aca="false">Q195*$D195</f>
        <v>0</v>
      </c>
      <c r="BP195" s="142" t="n">
        <f aca="false">R195*$D195</f>
        <v>0</v>
      </c>
      <c r="BQ195" s="142" t="n">
        <f aca="false">S195*$D195</f>
        <v>0</v>
      </c>
      <c r="BR195" s="142" t="n">
        <f aca="false">U195*$D195</f>
        <v>0</v>
      </c>
      <c r="BS195" s="142" t="n">
        <f aca="false">AA195*$D195</f>
        <v>0</v>
      </c>
      <c r="BT195" s="142" t="n">
        <f aca="false">AI195*$D195</f>
        <v>0</v>
      </c>
      <c r="BU195" s="142" t="n">
        <f aca="false">AK195*D195</f>
        <v>0</v>
      </c>
    </row>
    <row r="196" customFormat="false" ht="12.75" hidden="false" customHeight="false" outlineLevel="0" collapsed="false">
      <c r="A196" s="144" t="n">
        <f aca="false">EDATE(A195,1)</f>
        <v>43800</v>
      </c>
      <c r="B196" s="145" t="n">
        <f aca="false">Inputs!$B$8</f>
        <v>50000</v>
      </c>
      <c r="C196" s="146" t="n">
        <f aca="false">IF(AZ196=0,0,IF(AND(AZ196=1,$H$3=1),B196*AU196,IF($H$3=2,B196,"N/A")))</f>
        <v>0</v>
      </c>
      <c r="D196" s="146" t="n">
        <f aca="false">C196*AY196</f>
        <v>0</v>
      </c>
      <c r="E196" s="147" t="n">
        <f aca="false">VLOOKUP($A196,[1]!CurveTable,MATCH($E$4,[1]!CurveType,0))</f>
        <v>5.5695</v>
      </c>
      <c r="F196" s="148" t="n">
        <f aca="false">E196-Inputs!$B$16</f>
        <v>5.6245</v>
      </c>
      <c r="G196" s="149" t="n">
        <f aca="false">F196</f>
        <v>5.6245</v>
      </c>
      <c r="H196" s="147" t="n">
        <f aca="false">VLOOKUP($A196,[1]!CurveTable,MATCH($H$4,[1]!CurveType,0))</f>
        <v>0.26</v>
      </c>
      <c r="I196" s="148" t="n">
        <f aca="false">H196+Inputs!$B$22</f>
        <v>0.26</v>
      </c>
      <c r="J196" s="150" t="n">
        <f aca="false">I196</f>
        <v>0.26</v>
      </c>
      <c r="K196" s="147" t="n">
        <f aca="false">VLOOKUP($A196,[1]!CurveTable,MATCH($K$4,[1]!CurveType,0))</f>
        <v>0</v>
      </c>
      <c r="L196" s="148" t="n">
        <v>0</v>
      </c>
      <c r="M196" s="151" t="n">
        <f aca="false">L196</f>
        <v>0</v>
      </c>
      <c r="N196" s="147" t="n">
        <f aca="false">VLOOKUP($A196,[1]!CurveTable,MATCH($N$4,[1]!CurveType,0))</f>
        <v>0.02</v>
      </c>
      <c r="O196" s="148" t="n">
        <f aca="false">N196+Inputs!$E$22</f>
        <v>0.02</v>
      </c>
      <c r="P196" s="151" t="n">
        <f aca="false">O196</f>
        <v>0.02</v>
      </c>
      <c r="Q196" s="147" t="n">
        <f aca="false">VLOOKUP($A196,[1]!CurveTable,MATCH($Q$4,[1]!CurveType,0))</f>
        <v>0.0075</v>
      </c>
      <c r="R196" s="148" t="n">
        <v>0</v>
      </c>
      <c r="S196" s="151" t="n">
        <f aca="false">R196</f>
        <v>0</v>
      </c>
      <c r="T196" s="152"/>
      <c r="U196" s="153" t="n">
        <f aca="false">G196+J196</f>
        <v>5.8845</v>
      </c>
      <c r="V196" s="154"/>
      <c r="W196" s="155" t="n">
        <f aca="false">VLOOKUP($A196,[1]!CurveTable,MATCH($W$4,[1]!CurveType,0))+$W$9</f>
        <v>0.17</v>
      </c>
      <c r="X196" s="155" t="n">
        <f aca="false">VLOOKUP($A196,[1]!CurveTable,MATCH($X$4,[1]!CurveType,0))+$X$9</f>
        <v>0.175</v>
      </c>
      <c r="Y196" s="139" t="n">
        <f aca="false">SQRT((X196^2*($A196-$C$3)+W196^2*(DAY(EOMONTH(A196,0))/2))/$AN196)</f>
        <v>0.173139223003975</v>
      </c>
      <c r="Z196" s="152"/>
      <c r="AA196" s="153" t="n">
        <f aca="false">G196+P196+S196</f>
        <v>5.6445</v>
      </c>
      <c r="AB196" s="154"/>
      <c r="AC196" s="155" t="n">
        <f aca="false">VLOOKUP($A196,[1]!CurveTable,MATCH($AC$4,[1]!CurveType,0))+$AC$9</f>
        <v>0.17</v>
      </c>
      <c r="AD196" s="155" t="n">
        <f aca="false">VLOOKUP($A196,[1]!CurveTable,MATCH($AD$4,[1]!CurveType,0))+$AD$9</f>
        <v>0.175</v>
      </c>
      <c r="AE196" s="139" t="n">
        <f aca="false">SQRT((AD196^2*($A196-$C$3)+AC196^2*(DAY(EOMONTH(A196,0))/2))/$AN196)</f>
        <v>0.173139223003975</v>
      </c>
      <c r="AF196" s="152"/>
      <c r="AG196" s="156" t="n">
        <f aca="false">((Inputs!$F$20*(X196*AD196)*(A196-$C$3))+(Inputs!$F$19*W196*AC196*(DAY(EOMONTH(A196,0))/2)))/(AN196*Y196*AE196)</f>
        <v>0.75</v>
      </c>
      <c r="AH196" s="152"/>
      <c r="AI196" s="140" t="n">
        <f aca="false">Inputs!$B$15</f>
        <v>0.06</v>
      </c>
      <c r="AJ196" s="157"/>
      <c r="AK196" s="140" t="n">
        <f aca="false">IF((U196-AA196-AI196)&lt;0,0,(U196-AA196-AI196))</f>
        <v>0.18</v>
      </c>
      <c r="AL196" s="157"/>
      <c r="AM196" s="158" t="n">
        <f aca="false">WORKDAY(EOMONTH(A196-1,-1),0)</f>
        <v>43769</v>
      </c>
      <c r="AN196" s="159" t="n">
        <f aca="false">AM196-$C$3</f>
        <v>-2157</v>
      </c>
      <c r="AO196" s="159" t="n">
        <f aca="false">AO195</f>
        <v>1</v>
      </c>
      <c r="AP196" s="160"/>
      <c r="AQ196" s="161" t="e">
        <f aca="false">SPRDOPT(U196,AA196,AI196,AX196,X196,AD196,AG196,AN196,AO196,0)</f>
        <v>#NAME?</v>
      </c>
      <c r="AR196" s="162" t="e">
        <f aca="false">AQ196*C196</f>
        <v>#NAME?</v>
      </c>
      <c r="AS196" s="163" t="e">
        <f aca="false">AQ196-AK196</f>
        <v>#NAME?</v>
      </c>
      <c r="AU196" s="112" t="n">
        <f aca="false">A197-A196</f>
        <v>31</v>
      </c>
      <c r="AV196" s="164" t="n">
        <f aca="false">CHOOSE(F$3,A197+24,A196+14)</f>
        <v>43814</v>
      </c>
      <c r="AW196" s="49" t="n">
        <f aca="false">AV196-C$3</f>
        <v>-2112</v>
      </c>
      <c r="AX196" s="155" t="n">
        <f aca="false">VLOOKUP($A196,[1]!CurveTable,MATCH(AX$4,[1]!CurveType,0))</f>
        <v>0.0604399604608159</v>
      </c>
      <c r="AY196" s="165" t="n">
        <f aca="false">1/(1+CHOOSE(F$3,(AX197+(Inputs!$B$14/10000))/2,(AX196+(Inputs!$B$14/10000))/2))^(2*AW196/365.25)</f>
        <v>1.41101285106447</v>
      </c>
      <c r="AZ196" s="49" t="n">
        <f aca="false">IF(AND(mthbeg&lt;=A196,mthend&gt;=A196),1,0)</f>
        <v>0</v>
      </c>
      <c r="BA196" s="111" t="n">
        <f aca="false">AU196*AZ196</f>
        <v>0</v>
      </c>
      <c r="BC196" s="142" t="n">
        <f aca="false">E196*$D196</f>
        <v>0</v>
      </c>
      <c r="BD196" s="142" t="n">
        <f aca="false">F196*$D196</f>
        <v>0</v>
      </c>
      <c r="BE196" s="142" t="n">
        <f aca="false">G196*$D196</f>
        <v>0</v>
      </c>
      <c r="BF196" s="142" t="n">
        <f aca="false">H196*$D196</f>
        <v>0</v>
      </c>
      <c r="BG196" s="142" t="n">
        <f aca="false">I196*$D196</f>
        <v>0</v>
      </c>
      <c r="BH196" s="142" t="n">
        <f aca="false">J196*$D196</f>
        <v>0</v>
      </c>
      <c r="BI196" s="142" t="n">
        <f aca="false">K196*$D196</f>
        <v>0</v>
      </c>
      <c r="BJ196" s="142" t="n">
        <f aca="false">L196*$D196</f>
        <v>0</v>
      </c>
      <c r="BK196" s="142" t="n">
        <f aca="false">M196*$D196</f>
        <v>0</v>
      </c>
      <c r="BL196" s="142" t="n">
        <f aca="false">N196*$D196</f>
        <v>0</v>
      </c>
      <c r="BM196" s="142" t="n">
        <f aca="false">O196*$D196</f>
        <v>0</v>
      </c>
      <c r="BN196" s="142" t="n">
        <f aca="false">P196*$D196</f>
        <v>0</v>
      </c>
      <c r="BO196" s="142" t="n">
        <f aca="false">Q196*$D196</f>
        <v>0</v>
      </c>
      <c r="BP196" s="142" t="n">
        <f aca="false">R196*$D196</f>
        <v>0</v>
      </c>
      <c r="BQ196" s="142" t="n">
        <f aca="false">S196*$D196</f>
        <v>0</v>
      </c>
      <c r="BR196" s="142" t="n">
        <f aca="false">U196*$D196</f>
        <v>0</v>
      </c>
      <c r="BS196" s="142" t="n">
        <f aca="false">AA196*$D196</f>
        <v>0</v>
      </c>
      <c r="BT196" s="142" t="n">
        <f aca="false">AI196*$D196</f>
        <v>0</v>
      </c>
      <c r="BU196" s="142" t="n">
        <f aca="false">AK196*D196</f>
        <v>0</v>
      </c>
    </row>
    <row r="197" customFormat="false" ht="12.75" hidden="false" customHeight="false" outlineLevel="0" collapsed="false">
      <c r="A197" s="144" t="n">
        <f aca="false">EDATE(A196,1)</f>
        <v>43831</v>
      </c>
      <c r="B197" s="145" t="n">
        <f aca="false">Inputs!$B$8</f>
        <v>50000</v>
      </c>
      <c r="C197" s="146" t="n">
        <f aca="false">IF(AZ197=0,0,IF(AND(AZ197=1,$H$3=1),B197*AU197,IF($H$3=2,B197,"N/A")))</f>
        <v>0</v>
      </c>
      <c r="D197" s="146" t="n">
        <f aca="false">C197*AY197</f>
        <v>0</v>
      </c>
      <c r="E197" s="147" t="n">
        <f aca="false">VLOOKUP($A197,[1]!CurveTable,MATCH($E$4,[1]!CurveType,0))</f>
        <v>5.647</v>
      </c>
      <c r="F197" s="148" t="n">
        <f aca="false">E197-Inputs!$B$16</f>
        <v>5.702</v>
      </c>
      <c r="G197" s="149" t="n">
        <f aca="false">F197</f>
        <v>5.702</v>
      </c>
      <c r="H197" s="147" t="n">
        <f aca="false">VLOOKUP($A197,[1]!CurveTable,MATCH($H$4,[1]!CurveType,0))</f>
        <v>0.085</v>
      </c>
      <c r="I197" s="148" t="n">
        <f aca="false">H197+Inputs!$B$22</f>
        <v>0.085</v>
      </c>
      <c r="J197" s="150" t="n">
        <f aca="false">I197</f>
        <v>0.085</v>
      </c>
      <c r="K197" s="147" t="n">
        <f aca="false">VLOOKUP($A197,[1]!CurveTable,MATCH($K$4,[1]!CurveType,0))</f>
        <v>0</v>
      </c>
      <c r="L197" s="148" t="n">
        <v>0</v>
      </c>
      <c r="M197" s="151" t="n">
        <f aca="false">L197</f>
        <v>0</v>
      </c>
      <c r="N197" s="147" t="n">
        <f aca="false">VLOOKUP($A197,[1]!CurveTable,MATCH($N$4,[1]!CurveType,0))</f>
        <v>0.02</v>
      </c>
      <c r="O197" s="148" t="n">
        <f aca="false">N197+Inputs!$E$22</f>
        <v>0.02</v>
      </c>
      <c r="P197" s="151" t="n">
        <f aca="false">O197</f>
        <v>0.02</v>
      </c>
      <c r="Q197" s="147" t="n">
        <f aca="false">VLOOKUP($A197,[1]!CurveTable,MATCH($Q$4,[1]!CurveType,0))</f>
        <v>0.0075</v>
      </c>
      <c r="R197" s="148" t="n">
        <v>0</v>
      </c>
      <c r="S197" s="151" t="n">
        <f aca="false">R197</f>
        <v>0</v>
      </c>
      <c r="T197" s="152"/>
      <c r="U197" s="153" t="n">
        <f aca="false">G197+J197</f>
        <v>5.787</v>
      </c>
      <c r="V197" s="154"/>
      <c r="W197" s="155" t="n">
        <f aca="false">VLOOKUP($A197,[1]!CurveTable,MATCH($W$4,[1]!CurveType,0))+$W$9</f>
        <v>0.17</v>
      </c>
      <c r="X197" s="155" t="n">
        <f aca="false">VLOOKUP($A197,[1]!CurveTable,MATCH($X$4,[1]!CurveType,0))+$X$9</f>
        <v>0.175</v>
      </c>
      <c r="Y197" s="139" t="n">
        <f aca="false">SQRT((X197^2*($A197-$C$3)+W197^2*(DAY(EOMONTH(A197,0))/2))/$AN197)</f>
        <v>0.173071243663321</v>
      </c>
      <c r="Z197" s="152"/>
      <c r="AA197" s="153" t="n">
        <f aca="false">G197+P197+S197</f>
        <v>5.722</v>
      </c>
      <c r="AB197" s="154"/>
      <c r="AC197" s="155" t="n">
        <f aca="false">VLOOKUP($A197,[1]!CurveTable,MATCH($AC$4,[1]!CurveType,0))+$AC$9</f>
        <v>0.17</v>
      </c>
      <c r="AD197" s="155" t="n">
        <f aca="false">VLOOKUP($A197,[1]!CurveTable,MATCH($AD$4,[1]!CurveType,0))+$AD$9</f>
        <v>0.175</v>
      </c>
      <c r="AE197" s="139" t="n">
        <f aca="false">SQRT((AD197^2*($A197-$C$3)+AC197^2*(DAY(EOMONTH(A197,0))/2))/$AN197)</f>
        <v>0.173071243663321</v>
      </c>
      <c r="AF197" s="152"/>
      <c r="AG197" s="156" t="n">
        <f aca="false">((Inputs!$F$20*(X197*AD197)*(A197-$C$3))+(Inputs!$F$19*W197*AC197*(DAY(EOMONTH(A197,0))/2)))/(AN197*Y197*AE197)</f>
        <v>0.75</v>
      </c>
      <c r="AH197" s="152"/>
      <c r="AI197" s="140" t="n">
        <f aca="false">Inputs!$B$15</f>
        <v>0.06</v>
      </c>
      <c r="AJ197" s="157"/>
      <c r="AK197" s="140" t="n">
        <f aca="false">IF((U197-AA197-AI197)&lt;0,0,(U197-AA197-AI197))</f>
        <v>0.00500000000000039</v>
      </c>
      <c r="AL197" s="157"/>
      <c r="AM197" s="158" t="n">
        <f aca="false">WORKDAY(EOMONTH(A197-1,-1),0)</f>
        <v>43799</v>
      </c>
      <c r="AN197" s="159" t="n">
        <f aca="false">AM197-$C$3</f>
        <v>-2127</v>
      </c>
      <c r="AO197" s="159" t="n">
        <f aca="false">AO196</f>
        <v>1</v>
      </c>
      <c r="AP197" s="160"/>
      <c r="AQ197" s="161" t="e">
        <f aca="false">SPRDOPT(U197,AA197,AI197,AX197,X197,AD197,AG197,AN197,AO197,0)</f>
        <v>#NAME?</v>
      </c>
      <c r="AR197" s="162" t="e">
        <f aca="false">AQ197*C197</f>
        <v>#NAME?</v>
      </c>
      <c r="AS197" s="163" t="e">
        <f aca="false">AQ197-AK197</f>
        <v>#NAME?</v>
      </c>
      <c r="AU197" s="112" t="n">
        <f aca="false">A198-A197</f>
        <v>31</v>
      </c>
      <c r="AV197" s="164" t="n">
        <f aca="false">CHOOSE(F$3,A198+24,A197+14)</f>
        <v>43845</v>
      </c>
      <c r="AW197" s="49" t="n">
        <f aca="false">AV197-C$3</f>
        <v>-2081</v>
      </c>
      <c r="AX197" s="155" t="n">
        <f aca="false">VLOOKUP($A197,[1]!CurveTable,MATCH(AX$4,[1]!CurveType,0))</f>
        <v>0.0604981732672911</v>
      </c>
      <c r="AY197" s="165" t="n">
        <f aca="false">1/(1+CHOOSE(F$3,(AX198+(Inputs!$B$14/10000))/2,(AX197+(Inputs!$B$14/10000))/2))^(2*AW197/365.25)</f>
        <v>1.40435195258449</v>
      </c>
      <c r="AZ197" s="49" t="n">
        <f aca="false">IF(AND(mthbeg&lt;=A197,mthend&gt;=A197),1,0)</f>
        <v>0</v>
      </c>
      <c r="BA197" s="111" t="n">
        <f aca="false">AU197*AZ197</f>
        <v>0</v>
      </c>
      <c r="BC197" s="142" t="n">
        <f aca="false">E197*$D197</f>
        <v>0</v>
      </c>
      <c r="BD197" s="142" t="n">
        <f aca="false">F197*$D197</f>
        <v>0</v>
      </c>
      <c r="BE197" s="142" t="n">
        <f aca="false">G197*$D197</f>
        <v>0</v>
      </c>
      <c r="BF197" s="142" t="n">
        <f aca="false">H197*$D197</f>
        <v>0</v>
      </c>
      <c r="BG197" s="142" t="n">
        <f aca="false">I197*$D197</f>
        <v>0</v>
      </c>
      <c r="BH197" s="142" t="n">
        <f aca="false">J197*$D197</f>
        <v>0</v>
      </c>
      <c r="BI197" s="142" t="n">
        <f aca="false">K197*$D197</f>
        <v>0</v>
      </c>
      <c r="BJ197" s="142" t="n">
        <f aca="false">L197*$D197</f>
        <v>0</v>
      </c>
      <c r="BK197" s="142" t="n">
        <f aca="false">M197*$D197</f>
        <v>0</v>
      </c>
      <c r="BL197" s="142" t="n">
        <f aca="false">N197*$D197</f>
        <v>0</v>
      </c>
      <c r="BM197" s="142" t="n">
        <f aca="false">O197*$D197</f>
        <v>0</v>
      </c>
      <c r="BN197" s="142" t="n">
        <f aca="false">P197*$D197</f>
        <v>0</v>
      </c>
      <c r="BO197" s="142" t="n">
        <f aca="false">Q197*$D197</f>
        <v>0</v>
      </c>
      <c r="BP197" s="142" t="n">
        <f aca="false">R197*$D197</f>
        <v>0</v>
      </c>
      <c r="BQ197" s="142" t="n">
        <f aca="false">S197*$D197</f>
        <v>0</v>
      </c>
      <c r="BR197" s="142" t="n">
        <f aca="false">U197*$D197</f>
        <v>0</v>
      </c>
      <c r="BS197" s="142" t="n">
        <f aca="false">AA197*$D197</f>
        <v>0</v>
      </c>
      <c r="BT197" s="142" t="n">
        <f aca="false">AI197*$D197</f>
        <v>0</v>
      </c>
      <c r="BU197" s="142" t="n">
        <f aca="false">AK197*D197</f>
        <v>0</v>
      </c>
    </row>
    <row r="198" customFormat="false" ht="12.75" hidden="false" customHeight="false" outlineLevel="0" collapsed="false">
      <c r="A198" s="144" t="n">
        <f aca="false">EDATE(A197,1)</f>
        <v>43862</v>
      </c>
      <c r="B198" s="145" t="n">
        <f aca="false">Inputs!$B$8</f>
        <v>50000</v>
      </c>
      <c r="C198" s="146" t="n">
        <f aca="false">IF(AZ198=0,0,IF(AND(AZ198=1,$H$3=1),B198*AU198,IF($H$3=2,B198,"N/A")))</f>
        <v>0</v>
      </c>
      <c r="D198" s="146" t="n">
        <f aca="false">C198*AY198</f>
        <v>0</v>
      </c>
      <c r="E198" s="147" t="n">
        <f aca="false">VLOOKUP($A198,[1]!CurveTable,MATCH($E$4,[1]!CurveType,0))</f>
        <v>5.56</v>
      </c>
      <c r="F198" s="148" t="n">
        <f aca="false">E198-Inputs!$B$16</f>
        <v>5.615</v>
      </c>
      <c r="G198" s="149" t="n">
        <f aca="false">F198</f>
        <v>5.615</v>
      </c>
      <c r="H198" s="147" t="n">
        <f aca="false">VLOOKUP($A198,[1]!CurveTable,MATCH($H$4,[1]!CurveType,0))</f>
        <v>0.075</v>
      </c>
      <c r="I198" s="148" t="n">
        <f aca="false">H198+Inputs!$B$22</f>
        <v>0.075</v>
      </c>
      <c r="J198" s="150" t="n">
        <f aca="false">I198</f>
        <v>0.075</v>
      </c>
      <c r="K198" s="147" t="n">
        <f aca="false">VLOOKUP($A198,[1]!CurveTable,MATCH($K$4,[1]!CurveType,0))</f>
        <v>0</v>
      </c>
      <c r="L198" s="148" t="n">
        <v>0</v>
      </c>
      <c r="M198" s="151" t="n">
        <f aca="false">L198</f>
        <v>0</v>
      </c>
      <c r="N198" s="147" t="n">
        <f aca="false">VLOOKUP($A198,[1]!CurveTable,MATCH($N$4,[1]!CurveType,0))</f>
        <v>0.02</v>
      </c>
      <c r="O198" s="148" t="n">
        <f aca="false">N198+Inputs!$E$22</f>
        <v>0.02</v>
      </c>
      <c r="P198" s="151" t="n">
        <f aca="false">O198</f>
        <v>0.02</v>
      </c>
      <c r="Q198" s="147" t="n">
        <f aca="false">VLOOKUP($A198,[1]!CurveTable,MATCH($Q$4,[1]!CurveType,0))</f>
        <v>0.0075</v>
      </c>
      <c r="R198" s="148" t="n">
        <v>0</v>
      </c>
      <c r="S198" s="151" t="n">
        <f aca="false">R198</f>
        <v>0</v>
      </c>
      <c r="T198" s="152"/>
      <c r="U198" s="153" t="n">
        <f aca="false">G198+J198</f>
        <v>5.69</v>
      </c>
      <c r="V198" s="154"/>
      <c r="W198" s="155" t="n">
        <f aca="false">VLOOKUP($A198,[1]!CurveTable,MATCH($W$4,[1]!CurveType,0))+$W$9</f>
        <v>0.17</v>
      </c>
      <c r="X198" s="155" t="n">
        <f aca="false">VLOOKUP($A198,[1]!CurveTable,MATCH($X$4,[1]!CurveType,0))+$X$9</f>
        <v>0.175</v>
      </c>
      <c r="Y198" s="139" t="n">
        <f aca="false">SQRT((X198^2*($A198-$C$3)+W198^2*(DAY(EOMONTH(A198,0))/2))/$AN198)</f>
        <v>0.173082391689557</v>
      </c>
      <c r="Z198" s="152"/>
      <c r="AA198" s="153" t="n">
        <f aca="false">G198+P198+S198</f>
        <v>5.635</v>
      </c>
      <c r="AB198" s="154"/>
      <c r="AC198" s="155" t="n">
        <f aca="false">VLOOKUP($A198,[1]!CurveTable,MATCH($AC$4,[1]!CurveType,0))+$AC$9</f>
        <v>0.17</v>
      </c>
      <c r="AD198" s="155" t="n">
        <f aca="false">VLOOKUP($A198,[1]!CurveTable,MATCH($AD$4,[1]!CurveType,0))+$AD$9</f>
        <v>0.175</v>
      </c>
      <c r="AE198" s="139" t="n">
        <f aca="false">SQRT((AD198^2*($A198-$C$3)+AC198^2*(DAY(EOMONTH(A198,0))/2))/$AN198)</f>
        <v>0.173082391689557</v>
      </c>
      <c r="AF198" s="152"/>
      <c r="AG198" s="156" t="n">
        <f aca="false">((Inputs!$F$20*(X198*AD198)*(A198-$C$3))+(Inputs!$F$19*W198*AC198*(DAY(EOMONTH(A198,0))/2)))/(AN198*Y198*AE198)</f>
        <v>0.75</v>
      </c>
      <c r="AH198" s="152"/>
      <c r="AI198" s="140" t="n">
        <f aca="false">Inputs!$B$15</f>
        <v>0.06</v>
      </c>
      <c r="AJ198" s="157"/>
      <c r="AK198" s="140" t="n">
        <f aca="false">IF((U198-AA198-AI198)&lt;0,0,(U198-AA198-AI198))</f>
        <v>0</v>
      </c>
      <c r="AL198" s="157"/>
      <c r="AM198" s="158" t="n">
        <f aca="false">WORKDAY(EOMONTH(A198-1,-1),0)</f>
        <v>43830</v>
      </c>
      <c r="AN198" s="159" t="n">
        <f aca="false">AM198-$C$3</f>
        <v>-2096</v>
      </c>
      <c r="AO198" s="159" t="n">
        <f aca="false">AO197</f>
        <v>1</v>
      </c>
      <c r="AP198" s="160"/>
      <c r="AQ198" s="161" t="e">
        <f aca="false">SPRDOPT(U198,AA198,AI198,AX198,X198,AD198,AG198,AN198,AO198,0)</f>
        <v>#NAME?</v>
      </c>
      <c r="AR198" s="162" t="e">
        <f aca="false">AQ198*C198</f>
        <v>#NAME?</v>
      </c>
      <c r="AS198" s="163" t="e">
        <f aca="false">AQ198-AK198</f>
        <v>#NAME?</v>
      </c>
      <c r="AU198" s="112" t="n">
        <f aca="false">A199-A198</f>
        <v>29</v>
      </c>
      <c r="AV198" s="164" t="n">
        <f aca="false">CHOOSE(F$3,A199+24,A198+14)</f>
        <v>43876</v>
      </c>
      <c r="AW198" s="49" t="n">
        <f aca="false">AV198-C$3</f>
        <v>-2050</v>
      </c>
      <c r="AX198" s="155" t="n">
        <f aca="false">VLOOKUP($A198,[1]!CurveTable,MATCH(AX$4,[1]!CurveType,0))</f>
        <v>0.0605563860748921</v>
      </c>
      <c r="AY198" s="165" t="n">
        <f aca="false">1/(1+CHOOSE(F$3,(AX199+(Inputs!$B$14/10000))/2,(AX198+(Inputs!$B$14/10000))/2))^(2*AW198/365.25)</f>
        <v>1.39770907925398</v>
      </c>
      <c r="AZ198" s="49" t="n">
        <f aca="false">IF(AND(mthbeg&lt;=A198,mthend&gt;=A198),1,0)</f>
        <v>0</v>
      </c>
      <c r="BA198" s="111" t="n">
        <f aca="false">AU198*AZ198</f>
        <v>0</v>
      </c>
      <c r="BC198" s="142" t="n">
        <f aca="false">E198*$D198</f>
        <v>0</v>
      </c>
      <c r="BD198" s="142" t="n">
        <f aca="false">F198*$D198</f>
        <v>0</v>
      </c>
      <c r="BE198" s="142" t="n">
        <f aca="false">G198*$D198</f>
        <v>0</v>
      </c>
      <c r="BF198" s="142" t="n">
        <f aca="false">H198*$D198</f>
        <v>0</v>
      </c>
      <c r="BG198" s="142" t="n">
        <f aca="false">I198*$D198</f>
        <v>0</v>
      </c>
      <c r="BH198" s="142" t="n">
        <f aca="false">J198*$D198</f>
        <v>0</v>
      </c>
      <c r="BI198" s="142" t="n">
        <f aca="false">K198*$D198</f>
        <v>0</v>
      </c>
      <c r="BJ198" s="142" t="n">
        <f aca="false">L198*$D198</f>
        <v>0</v>
      </c>
      <c r="BK198" s="142" t="n">
        <f aca="false">M198*$D198</f>
        <v>0</v>
      </c>
      <c r="BL198" s="142" t="n">
        <f aca="false">N198*$D198</f>
        <v>0</v>
      </c>
      <c r="BM198" s="142" t="n">
        <f aca="false">O198*$D198</f>
        <v>0</v>
      </c>
      <c r="BN198" s="142" t="n">
        <f aca="false">P198*$D198</f>
        <v>0</v>
      </c>
      <c r="BO198" s="142" t="n">
        <f aca="false">Q198*$D198</f>
        <v>0</v>
      </c>
      <c r="BP198" s="142" t="n">
        <f aca="false">R198*$D198</f>
        <v>0</v>
      </c>
      <c r="BQ198" s="142" t="n">
        <f aca="false">S198*$D198</f>
        <v>0</v>
      </c>
      <c r="BR198" s="142" t="n">
        <f aca="false">U198*$D198</f>
        <v>0</v>
      </c>
      <c r="BS198" s="142" t="n">
        <f aca="false">AA198*$D198</f>
        <v>0</v>
      </c>
      <c r="BT198" s="142" t="n">
        <f aca="false">AI198*$D198</f>
        <v>0</v>
      </c>
      <c r="BU198" s="142" t="n">
        <f aca="false">AK198*D198</f>
        <v>0</v>
      </c>
    </row>
    <row r="199" customFormat="false" ht="12.75" hidden="false" customHeight="false" outlineLevel="0" collapsed="false">
      <c r="A199" s="144" t="n">
        <f aca="false">EDATE(A198,1)</f>
        <v>43891</v>
      </c>
      <c r="B199" s="145" t="n">
        <f aca="false">Inputs!$B$8</f>
        <v>50000</v>
      </c>
      <c r="C199" s="146" t="n">
        <f aca="false">IF(AZ199=0,0,IF(AND(AZ199=1,$H$3=1),B199*AU199,IF($H$3=2,B199,"N/A")))</f>
        <v>0</v>
      </c>
      <c r="D199" s="146" t="n">
        <f aca="false">C199*AY199</f>
        <v>0</v>
      </c>
      <c r="E199" s="147" t="n">
        <f aca="false">VLOOKUP($A199,[1]!CurveTable,MATCH($E$4,[1]!CurveType,0))</f>
        <v>5.421</v>
      </c>
      <c r="F199" s="148" t="n">
        <f aca="false">E199-Inputs!$B$16</f>
        <v>5.476</v>
      </c>
      <c r="G199" s="149" t="n">
        <f aca="false">F199</f>
        <v>5.476</v>
      </c>
      <c r="H199" s="147" t="n">
        <f aca="false">VLOOKUP($A199,[1]!CurveTable,MATCH($H$4,[1]!CurveType,0))</f>
        <v>0.115</v>
      </c>
      <c r="I199" s="148" t="n">
        <f aca="false">H199+Inputs!$B$22</f>
        <v>0.115</v>
      </c>
      <c r="J199" s="150" t="n">
        <f aca="false">I199</f>
        <v>0.115</v>
      </c>
      <c r="K199" s="147" t="n">
        <f aca="false">VLOOKUP($A199,[1]!CurveTable,MATCH($K$4,[1]!CurveType,0))</f>
        <v>0</v>
      </c>
      <c r="L199" s="148" t="n">
        <v>0</v>
      </c>
      <c r="M199" s="151" t="n">
        <f aca="false">L199</f>
        <v>0</v>
      </c>
      <c r="N199" s="147" t="n">
        <f aca="false">VLOOKUP($A199,[1]!CurveTable,MATCH($N$4,[1]!CurveType,0))</f>
        <v>0.024</v>
      </c>
      <c r="O199" s="148" t="n">
        <f aca="false">N199+Inputs!$E$22</f>
        <v>0.024</v>
      </c>
      <c r="P199" s="151" t="n">
        <f aca="false">O199</f>
        <v>0.024</v>
      </c>
      <c r="Q199" s="147" t="n">
        <f aca="false">VLOOKUP($A199,[1]!CurveTable,MATCH($Q$4,[1]!CurveType,0))</f>
        <v>0.0075</v>
      </c>
      <c r="R199" s="148" t="n">
        <v>0</v>
      </c>
      <c r="S199" s="151" t="n">
        <f aca="false">R199</f>
        <v>0</v>
      </c>
      <c r="T199" s="152"/>
      <c r="U199" s="153" t="n">
        <f aca="false">G199+J199</f>
        <v>5.591</v>
      </c>
      <c r="V199" s="154"/>
      <c r="W199" s="155" t="n">
        <f aca="false">VLOOKUP($A199,[1]!CurveTable,MATCH($W$4,[1]!CurveType,0))+$W$9</f>
        <v>0.17</v>
      </c>
      <c r="X199" s="155" t="n">
        <f aca="false">VLOOKUP($A199,[1]!CurveTable,MATCH($X$4,[1]!CurveType,0))+$X$9</f>
        <v>0.175</v>
      </c>
      <c r="Y199" s="139" t="n">
        <f aca="false">SQRT((X199^2*($A199-$C$3)+W199^2*(DAY(EOMONTH(A199,0))/2))/$AN199)</f>
        <v>0.173098699608909</v>
      </c>
      <c r="Z199" s="152"/>
      <c r="AA199" s="153" t="n">
        <f aca="false">G199+P199+S199</f>
        <v>5.5</v>
      </c>
      <c r="AB199" s="154"/>
      <c r="AC199" s="155" t="n">
        <f aca="false">VLOOKUP($A199,[1]!CurveTable,MATCH($AC$4,[1]!CurveType,0))+$AC$9</f>
        <v>0.17</v>
      </c>
      <c r="AD199" s="155" t="n">
        <f aca="false">VLOOKUP($A199,[1]!CurveTable,MATCH($AD$4,[1]!CurveType,0))+$AD$9</f>
        <v>0.175</v>
      </c>
      <c r="AE199" s="139" t="n">
        <f aca="false">SQRT((AD199^2*($A199-$C$3)+AC199^2*(DAY(EOMONTH(A199,0))/2))/$AN199)</f>
        <v>0.173098699608909</v>
      </c>
      <c r="AF199" s="152"/>
      <c r="AG199" s="156" t="n">
        <f aca="false">((Inputs!$F$20*(X199*AD199)*(A199-$C$3))+(Inputs!$F$19*W199*AC199*(DAY(EOMONTH(A199,0))/2)))/(AN199*Y199*AE199)</f>
        <v>0.75</v>
      </c>
      <c r="AH199" s="152"/>
      <c r="AI199" s="140" t="n">
        <f aca="false">Inputs!$B$15</f>
        <v>0.06</v>
      </c>
      <c r="AJ199" s="157"/>
      <c r="AK199" s="140" t="n">
        <f aca="false">IF((U199-AA199-AI199)&lt;0,0,(U199-AA199-AI199))</f>
        <v>0.0310000000000002</v>
      </c>
      <c r="AL199" s="157"/>
      <c r="AM199" s="158" t="n">
        <f aca="false">WORKDAY(EOMONTH(A199-1,-1),0)</f>
        <v>43861</v>
      </c>
      <c r="AN199" s="159" t="n">
        <f aca="false">AM199-$C$3</f>
        <v>-2065</v>
      </c>
      <c r="AO199" s="159" t="n">
        <f aca="false">AO198</f>
        <v>1</v>
      </c>
      <c r="AP199" s="160"/>
      <c r="AQ199" s="161" t="e">
        <f aca="false">SPRDOPT(U199,AA199,AI199,AX199,X199,AD199,AG199,AN199,AO199,0)</f>
        <v>#NAME?</v>
      </c>
      <c r="AR199" s="162" t="e">
        <f aca="false">AQ199*C199</f>
        <v>#NAME?</v>
      </c>
      <c r="AS199" s="163" t="e">
        <f aca="false">AQ199-AK199</f>
        <v>#NAME?</v>
      </c>
      <c r="AU199" s="112" t="n">
        <f aca="false">A200-A199</f>
        <v>31</v>
      </c>
      <c r="AV199" s="164" t="n">
        <f aca="false">CHOOSE(F$3,A200+24,A199+14)</f>
        <v>43905</v>
      </c>
      <c r="AW199" s="49" t="n">
        <f aca="false">AV199-C$3</f>
        <v>-2021</v>
      </c>
      <c r="AX199" s="155" t="n">
        <f aca="false">VLOOKUP($A199,[1]!CurveTable,MATCH(AX$4,[1]!CurveType,0))</f>
        <v>0.0606108432185057</v>
      </c>
      <c r="AY199" s="165" t="n">
        <f aca="false">1/(1+CHOOSE(F$3,(AX200+(Inputs!$B$14/10000))/2,(AX199+(Inputs!$B$14/10000))/2))^(2*AW199/365.25)</f>
        <v>1.39151113439202</v>
      </c>
      <c r="AZ199" s="49" t="n">
        <f aca="false">IF(AND(mthbeg&lt;=A199,mthend&gt;=A199),1,0)</f>
        <v>0</v>
      </c>
      <c r="BA199" s="111" t="n">
        <f aca="false">AU199*AZ199</f>
        <v>0</v>
      </c>
      <c r="BC199" s="142" t="n">
        <f aca="false">E199*$D199</f>
        <v>0</v>
      </c>
      <c r="BD199" s="142" t="n">
        <f aca="false">F199*$D199</f>
        <v>0</v>
      </c>
      <c r="BE199" s="142" t="n">
        <f aca="false">G199*$D199</f>
        <v>0</v>
      </c>
      <c r="BF199" s="142" t="n">
        <f aca="false">H199*$D199</f>
        <v>0</v>
      </c>
      <c r="BG199" s="142" t="n">
        <f aca="false">I199*$D199</f>
        <v>0</v>
      </c>
      <c r="BH199" s="142" t="n">
        <f aca="false">J199*$D199</f>
        <v>0</v>
      </c>
      <c r="BI199" s="142" t="n">
        <f aca="false">K199*$D199</f>
        <v>0</v>
      </c>
      <c r="BJ199" s="142" t="n">
        <f aca="false">L199*$D199</f>
        <v>0</v>
      </c>
      <c r="BK199" s="142" t="n">
        <f aca="false">M199*$D199</f>
        <v>0</v>
      </c>
      <c r="BL199" s="142" t="n">
        <f aca="false">N199*$D199</f>
        <v>0</v>
      </c>
      <c r="BM199" s="142" t="n">
        <f aca="false">O199*$D199</f>
        <v>0</v>
      </c>
      <c r="BN199" s="142" t="n">
        <f aca="false">P199*$D199</f>
        <v>0</v>
      </c>
      <c r="BO199" s="142" t="n">
        <f aca="false">Q199*$D199</f>
        <v>0</v>
      </c>
      <c r="BP199" s="142" t="n">
        <f aca="false">R199*$D199</f>
        <v>0</v>
      </c>
      <c r="BQ199" s="142" t="n">
        <f aca="false">S199*$D199</f>
        <v>0</v>
      </c>
      <c r="BR199" s="142" t="n">
        <f aca="false">U199*$D199</f>
        <v>0</v>
      </c>
      <c r="BS199" s="142" t="n">
        <f aca="false">AA199*$D199</f>
        <v>0</v>
      </c>
      <c r="BT199" s="142" t="n">
        <f aca="false">AI199*$D199</f>
        <v>0</v>
      </c>
      <c r="BU199" s="142" t="n">
        <f aca="false">AK199*D199</f>
        <v>0</v>
      </c>
    </row>
    <row r="200" customFormat="false" ht="12.75" hidden="false" customHeight="false" outlineLevel="0" collapsed="false">
      <c r="A200" s="144" t="n">
        <f aca="false">EDATE(A199,1)</f>
        <v>43922</v>
      </c>
      <c r="B200" s="145" t="n">
        <f aca="false">Inputs!$B$8</f>
        <v>50000</v>
      </c>
      <c r="C200" s="146" t="n">
        <f aca="false">IF(AZ200=0,0,IF(AND(AZ200=1,$H$3=1),B200*AU200,IF($H$3=2,B200,"N/A")))</f>
        <v>0</v>
      </c>
      <c r="D200" s="146" t="n">
        <f aca="false">C200*AY200</f>
        <v>0</v>
      </c>
      <c r="E200" s="147" t="n">
        <f aca="false">VLOOKUP($A200,[1]!CurveTable,MATCH($E$4,[1]!CurveType,0))</f>
        <v>5.267</v>
      </c>
      <c r="F200" s="148" t="n">
        <f aca="false">E200-Inputs!$B$16</f>
        <v>5.322</v>
      </c>
      <c r="G200" s="149" t="n">
        <f aca="false">F200</f>
        <v>5.322</v>
      </c>
      <c r="H200" s="147" t="n">
        <f aca="false">VLOOKUP($A200,[1]!CurveTable,MATCH($H$4,[1]!CurveType,0))</f>
        <v>0.55</v>
      </c>
      <c r="I200" s="148" t="n">
        <f aca="false">H200+Inputs!$B$22</f>
        <v>0.55</v>
      </c>
      <c r="J200" s="150" t="n">
        <f aca="false">I200</f>
        <v>0.55</v>
      </c>
      <c r="K200" s="147" t="n">
        <f aca="false">VLOOKUP($A200,[1]!CurveTable,MATCH($K$4,[1]!CurveType,0))</f>
        <v>0</v>
      </c>
      <c r="L200" s="148" t="n">
        <v>0</v>
      </c>
      <c r="M200" s="151" t="n">
        <f aca="false">L200</f>
        <v>0</v>
      </c>
      <c r="N200" s="147" t="n">
        <f aca="false">VLOOKUP($A200,[1]!CurveTable,MATCH($N$4,[1]!CurveType,0))</f>
        <v>0.024</v>
      </c>
      <c r="O200" s="148" t="n">
        <f aca="false">N200+Inputs!$E$22</f>
        <v>0.024</v>
      </c>
      <c r="P200" s="151" t="n">
        <f aca="false">O200</f>
        <v>0.024</v>
      </c>
      <c r="Q200" s="147" t="n">
        <f aca="false">VLOOKUP($A200,[1]!CurveTable,MATCH($Q$4,[1]!CurveType,0))</f>
        <v>0.01</v>
      </c>
      <c r="R200" s="148" t="n">
        <v>0</v>
      </c>
      <c r="S200" s="151" t="n">
        <f aca="false">R200</f>
        <v>0</v>
      </c>
      <c r="T200" s="152"/>
      <c r="U200" s="153" t="n">
        <f aca="false">G200+J200</f>
        <v>5.872</v>
      </c>
      <c r="V200" s="154"/>
      <c r="W200" s="155" t="n">
        <f aca="false">VLOOKUP($A200,[1]!CurveTable,MATCH($W$4,[1]!CurveType,0))+$W$9</f>
        <v>0.17</v>
      </c>
      <c r="X200" s="155" t="n">
        <f aca="false">VLOOKUP($A200,[1]!CurveTable,MATCH($X$4,[1]!CurveType,0))+$X$9</f>
        <v>0.175</v>
      </c>
      <c r="Y200" s="139" t="n">
        <f aca="false">SQRT((X200^2*($A200-$C$3)+W200^2*(DAY(EOMONTH(A200,0))/2))/$AN200)</f>
        <v>0.17300504779308</v>
      </c>
      <c r="Z200" s="152"/>
      <c r="AA200" s="153" t="n">
        <f aca="false">G200+P200+S200</f>
        <v>5.346</v>
      </c>
      <c r="AB200" s="154"/>
      <c r="AC200" s="155" t="n">
        <f aca="false">VLOOKUP($A200,[1]!CurveTable,MATCH($AC$4,[1]!CurveType,0))+$AC$9</f>
        <v>0.17</v>
      </c>
      <c r="AD200" s="155" t="n">
        <f aca="false">VLOOKUP($A200,[1]!CurveTable,MATCH($AD$4,[1]!CurveType,0))+$AD$9</f>
        <v>0.175</v>
      </c>
      <c r="AE200" s="139" t="n">
        <f aca="false">SQRT((AD200^2*($A200-$C$3)+AC200^2*(DAY(EOMONTH(A200,0))/2))/$AN200)</f>
        <v>0.17300504779308</v>
      </c>
      <c r="AF200" s="152"/>
      <c r="AG200" s="156" t="n">
        <f aca="false">((Inputs!$F$20*(X200*AD200)*(A200-$C$3))+(Inputs!$F$19*W200*AC200*(DAY(EOMONTH(A200,0))/2)))/(AN200*Y200*AE200)</f>
        <v>0.75</v>
      </c>
      <c r="AH200" s="152"/>
      <c r="AI200" s="140" t="n">
        <f aca="false">Inputs!$B$15</f>
        <v>0.06</v>
      </c>
      <c r="AJ200" s="157"/>
      <c r="AK200" s="140" t="n">
        <f aca="false">IF((U200-AA200-AI200)&lt;0,0,(U200-AA200-AI200))</f>
        <v>0.466</v>
      </c>
      <c r="AL200" s="157"/>
      <c r="AM200" s="158" t="n">
        <f aca="false">WORKDAY(EOMONTH(A200-1,-1),0)</f>
        <v>43890</v>
      </c>
      <c r="AN200" s="159" t="n">
        <f aca="false">AM200-$C$3</f>
        <v>-2036</v>
      </c>
      <c r="AO200" s="159" t="n">
        <f aca="false">AO199</f>
        <v>1</v>
      </c>
      <c r="AP200" s="160"/>
      <c r="AQ200" s="161" t="e">
        <f aca="false">SPRDOPT(U200,AA200,AI200,AX200,X200,AD200,AG200,AN200,AO200,0)</f>
        <v>#NAME?</v>
      </c>
      <c r="AR200" s="162" t="e">
        <f aca="false">AQ200*C200</f>
        <v>#NAME?</v>
      </c>
      <c r="AS200" s="163" t="e">
        <f aca="false">AQ200-AK200</f>
        <v>#NAME?</v>
      </c>
      <c r="AU200" s="112" t="n">
        <f aca="false">A201-A200</f>
        <v>30</v>
      </c>
      <c r="AV200" s="164" t="n">
        <f aca="false">CHOOSE(F$3,A201+24,A200+14)</f>
        <v>43936</v>
      </c>
      <c r="AW200" s="49" t="n">
        <f aca="false">AV200-C$3</f>
        <v>-1990</v>
      </c>
      <c r="AX200" s="155" t="n">
        <f aca="false">VLOOKUP($A200,[1]!CurveTable,MATCH(AX$4,[1]!CurveType,0))</f>
        <v>0.060669056028285</v>
      </c>
      <c r="AY200" s="165" t="n">
        <f aca="false">1/(1+CHOOSE(F$3,(AX201+(Inputs!$B$14/10000))/2,(AX200+(Inputs!$B$14/10000))/2))^(2*AW200/365.25)</f>
        <v>1.38490326867545</v>
      </c>
      <c r="AZ200" s="49" t="n">
        <f aca="false">IF(AND(mthbeg&lt;=A200,mthend&gt;=A200),1,0)</f>
        <v>0</v>
      </c>
      <c r="BA200" s="111" t="n">
        <f aca="false">AU200*AZ200</f>
        <v>0</v>
      </c>
      <c r="BC200" s="142" t="n">
        <f aca="false">E200*$D200</f>
        <v>0</v>
      </c>
      <c r="BD200" s="142" t="n">
        <f aca="false">F200*$D200</f>
        <v>0</v>
      </c>
      <c r="BE200" s="142" t="n">
        <f aca="false">G200*$D200</f>
        <v>0</v>
      </c>
      <c r="BF200" s="142" t="n">
        <f aca="false">H200*$D200</f>
        <v>0</v>
      </c>
      <c r="BG200" s="142" t="n">
        <f aca="false">I200*$D200</f>
        <v>0</v>
      </c>
      <c r="BH200" s="142" t="n">
        <f aca="false">J200*$D200</f>
        <v>0</v>
      </c>
      <c r="BI200" s="142" t="n">
        <f aca="false">K200*$D200</f>
        <v>0</v>
      </c>
      <c r="BJ200" s="142" t="n">
        <f aca="false">L200*$D200</f>
        <v>0</v>
      </c>
      <c r="BK200" s="142" t="n">
        <f aca="false">M200*$D200</f>
        <v>0</v>
      </c>
      <c r="BL200" s="142" t="n">
        <f aca="false">N200*$D200</f>
        <v>0</v>
      </c>
      <c r="BM200" s="142" t="n">
        <f aca="false">O200*$D200</f>
        <v>0</v>
      </c>
      <c r="BN200" s="142" t="n">
        <f aca="false">P200*$D200</f>
        <v>0</v>
      </c>
      <c r="BO200" s="142" t="n">
        <f aca="false">Q200*$D200</f>
        <v>0</v>
      </c>
      <c r="BP200" s="142" t="n">
        <f aca="false">R200*$D200</f>
        <v>0</v>
      </c>
      <c r="BQ200" s="142" t="n">
        <f aca="false">S200*$D200</f>
        <v>0</v>
      </c>
      <c r="BR200" s="142" t="n">
        <f aca="false">U200*$D200</f>
        <v>0</v>
      </c>
      <c r="BS200" s="142" t="n">
        <f aca="false">AA200*$D200</f>
        <v>0</v>
      </c>
      <c r="BT200" s="142" t="n">
        <f aca="false">AI200*$D200</f>
        <v>0</v>
      </c>
      <c r="BU200" s="142" t="n">
        <f aca="false">AK200*D200</f>
        <v>0</v>
      </c>
    </row>
    <row r="201" customFormat="false" ht="12.75" hidden="false" customHeight="false" outlineLevel="0" collapsed="false">
      <c r="A201" s="144" t="n">
        <f aca="false">EDATE(A200,1)</f>
        <v>43952</v>
      </c>
      <c r="B201" s="145" t="n">
        <f aca="false">Inputs!$B$8</f>
        <v>50000</v>
      </c>
      <c r="C201" s="146" t="n">
        <f aca="false">IF(AZ201=0,0,IF(AND(AZ201=1,$H$3=1),B201*AU201,IF($H$3=2,B201,"N/A")))</f>
        <v>0</v>
      </c>
      <c r="D201" s="146" t="n">
        <f aca="false">C201*AY201</f>
        <v>0</v>
      </c>
      <c r="E201" s="147" t="n">
        <f aca="false">VLOOKUP($A201,[1]!CurveTable,MATCH($E$4,[1]!CurveType,0))</f>
        <v>5.272</v>
      </c>
      <c r="F201" s="148" t="n">
        <f aca="false">E201-Inputs!$B$16</f>
        <v>5.327</v>
      </c>
      <c r="G201" s="149" t="n">
        <f aca="false">F201</f>
        <v>5.327</v>
      </c>
      <c r="H201" s="147" t="n">
        <f aca="false">VLOOKUP($A201,[1]!CurveTable,MATCH($H$4,[1]!CurveType,0))</f>
        <v>0.7</v>
      </c>
      <c r="I201" s="148" t="n">
        <f aca="false">H201+Inputs!$B$22</f>
        <v>0.7</v>
      </c>
      <c r="J201" s="150" t="n">
        <f aca="false">I201</f>
        <v>0.7</v>
      </c>
      <c r="K201" s="147" t="n">
        <f aca="false">VLOOKUP($A201,[1]!CurveTable,MATCH($K$4,[1]!CurveType,0))</f>
        <v>0</v>
      </c>
      <c r="L201" s="148" t="n">
        <v>0</v>
      </c>
      <c r="M201" s="151" t="n">
        <f aca="false">L201</f>
        <v>0</v>
      </c>
      <c r="N201" s="147" t="n">
        <f aca="false">VLOOKUP($A201,[1]!CurveTable,MATCH($N$4,[1]!CurveType,0))</f>
        <v>0.0265</v>
      </c>
      <c r="O201" s="148" t="n">
        <f aca="false">N201+Inputs!$E$22</f>
        <v>0.0265</v>
      </c>
      <c r="P201" s="151" t="n">
        <f aca="false">O201</f>
        <v>0.0265</v>
      </c>
      <c r="Q201" s="147" t="n">
        <f aca="false">VLOOKUP($A201,[1]!CurveTable,MATCH($Q$4,[1]!CurveType,0))</f>
        <v>0.01</v>
      </c>
      <c r="R201" s="148" t="n">
        <v>0</v>
      </c>
      <c r="S201" s="151" t="n">
        <f aca="false">R201</f>
        <v>0</v>
      </c>
      <c r="T201" s="152"/>
      <c r="U201" s="153" t="n">
        <f aca="false">G201+J201</f>
        <v>6.027</v>
      </c>
      <c r="V201" s="154"/>
      <c r="W201" s="155" t="n">
        <f aca="false">VLOOKUP($A201,[1]!CurveTable,MATCH($W$4,[1]!CurveType,0))+$W$9</f>
        <v>0.34</v>
      </c>
      <c r="X201" s="155" t="n">
        <f aca="false">VLOOKUP($A201,[1]!CurveTable,MATCH($X$4,[1]!CurveType,0))+$X$9</f>
        <v>0.345</v>
      </c>
      <c r="Y201" s="139" t="n">
        <f aca="false">SQRT((X201^2*($A201-$C$3)+W201^2*(DAY(EOMONTH(A201,0))/2))/$AN201)</f>
        <v>0.341014731912781</v>
      </c>
      <c r="Z201" s="152"/>
      <c r="AA201" s="153" t="n">
        <f aca="false">G201+P201+S201</f>
        <v>5.3535</v>
      </c>
      <c r="AB201" s="154"/>
      <c r="AC201" s="155" t="n">
        <f aca="false">VLOOKUP($A201,[1]!CurveTable,MATCH($AC$4,[1]!CurveType,0))+$AC$9</f>
        <v>0.17</v>
      </c>
      <c r="AD201" s="155" t="n">
        <f aca="false">VLOOKUP($A201,[1]!CurveTable,MATCH($AD$4,[1]!CurveType,0))+$AD$9</f>
        <v>0.175</v>
      </c>
      <c r="AE201" s="139" t="n">
        <f aca="false">SQRT((AD201^2*($A201-$C$3)+AC201^2*(DAY(EOMONTH(A201,0))/2))/$AN201)</f>
        <v>0.172997340443426</v>
      </c>
      <c r="AF201" s="152"/>
      <c r="AG201" s="156" t="n">
        <f aca="false">((Inputs!$F$20*(X201*AD201)*(A201-$C$3))+(Inputs!$F$19*W201*AC201*(DAY(EOMONTH(A201,0))/2)))/(AN201*Y201*AE201)</f>
        <v>0.750000592507572</v>
      </c>
      <c r="AH201" s="152"/>
      <c r="AI201" s="140" t="n">
        <f aca="false">Inputs!$B$15</f>
        <v>0.06</v>
      </c>
      <c r="AJ201" s="157"/>
      <c r="AK201" s="140" t="n">
        <f aca="false">IF((U201-AA201-AI201)&lt;0,0,(U201-AA201-AI201))</f>
        <v>0.6135</v>
      </c>
      <c r="AL201" s="157"/>
      <c r="AM201" s="158" t="n">
        <f aca="false">WORKDAY(EOMONTH(A201-1,-1),0)</f>
        <v>43921</v>
      </c>
      <c r="AN201" s="159" t="n">
        <f aca="false">AM201-$C$3</f>
        <v>-2005</v>
      </c>
      <c r="AO201" s="159" t="n">
        <f aca="false">AO200</f>
        <v>1</v>
      </c>
      <c r="AP201" s="160"/>
      <c r="AQ201" s="161" t="e">
        <f aca="false">SPRDOPT(U201,AA201,AI201,AX201,X201,AD201,AG201,AN201,AO201,0)</f>
        <v>#NAME?</v>
      </c>
      <c r="AR201" s="162" t="e">
        <f aca="false">AQ201*C201</f>
        <v>#NAME?</v>
      </c>
      <c r="AS201" s="163" t="e">
        <f aca="false">AQ201-AK201</f>
        <v>#NAME?</v>
      </c>
      <c r="AU201" s="112" t="n">
        <f aca="false">A202-A201</f>
        <v>31</v>
      </c>
      <c r="AV201" s="164" t="n">
        <f aca="false">CHOOSE(F$3,A202+24,A201+14)</f>
        <v>43966</v>
      </c>
      <c r="AW201" s="49" t="n">
        <f aca="false">AV201-C$3</f>
        <v>-1960</v>
      </c>
      <c r="AX201" s="155" t="n">
        <f aca="false">VLOOKUP($A201,[1]!CurveTable,MATCH(AX$4,[1]!CurveType,0))</f>
        <v>0.0607253910065628</v>
      </c>
      <c r="AY201" s="165" t="n">
        <f aca="false">1/(1+CHOOSE(F$3,(AX202+(Inputs!$B$14/10000))/2,(AX201+(Inputs!$B$14/10000))/2))^(2*AW201/365.25)</f>
        <v>1.37852583879938</v>
      </c>
      <c r="AZ201" s="49" t="n">
        <f aca="false">IF(AND(mthbeg&lt;=A201,mthend&gt;=A201),1,0)</f>
        <v>0</v>
      </c>
      <c r="BA201" s="111" t="n">
        <f aca="false">AU201*AZ201</f>
        <v>0</v>
      </c>
      <c r="BC201" s="142" t="n">
        <f aca="false">E201*$D201</f>
        <v>0</v>
      </c>
      <c r="BD201" s="142" t="n">
        <f aca="false">F201*$D201</f>
        <v>0</v>
      </c>
      <c r="BE201" s="142" t="n">
        <f aca="false">G201*$D201</f>
        <v>0</v>
      </c>
      <c r="BF201" s="142" t="n">
        <f aca="false">H201*$D201</f>
        <v>0</v>
      </c>
      <c r="BG201" s="142" t="n">
        <f aca="false">I201*$D201</f>
        <v>0</v>
      </c>
      <c r="BH201" s="142" t="n">
        <f aca="false">J201*$D201</f>
        <v>0</v>
      </c>
      <c r="BI201" s="142" t="n">
        <f aca="false">K201*$D201</f>
        <v>0</v>
      </c>
      <c r="BJ201" s="142" t="n">
        <f aca="false">L201*$D201</f>
        <v>0</v>
      </c>
      <c r="BK201" s="142" t="n">
        <f aca="false">M201*$D201</f>
        <v>0</v>
      </c>
      <c r="BL201" s="142" t="n">
        <f aca="false">N201*$D201</f>
        <v>0</v>
      </c>
      <c r="BM201" s="142" t="n">
        <f aca="false">O201*$D201</f>
        <v>0</v>
      </c>
      <c r="BN201" s="142" t="n">
        <f aca="false">P201*$D201</f>
        <v>0</v>
      </c>
      <c r="BO201" s="142" t="n">
        <f aca="false">Q201*$D201</f>
        <v>0</v>
      </c>
      <c r="BP201" s="142" t="n">
        <f aca="false">R201*$D201</f>
        <v>0</v>
      </c>
      <c r="BQ201" s="142" t="n">
        <f aca="false">S201*$D201</f>
        <v>0</v>
      </c>
      <c r="BR201" s="142" t="n">
        <f aca="false">U201*$D201</f>
        <v>0</v>
      </c>
      <c r="BS201" s="142" t="n">
        <f aca="false">AA201*$D201</f>
        <v>0</v>
      </c>
      <c r="BT201" s="142" t="n">
        <f aca="false">AI201*$D201</f>
        <v>0</v>
      </c>
      <c r="BU201" s="142" t="n">
        <f aca="false">AK201*D201</f>
        <v>0</v>
      </c>
    </row>
    <row r="202" customFormat="false" ht="12.75" hidden="false" customHeight="false" outlineLevel="0" collapsed="false">
      <c r="A202" s="144" t="n">
        <f aca="false">EDATE(A201,1)</f>
        <v>43983</v>
      </c>
      <c r="B202" s="145" t="n">
        <f aca="false">Inputs!$B$8</f>
        <v>50000</v>
      </c>
      <c r="C202" s="146" t="n">
        <f aca="false">IF(AZ202=0,0,IF(AND(AZ202=1,$H$3=1),B202*AU202,IF($H$3=2,B202,"N/A")))</f>
        <v>0</v>
      </c>
      <c r="D202" s="146" t="n">
        <f aca="false">C202*AY202</f>
        <v>0</v>
      </c>
      <c r="E202" s="147" t="n">
        <f aca="false">VLOOKUP($A202,[1]!CurveTable,MATCH($E$4,[1]!CurveType,0))</f>
        <v>5.31</v>
      </c>
      <c r="F202" s="148" t="n">
        <f aca="false">E202-Inputs!$B$16</f>
        <v>5.365</v>
      </c>
      <c r="G202" s="149" t="n">
        <f aca="false">F202</f>
        <v>5.365</v>
      </c>
      <c r="H202" s="147" t="n">
        <f aca="false">VLOOKUP($A202,[1]!CurveTable,MATCH($H$4,[1]!CurveType,0))</f>
        <v>0.8</v>
      </c>
      <c r="I202" s="148" t="n">
        <f aca="false">H202+Inputs!$B$22</f>
        <v>0.8</v>
      </c>
      <c r="J202" s="150" t="n">
        <f aca="false">I202</f>
        <v>0.8</v>
      </c>
      <c r="K202" s="147" t="n">
        <f aca="false">VLOOKUP($A202,[1]!CurveTable,MATCH($K$4,[1]!CurveType,0))</f>
        <v>0</v>
      </c>
      <c r="L202" s="148" t="n">
        <v>0</v>
      </c>
      <c r="M202" s="151" t="n">
        <f aca="false">L202</f>
        <v>0</v>
      </c>
      <c r="N202" s="147" t="n">
        <f aca="false">VLOOKUP($A202,[1]!CurveTable,MATCH($N$4,[1]!CurveType,0))</f>
        <v>0.024</v>
      </c>
      <c r="O202" s="148" t="n">
        <f aca="false">N202+Inputs!$E$22</f>
        <v>0.024</v>
      </c>
      <c r="P202" s="151" t="n">
        <f aca="false">O202</f>
        <v>0.024</v>
      </c>
      <c r="Q202" s="147" t="n">
        <f aca="false">VLOOKUP($A202,[1]!CurveTable,MATCH($Q$4,[1]!CurveType,0))</f>
        <v>0.01</v>
      </c>
      <c r="R202" s="148" t="n">
        <v>0</v>
      </c>
      <c r="S202" s="151" t="n">
        <f aca="false">R202</f>
        <v>0</v>
      </c>
      <c r="T202" s="152"/>
      <c r="U202" s="153" t="n">
        <f aca="false">G202+J202</f>
        <v>6.165</v>
      </c>
      <c r="V202" s="154"/>
      <c r="W202" s="155" t="n">
        <f aca="false">VLOOKUP($A202,[1]!CurveTable,MATCH($W$4,[1]!CurveType,0))+$W$9</f>
        <v>0.34</v>
      </c>
      <c r="X202" s="155" t="n">
        <f aca="false">VLOOKUP($A202,[1]!CurveTable,MATCH($X$4,[1]!CurveType,0))+$X$9</f>
        <v>0.345</v>
      </c>
      <c r="Y202" s="139" t="n">
        <f aca="false">SQRT((X202^2*($A202-$C$3)+W202^2*(DAY(EOMONTH(A202,0))/2))/$AN202)</f>
        <v>0.340908373301891</v>
      </c>
      <c r="Z202" s="152"/>
      <c r="AA202" s="153" t="n">
        <f aca="false">G202+P202+S202</f>
        <v>5.389</v>
      </c>
      <c r="AB202" s="154"/>
      <c r="AC202" s="155" t="n">
        <f aca="false">VLOOKUP($A202,[1]!CurveTable,MATCH($AC$4,[1]!CurveType,0))+$AC$9</f>
        <v>0.17</v>
      </c>
      <c r="AD202" s="155" t="n">
        <f aca="false">VLOOKUP($A202,[1]!CurveTable,MATCH($AD$4,[1]!CurveType,0))+$AD$9</f>
        <v>0.175</v>
      </c>
      <c r="AE202" s="139" t="n">
        <f aca="false">SQRT((AD202^2*($A202-$C$3)+AC202^2*(DAY(EOMONTH(A202,0))/2))/$AN202)</f>
        <v>0.17294306519045</v>
      </c>
      <c r="AF202" s="152"/>
      <c r="AG202" s="156" t="n">
        <f aca="false">((Inputs!$F$20*(X202*AD202)*(A202-$C$3))+(Inputs!$F$19*W202*AC202*(DAY(EOMONTH(A202,0))/2)))/(AN202*Y202*AE202)</f>
        <v>0.750000582394372</v>
      </c>
      <c r="AH202" s="152"/>
      <c r="AI202" s="140" t="n">
        <f aca="false">Inputs!$B$15</f>
        <v>0.06</v>
      </c>
      <c r="AJ202" s="157"/>
      <c r="AK202" s="140" t="n">
        <f aca="false">IF((U202-AA202-AI202)&lt;0,0,(U202-AA202-AI202))</f>
        <v>0.716</v>
      </c>
      <c r="AL202" s="157"/>
      <c r="AM202" s="158" t="n">
        <f aca="false">WORKDAY(EOMONTH(A202-1,-1),0)</f>
        <v>43951</v>
      </c>
      <c r="AN202" s="159" t="n">
        <f aca="false">AM202-$C$3</f>
        <v>-1975</v>
      </c>
      <c r="AO202" s="159" t="n">
        <f aca="false">AO201</f>
        <v>1</v>
      </c>
      <c r="AP202" s="160"/>
      <c r="AQ202" s="161" t="e">
        <f aca="false">SPRDOPT(U202,AA202,AI202,AX202,X202,AD202,AG202,AN202,AO202,0)</f>
        <v>#NAME?</v>
      </c>
      <c r="AR202" s="162" t="e">
        <f aca="false">AQ202*C202</f>
        <v>#NAME?</v>
      </c>
      <c r="AS202" s="163" t="e">
        <f aca="false">AQ202-AK202</f>
        <v>#NAME?</v>
      </c>
      <c r="AU202" s="112" t="n">
        <f aca="false">A203-A202</f>
        <v>30</v>
      </c>
      <c r="AV202" s="164" t="n">
        <f aca="false">CHOOSE(F$3,A203+24,A202+14)</f>
        <v>43997</v>
      </c>
      <c r="AW202" s="49" t="n">
        <f aca="false">AV202-C$3</f>
        <v>-1929</v>
      </c>
      <c r="AX202" s="155" t="n">
        <f aca="false">VLOOKUP($A202,[1]!CurveTable,MATCH(AX$4,[1]!CurveType,0))</f>
        <v>0.0607836038185572</v>
      </c>
      <c r="AY202" s="165" t="n">
        <f aca="false">1/(1+CHOOSE(F$3,(AX203+(Inputs!$B$14/10000))/2,(AX202+(Inputs!$B$14/10000))/2))^(2*AW202/365.25)</f>
        <v>1.37195372211952</v>
      </c>
      <c r="AZ202" s="49" t="n">
        <f aca="false">IF(AND(mthbeg&lt;=A202,mthend&gt;=A202),1,0)</f>
        <v>0</v>
      </c>
      <c r="BA202" s="111" t="n">
        <f aca="false">AU202*AZ202</f>
        <v>0</v>
      </c>
      <c r="BC202" s="142" t="n">
        <f aca="false">E202*$D202</f>
        <v>0</v>
      </c>
      <c r="BD202" s="142" t="n">
        <f aca="false">F202*$D202</f>
        <v>0</v>
      </c>
      <c r="BE202" s="142" t="n">
        <f aca="false">G202*$D202</f>
        <v>0</v>
      </c>
      <c r="BF202" s="142" t="n">
        <f aca="false">H202*$D202</f>
        <v>0</v>
      </c>
      <c r="BG202" s="142" t="n">
        <f aca="false">I202*$D202</f>
        <v>0</v>
      </c>
      <c r="BH202" s="142" t="n">
        <f aca="false">J202*$D202</f>
        <v>0</v>
      </c>
      <c r="BI202" s="142" t="n">
        <f aca="false">K202*$D202</f>
        <v>0</v>
      </c>
      <c r="BJ202" s="142" t="n">
        <f aca="false">L202*$D202</f>
        <v>0</v>
      </c>
      <c r="BK202" s="142" t="n">
        <f aca="false">M202*$D202</f>
        <v>0</v>
      </c>
      <c r="BL202" s="142" t="n">
        <f aca="false">N202*$D202</f>
        <v>0</v>
      </c>
      <c r="BM202" s="142" t="n">
        <f aca="false">O202*$D202</f>
        <v>0</v>
      </c>
      <c r="BN202" s="142" t="n">
        <f aca="false">P202*$D202</f>
        <v>0</v>
      </c>
      <c r="BO202" s="142" t="n">
        <f aca="false">Q202*$D202</f>
        <v>0</v>
      </c>
      <c r="BP202" s="142" t="n">
        <f aca="false">R202*$D202</f>
        <v>0</v>
      </c>
      <c r="BQ202" s="142" t="n">
        <f aca="false">S202*$D202</f>
        <v>0</v>
      </c>
      <c r="BR202" s="142" t="n">
        <f aca="false">U202*$D202</f>
        <v>0</v>
      </c>
      <c r="BS202" s="142" t="n">
        <f aca="false">AA202*$D202</f>
        <v>0</v>
      </c>
      <c r="BT202" s="142" t="n">
        <f aca="false">AI202*$D202</f>
        <v>0</v>
      </c>
      <c r="BU202" s="142" t="n">
        <f aca="false">AK202*D202</f>
        <v>0</v>
      </c>
    </row>
    <row r="203" customFormat="false" ht="12.75" hidden="false" customHeight="false" outlineLevel="0" collapsed="false">
      <c r="A203" s="144" t="n">
        <f aca="false">EDATE(A202,1)</f>
        <v>44013</v>
      </c>
      <c r="B203" s="145" t="n">
        <f aca="false">Inputs!$B$8</f>
        <v>50000</v>
      </c>
      <c r="C203" s="146" t="n">
        <f aca="false">IF(AZ203=0,0,IF(AND(AZ203=1,$H$3=1),B203*AU203,IF($H$3=2,B203,"N/A")))</f>
        <v>0</v>
      </c>
      <c r="D203" s="146" t="n">
        <f aca="false">C203*AY203</f>
        <v>0</v>
      </c>
      <c r="E203" s="147" t="n">
        <f aca="false">VLOOKUP($A203,[1]!CurveTable,MATCH($E$4,[1]!CurveType,0))</f>
        <v>5.355</v>
      </c>
      <c r="F203" s="148" t="n">
        <f aca="false">E203-Inputs!$B$16</f>
        <v>5.41</v>
      </c>
      <c r="G203" s="149" t="n">
        <f aca="false">F203</f>
        <v>5.41</v>
      </c>
      <c r="H203" s="147" t="n">
        <f aca="false">VLOOKUP($A203,[1]!CurveTable,MATCH($H$4,[1]!CurveType,0))</f>
        <v>1</v>
      </c>
      <c r="I203" s="148" t="n">
        <f aca="false">H203+Inputs!$B$22</f>
        <v>1</v>
      </c>
      <c r="J203" s="150" t="n">
        <f aca="false">I203</f>
        <v>1</v>
      </c>
      <c r="K203" s="147" t="n">
        <f aca="false">VLOOKUP($A203,[1]!CurveTable,MATCH($K$4,[1]!CurveType,0))</f>
        <v>0</v>
      </c>
      <c r="L203" s="148" t="n">
        <v>0</v>
      </c>
      <c r="M203" s="151" t="n">
        <f aca="false">L203</f>
        <v>0</v>
      </c>
      <c r="N203" s="147" t="n">
        <f aca="false">VLOOKUP($A203,[1]!CurveTable,MATCH($N$4,[1]!CurveType,0))</f>
        <v>0.0215</v>
      </c>
      <c r="O203" s="148" t="n">
        <f aca="false">N203+Inputs!$E$22</f>
        <v>0.0215</v>
      </c>
      <c r="P203" s="151" t="n">
        <f aca="false">O203</f>
        <v>0.0215</v>
      </c>
      <c r="Q203" s="147" t="n">
        <f aca="false">VLOOKUP($A203,[1]!CurveTable,MATCH($Q$4,[1]!CurveType,0))</f>
        <v>0.01</v>
      </c>
      <c r="R203" s="148" t="n">
        <v>0</v>
      </c>
      <c r="S203" s="151" t="n">
        <f aca="false">R203</f>
        <v>0</v>
      </c>
      <c r="T203" s="152"/>
      <c r="U203" s="153" t="n">
        <f aca="false">G203+J203</f>
        <v>6.41</v>
      </c>
      <c r="V203" s="154"/>
      <c r="W203" s="155" t="n">
        <f aca="false">VLOOKUP($A203,[1]!CurveTable,MATCH($W$4,[1]!CurveType,0))+$W$9</f>
        <v>0.34</v>
      </c>
      <c r="X203" s="155" t="n">
        <f aca="false">VLOOKUP($A203,[1]!CurveTable,MATCH($X$4,[1]!CurveType,0))+$X$9</f>
        <v>0.345</v>
      </c>
      <c r="Y203" s="139" t="n">
        <f aca="false">SQRT((X203^2*($A203-$C$3)+W203^2*(DAY(EOMONTH(A203,0))/2))/$AN203)</f>
        <v>0.340888925859528</v>
      </c>
      <c r="Z203" s="152"/>
      <c r="AA203" s="153" t="n">
        <f aca="false">G203+P203+S203</f>
        <v>5.4315</v>
      </c>
      <c r="AB203" s="154"/>
      <c r="AC203" s="155" t="n">
        <f aca="false">VLOOKUP($A203,[1]!CurveTable,MATCH($AC$4,[1]!CurveType,0))+$AC$9</f>
        <v>0.17</v>
      </c>
      <c r="AD203" s="155" t="n">
        <f aca="false">VLOOKUP($A203,[1]!CurveTable,MATCH($AD$4,[1]!CurveType,0))+$AD$9</f>
        <v>0.175</v>
      </c>
      <c r="AE203" s="139" t="n">
        <f aca="false">SQRT((AD203^2*($A203-$C$3)+AC203^2*(DAY(EOMONTH(A203,0))/2))/$AN203)</f>
        <v>0.17293412450917</v>
      </c>
      <c r="AF203" s="152"/>
      <c r="AG203" s="156" t="n">
        <f aca="false">((Inputs!$F$20*(X203*AD203)*(A203-$C$3))+(Inputs!$F$19*W203*AC203*(DAY(EOMONTH(A203,0))/2)))/(AN203*Y203*AE203)</f>
        <v>0.750000611696371</v>
      </c>
      <c r="AH203" s="152"/>
      <c r="AI203" s="140" t="n">
        <f aca="false">Inputs!$B$15</f>
        <v>0.06</v>
      </c>
      <c r="AJ203" s="157"/>
      <c r="AK203" s="140" t="n">
        <f aca="false">IF((U203-AA203-AI203)&lt;0,0,(U203-AA203-AI203))</f>
        <v>0.9185</v>
      </c>
      <c r="AL203" s="157"/>
      <c r="AM203" s="158" t="n">
        <f aca="false">WORKDAY(EOMONTH(A203-1,-1),0)</f>
        <v>43982</v>
      </c>
      <c r="AN203" s="159" t="n">
        <f aca="false">AM203-$C$3</f>
        <v>-1944</v>
      </c>
      <c r="AO203" s="159" t="n">
        <f aca="false">AO202</f>
        <v>1</v>
      </c>
      <c r="AP203" s="160"/>
      <c r="AQ203" s="161" t="e">
        <f aca="false">SPRDOPT(U203,AA203,AI203,AX203,X203,AD203,AG203,AN203,AO203,0)</f>
        <v>#NAME?</v>
      </c>
      <c r="AR203" s="162" t="e">
        <f aca="false">AQ203*C203</f>
        <v>#NAME?</v>
      </c>
      <c r="AS203" s="163" t="e">
        <f aca="false">AQ203-AK203</f>
        <v>#NAME?</v>
      </c>
      <c r="AU203" s="112" t="n">
        <f aca="false">A204-A203</f>
        <v>31</v>
      </c>
      <c r="AV203" s="164" t="n">
        <f aca="false">CHOOSE(F$3,A204+24,A203+14)</f>
        <v>44027</v>
      </c>
      <c r="AW203" s="49" t="n">
        <f aca="false">AV203-C$3</f>
        <v>-1899</v>
      </c>
      <c r="AX203" s="155" t="n">
        <f aca="false">VLOOKUP($A203,[1]!CurveTable,MATCH(AX$4,[1]!CurveType,0))</f>
        <v>0.0608399387989786</v>
      </c>
      <c r="AY203" s="165" t="n">
        <f aca="false">1/(1+CHOOSE(F$3,(AX204+(Inputs!$B$14/10000))/2,(AX203+(Inputs!$B$14/10000))/2))^(2*AW203/365.25)</f>
        <v>1.36561096316509</v>
      </c>
      <c r="AZ203" s="49" t="n">
        <f aca="false">IF(AND(mthbeg&lt;=A203,mthend&gt;=A203),1,0)</f>
        <v>0</v>
      </c>
      <c r="BA203" s="111" t="n">
        <f aca="false">AU203*AZ203</f>
        <v>0</v>
      </c>
      <c r="BC203" s="142" t="n">
        <f aca="false">E203*$D203</f>
        <v>0</v>
      </c>
      <c r="BD203" s="142" t="n">
        <f aca="false">F203*$D203</f>
        <v>0</v>
      </c>
      <c r="BE203" s="142" t="n">
        <f aca="false">G203*$D203</f>
        <v>0</v>
      </c>
      <c r="BF203" s="142" t="n">
        <f aca="false">H203*$D203</f>
        <v>0</v>
      </c>
      <c r="BG203" s="142" t="n">
        <f aca="false">I203*$D203</f>
        <v>0</v>
      </c>
      <c r="BH203" s="142" t="n">
        <f aca="false">J203*$D203</f>
        <v>0</v>
      </c>
      <c r="BI203" s="142" t="n">
        <f aca="false">K203*$D203</f>
        <v>0</v>
      </c>
      <c r="BJ203" s="142" t="n">
        <f aca="false">L203*$D203</f>
        <v>0</v>
      </c>
      <c r="BK203" s="142" t="n">
        <f aca="false">M203*$D203</f>
        <v>0</v>
      </c>
      <c r="BL203" s="142" t="n">
        <f aca="false">N203*$D203</f>
        <v>0</v>
      </c>
      <c r="BM203" s="142" t="n">
        <f aca="false">O203*$D203</f>
        <v>0</v>
      </c>
      <c r="BN203" s="142" t="n">
        <f aca="false">P203*$D203</f>
        <v>0</v>
      </c>
      <c r="BO203" s="142" t="n">
        <f aca="false">Q203*$D203</f>
        <v>0</v>
      </c>
      <c r="BP203" s="142" t="n">
        <f aca="false">R203*$D203</f>
        <v>0</v>
      </c>
      <c r="BQ203" s="142" t="n">
        <f aca="false">S203*$D203</f>
        <v>0</v>
      </c>
      <c r="BR203" s="142" t="n">
        <f aca="false">U203*$D203</f>
        <v>0</v>
      </c>
      <c r="BS203" s="142" t="n">
        <f aca="false">AA203*$D203</f>
        <v>0</v>
      </c>
      <c r="BT203" s="142" t="n">
        <f aca="false">AI203*$D203</f>
        <v>0</v>
      </c>
      <c r="BU203" s="142" t="n">
        <f aca="false">AK203*D203</f>
        <v>0</v>
      </c>
    </row>
    <row r="204" customFormat="false" ht="12.75" hidden="false" customHeight="false" outlineLevel="0" collapsed="false">
      <c r="A204" s="144" t="n">
        <f aca="false">EDATE(A203,1)</f>
        <v>44044</v>
      </c>
      <c r="B204" s="145" t="n">
        <f aca="false">Inputs!$B$8</f>
        <v>50000</v>
      </c>
      <c r="C204" s="146" t="n">
        <f aca="false">IF(AZ204=0,0,IF(AND(AZ204=1,$H$3=1),B204*AU204,IF($H$3=2,B204,"N/A")))</f>
        <v>0</v>
      </c>
      <c r="D204" s="146" t="n">
        <f aca="false">C204*AY204</f>
        <v>0</v>
      </c>
      <c r="E204" s="147" t="n">
        <f aca="false">VLOOKUP($A204,[1]!CurveTable,MATCH($E$4,[1]!CurveType,0))</f>
        <v>5.393</v>
      </c>
      <c r="F204" s="148" t="n">
        <f aca="false">E204-Inputs!$B$16</f>
        <v>5.448</v>
      </c>
      <c r="G204" s="149" t="n">
        <f aca="false">F204</f>
        <v>5.448</v>
      </c>
      <c r="H204" s="147" t="n">
        <f aca="false">VLOOKUP($A204,[1]!CurveTable,MATCH($H$4,[1]!CurveType,0))</f>
        <v>1</v>
      </c>
      <c r="I204" s="148" t="n">
        <f aca="false">H204+Inputs!$B$22</f>
        <v>1</v>
      </c>
      <c r="J204" s="150" t="n">
        <f aca="false">I204</f>
        <v>1</v>
      </c>
      <c r="K204" s="147" t="n">
        <f aca="false">VLOOKUP($A204,[1]!CurveTable,MATCH($K$4,[1]!CurveType,0))</f>
        <v>0</v>
      </c>
      <c r="L204" s="148" t="n">
        <v>0</v>
      </c>
      <c r="M204" s="151" t="n">
        <f aca="false">L204</f>
        <v>0</v>
      </c>
      <c r="N204" s="147" t="n">
        <f aca="false">VLOOKUP($A204,[1]!CurveTable,MATCH($N$4,[1]!CurveType,0))</f>
        <v>0.0215</v>
      </c>
      <c r="O204" s="148" t="n">
        <f aca="false">N204+Inputs!$E$22</f>
        <v>0.0215</v>
      </c>
      <c r="P204" s="151" t="n">
        <f aca="false">O204</f>
        <v>0.0215</v>
      </c>
      <c r="Q204" s="147" t="n">
        <f aca="false">VLOOKUP($A204,[1]!CurveTable,MATCH($Q$4,[1]!CurveType,0))</f>
        <v>0.01</v>
      </c>
      <c r="R204" s="148" t="n">
        <v>0</v>
      </c>
      <c r="S204" s="151" t="n">
        <f aca="false">R204</f>
        <v>0</v>
      </c>
      <c r="T204" s="152"/>
      <c r="U204" s="153" t="n">
        <f aca="false">G204+J204</f>
        <v>6.448</v>
      </c>
      <c r="V204" s="154"/>
      <c r="W204" s="155" t="n">
        <f aca="false">VLOOKUP($A204,[1]!CurveTable,MATCH($W$4,[1]!CurveType,0))+$W$9</f>
        <v>0.34</v>
      </c>
      <c r="X204" s="155" t="n">
        <f aca="false">VLOOKUP($A204,[1]!CurveTable,MATCH($X$4,[1]!CurveType,0))+$X$9</f>
        <v>0.345</v>
      </c>
      <c r="Y204" s="139" t="n">
        <f aca="false">SQRT((X204^2*($A204-$C$3)+W204^2*(DAY(EOMONTH(A204,0))/2))/$AN204)</f>
        <v>0.340732852390278</v>
      </c>
      <c r="Z204" s="152"/>
      <c r="AA204" s="153" t="n">
        <f aca="false">G204+P204+S204</f>
        <v>5.4695</v>
      </c>
      <c r="AB204" s="154"/>
      <c r="AC204" s="155" t="n">
        <f aca="false">VLOOKUP($A204,[1]!CurveTable,MATCH($AC$4,[1]!CurveType,0))+$AC$9</f>
        <v>0.17</v>
      </c>
      <c r="AD204" s="155" t="n">
        <f aca="false">VLOOKUP($A204,[1]!CurveTable,MATCH($AD$4,[1]!CurveType,0))+$AD$9</f>
        <v>0.175</v>
      </c>
      <c r="AE204" s="139" t="n">
        <f aca="false">SQRT((AD204^2*($A204-$C$3)+AC204^2*(DAY(EOMONTH(A204,0))/2))/$AN204)</f>
        <v>0.172855270728433</v>
      </c>
      <c r="AF204" s="152"/>
      <c r="AG204" s="156" t="n">
        <f aca="false">((Inputs!$F$20*(X204*AD204)*(A204-$C$3))+(Inputs!$F$19*W204*AC204*(DAY(EOMONTH(A204,0))/2)))/(AN204*Y204*AE204)</f>
        <v>0.750000621932309</v>
      </c>
      <c r="AH204" s="152"/>
      <c r="AI204" s="140" t="n">
        <f aca="false">Inputs!$B$15</f>
        <v>0.06</v>
      </c>
      <c r="AJ204" s="157"/>
      <c r="AK204" s="140" t="n">
        <f aca="false">IF((U204-AA204-AI204)&lt;0,0,(U204-AA204-AI204))</f>
        <v>0.9185</v>
      </c>
      <c r="AL204" s="157"/>
      <c r="AM204" s="158" t="n">
        <f aca="false">WORKDAY(EOMONTH(A204-1,-1),0)</f>
        <v>44012</v>
      </c>
      <c r="AN204" s="159" t="n">
        <f aca="false">AM204-$C$3</f>
        <v>-1914</v>
      </c>
      <c r="AO204" s="159" t="n">
        <f aca="false">AO203</f>
        <v>1</v>
      </c>
      <c r="AP204" s="160"/>
      <c r="AQ204" s="161" t="e">
        <f aca="false">SPRDOPT(U204,AA204,AI204,AX204,X204,AD204,AG204,AN204,AO204,0)</f>
        <v>#NAME?</v>
      </c>
      <c r="AR204" s="162" t="e">
        <f aca="false">AQ204*C204</f>
        <v>#NAME?</v>
      </c>
      <c r="AS204" s="163" t="e">
        <f aca="false">AQ204-AK204</f>
        <v>#NAME?</v>
      </c>
      <c r="AU204" s="112" t="n">
        <f aca="false">A205-A204</f>
        <v>31</v>
      </c>
      <c r="AV204" s="164" t="n">
        <f aca="false">CHOOSE(F$3,A205+24,A204+14)</f>
        <v>44058</v>
      </c>
      <c r="AW204" s="49" t="n">
        <f aca="false">AV204-C$3</f>
        <v>-1868</v>
      </c>
      <c r="AX204" s="155" t="n">
        <f aca="false">VLOOKUP($A204,[1]!CurveTable,MATCH(AX$4,[1]!CurveType,0))</f>
        <v>0.0608981516131877</v>
      </c>
      <c r="AY204" s="165" t="n">
        <f aca="false">1/(1+CHOOSE(F$3,(AX205+(Inputs!$B$14/10000))/2,(AX204+(Inputs!$B$14/10000))/2))^(2*AW204/365.25)</f>
        <v>1.35907474930355</v>
      </c>
      <c r="AZ204" s="49" t="n">
        <f aca="false">IF(AND(mthbeg&lt;=A204,mthend&gt;=A204),1,0)</f>
        <v>0</v>
      </c>
      <c r="BA204" s="111" t="n">
        <f aca="false">AU204*AZ204</f>
        <v>0</v>
      </c>
      <c r="BC204" s="142" t="n">
        <f aca="false">E204*$D204</f>
        <v>0</v>
      </c>
      <c r="BD204" s="142" t="n">
        <f aca="false">F204*$D204</f>
        <v>0</v>
      </c>
      <c r="BE204" s="142" t="n">
        <f aca="false">G204*$D204</f>
        <v>0</v>
      </c>
      <c r="BF204" s="142" t="n">
        <f aca="false">H204*$D204</f>
        <v>0</v>
      </c>
      <c r="BG204" s="142" t="n">
        <f aca="false">I204*$D204</f>
        <v>0</v>
      </c>
      <c r="BH204" s="142" t="n">
        <f aca="false">J204*$D204</f>
        <v>0</v>
      </c>
      <c r="BI204" s="142" t="n">
        <f aca="false">K204*$D204</f>
        <v>0</v>
      </c>
      <c r="BJ204" s="142" t="n">
        <f aca="false">L204*$D204</f>
        <v>0</v>
      </c>
      <c r="BK204" s="142" t="n">
        <f aca="false">M204*$D204</f>
        <v>0</v>
      </c>
      <c r="BL204" s="142" t="n">
        <f aca="false">N204*$D204</f>
        <v>0</v>
      </c>
      <c r="BM204" s="142" t="n">
        <f aca="false">O204*$D204</f>
        <v>0</v>
      </c>
      <c r="BN204" s="142" t="n">
        <f aca="false">P204*$D204</f>
        <v>0</v>
      </c>
      <c r="BO204" s="142" t="n">
        <f aca="false">Q204*$D204</f>
        <v>0</v>
      </c>
      <c r="BP204" s="142" t="n">
        <f aca="false">R204*$D204</f>
        <v>0</v>
      </c>
      <c r="BQ204" s="142" t="n">
        <f aca="false">S204*$D204</f>
        <v>0</v>
      </c>
      <c r="BR204" s="142" t="n">
        <f aca="false">U204*$D204</f>
        <v>0</v>
      </c>
      <c r="BS204" s="142" t="n">
        <f aca="false">AA204*$D204</f>
        <v>0</v>
      </c>
      <c r="BT204" s="142" t="n">
        <f aca="false">AI204*$D204</f>
        <v>0</v>
      </c>
      <c r="BU204" s="142" t="n">
        <f aca="false">AK204*D204</f>
        <v>0</v>
      </c>
    </row>
    <row r="205" customFormat="false" ht="12.75" hidden="false" customHeight="false" outlineLevel="0" collapsed="false">
      <c r="A205" s="144" t="n">
        <f aca="false">EDATE(A204,1)</f>
        <v>44075</v>
      </c>
      <c r="B205" s="145" t="n">
        <f aca="false">Inputs!$B$8</f>
        <v>50000</v>
      </c>
      <c r="C205" s="146" t="n">
        <f aca="false">IF(AZ205=0,0,IF(AND(AZ205=1,$H$3=1),B205*AU205,IF($H$3=2,B205,"N/A")))</f>
        <v>0</v>
      </c>
      <c r="D205" s="146" t="n">
        <f aca="false">C205*AY205</f>
        <v>0</v>
      </c>
      <c r="E205" s="147" t="n">
        <f aca="false">VLOOKUP($A205,[1]!CurveTable,MATCH($E$4,[1]!CurveType,0))</f>
        <v>5.387</v>
      </c>
      <c r="F205" s="148" t="n">
        <f aca="false">E205-Inputs!$B$16</f>
        <v>5.442</v>
      </c>
      <c r="G205" s="149" t="n">
        <f aca="false">F205</f>
        <v>5.442</v>
      </c>
      <c r="H205" s="147" t="n">
        <f aca="false">VLOOKUP($A205,[1]!CurveTable,MATCH($H$4,[1]!CurveType,0))</f>
        <v>0.6</v>
      </c>
      <c r="I205" s="148" t="n">
        <f aca="false">H205+Inputs!$B$22</f>
        <v>0.6</v>
      </c>
      <c r="J205" s="150" t="n">
        <f aca="false">I205</f>
        <v>0.6</v>
      </c>
      <c r="K205" s="147" t="n">
        <f aca="false">VLOOKUP($A205,[1]!CurveTable,MATCH($K$4,[1]!CurveType,0))</f>
        <v>0</v>
      </c>
      <c r="L205" s="148" t="n">
        <v>0</v>
      </c>
      <c r="M205" s="151" t="n">
        <f aca="false">L205</f>
        <v>0</v>
      </c>
      <c r="N205" s="147" t="n">
        <f aca="false">VLOOKUP($A205,[1]!CurveTable,MATCH($N$4,[1]!CurveType,0))</f>
        <v>0.0215</v>
      </c>
      <c r="O205" s="148" t="n">
        <f aca="false">N205+Inputs!$E$22</f>
        <v>0.0215</v>
      </c>
      <c r="P205" s="151" t="n">
        <f aca="false">O205</f>
        <v>0.0215</v>
      </c>
      <c r="Q205" s="147" t="n">
        <f aca="false">VLOOKUP($A205,[1]!CurveTable,MATCH($Q$4,[1]!CurveType,0))</f>
        <v>0.01</v>
      </c>
      <c r="R205" s="148" t="n">
        <v>0</v>
      </c>
      <c r="S205" s="151" t="n">
        <f aca="false">R205</f>
        <v>0</v>
      </c>
      <c r="T205" s="152"/>
      <c r="U205" s="153" t="n">
        <f aca="false">G205+J205</f>
        <v>6.042</v>
      </c>
      <c r="V205" s="154"/>
      <c r="W205" s="155" t="n">
        <f aca="false">VLOOKUP($A205,[1]!CurveTable,MATCH($W$4,[1]!CurveType,0))+$W$9</f>
        <v>0.34</v>
      </c>
      <c r="X205" s="155" t="n">
        <f aca="false">VLOOKUP($A205,[1]!CurveTable,MATCH($X$4,[1]!CurveType,0))+$X$9</f>
        <v>0.345</v>
      </c>
      <c r="Y205" s="139" t="n">
        <f aca="false">SQRT((X205^2*($A205-$C$3)+W205^2*(DAY(EOMONTH(A205,0))/2))/$AN205)</f>
        <v>0.340707204741431</v>
      </c>
      <c r="Z205" s="152"/>
      <c r="AA205" s="153" t="n">
        <f aca="false">G205+P205+S205</f>
        <v>5.4635</v>
      </c>
      <c r="AB205" s="154"/>
      <c r="AC205" s="155" t="n">
        <f aca="false">VLOOKUP($A205,[1]!CurveTable,MATCH($AC$4,[1]!CurveType,0))+$AC$9</f>
        <v>0.17</v>
      </c>
      <c r="AD205" s="155" t="n">
        <f aca="false">VLOOKUP($A205,[1]!CurveTable,MATCH($AD$4,[1]!CurveType,0))+$AD$9</f>
        <v>0.175</v>
      </c>
      <c r="AE205" s="139" t="n">
        <f aca="false">SQRT((AD205^2*($A205-$C$3)+AC205^2*(DAY(EOMONTH(A205,0))/2))/$AN205)</f>
        <v>0.172841939834327</v>
      </c>
      <c r="AF205" s="152"/>
      <c r="AG205" s="156" t="n">
        <f aca="false">((Inputs!$F$20*(X205*AD205)*(A205-$C$3))+(Inputs!$F$19*W205*AC205*(DAY(EOMONTH(A205,0))/2)))/(AN205*Y205*AE205)</f>
        <v>0.750000611793814</v>
      </c>
      <c r="AH205" s="152"/>
      <c r="AI205" s="140" t="n">
        <f aca="false">Inputs!$B$15</f>
        <v>0.06</v>
      </c>
      <c r="AJ205" s="157"/>
      <c r="AK205" s="140" t="n">
        <f aca="false">IF((U205-AA205-AI205)&lt;0,0,(U205-AA205-AI205))</f>
        <v>0.5185</v>
      </c>
      <c r="AL205" s="157"/>
      <c r="AM205" s="158" t="n">
        <f aca="false">WORKDAY(EOMONTH(A205-1,-1),0)</f>
        <v>44043</v>
      </c>
      <c r="AN205" s="159" t="n">
        <f aca="false">AM205-$C$3</f>
        <v>-1883</v>
      </c>
      <c r="AO205" s="159" t="n">
        <f aca="false">AO204</f>
        <v>1</v>
      </c>
      <c r="AP205" s="160"/>
      <c r="AQ205" s="161" t="e">
        <f aca="false">SPRDOPT(U205,AA205,AI205,AX205,X205,AD205,AG205,AN205,AO205,0)</f>
        <v>#NAME?</v>
      </c>
      <c r="AR205" s="162" t="e">
        <f aca="false">AQ205*C205</f>
        <v>#NAME?</v>
      </c>
      <c r="AS205" s="163" t="e">
        <f aca="false">AQ205-AK205</f>
        <v>#NAME?</v>
      </c>
      <c r="AU205" s="112" t="n">
        <f aca="false">A206-A205</f>
        <v>30</v>
      </c>
      <c r="AV205" s="164" t="n">
        <f aca="false">CHOOSE(F$3,A206+24,A205+14)</f>
        <v>44089</v>
      </c>
      <c r="AW205" s="49" t="n">
        <f aca="false">AV205-C$3</f>
        <v>-1837</v>
      </c>
      <c r="AX205" s="155" t="n">
        <f aca="false">VLOOKUP($A205,[1]!CurveTable,MATCH(AX$4,[1]!CurveType,0))</f>
        <v>0.0609563644285216</v>
      </c>
      <c r="AY205" s="165" t="n">
        <f aca="false">1/(1+CHOOSE(F$3,(AX206+(Inputs!$B$14/10000))/2,(AX205+(Inputs!$B$14/10000))/2))^(2*AW205/365.25)</f>
        <v>1.35255683831105</v>
      </c>
      <c r="AZ205" s="49" t="n">
        <f aca="false">IF(AND(mthbeg&lt;=A205,mthend&gt;=A205),1,0)</f>
        <v>0</v>
      </c>
      <c r="BA205" s="111" t="n">
        <f aca="false">AU205*AZ205</f>
        <v>0</v>
      </c>
      <c r="BC205" s="142" t="n">
        <f aca="false">E205*$D205</f>
        <v>0</v>
      </c>
      <c r="BD205" s="142" t="n">
        <f aca="false">F205*$D205</f>
        <v>0</v>
      </c>
      <c r="BE205" s="142" t="n">
        <f aca="false">G205*$D205</f>
        <v>0</v>
      </c>
      <c r="BF205" s="142" t="n">
        <f aca="false">H205*$D205</f>
        <v>0</v>
      </c>
      <c r="BG205" s="142" t="n">
        <f aca="false">I205*$D205</f>
        <v>0</v>
      </c>
      <c r="BH205" s="142" t="n">
        <f aca="false">J205*$D205</f>
        <v>0</v>
      </c>
      <c r="BI205" s="142" t="n">
        <f aca="false">K205*$D205</f>
        <v>0</v>
      </c>
      <c r="BJ205" s="142" t="n">
        <f aca="false">L205*$D205</f>
        <v>0</v>
      </c>
      <c r="BK205" s="142" t="n">
        <f aca="false">M205*$D205</f>
        <v>0</v>
      </c>
      <c r="BL205" s="142" t="n">
        <f aca="false">N205*$D205</f>
        <v>0</v>
      </c>
      <c r="BM205" s="142" t="n">
        <f aca="false">O205*$D205</f>
        <v>0</v>
      </c>
      <c r="BN205" s="142" t="n">
        <f aca="false">P205*$D205</f>
        <v>0</v>
      </c>
      <c r="BO205" s="142" t="n">
        <f aca="false">Q205*$D205</f>
        <v>0</v>
      </c>
      <c r="BP205" s="142" t="n">
        <f aca="false">R205*$D205</f>
        <v>0</v>
      </c>
      <c r="BQ205" s="142" t="n">
        <f aca="false">S205*$D205</f>
        <v>0</v>
      </c>
      <c r="BR205" s="142" t="n">
        <f aca="false">U205*$D205</f>
        <v>0</v>
      </c>
      <c r="BS205" s="142" t="n">
        <f aca="false">AA205*$D205</f>
        <v>0</v>
      </c>
      <c r="BT205" s="142" t="n">
        <f aca="false">AI205*$D205</f>
        <v>0</v>
      </c>
      <c r="BU205" s="142" t="n">
        <f aca="false">AK205*D205</f>
        <v>0</v>
      </c>
    </row>
    <row r="206" customFormat="false" ht="12.75" hidden="false" customHeight="false" outlineLevel="0" collapsed="false">
      <c r="A206" s="144" t="n">
        <f aca="false">EDATE(A205,1)</f>
        <v>44105</v>
      </c>
      <c r="B206" s="145" t="n">
        <f aca="false">Inputs!$B$8</f>
        <v>50000</v>
      </c>
      <c r="C206" s="146" t="n">
        <f aca="false">IF(AZ206=0,0,IF(AND(AZ206=1,$H$3=1),B206*AU206,IF($H$3=2,B206,"N/A")))</f>
        <v>0</v>
      </c>
      <c r="D206" s="146" t="n">
        <f aca="false">C206*AY206</f>
        <v>0</v>
      </c>
      <c r="E206" s="147" t="n">
        <f aca="false">VLOOKUP($A206,[1]!CurveTable,MATCH($E$4,[1]!CurveType,0))</f>
        <v>5.387</v>
      </c>
      <c r="F206" s="148" t="n">
        <f aca="false">E206-Inputs!$B$16</f>
        <v>5.442</v>
      </c>
      <c r="G206" s="149" t="n">
        <f aca="false">F206</f>
        <v>5.442</v>
      </c>
      <c r="H206" s="147" t="n">
        <f aca="false">VLOOKUP($A206,[1]!CurveTable,MATCH($H$4,[1]!CurveType,0))</f>
        <v>0.3</v>
      </c>
      <c r="I206" s="148" t="n">
        <f aca="false">H206+Inputs!$B$22</f>
        <v>0.3</v>
      </c>
      <c r="J206" s="150" t="n">
        <f aca="false">I206</f>
        <v>0.3</v>
      </c>
      <c r="K206" s="147" t="n">
        <f aca="false">VLOOKUP($A206,[1]!CurveTable,MATCH($K$4,[1]!CurveType,0))</f>
        <v>0</v>
      </c>
      <c r="L206" s="148" t="n">
        <v>0</v>
      </c>
      <c r="M206" s="151" t="n">
        <f aca="false">L206</f>
        <v>0</v>
      </c>
      <c r="N206" s="147" t="n">
        <f aca="false">VLOOKUP($A206,[1]!CurveTable,MATCH($N$4,[1]!CurveType,0))</f>
        <v>0.02</v>
      </c>
      <c r="O206" s="148" t="n">
        <f aca="false">N206+Inputs!$E$22</f>
        <v>0.02</v>
      </c>
      <c r="P206" s="151" t="n">
        <f aca="false">O206</f>
        <v>0.02</v>
      </c>
      <c r="Q206" s="147" t="n">
        <f aca="false">VLOOKUP($A206,[1]!CurveTable,MATCH($Q$4,[1]!CurveType,0))</f>
        <v>0.01</v>
      </c>
      <c r="R206" s="148" t="n">
        <v>0</v>
      </c>
      <c r="S206" s="151" t="n">
        <f aca="false">R206</f>
        <v>0</v>
      </c>
      <c r="T206" s="152"/>
      <c r="U206" s="153" t="n">
        <f aca="false">G206+J206</f>
        <v>5.742</v>
      </c>
      <c r="V206" s="154"/>
      <c r="W206" s="155" t="n">
        <f aca="false">VLOOKUP($A206,[1]!CurveTable,MATCH($W$4,[1]!CurveType,0))+$W$9</f>
        <v>0.17</v>
      </c>
      <c r="X206" s="155" t="n">
        <f aca="false">VLOOKUP($A206,[1]!CurveTable,MATCH($X$4,[1]!CurveType,0))+$X$9</f>
        <v>0.175</v>
      </c>
      <c r="Y206" s="139" t="n">
        <f aca="false">SQRT((X206^2*($A206-$C$3)+W206^2*(DAY(EOMONTH(A206,0))/2))/$AN206)</f>
        <v>0.172830856213846</v>
      </c>
      <c r="Z206" s="152"/>
      <c r="AA206" s="153" t="n">
        <f aca="false">G206+P206+S206</f>
        <v>5.462</v>
      </c>
      <c r="AB206" s="154"/>
      <c r="AC206" s="155" t="n">
        <f aca="false">VLOOKUP($A206,[1]!CurveTable,MATCH($AC$4,[1]!CurveType,0))+$AC$9</f>
        <v>0.17</v>
      </c>
      <c r="AD206" s="155" t="n">
        <f aca="false">VLOOKUP($A206,[1]!CurveTable,MATCH($AD$4,[1]!CurveType,0))+$AD$9</f>
        <v>0.175</v>
      </c>
      <c r="AE206" s="139" t="n">
        <f aca="false">SQRT((AD206^2*($A206-$C$3)+AC206^2*(DAY(EOMONTH(A206,0))/2))/$AN206)</f>
        <v>0.172830856213846</v>
      </c>
      <c r="AF206" s="152"/>
      <c r="AG206" s="156" t="n">
        <f aca="false">((Inputs!$F$20*(X206*AD206)*(A206-$C$3))+(Inputs!$F$19*W206*AC206*(DAY(EOMONTH(A206,0))/2)))/(AN206*Y206*AE206)</f>
        <v>0.75</v>
      </c>
      <c r="AH206" s="152"/>
      <c r="AI206" s="140" t="n">
        <f aca="false">Inputs!$B$15</f>
        <v>0.06</v>
      </c>
      <c r="AJ206" s="157"/>
      <c r="AK206" s="140" t="n">
        <f aca="false">IF((U206-AA206-AI206)&lt;0,0,(U206-AA206-AI206))</f>
        <v>0.22</v>
      </c>
      <c r="AL206" s="157"/>
      <c r="AM206" s="158" t="n">
        <f aca="false">WORKDAY(EOMONTH(A206-1,-1),0)</f>
        <v>44074</v>
      </c>
      <c r="AN206" s="159" t="n">
        <f aca="false">AM206-$C$3</f>
        <v>-1852</v>
      </c>
      <c r="AO206" s="159" t="n">
        <f aca="false">AO205</f>
        <v>1</v>
      </c>
      <c r="AP206" s="160"/>
      <c r="AQ206" s="161" t="e">
        <f aca="false">SPRDOPT(U206,AA206,AI206,AX206,X206,AD206,AG206,AN206,AO206,0)</f>
        <v>#NAME?</v>
      </c>
      <c r="AR206" s="162" t="e">
        <f aca="false">AQ206*C206</f>
        <v>#NAME?</v>
      </c>
      <c r="AS206" s="163" t="e">
        <f aca="false">AQ206-AK206</f>
        <v>#NAME?</v>
      </c>
      <c r="AU206" s="112" t="n">
        <f aca="false">A207-A206</f>
        <v>31</v>
      </c>
      <c r="AV206" s="164" t="n">
        <f aca="false">CHOOSE(F$3,A207+24,A206+14)</f>
        <v>44119</v>
      </c>
      <c r="AW206" s="49" t="n">
        <f aca="false">AV206-C$3</f>
        <v>-1807</v>
      </c>
      <c r="AX206" s="155" t="n">
        <f aca="false">VLOOKUP($A206,[1]!CurveTable,MATCH(AX$4,[1]!CurveType,0))</f>
        <v>0.0610126994121751</v>
      </c>
      <c r="AY206" s="165" t="n">
        <f aca="false">1/(1+CHOOSE(F$3,(AX207+(Inputs!$B$14/10000))/2,(AX206+(Inputs!$B$14/10000))/2))^(2*AW206/365.25)</f>
        <v>1.34626664468424</v>
      </c>
      <c r="AZ206" s="49" t="n">
        <f aca="false">IF(AND(mthbeg&lt;=A206,mthend&gt;=A206),1,0)</f>
        <v>0</v>
      </c>
      <c r="BA206" s="111" t="n">
        <f aca="false">AU206*AZ206</f>
        <v>0</v>
      </c>
      <c r="BC206" s="142" t="n">
        <f aca="false">E206*$D206</f>
        <v>0</v>
      </c>
      <c r="BD206" s="142" t="n">
        <f aca="false">F206*$D206</f>
        <v>0</v>
      </c>
      <c r="BE206" s="142" t="n">
        <f aca="false">G206*$D206</f>
        <v>0</v>
      </c>
      <c r="BF206" s="142" t="n">
        <f aca="false">H206*$D206</f>
        <v>0</v>
      </c>
      <c r="BG206" s="142" t="n">
        <f aca="false">I206*$D206</f>
        <v>0</v>
      </c>
      <c r="BH206" s="142" t="n">
        <f aca="false">J206*$D206</f>
        <v>0</v>
      </c>
      <c r="BI206" s="142" t="n">
        <f aca="false">K206*$D206</f>
        <v>0</v>
      </c>
      <c r="BJ206" s="142" t="n">
        <f aca="false">L206*$D206</f>
        <v>0</v>
      </c>
      <c r="BK206" s="142" t="n">
        <f aca="false">M206*$D206</f>
        <v>0</v>
      </c>
      <c r="BL206" s="142" t="n">
        <f aca="false">N206*$D206</f>
        <v>0</v>
      </c>
      <c r="BM206" s="142" t="n">
        <f aca="false">O206*$D206</f>
        <v>0</v>
      </c>
      <c r="BN206" s="142" t="n">
        <f aca="false">P206*$D206</f>
        <v>0</v>
      </c>
      <c r="BO206" s="142" t="n">
        <f aca="false">Q206*$D206</f>
        <v>0</v>
      </c>
      <c r="BP206" s="142" t="n">
        <f aca="false">R206*$D206</f>
        <v>0</v>
      </c>
      <c r="BQ206" s="142" t="n">
        <f aca="false">S206*$D206</f>
        <v>0</v>
      </c>
      <c r="BR206" s="142" t="n">
        <f aca="false">U206*$D206</f>
        <v>0</v>
      </c>
      <c r="BS206" s="142" t="n">
        <f aca="false">AA206*$D206</f>
        <v>0</v>
      </c>
      <c r="BT206" s="142" t="n">
        <f aca="false">AI206*$D206</f>
        <v>0</v>
      </c>
      <c r="BU206" s="142" t="n">
        <f aca="false">AK206*D206</f>
        <v>0</v>
      </c>
    </row>
    <row r="207" customFormat="false" ht="12.75" hidden="false" customHeight="false" outlineLevel="0" collapsed="false">
      <c r="A207" s="144" t="n">
        <f aca="false">EDATE(A206,1)</f>
        <v>44136</v>
      </c>
      <c r="B207" s="145" t="n">
        <f aca="false">Inputs!$B$8</f>
        <v>50000</v>
      </c>
      <c r="C207" s="146" t="n">
        <f aca="false">IF(AZ207=0,0,IF(AND(AZ207=1,$H$3=1),B207*AU207,IF($H$3=2,B207,"N/A")))</f>
        <v>0</v>
      </c>
      <c r="D207" s="146" t="n">
        <f aca="false">C207*AY207</f>
        <v>0</v>
      </c>
      <c r="E207" s="147" t="n">
        <f aca="false">VLOOKUP($A207,[1]!CurveTable,MATCH($E$4,[1]!CurveType,0))</f>
        <v>5.535</v>
      </c>
      <c r="F207" s="148" t="n">
        <f aca="false">E207-Inputs!$B$16</f>
        <v>5.59</v>
      </c>
      <c r="G207" s="149" t="n">
        <f aca="false">F207</f>
        <v>5.59</v>
      </c>
      <c r="H207" s="147" t="n">
        <f aca="false">VLOOKUP($A207,[1]!CurveTable,MATCH($H$4,[1]!CurveType,0))</f>
        <v>0.23</v>
      </c>
      <c r="I207" s="148" t="n">
        <f aca="false">H207+Inputs!$B$22</f>
        <v>0.23</v>
      </c>
      <c r="J207" s="150" t="n">
        <f aca="false">I207</f>
        <v>0.23</v>
      </c>
      <c r="K207" s="147" t="n">
        <f aca="false">VLOOKUP($A207,[1]!CurveTable,MATCH($K$4,[1]!CurveType,0))</f>
        <v>0</v>
      </c>
      <c r="L207" s="148" t="n">
        <v>0</v>
      </c>
      <c r="M207" s="151" t="n">
        <f aca="false">L207</f>
        <v>0</v>
      </c>
      <c r="N207" s="147" t="n">
        <f aca="false">VLOOKUP($A207,[1]!CurveTable,MATCH($N$4,[1]!CurveType,0))</f>
        <v>0.021</v>
      </c>
      <c r="O207" s="148" t="n">
        <f aca="false">N207+Inputs!$E$22</f>
        <v>0.021</v>
      </c>
      <c r="P207" s="151" t="n">
        <f aca="false">O207</f>
        <v>0.021</v>
      </c>
      <c r="Q207" s="147" t="n">
        <f aca="false">VLOOKUP($A207,[1]!CurveTable,MATCH($Q$4,[1]!CurveType,0))</f>
        <v>0.0075</v>
      </c>
      <c r="R207" s="148" t="n">
        <v>0</v>
      </c>
      <c r="S207" s="151" t="n">
        <f aca="false">R207</f>
        <v>0</v>
      </c>
      <c r="T207" s="152"/>
      <c r="U207" s="153" t="n">
        <f aca="false">G207+J207</f>
        <v>5.82</v>
      </c>
      <c r="V207" s="154"/>
      <c r="W207" s="155" t="n">
        <f aca="false">VLOOKUP($A207,[1]!CurveTable,MATCH($W$4,[1]!CurveType,0))+$W$9</f>
        <v>0.17</v>
      </c>
      <c r="X207" s="155" t="n">
        <f aca="false">VLOOKUP($A207,[1]!CurveTable,MATCH($X$4,[1]!CurveType,0))+$X$9</f>
        <v>0.175</v>
      </c>
      <c r="Y207" s="139" t="n">
        <f aca="false">SQRT((X207^2*($A207-$C$3)+W207^2*(DAY(EOMONTH(A207,0))/2))/$AN207)</f>
        <v>0.172769222291589</v>
      </c>
      <c r="Z207" s="152"/>
      <c r="AA207" s="153" t="n">
        <f aca="false">G207+P207+S207</f>
        <v>5.611</v>
      </c>
      <c r="AB207" s="154"/>
      <c r="AC207" s="155" t="n">
        <f aca="false">VLOOKUP($A207,[1]!CurveTable,MATCH($AC$4,[1]!CurveType,0))+$AC$9</f>
        <v>0.17</v>
      </c>
      <c r="AD207" s="155" t="n">
        <f aca="false">VLOOKUP($A207,[1]!CurveTable,MATCH($AD$4,[1]!CurveType,0))+$AD$9</f>
        <v>0.175</v>
      </c>
      <c r="AE207" s="139" t="n">
        <f aca="false">SQRT((AD207^2*($A207-$C$3)+AC207^2*(DAY(EOMONTH(A207,0))/2))/$AN207)</f>
        <v>0.172769222291589</v>
      </c>
      <c r="AF207" s="152"/>
      <c r="AG207" s="156" t="n">
        <f aca="false">((Inputs!$F$20*(X207*AD207)*(A207-$C$3))+(Inputs!$F$19*W207*AC207*(DAY(EOMONTH(A207,0))/2)))/(AN207*Y207*AE207)</f>
        <v>0.75</v>
      </c>
      <c r="AH207" s="152"/>
      <c r="AI207" s="140" t="n">
        <f aca="false">Inputs!$B$15</f>
        <v>0.06</v>
      </c>
      <c r="AJ207" s="157"/>
      <c r="AK207" s="140" t="n">
        <f aca="false">IF((U207-AA207-AI207)&lt;0,0,(U207-AA207-AI207))</f>
        <v>0.149000000000001</v>
      </c>
      <c r="AL207" s="157"/>
      <c r="AM207" s="158" t="n">
        <f aca="false">WORKDAY(EOMONTH(A207-1,-1),0)</f>
        <v>44104</v>
      </c>
      <c r="AN207" s="159" t="n">
        <f aca="false">AM207-$C$3</f>
        <v>-1822</v>
      </c>
      <c r="AO207" s="159" t="n">
        <f aca="false">AO206</f>
        <v>1</v>
      </c>
      <c r="AP207" s="160"/>
      <c r="AQ207" s="161" t="e">
        <f aca="false">SPRDOPT(U207,AA207,AI207,AX207,X207,AD207,AG207,AN207,AO207,0)</f>
        <v>#NAME?</v>
      </c>
      <c r="AR207" s="162" t="e">
        <f aca="false">AQ207*C207</f>
        <v>#NAME?</v>
      </c>
      <c r="AS207" s="163" t="e">
        <f aca="false">AQ207-AK207</f>
        <v>#NAME?</v>
      </c>
      <c r="AU207" s="112" t="n">
        <f aca="false">A208-A207</f>
        <v>30</v>
      </c>
      <c r="AV207" s="164" t="n">
        <f aca="false">CHOOSE(F$3,A208+24,A207+14)</f>
        <v>44150</v>
      </c>
      <c r="AW207" s="49" t="n">
        <f aca="false">AV207-C$3</f>
        <v>-1776</v>
      </c>
      <c r="AX207" s="155" t="n">
        <f aca="false">VLOOKUP($A207,[1]!CurveTable,MATCH(AX$4,[1]!CurveType,0))</f>
        <v>0.0610709122297242</v>
      </c>
      <c r="AY207" s="165" t="n">
        <f aca="false">1/(1+CHOOSE(F$3,(AX208+(Inputs!$B$14/10000))/2,(AX207+(Inputs!$B$14/10000))/2))^(2*AW207/365.25)</f>
        <v>1.33978485807418</v>
      </c>
      <c r="AZ207" s="49" t="n">
        <f aca="false">IF(AND(mthbeg&lt;=A207,mthend&gt;=A207),1,0)</f>
        <v>0</v>
      </c>
      <c r="BA207" s="111" t="n">
        <f aca="false">AU207*AZ207</f>
        <v>0</v>
      </c>
      <c r="BC207" s="142" t="n">
        <f aca="false">E207*$D207</f>
        <v>0</v>
      </c>
      <c r="BD207" s="142" t="n">
        <f aca="false">F207*$D207</f>
        <v>0</v>
      </c>
      <c r="BE207" s="142" t="n">
        <f aca="false">G207*$D207</f>
        <v>0</v>
      </c>
      <c r="BF207" s="142" t="n">
        <f aca="false">H207*$D207</f>
        <v>0</v>
      </c>
      <c r="BG207" s="142" t="n">
        <f aca="false">I207*$D207</f>
        <v>0</v>
      </c>
      <c r="BH207" s="142" t="n">
        <f aca="false">J207*$D207</f>
        <v>0</v>
      </c>
      <c r="BI207" s="142" t="n">
        <f aca="false">K207*$D207</f>
        <v>0</v>
      </c>
      <c r="BJ207" s="142" t="n">
        <f aca="false">L207*$D207</f>
        <v>0</v>
      </c>
      <c r="BK207" s="142" t="n">
        <f aca="false">M207*$D207</f>
        <v>0</v>
      </c>
      <c r="BL207" s="142" t="n">
        <f aca="false">N207*$D207</f>
        <v>0</v>
      </c>
      <c r="BM207" s="142" t="n">
        <f aca="false">O207*$D207</f>
        <v>0</v>
      </c>
      <c r="BN207" s="142" t="n">
        <f aca="false">P207*$D207</f>
        <v>0</v>
      </c>
      <c r="BO207" s="142" t="n">
        <f aca="false">Q207*$D207</f>
        <v>0</v>
      </c>
      <c r="BP207" s="142" t="n">
        <f aca="false">R207*$D207</f>
        <v>0</v>
      </c>
      <c r="BQ207" s="142" t="n">
        <f aca="false">S207*$D207</f>
        <v>0</v>
      </c>
      <c r="BR207" s="142" t="n">
        <f aca="false">U207*$D207</f>
        <v>0</v>
      </c>
      <c r="BS207" s="142" t="n">
        <f aca="false">AA207*$D207</f>
        <v>0</v>
      </c>
      <c r="BT207" s="142" t="n">
        <f aca="false">AI207*$D207</f>
        <v>0</v>
      </c>
      <c r="BU207" s="142" t="n">
        <f aca="false">AK207*D207</f>
        <v>0</v>
      </c>
    </row>
    <row r="208" customFormat="false" ht="12.75" hidden="false" customHeight="false" outlineLevel="0" collapsed="false">
      <c r="A208" s="144" t="n">
        <f aca="false">EDATE(A207,1)</f>
        <v>44166</v>
      </c>
      <c r="B208" s="145" t="n">
        <f aca="false">Inputs!$B$8</f>
        <v>50000</v>
      </c>
      <c r="C208" s="146" t="n">
        <f aca="false">IF(AZ208=0,0,IF(AND(AZ208=1,$H$3=1),B208*AU208,IF($H$3=2,B208,"N/A")))</f>
        <v>0</v>
      </c>
      <c r="D208" s="146" t="n">
        <f aca="false">C208*AY208</f>
        <v>0</v>
      </c>
      <c r="E208" s="147" t="n">
        <f aca="false">VLOOKUP($A208,[1]!CurveTable,MATCH($E$4,[1]!CurveType,0))</f>
        <v>5.687</v>
      </c>
      <c r="F208" s="148" t="n">
        <f aca="false">E208-Inputs!$B$16</f>
        <v>5.742</v>
      </c>
      <c r="G208" s="149" t="n">
        <f aca="false">F208</f>
        <v>5.742</v>
      </c>
      <c r="H208" s="147" t="n">
        <f aca="false">VLOOKUP($A208,[1]!CurveTable,MATCH($H$4,[1]!CurveType,0))</f>
        <v>0.26</v>
      </c>
      <c r="I208" s="148" t="n">
        <f aca="false">H208+Inputs!$B$22</f>
        <v>0.26</v>
      </c>
      <c r="J208" s="150" t="n">
        <f aca="false">I208</f>
        <v>0.26</v>
      </c>
      <c r="K208" s="147" t="n">
        <f aca="false">VLOOKUP($A208,[1]!CurveTable,MATCH($K$4,[1]!CurveType,0))</f>
        <v>0</v>
      </c>
      <c r="L208" s="148" t="n">
        <v>0</v>
      </c>
      <c r="M208" s="151" t="n">
        <f aca="false">L208</f>
        <v>0</v>
      </c>
      <c r="N208" s="147" t="n">
        <f aca="false">VLOOKUP($A208,[1]!CurveTable,MATCH($N$4,[1]!CurveType,0))</f>
        <v>0.021</v>
      </c>
      <c r="O208" s="148" t="n">
        <f aca="false">N208+Inputs!$E$22</f>
        <v>0.021</v>
      </c>
      <c r="P208" s="151" t="n">
        <f aca="false">O208</f>
        <v>0.021</v>
      </c>
      <c r="Q208" s="147" t="n">
        <f aca="false">VLOOKUP($A208,[1]!CurveTable,MATCH($Q$4,[1]!CurveType,0))</f>
        <v>0.0075</v>
      </c>
      <c r="R208" s="148" t="n">
        <v>0</v>
      </c>
      <c r="S208" s="151" t="n">
        <f aca="false">R208</f>
        <v>0</v>
      </c>
      <c r="T208" s="152"/>
      <c r="U208" s="153" t="n">
        <f aca="false">G208+J208</f>
        <v>6.002</v>
      </c>
      <c r="V208" s="154"/>
      <c r="W208" s="155" t="n">
        <f aca="false">VLOOKUP($A208,[1]!CurveTable,MATCH($W$4,[1]!CurveType,0))+$W$9</f>
        <v>0.17</v>
      </c>
      <c r="X208" s="155" t="n">
        <f aca="false">VLOOKUP($A208,[1]!CurveTable,MATCH($X$4,[1]!CurveType,0))+$X$9</f>
        <v>0.175</v>
      </c>
      <c r="Y208" s="139" t="n">
        <f aca="false">SQRT((X208^2*($A208-$C$3)+W208^2*(DAY(EOMONTH(A208,0))/2))/$AN208)</f>
        <v>0.172756497331314</v>
      </c>
      <c r="Z208" s="152"/>
      <c r="AA208" s="153" t="n">
        <f aca="false">G208+P208+S208</f>
        <v>5.763</v>
      </c>
      <c r="AB208" s="154"/>
      <c r="AC208" s="155" t="n">
        <f aca="false">VLOOKUP($A208,[1]!CurveTable,MATCH($AC$4,[1]!CurveType,0))+$AC$9</f>
        <v>0.17</v>
      </c>
      <c r="AD208" s="155" t="n">
        <f aca="false">VLOOKUP($A208,[1]!CurveTable,MATCH($AD$4,[1]!CurveType,0))+$AD$9</f>
        <v>0.175</v>
      </c>
      <c r="AE208" s="139" t="n">
        <f aca="false">SQRT((AD208^2*($A208-$C$3)+AC208^2*(DAY(EOMONTH(A208,0))/2))/$AN208)</f>
        <v>0.172756497331314</v>
      </c>
      <c r="AF208" s="152"/>
      <c r="AG208" s="156" t="n">
        <f aca="false">((Inputs!$F$20*(X208*AD208)*(A208-$C$3))+(Inputs!$F$19*W208*AC208*(DAY(EOMONTH(A208,0))/2)))/(AN208*Y208*AE208)</f>
        <v>0.75</v>
      </c>
      <c r="AH208" s="152"/>
      <c r="AI208" s="140" t="n">
        <f aca="false">Inputs!$B$15</f>
        <v>0.06</v>
      </c>
      <c r="AJ208" s="157"/>
      <c r="AK208" s="140" t="n">
        <f aca="false">IF((U208-AA208-AI208)&lt;0,0,(U208-AA208-AI208))</f>
        <v>0.179</v>
      </c>
      <c r="AL208" s="157"/>
      <c r="AM208" s="158" t="n">
        <f aca="false">WORKDAY(EOMONTH(A208-1,-1),0)</f>
        <v>44135</v>
      </c>
      <c r="AN208" s="159" t="n">
        <f aca="false">AM208-$C$3</f>
        <v>-1791</v>
      </c>
      <c r="AO208" s="159" t="n">
        <f aca="false">AO207</f>
        <v>1</v>
      </c>
      <c r="AP208" s="160"/>
      <c r="AQ208" s="161" t="e">
        <f aca="false">SPRDOPT(U208,AA208,AI208,AX208,X208,AD208,AG208,AN208,AO208,0)</f>
        <v>#NAME?</v>
      </c>
      <c r="AR208" s="162" t="e">
        <f aca="false">AQ208*C208</f>
        <v>#NAME?</v>
      </c>
      <c r="AS208" s="163" t="e">
        <f aca="false">AQ208-AK208</f>
        <v>#NAME?</v>
      </c>
      <c r="AU208" s="112" t="n">
        <f aca="false">A209-A208</f>
        <v>31</v>
      </c>
      <c r="AV208" s="164" t="n">
        <f aca="false">CHOOSE(F$3,A209+24,A208+14)</f>
        <v>44180</v>
      </c>
      <c r="AW208" s="49" t="n">
        <f aca="false">AV208-C$3</f>
        <v>-1746</v>
      </c>
      <c r="AX208" s="155" t="n">
        <f aca="false">VLOOKUP($A208,[1]!CurveTable,MATCH(AX$4,[1]!CurveType,0))</f>
        <v>0.0611272472155209</v>
      </c>
      <c r="AY208" s="165" t="n">
        <f aca="false">1/(1+CHOOSE(F$3,(AX209+(Inputs!$B$14/10000))/2,(AX208+(Inputs!$B$14/10000))/2))^(2*AW208/365.25)</f>
        <v>1.33352969196594</v>
      </c>
      <c r="AZ208" s="49" t="n">
        <f aca="false">IF(AND(mthbeg&lt;=A208,mthend&gt;=A208),1,0)</f>
        <v>0</v>
      </c>
      <c r="BA208" s="111" t="n">
        <f aca="false">AU208*AZ208</f>
        <v>0</v>
      </c>
      <c r="BC208" s="142" t="n">
        <f aca="false">E208*$D208</f>
        <v>0</v>
      </c>
      <c r="BD208" s="142" t="n">
        <f aca="false">F208*$D208</f>
        <v>0</v>
      </c>
      <c r="BE208" s="142" t="n">
        <f aca="false">G208*$D208</f>
        <v>0</v>
      </c>
      <c r="BF208" s="142" t="n">
        <f aca="false">H208*$D208</f>
        <v>0</v>
      </c>
      <c r="BG208" s="142" t="n">
        <f aca="false">I208*$D208</f>
        <v>0</v>
      </c>
      <c r="BH208" s="142" t="n">
        <f aca="false">J208*$D208</f>
        <v>0</v>
      </c>
      <c r="BI208" s="142" t="n">
        <f aca="false">K208*$D208</f>
        <v>0</v>
      </c>
      <c r="BJ208" s="142" t="n">
        <f aca="false">L208*$D208</f>
        <v>0</v>
      </c>
      <c r="BK208" s="142" t="n">
        <f aca="false">M208*$D208</f>
        <v>0</v>
      </c>
      <c r="BL208" s="142" t="n">
        <f aca="false">N208*$D208</f>
        <v>0</v>
      </c>
      <c r="BM208" s="142" t="n">
        <f aca="false">O208*$D208</f>
        <v>0</v>
      </c>
      <c r="BN208" s="142" t="n">
        <f aca="false">P208*$D208</f>
        <v>0</v>
      </c>
      <c r="BO208" s="142" t="n">
        <f aca="false">Q208*$D208</f>
        <v>0</v>
      </c>
      <c r="BP208" s="142" t="n">
        <f aca="false">R208*$D208</f>
        <v>0</v>
      </c>
      <c r="BQ208" s="142" t="n">
        <f aca="false">S208*$D208</f>
        <v>0</v>
      </c>
      <c r="BR208" s="142" t="n">
        <f aca="false">U208*$D208</f>
        <v>0</v>
      </c>
      <c r="BS208" s="142" t="n">
        <f aca="false">AA208*$D208</f>
        <v>0</v>
      </c>
      <c r="BT208" s="142" t="n">
        <f aca="false">AI208*$D208</f>
        <v>0</v>
      </c>
      <c r="BU208" s="142" t="n">
        <f aca="false">AK208*D208</f>
        <v>0</v>
      </c>
    </row>
    <row r="209" customFormat="false" ht="12.75" hidden="false" customHeight="false" outlineLevel="0" collapsed="false">
      <c r="A209" s="144" t="n">
        <f aca="false">EDATE(A208,1)</f>
        <v>44197</v>
      </c>
      <c r="B209" s="145" t="n">
        <f aca="false">Inputs!$B$8</f>
        <v>50000</v>
      </c>
      <c r="C209" s="146" t="n">
        <f aca="false">IF(AZ209=0,0,IF(AND(AZ209=1,$H$3=1),B209*AU209,IF($H$3=2,B209,"N/A")))</f>
        <v>0</v>
      </c>
      <c r="D209" s="146" t="n">
        <f aca="false">C209*AY209</f>
        <v>0</v>
      </c>
      <c r="E209" s="147" t="n">
        <f aca="false">VLOOKUP($A209,[1]!CurveTable,MATCH($E$4,[1]!CurveType,0))</f>
        <v>5.7645</v>
      </c>
      <c r="F209" s="148" t="n">
        <f aca="false">E209-Inputs!$B$16</f>
        <v>5.8195</v>
      </c>
      <c r="G209" s="149" t="n">
        <f aca="false">F209</f>
        <v>5.8195</v>
      </c>
      <c r="H209" s="147" t="n">
        <f aca="false">VLOOKUP($A209,[1]!CurveTable,MATCH($H$4,[1]!CurveType,0))</f>
        <v>0.085</v>
      </c>
      <c r="I209" s="148" t="n">
        <f aca="false">H209+Inputs!$B$22</f>
        <v>0.085</v>
      </c>
      <c r="J209" s="150" t="n">
        <f aca="false">I209</f>
        <v>0.085</v>
      </c>
      <c r="K209" s="147" t="n">
        <f aca="false">VLOOKUP($A209,[1]!CurveTable,MATCH($K$4,[1]!CurveType,0))</f>
        <v>0</v>
      </c>
      <c r="L209" s="148" t="n">
        <v>0</v>
      </c>
      <c r="M209" s="151" t="n">
        <f aca="false">L209</f>
        <v>0</v>
      </c>
      <c r="N209" s="147" t="n">
        <f aca="false">VLOOKUP($A209,[1]!CurveTable,MATCH($N$4,[1]!CurveType,0))</f>
        <v>0.021</v>
      </c>
      <c r="O209" s="148" t="n">
        <f aca="false">N209+Inputs!$E$22</f>
        <v>0.021</v>
      </c>
      <c r="P209" s="151" t="n">
        <f aca="false">O209</f>
        <v>0.021</v>
      </c>
      <c r="Q209" s="147" t="n">
        <f aca="false">VLOOKUP($A209,[1]!CurveTable,MATCH($Q$4,[1]!CurveType,0))</f>
        <v>0.0075</v>
      </c>
      <c r="R209" s="148" t="n">
        <v>0</v>
      </c>
      <c r="S209" s="151" t="n">
        <f aca="false">R209</f>
        <v>0</v>
      </c>
      <c r="T209" s="152"/>
      <c r="U209" s="153" t="n">
        <f aca="false">G209+J209</f>
        <v>5.9045</v>
      </c>
      <c r="V209" s="154"/>
      <c r="W209" s="155" t="n">
        <f aca="false">VLOOKUP($A209,[1]!CurveTable,MATCH($W$4,[1]!CurveType,0))+$W$9</f>
        <v>0.17</v>
      </c>
      <c r="X209" s="155" t="n">
        <f aca="false">VLOOKUP($A209,[1]!CurveTable,MATCH($X$4,[1]!CurveType,0))+$X$9</f>
        <v>0.175</v>
      </c>
      <c r="Y209" s="139" t="n">
        <f aca="false">SQRT((X209^2*($A209-$C$3)+W209^2*(DAY(EOMONTH(A209,0))/2))/$AN209)</f>
        <v>0.172667673572319</v>
      </c>
      <c r="Z209" s="152"/>
      <c r="AA209" s="153" t="n">
        <f aca="false">G209+P209+S209</f>
        <v>5.8405</v>
      </c>
      <c r="AB209" s="154"/>
      <c r="AC209" s="155" t="n">
        <f aca="false">VLOOKUP($A209,[1]!CurveTable,MATCH($AC$4,[1]!CurveType,0))+$AC$9</f>
        <v>0.17</v>
      </c>
      <c r="AD209" s="155" t="n">
        <f aca="false">VLOOKUP($A209,[1]!CurveTable,MATCH($AD$4,[1]!CurveType,0))+$AD$9</f>
        <v>0.175</v>
      </c>
      <c r="AE209" s="139" t="n">
        <f aca="false">SQRT((AD209^2*($A209-$C$3)+AC209^2*(DAY(EOMONTH(A209,0))/2))/$AN209)</f>
        <v>0.172667673572319</v>
      </c>
      <c r="AF209" s="152"/>
      <c r="AG209" s="156" t="n">
        <f aca="false">((Inputs!$F$20*(X209*AD209)*(A209-$C$3))+(Inputs!$F$19*W209*AC209*(DAY(EOMONTH(A209,0))/2)))/(AN209*Y209*AE209)</f>
        <v>0.75</v>
      </c>
      <c r="AH209" s="152"/>
      <c r="AI209" s="140" t="n">
        <f aca="false">Inputs!$B$15</f>
        <v>0.06</v>
      </c>
      <c r="AJ209" s="157"/>
      <c r="AK209" s="140" t="n">
        <f aca="false">IF((U209-AA209-AI209)&lt;0,0,(U209-AA209-AI209))</f>
        <v>0.00400000000000006</v>
      </c>
      <c r="AL209" s="157"/>
      <c r="AM209" s="158" t="n">
        <f aca="false">WORKDAY(EOMONTH(A209-1,-1),0)</f>
        <v>44165</v>
      </c>
      <c r="AN209" s="159" t="n">
        <f aca="false">AM209-$C$3</f>
        <v>-1761</v>
      </c>
      <c r="AO209" s="159" t="n">
        <f aca="false">AO208</f>
        <v>1</v>
      </c>
      <c r="AP209" s="160"/>
      <c r="AQ209" s="161" t="e">
        <f aca="false">SPRDOPT(U209,AA209,AI209,AX209,X209,AD209,AG209,AN209,AO209,0)</f>
        <v>#NAME?</v>
      </c>
      <c r="AR209" s="162" t="e">
        <f aca="false">AQ209*C209</f>
        <v>#NAME?</v>
      </c>
      <c r="AS209" s="163" t="e">
        <f aca="false">AQ209-AK209</f>
        <v>#NAME?</v>
      </c>
      <c r="AU209" s="112" t="n">
        <f aca="false">A210-A209</f>
        <v>31</v>
      </c>
      <c r="AV209" s="164" t="n">
        <f aca="false">CHOOSE(F$3,A210+24,A209+14)</f>
        <v>44211</v>
      </c>
      <c r="AW209" s="49" t="n">
        <f aca="false">AV209-C$3</f>
        <v>-1715</v>
      </c>
      <c r="AX209" s="155" t="n">
        <f aca="false">VLOOKUP($A209,[1]!CurveTable,MATCH(AX$4,[1]!CurveType,0))</f>
        <v>0.0611854600352841</v>
      </c>
      <c r="AY209" s="165" t="n">
        <f aca="false">1/(1+CHOOSE(F$3,(AX210+(Inputs!$B$14/10000))/2,(AX209+(Inputs!$B$14/10000))/2))^(2*AW209/365.25)</f>
        <v>1.32708416981467</v>
      </c>
      <c r="AZ209" s="49" t="n">
        <f aca="false">IF(AND(mthbeg&lt;=A209,mthend&gt;=A209),1,0)</f>
        <v>0</v>
      </c>
      <c r="BA209" s="111" t="n">
        <f aca="false">AU209*AZ209</f>
        <v>0</v>
      </c>
      <c r="BC209" s="142" t="n">
        <f aca="false">E209*$D209</f>
        <v>0</v>
      </c>
      <c r="BD209" s="142" t="n">
        <f aca="false">F209*$D209</f>
        <v>0</v>
      </c>
      <c r="BE209" s="142" t="n">
        <f aca="false">G209*$D209</f>
        <v>0</v>
      </c>
      <c r="BF209" s="142" t="n">
        <f aca="false">H209*$D209</f>
        <v>0</v>
      </c>
      <c r="BG209" s="142" t="n">
        <f aca="false">I209*$D209</f>
        <v>0</v>
      </c>
      <c r="BH209" s="142" t="n">
        <f aca="false">J209*$D209</f>
        <v>0</v>
      </c>
      <c r="BI209" s="142" t="n">
        <f aca="false">K209*$D209</f>
        <v>0</v>
      </c>
      <c r="BJ209" s="142" t="n">
        <f aca="false">L209*$D209</f>
        <v>0</v>
      </c>
      <c r="BK209" s="142" t="n">
        <f aca="false">M209*$D209</f>
        <v>0</v>
      </c>
      <c r="BL209" s="142" t="n">
        <f aca="false">N209*$D209</f>
        <v>0</v>
      </c>
      <c r="BM209" s="142" t="n">
        <f aca="false">O209*$D209</f>
        <v>0</v>
      </c>
      <c r="BN209" s="142" t="n">
        <f aca="false">P209*$D209</f>
        <v>0</v>
      </c>
      <c r="BO209" s="142" t="n">
        <f aca="false">Q209*$D209</f>
        <v>0</v>
      </c>
      <c r="BP209" s="142" t="n">
        <f aca="false">R209*$D209</f>
        <v>0</v>
      </c>
      <c r="BQ209" s="142" t="n">
        <f aca="false">S209*$D209</f>
        <v>0</v>
      </c>
      <c r="BR209" s="142" t="n">
        <f aca="false">U209*$D209</f>
        <v>0</v>
      </c>
      <c r="BS209" s="142" t="n">
        <f aca="false">AA209*$D209</f>
        <v>0</v>
      </c>
      <c r="BT209" s="142" t="n">
        <f aca="false">AI209*$D209</f>
        <v>0</v>
      </c>
      <c r="BU209" s="142" t="n">
        <f aca="false">AK209*D209</f>
        <v>0</v>
      </c>
    </row>
    <row r="210" customFormat="false" ht="12.75" hidden="false" customHeight="false" outlineLevel="0" collapsed="false">
      <c r="A210" s="144" t="n">
        <f aca="false">EDATE(A209,1)</f>
        <v>44228</v>
      </c>
      <c r="B210" s="145" t="n">
        <f aca="false">Inputs!$B$8</f>
        <v>50000</v>
      </c>
      <c r="C210" s="146" t="n">
        <f aca="false">IF(AZ210=0,0,IF(AND(AZ210=1,$H$3=1),B210*AU210,IF($H$3=2,B210,"N/A")))</f>
        <v>0</v>
      </c>
      <c r="D210" s="146" t="n">
        <f aca="false">C210*AY210</f>
        <v>0</v>
      </c>
      <c r="E210" s="147" t="n">
        <f aca="false">VLOOKUP($A210,[1]!CurveTable,MATCH($E$4,[1]!CurveType,0))</f>
        <v>5.6775</v>
      </c>
      <c r="F210" s="148" t="n">
        <f aca="false">E210-Inputs!$B$16</f>
        <v>5.7325</v>
      </c>
      <c r="G210" s="149" t="n">
        <f aca="false">F210</f>
        <v>5.7325</v>
      </c>
      <c r="H210" s="147" t="n">
        <f aca="false">VLOOKUP($A210,[1]!CurveTable,MATCH($H$4,[1]!CurveType,0))</f>
        <v>0.075</v>
      </c>
      <c r="I210" s="148" t="n">
        <f aca="false">H210+Inputs!$B$22</f>
        <v>0.075</v>
      </c>
      <c r="J210" s="150" t="n">
        <f aca="false">I210</f>
        <v>0.075</v>
      </c>
      <c r="K210" s="147" t="n">
        <f aca="false">VLOOKUP($A210,[1]!CurveTable,MATCH($K$4,[1]!CurveType,0))</f>
        <v>0</v>
      </c>
      <c r="L210" s="148" t="n">
        <v>0</v>
      </c>
      <c r="M210" s="151" t="n">
        <f aca="false">L210</f>
        <v>0</v>
      </c>
      <c r="N210" s="147" t="n">
        <f aca="false">VLOOKUP($A210,[1]!CurveTable,MATCH($N$4,[1]!CurveType,0))</f>
        <v>0.021</v>
      </c>
      <c r="O210" s="148" t="n">
        <f aca="false">N210+Inputs!$E$22</f>
        <v>0.021</v>
      </c>
      <c r="P210" s="151" t="n">
        <f aca="false">O210</f>
        <v>0.021</v>
      </c>
      <c r="Q210" s="147" t="n">
        <f aca="false">VLOOKUP($A210,[1]!CurveTable,MATCH($Q$4,[1]!CurveType,0))</f>
        <v>0.0075</v>
      </c>
      <c r="R210" s="148" t="n">
        <v>0</v>
      </c>
      <c r="S210" s="151" t="n">
        <f aca="false">R210</f>
        <v>0</v>
      </c>
      <c r="T210" s="152"/>
      <c r="U210" s="153" t="n">
        <f aca="false">G210+J210</f>
        <v>5.8075</v>
      </c>
      <c r="V210" s="154"/>
      <c r="W210" s="155" t="n">
        <f aca="false">VLOOKUP($A210,[1]!CurveTable,MATCH($W$4,[1]!CurveType,0))+$W$9</f>
        <v>0.17</v>
      </c>
      <c r="X210" s="155" t="n">
        <f aca="false">VLOOKUP($A210,[1]!CurveTable,MATCH($X$4,[1]!CurveType,0))+$X$9</f>
        <v>0.175</v>
      </c>
      <c r="Y210" s="139" t="n">
        <f aca="false">SQRT((X210^2*($A210-$C$3)+W210^2*(DAY(EOMONTH(A210,0))/2))/$AN210)</f>
        <v>0.172698156270386</v>
      </c>
      <c r="Z210" s="152"/>
      <c r="AA210" s="153" t="n">
        <f aca="false">G210+P210+S210</f>
        <v>5.7535</v>
      </c>
      <c r="AB210" s="154"/>
      <c r="AC210" s="155" t="n">
        <f aca="false">VLOOKUP($A210,[1]!CurveTable,MATCH($AC$4,[1]!CurveType,0))+$AC$9</f>
        <v>0.17</v>
      </c>
      <c r="AD210" s="155" t="n">
        <f aca="false">VLOOKUP($A210,[1]!CurveTable,MATCH($AD$4,[1]!CurveType,0))+$AD$9</f>
        <v>0.175</v>
      </c>
      <c r="AE210" s="139" t="n">
        <f aca="false">SQRT((AD210^2*($A210-$C$3)+AC210^2*(DAY(EOMONTH(A210,0))/2))/$AN210)</f>
        <v>0.172698156270386</v>
      </c>
      <c r="AF210" s="152"/>
      <c r="AG210" s="156" t="n">
        <f aca="false">((Inputs!$F$20*(X210*AD210)*(A210-$C$3))+(Inputs!$F$19*W210*AC210*(DAY(EOMONTH(A210,0))/2)))/(AN210*Y210*AE210)</f>
        <v>0.75</v>
      </c>
      <c r="AH210" s="152"/>
      <c r="AI210" s="140" t="n">
        <f aca="false">Inputs!$B$15</f>
        <v>0.06</v>
      </c>
      <c r="AJ210" s="157"/>
      <c r="AK210" s="140" t="n">
        <f aca="false">IF((U210-AA210-AI210)&lt;0,0,(U210-AA210-AI210))</f>
        <v>0</v>
      </c>
      <c r="AL210" s="157"/>
      <c r="AM210" s="158" t="n">
        <f aca="false">WORKDAY(EOMONTH(A210-1,-1),0)</f>
        <v>44196</v>
      </c>
      <c r="AN210" s="159" t="n">
        <f aca="false">AM210-$C$3</f>
        <v>-1730</v>
      </c>
      <c r="AO210" s="159" t="n">
        <f aca="false">AO209</f>
        <v>1</v>
      </c>
      <c r="AP210" s="160"/>
      <c r="AQ210" s="161" t="e">
        <f aca="false">SPRDOPT(U210,AA210,AI210,AX210,X210,AD210,AG210,AN210,AO210,0)</f>
        <v>#NAME?</v>
      </c>
      <c r="AR210" s="162" t="e">
        <f aca="false">AQ210*C210</f>
        <v>#NAME?</v>
      </c>
      <c r="AS210" s="163" t="e">
        <f aca="false">AQ210-AK210</f>
        <v>#NAME?</v>
      </c>
      <c r="AU210" s="112" t="n">
        <f aca="false">A211-A210</f>
        <v>28</v>
      </c>
      <c r="AV210" s="164" t="n">
        <f aca="false">CHOOSE(F$3,A211+24,A210+14)</f>
        <v>44242</v>
      </c>
      <c r="AW210" s="49" t="n">
        <f aca="false">AV210-C$3</f>
        <v>-1684</v>
      </c>
      <c r="AX210" s="155" t="n">
        <f aca="false">VLOOKUP($A210,[1]!CurveTable,MATCH(AX$4,[1]!CurveType,0))</f>
        <v>0.0612436728561732</v>
      </c>
      <c r="AY210" s="165" t="n">
        <f aca="false">1/(1+CHOOSE(F$3,(AX211+(Inputs!$B$14/10000))/2,(AX210+(Inputs!$B$14/10000))/2))^(2*AW210/365.25)</f>
        <v>1.32065712908942</v>
      </c>
      <c r="AZ210" s="49" t="n">
        <f aca="false">IF(AND(mthbeg&lt;=A210,mthend&gt;=A210),1,0)</f>
        <v>0</v>
      </c>
      <c r="BA210" s="111" t="n">
        <f aca="false">AU210*AZ210</f>
        <v>0</v>
      </c>
      <c r="BC210" s="142" t="n">
        <f aca="false">E210*$D210</f>
        <v>0</v>
      </c>
      <c r="BD210" s="142" t="n">
        <f aca="false">F210*$D210</f>
        <v>0</v>
      </c>
      <c r="BE210" s="142" t="n">
        <f aca="false">G210*$D210</f>
        <v>0</v>
      </c>
      <c r="BF210" s="142" t="n">
        <f aca="false">H210*$D210</f>
        <v>0</v>
      </c>
      <c r="BG210" s="142" t="n">
        <f aca="false">I210*$D210</f>
        <v>0</v>
      </c>
      <c r="BH210" s="142" t="n">
        <f aca="false">J210*$D210</f>
        <v>0</v>
      </c>
      <c r="BI210" s="142" t="n">
        <f aca="false">K210*$D210</f>
        <v>0</v>
      </c>
      <c r="BJ210" s="142" t="n">
        <f aca="false">L210*$D210</f>
        <v>0</v>
      </c>
      <c r="BK210" s="142" t="n">
        <f aca="false">M210*$D210</f>
        <v>0</v>
      </c>
      <c r="BL210" s="142" t="n">
        <f aca="false">N210*$D210</f>
        <v>0</v>
      </c>
      <c r="BM210" s="142" t="n">
        <f aca="false">O210*$D210</f>
        <v>0</v>
      </c>
      <c r="BN210" s="142" t="n">
        <f aca="false">P210*$D210</f>
        <v>0</v>
      </c>
      <c r="BO210" s="142" t="n">
        <f aca="false">Q210*$D210</f>
        <v>0</v>
      </c>
      <c r="BP210" s="142" t="n">
        <f aca="false">R210*$D210</f>
        <v>0</v>
      </c>
      <c r="BQ210" s="142" t="n">
        <f aca="false">S210*$D210</f>
        <v>0</v>
      </c>
      <c r="BR210" s="142" t="n">
        <f aca="false">U210*$D210</f>
        <v>0</v>
      </c>
      <c r="BS210" s="142" t="n">
        <f aca="false">AA210*$D210</f>
        <v>0</v>
      </c>
      <c r="BT210" s="142" t="n">
        <f aca="false">AI210*$D210</f>
        <v>0</v>
      </c>
      <c r="BU210" s="142" t="n">
        <f aca="false">AK210*D210</f>
        <v>0</v>
      </c>
    </row>
    <row r="211" customFormat="false" ht="12.75" hidden="false" customHeight="false" outlineLevel="0" collapsed="false">
      <c r="A211" s="144" t="n">
        <f aca="false">EDATE(A210,1)</f>
        <v>44256</v>
      </c>
      <c r="B211" s="145" t="n">
        <f aca="false">Inputs!$B$8</f>
        <v>50000</v>
      </c>
      <c r="C211" s="146" t="n">
        <f aca="false">IF(AZ211=0,0,IF(AND(AZ211=1,$H$3=1),B211*AU211,IF($H$3=2,B211,"N/A")))</f>
        <v>0</v>
      </c>
      <c r="D211" s="146" t="n">
        <f aca="false">C211*AY211</f>
        <v>0</v>
      </c>
      <c r="E211" s="147" t="n">
        <f aca="false">VLOOKUP($A211,[1]!CurveTable,MATCH($E$4,[1]!CurveType,0))</f>
        <v>5.5385</v>
      </c>
      <c r="F211" s="148" t="n">
        <f aca="false">E211-Inputs!$B$16</f>
        <v>5.5935</v>
      </c>
      <c r="G211" s="149" t="n">
        <f aca="false">F211</f>
        <v>5.5935</v>
      </c>
      <c r="H211" s="147" t="n">
        <f aca="false">VLOOKUP($A211,[1]!CurveTable,MATCH($H$4,[1]!CurveType,0))</f>
        <v>0.115</v>
      </c>
      <c r="I211" s="148" t="n">
        <f aca="false">H211+Inputs!$B$22</f>
        <v>0.115</v>
      </c>
      <c r="J211" s="150" t="n">
        <f aca="false">I211</f>
        <v>0.115</v>
      </c>
      <c r="K211" s="147" t="n">
        <f aca="false">VLOOKUP($A211,[1]!CurveTable,MATCH($K$4,[1]!CurveType,0))</f>
        <v>0</v>
      </c>
      <c r="L211" s="148" t="n">
        <v>0</v>
      </c>
      <c r="M211" s="151" t="n">
        <f aca="false">L211</f>
        <v>0</v>
      </c>
      <c r="N211" s="147" t="n">
        <f aca="false">VLOOKUP($A211,[1]!CurveTable,MATCH($N$4,[1]!CurveType,0))</f>
        <v>0.025</v>
      </c>
      <c r="O211" s="148" t="n">
        <f aca="false">N211+Inputs!$E$22</f>
        <v>0.025</v>
      </c>
      <c r="P211" s="151" t="n">
        <f aca="false">O211</f>
        <v>0.025</v>
      </c>
      <c r="Q211" s="147" t="n">
        <f aca="false">VLOOKUP($A211,[1]!CurveTable,MATCH($Q$4,[1]!CurveType,0))</f>
        <v>0.0075</v>
      </c>
      <c r="R211" s="148" t="n">
        <v>0</v>
      </c>
      <c r="S211" s="151" t="n">
        <f aca="false">R211</f>
        <v>0</v>
      </c>
      <c r="T211" s="152"/>
      <c r="U211" s="153" t="n">
        <f aca="false">G211+J211</f>
        <v>5.7085</v>
      </c>
      <c r="V211" s="154"/>
      <c r="W211" s="155" t="n">
        <f aca="false">VLOOKUP($A211,[1]!CurveTable,MATCH($W$4,[1]!CurveType,0))+$W$9</f>
        <v>0.17</v>
      </c>
      <c r="X211" s="155" t="n">
        <f aca="false">VLOOKUP($A211,[1]!CurveTable,MATCH($X$4,[1]!CurveType,0))+$X$9</f>
        <v>0.175</v>
      </c>
      <c r="Y211" s="139" t="n">
        <f aca="false">SQRT((X211^2*($A211-$C$3)+W211^2*(DAY(EOMONTH(A211,0))/2))/$AN211)</f>
        <v>0.172738562421991</v>
      </c>
      <c r="Z211" s="152"/>
      <c r="AA211" s="153" t="n">
        <f aca="false">G211+P211+S211</f>
        <v>5.6185</v>
      </c>
      <c r="AB211" s="154"/>
      <c r="AC211" s="155" t="n">
        <f aca="false">VLOOKUP($A211,[1]!CurveTable,MATCH($AC$4,[1]!CurveType,0))+$AC$9</f>
        <v>0.17</v>
      </c>
      <c r="AD211" s="155" t="n">
        <f aca="false">VLOOKUP($A211,[1]!CurveTable,MATCH($AD$4,[1]!CurveType,0))+$AD$9</f>
        <v>0.175</v>
      </c>
      <c r="AE211" s="139" t="n">
        <f aca="false">SQRT((AD211^2*($A211-$C$3)+AC211^2*(DAY(EOMONTH(A211,0))/2))/$AN211)</f>
        <v>0.172738562421991</v>
      </c>
      <c r="AF211" s="152"/>
      <c r="AG211" s="156" t="n">
        <f aca="false">((Inputs!$F$20*(X211*AD211)*(A211-$C$3))+(Inputs!$F$19*W211*AC211*(DAY(EOMONTH(A211,0))/2)))/(AN211*Y211*AE211)</f>
        <v>0.75</v>
      </c>
      <c r="AH211" s="152"/>
      <c r="AI211" s="140" t="n">
        <f aca="false">Inputs!$B$15</f>
        <v>0.06</v>
      </c>
      <c r="AJ211" s="157"/>
      <c r="AK211" s="140" t="n">
        <f aca="false">IF((U211-AA211-AI211)&lt;0,0,(U211-AA211-AI211))</f>
        <v>0.0299999999999999</v>
      </c>
      <c r="AL211" s="157"/>
      <c r="AM211" s="158" t="n">
        <f aca="false">WORKDAY(EOMONTH(A211-1,-1),0)</f>
        <v>44227</v>
      </c>
      <c r="AN211" s="159" t="n">
        <f aca="false">AM211-$C$3</f>
        <v>-1699</v>
      </c>
      <c r="AO211" s="159" t="n">
        <f aca="false">AO210</f>
        <v>1</v>
      </c>
      <c r="AP211" s="160"/>
      <c r="AQ211" s="161" t="e">
        <f aca="false">SPRDOPT(U211,AA211,AI211,AX211,X211,AD211,AG211,AN211,AO211,0)</f>
        <v>#NAME?</v>
      </c>
      <c r="AR211" s="162" t="e">
        <f aca="false">AQ211*C211</f>
        <v>#NAME?</v>
      </c>
      <c r="AS211" s="163" t="e">
        <f aca="false">AQ211-AK211</f>
        <v>#NAME?</v>
      </c>
      <c r="AU211" s="112" t="n">
        <f aca="false">A212-A211</f>
        <v>31</v>
      </c>
      <c r="AV211" s="164" t="n">
        <f aca="false">CHOOSE(F$3,A212+24,A211+14)</f>
        <v>44270</v>
      </c>
      <c r="AW211" s="49" t="n">
        <f aca="false">AV211-C$3</f>
        <v>-1656</v>
      </c>
      <c r="AX211" s="155" t="n">
        <f aca="false">VLOOKUP($A211,[1]!CurveTable,MATCH(AX$4,[1]!CurveType,0))</f>
        <v>0.0612962521792335</v>
      </c>
      <c r="AY211" s="165" t="n">
        <f aca="false">1/(1+CHOOSE(F$3,(AX212+(Inputs!$B$14/10000))/2,(AX211+(Inputs!$B$14/10000))/2))^(2*AW211/365.25)</f>
        <v>1.31486797358238</v>
      </c>
      <c r="AZ211" s="49" t="n">
        <f aca="false">IF(AND(mthbeg&lt;=A211,mthend&gt;=A211),1,0)</f>
        <v>0</v>
      </c>
      <c r="BA211" s="111" t="n">
        <f aca="false">AU211*AZ211</f>
        <v>0</v>
      </c>
      <c r="BC211" s="142" t="n">
        <f aca="false">E211*$D211</f>
        <v>0</v>
      </c>
      <c r="BD211" s="142" t="n">
        <f aca="false">F211*$D211</f>
        <v>0</v>
      </c>
      <c r="BE211" s="142" t="n">
        <f aca="false">G211*$D211</f>
        <v>0</v>
      </c>
      <c r="BF211" s="142" t="n">
        <f aca="false">H211*$D211</f>
        <v>0</v>
      </c>
      <c r="BG211" s="142" t="n">
        <f aca="false">I211*$D211</f>
        <v>0</v>
      </c>
      <c r="BH211" s="142" t="n">
        <f aca="false">J211*$D211</f>
        <v>0</v>
      </c>
      <c r="BI211" s="142" t="n">
        <f aca="false">K211*$D211</f>
        <v>0</v>
      </c>
      <c r="BJ211" s="142" t="n">
        <f aca="false">L211*$D211</f>
        <v>0</v>
      </c>
      <c r="BK211" s="142" t="n">
        <f aca="false">M211*$D211</f>
        <v>0</v>
      </c>
      <c r="BL211" s="142" t="n">
        <f aca="false">N211*$D211</f>
        <v>0</v>
      </c>
      <c r="BM211" s="142" t="n">
        <f aca="false">O211*$D211</f>
        <v>0</v>
      </c>
      <c r="BN211" s="142" t="n">
        <f aca="false">P211*$D211</f>
        <v>0</v>
      </c>
      <c r="BO211" s="142" t="n">
        <f aca="false">Q211*$D211</f>
        <v>0</v>
      </c>
      <c r="BP211" s="142" t="n">
        <f aca="false">R211*$D211</f>
        <v>0</v>
      </c>
      <c r="BQ211" s="142" t="n">
        <f aca="false">S211*$D211</f>
        <v>0</v>
      </c>
      <c r="BR211" s="142" t="n">
        <f aca="false">U211*$D211</f>
        <v>0</v>
      </c>
      <c r="BS211" s="142" t="n">
        <f aca="false">AA211*$D211</f>
        <v>0</v>
      </c>
      <c r="BT211" s="142" t="n">
        <f aca="false">AI211*$D211</f>
        <v>0</v>
      </c>
      <c r="BU211" s="142" t="n">
        <f aca="false">AK211*D211</f>
        <v>0</v>
      </c>
    </row>
    <row r="212" customFormat="false" ht="12.75" hidden="false" customHeight="false" outlineLevel="0" collapsed="false">
      <c r="A212" s="144" t="n">
        <f aca="false">EDATE(A211,1)</f>
        <v>44287</v>
      </c>
      <c r="B212" s="145" t="n">
        <f aca="false">Inputs!$B$8</f>
        <v>50000</v>
      </c>
      <c r="C212" s="146" t="n">
        <f aca="false">IF(AZ212=0,0,IF(AND(AZ212=1,$H$3=1),B212*AU212,IF($H$3=2,B212,"N/A")))</f>
        <v>0</v>
      </c>
      <c r="D212" s="146" t="n">
        <f aca="false">C212*AY212</f>
        <v>0</v>
      </c>
      <c r="E212" s="147" t="n">
        <f aca="false">VLOOKUP($A212,[1]!CurveTable,MATCH($E$4,[1]!CurveType,0))</f>
        <v>5.3845</v>
      </c>
      <c r="F212" s="148" t="n">
        <f aca="false">E212-Inputs!$B$16</f>
        <v>5.4395</v>
      </c>
      <c r="G212" s="149" t="n">
        <f aca="false">F212</f>
        <v>5.4395</v>
      </c>
      <c r="H212" s="147" t="n">
        <f aca="false">VLOOKUP($A212,[1]!CurveTable,MATCH($H$4,[1]!CurveType,0))</f>
        <v>0.55</v>
      </c>
      <c r="I212" s="148" t="n">
        <f aca="false">H212+Inputs!$B$22</f>
        <v>0.55</v>
      </c>
      <c r="J212" s="150" t="n">
        <f aca="false">I212</f>
        <v>0.55</v>
      </c>
      <c r="K212" s="147" t="n">
        <f aca="false">VLOOKUP($A212,[1]!CurveTable,MATCH($K$4,[1]!CurveType,0))</f>
        <v>0</v>
      </c>
      <c r="L212" s="148" t="n">
        <v>0</v>
      </c>
      <c r="M212" s="151" t="n">
        <f aca="false">L212</f>
        <v>0</v>
      </c>
      <c r="N212" s="147" t="n">
        <f aca="false">VLOOKUP($A212,[1]!CurveTable,MATCH($N$4,[1]!CurveType,0))</f>
        <v>0.025</v>
      </c>
      <c r="O212" s="148" t="n">
        <f aca="false">N212+Inputs!$E$22</f>
        <v>0.025</v>
      </c>
      <c r="P212" s="151" t="n">
        <f aca="false">O212</f>
        <v>0.025</v>
      </c>
      <c r="Q212" s="147" t="n">
        <f aca="false">VLOOKUP($A212,[1]!CurveTable,MATCH($Q$4,[1]!CurveType,0))</f>
        <v>0.01</v>
      </c>
      <c r="R212" s="148" t="n">
        <v>0</v>
      </c>
      <c r="S212" s="151" t="n">
        <f aca="false">R212</f>
        <v>0</v>
      </c>
      <c r="T212" s="152"/>
      <c r="U212" s="153" t="n">
        <f aca="false">G212+J212</f>
        <v>5.9895</v>
      </c>
      <c r="V212" s="154"/>
      <c r="W212" s="155" t="n">
        <f aca="false">VLOOKUP($A212,[1]!CurveTable,MATCH($W$4,[1]!CurveType,0))+$W$9</f>
        <v>0.17</v>
      </c>
      <c r="X212" s="155" t="n">
        <f aca="false">VLOOKUP($A212,[1]!CurveTable,MATCH($X$4,[1]!CurveType,0))+$X$9</f>
        <v>0.175</v>
      </c>
      <c r="Y212" s="139" t="n">
        <f aca="false">SQRT((X212^2*($A212-$C$3)+W212^2*(DAY(EOMONTH(A212,0))/2))/$AN212)</f>
        <v>0.172566217266624</v>
      </c>
      <c r="Z212" s="152"/>
      <c r="AA212" s="153" t="n">
        <f aca="false">G212+P212+S212</f>
        <v>5.4645</v>
      </c>
      <c r="AB212" s="154"/>
      <c r="AC212" s="155" t="n">
        <f aca="false">VLOOKUP($A212,[1]!CurveTable,MATCH($AC$4,[1]!CurveType,0))+$AC$9</f>
        <v>0.17</v>
      </c>
      <c r="AD212" s="155" t="n">
        <f aca="false">VLOOKUP($A212,[1]!CurveTable,MATCH($AD$4,[1]!CurveType,0))+$AD$9</f>
        <v>0.175</v>
      </c>
      <c r="AE212" s="139" t="n">
        <f aca="false">SQRT((AD212^2*($A212-$C$3)+AC212^2*(DAY(EOMONTH(A212,0))/2))/$AN212)</f>
        <v>0.172566217266624</v>
      </c>
      <c r="AF212" s="152"/>
      <c r="AG212" s="156" t="n">
        <f aca="false">((Inputs!$F$20*(X212*AD212)*(A212-$C$3))+(Inputs!$F$19*W212*AC212*(DAY(EOMONTH(A212,0))/2)))/(AN212*Y212*AE212)</f>
        <v>0.75</v>
      </c>
      <c r="AH212" s="152"/>
      <c r="AI212" s="140" t="n">
        <f aca="false">Inputs!$B$15</f>
        <v>0.06</v>
      </c>
      <c r="AJ212" s="157"/>
      <c r="AK212" s="140" t="n">
        <f aca="false">IF((U212-AA212-AI212)&lt;0,0,(U212-AA212-AI212))</f>
        <v>0.464999999999999</v>
      </c>
      <c r="AL212" s="157"/>
      <c r="AM212" s="158" t="n">
        <f aca="false">WORKDAY(EOMONTH(A212-1,-1),0)</f>
        <v>44255</v>
      </c>
      <c r="AN212" s="159" t="n">
        <f aca="false">AM212-$C$3</f>
        <v>-1671</v>
      </c>
      <c r="AO212" s="159" t="n">
        <f aca="false">AO211</f>
        <v>1</v>
      </c>
      <c r="AP212" s="160"/>
      <c r="AQ212" s="161" t="e">
        <f aca="false">SPRDOPT(U212,AA212,AI212,AX212,X212,AD212,AG212,AN212,AO212,0)</f>
        <v>#NAME?</v>
      </c>
      <c r="AR212" s="162" t="e">
        <f aca="false">AQ212*C212</f>
        <v>#NAME?</v>
      </c>
      <c r="AS212" s="163" t="e">
        <f aca="false">AQ212-AK212</f>
        <v>#NAME?</v>
      </c>
      <c r="AU212" s="112" t="n">
        <f aca="false">A213-A212</f>
        <v>30</v>
      </c>
      <c r="AV212" s="164" t="n">
        <f aca="false">CHOOSE(F$3,A213+24,A212+14)</f>
        <v>44301</v>
      </c>
      <c r="AW212" s="49" t="n">
        <f aca="false">AV212-C$3</f>
        <v>-1625</v>
      </c>
      <c r="AX212" s="155" t="n">
        <f aca="false">VLOOKUP($A212,[1]!CurveTable,MATCH(AX$4,[1]!CurveType,0))</f>
        <v>0.0613544650022639</v>
      </c>
      <c r="AY212" s="165" t="n">
        <f aca="false">1/(1+CHOOSE(F$3,(AX213+(Inputs!$B$14/10000))/2,(AX212+(Inputs!$B$14/10000))/2))^(2*AW212/365.25)</f>
        <v>1.30847620073057</v>
      </c>
      <c r="AZ212" s="49" t="n">
        <f aca="false">IF(AND(mthbeg&lt;=A212,mthend&gt;=A212),1,0)</f>
        <v>0</v>
      </c>
      <c r="BA212" s="111" t="n">
        <f aca="false">AU212*AZ212</f>
        <v>0</v>
      </c>
      <c r="BC212" s="142" t="n">
        <f aca="false">E212*$D212</f>
        <v>0</v>
      </c>
      <c r="BD212" s="142" t="n">
        <f aca="false">F212*$D212</f>
        <v>0</v>
      </c>
      <c r="BE212" s="142" t="n">
        <f aca="false">G212*$D212</f>
        <v>0</v>
      </c>
      <c r="BF212" s="142" t="n">
        <f aca="false">H212*$D212</f>
        <v>0</v>
      </c>
      <c r="BG212" s="142" t="n">
        <f aca="false">I212*$D212</f>
        <v>0</v>
      </c>
      <c r="BH212" s="142" t="n">
        <f aca="false">J212*$D212</f>
        <v>0</v>
      </c>
      <c r="BI212" s="142" t="n">
        <f aca="false">K212*$D212</f>
        <v>0</v>
      </c>
      <c r="BJ212" s="142" t="n">
        <f aca="false">L212*$D212</f>
        <v>0</v>
      </c>
      <c r="BK212" s="142" t="n">
        <f aca="false">M212*$D212</f>
        <v>0</v>
      </c>
      <c r="BL212" s="142" t="n">
        <f aca="false">N212*$D212</f>
        <v>0</v>
      </c>
      <c r="BM212" s="142" t="n">
        <f aca="false">O212*$D212</f>
        <v>0</v>
      </c>
      <c r="BN212" s="142" t="n">
        <f aca="false">P212*$D212</f>
        <v>0</v>
      </c>
      <c r="BO212" s="142" t="n">
        <f aca="false">Q212*$D212</f>
        <v>0</v>
      </c>
      <c r="BP212" s="142" t="n">
        <f aca="false">R212*$D212</f>
        <v>0</v>
      </c>
      <c r="BQ212" s="142" t="n">
        <f aca="false">S212*$D212</f>
        <v>0</v>
      </c>
      <c r="BR212" s="142" t="n">
        <f aca="false">U212*$D212</f>
        <v>0</v>
      </c>
      <c r="BS212" s="142" t="n">
        <f aca="false">AA212*$D212</f>
        <v>0</v>
      </c>
      <c r="BT212" s="142" t="n">
        <f aca="false">AI212*$D212</f>
        <v>0</v>
      </c>
      <c r="BU212" s="142" t="n">
        <f aca="false">AK212*D212</f>
        <v>0</v>
      </c>
    </row>
    <row r="213" customFormat="false" ht="12.75" hidden="false" customHeight="false" outlineLevel="0" collapsed="false">
      <c r="A213" s="144" t="n">
        <f aca="false">EDATE(A212,1)</f>
        <v>44317</v>
      </c>
      <c r="B213" s="145" t="n">
        <f aca="false">Inputs!$B$8</f>
        <v>50000</v>
      </c>
      <c r="C213" s="146" t="n">
        <f aca="false">IF(AZ213=0,0,IF(AND(AZ213=1,$H$3=1),B213*AU213,IF($H$3=2,B213,"N/A")))</f>
        <v>0</v>
      </c>
      <c r="D213" s="146" t="n">
        <f aca="false">C213*AY213</f>
        <v>0</v>
      </c>
      <c r="E213" s="147" t="n">
        <f aca="false">VLOOKUP($A213,[1]!CurveTable,MATCH($E$4,[1]!CurveType,0))</f>
        <v>5.3895</v>
      </c>
      <c r="F213" s="148" t="n">
        <f aca="false">E213-Inputs!$B$16</f>
        <v>5.4445</v>
      </c>
      <c r="G213" s="149" t="n">
        <f aca="false">F213</f>
        <v>5.4445</v>
      </c>
      <c r="H213" s="147" t="n">
        <f aca="false">VLOOKUP($A213,[1]!CurveTable,MATCH($H$4,[1]!CurveType,0))</f>
        <v>0.7</v>
      </c>
      <c r="I213" s="148" t="n">
        <f aca="false">H213+Inputs!$B$22</f>
        <v>0.7</v>
      </c>
      <c r="J213" s="150" t="n">
        <f aca="false">I213</f>
        <v>0.7</v>
      </c>
      <c r="K213" s="147" t="n">
        <f aca="false">VLOOKUP($A213,[1]!CurveTable,MATCH($K$4,[1]!CurveType,0))</f>
        <v>0</v>
      </c>
      <c r="L213" s="148" t="n">
        <v>0</v>
      </c>
      <c r="M213" s="151" t="n">
        <f aca="false">L213</f>
        <v>0</v>
      </c>
      <c r="N213" s="147" t="n">
        <f aca="false">VLOOKUP($A213,[1]!CurveTable,MATCH($N$4,[1]!CurveType,0))</f>
        <v>0.0275</v>
      </c>
      <c r="O213" s="148" t="n">
        <f aca="false">N213+Inputs!$E$22</f>
        <v>0.0275</v>
      </c>
      <c r="P213" s="151" t="n">
        <f aca="false">O213</f>
        <v>0.0275</v>
      </c>
      <c r="Q213" s="147" t="n">
        <f aca="false">VLOOKUP($A213,[1]!CurveTable,MATCH($Q$4,[1]!CurveType,0))</f>
        <v>0.01</v>
      </c>
      <c r="R213" s="148" t="n">
        <v>0</v>
      </c>
      <c r="S213" s="151" t="n">
        <f aca="false">R213</f>
        <v>0</v>
      </c>
      <c r="T213" s="152"/>
      <c r="U213" s="153" t="n">
        <f aca="false">G213+J213</f>
        <v>6.1445</v>
      </c>
      <c r="V213" s="154"/>
      <c r="W213" s="155" t="n">
        <f aca="false">VLOOKUP($A213,[1]!CurveTable,MATCH($W$4,[1]!CurveType,0))+$W$9</f>
        <v>0.34</v>
      </c>
      <c r="X213" s="155" t="n">
        <f aca="false">VLOOKUP($A213,[1]!CurveTable,MATCH($X$4,[1]!CurveType,0))+$X$9</f>
        <v>0.345</v>
      </c>
      <c r="Y213" s="139" t="n">
        <f aca="false">SQRT((X213^2*($A213-$C$3)+W213^2*(DAY(EOMONTH(A213,0))/2))/$AN213)</f>
        <v>0.340121413938482</v>
      </c>
      <c r="Z213" s="152"/>
      <c r="AA213" s="153" t="n">
        <f aca="false">G213+P213+S213</f>
        <v>5.472</v>
      </c>
      <c r="AB213" s="154"/>
      <c r="AC213" s="155" t="n">
        <f aca="false">VLOOKUP($A213,[1]!CurveTable,MATCH($AC$4,[1]!CurveType,0))+$AC$9</f>
        <v>0.17</v>
      </c>
      <c r="AD213" s="155" t="n">
        <f aca="false">VLOOKUP($A213,[1]!CurveTable,MATCH($AD$4,[1]!CurveType,0))+$AD$9</f>
        <v>0.175</v>
      </c>
      <c r="AE213" s="139" t="n">
        <f aca="false">SQRT((AD213^2*($A213-$C$3)+AC213^2*(DAY(EOMONTH(A213,0))/2))/$AN213)</f>
        <v>0.172548464383128</v>
      </c>
      <c r="AF213" s="152"/>
      <c r="AG213" s="156" t="n">
        <f aca="false">((Inputs!$F$20*(X213*AD213)*(A213-$C$3))+(Inputs!$F$19*W213*AC213*(DAY(EOMONTH(A213,0))/2)))/(AN213*Y213*AE213)</f>
        <v>0.750000729421912</v>
      </c>
      <c r="AH213" s="152"/>
      <c r="AI213" s="140" t="n">
        <f aca="false">Inputs!$B$15</f>
        <v>0.06</v>
      </c>
      <c r="AJ213" s="157"/>
      <c r="AK213" s="140" t="n">
        <f aca="false">IF((U213-AA213-AI213)&lt;0,0,(U213-AA213-AI213))</f>
        <v>0.6125</v>
      </c>
      <c r="AL213" s="157"/>
      <c r="AM213" s="158" t="n">
        <f aca="false">WORKDAY(EOMONTH(A213-1,-1),0)</f>
        <v>44286</v>
      </c>
      <c r="AN213" s="159" t="n">
        <f aca="false">AM213-$C$3</f>
        <v>-1640</v>
      </c>
      <c r="AO213" s="159" t="n">
        <f aca="false">AO212</f>
        <v>1</v>
      </c>
      <c r="AP213" s="160"/>
      <c r="AQ213" s="161" t="e">
        <f aca="false">SPRDOPT(U213,AA213,AI213,AX213,X213,AD213,AG213,AN213,AO213,0)</f>
        <v>#NAME?</v>
      </c>
      <c r="AR213" s="162" t="e">
        <f aca="false">AQ213*C213</f>
        <v>#NAME?</v>
      </c>
      <c r="AS213" s="163" t="e">
        <f aca="false">AQ213-AK213</f>
        <v>#NAME?</v>
      </c>
      <c r="AU213" s="112" t="n">
        <f aca="false">A214-A213</f>
        <v>31</v>
      </c>
      <c r="AV213" s="164" t="n">
        <f aca="false">CHOOSE(F$3,A214+24,A213+14)</f>
        <v>44331</v>
      </c>
      <c r="AW213" s="49" t="n">
        <f aca="false">AV213-C$3</f>
        <v>-1595</v>
      </c>
      <c r="AX213" s="155" t="n">
        <f aca="false">VLOOKUP($A213,[1]!CurveTable,MATCH(AX$4,[1]!CurveType,0))</f>
        <v>0.0614107999933648</v>
      </c>
      <c r="AY213" s="165" t="n">
        <f aca="false">1/(1+CHOOSE(F$3,(AX214+(Inputs!$B$14/10000))/2,(AX213+(Inputs!$B$14/10000))/2))^(2*AW213/365.25)</f>
        <v>1.30230830288138</v>
      </c>
      <c r="AZ213" s="49" t="n">
        <f aca="false">IF(AND(mthbeg&lt;=A213,mthend&gt;=A213),1,0)</f>
        <v>0</v>
      </c>
      <c r="BA213" s="111" t="n">
        <f aca="false">AU213*AZ213</f>
        <v>0</v>
      </c>
      <c r="BC213" s="142" t="n">
        <f aca="false">E213*$D213</f>
        <v>0</v>
      </c>
      <c r="BD213" s="142" t="n">
        <f aca="false">F213*$D213</f>
        <v>0</v>
      </c>
      <c r="BE213" s="142" t="n">
        <f aca="false">G213*$D213</f>
        <v>0</v>
      </c>
      <c r="BF213" s="142" t="n">
        <f aca="false">H213*$D213</f>
        <v>0</v>
      </c>
      <c r="BG213" s="142" t="n">
        <f aca="false">I213*$D213</f>
        <v>0</v>
      </c>
      <c r="BH213" s="142" t="n">
        <f aca="false">J213*$D213</f>
        <v>0</v>
      </c>
      <c r="BI213" s="142" t="n">
        <f aca="false">K213*$D213</f>
        <v>0</v>
      </c>
      <c r="BJ213" s="142" t="n">
        <f aca="false">L213*$D213</f>
        <v>0</v>
      </c>
      <c r="BK213" s="142" t="n">
        <f aca="false">M213*$D213</f>
        <v>0</v>
      </c>
      <c r="BL213" s="142" t="n">
        <f aca="false">N213*$D213</f>
        <v>0</v>
      </c>
      <c r="BM213" s="142" t="n">
        <f aca="false">O213*$D213</f>
        <v>0</v>
      </c>
      <c r="BN213" s="142" t="n">
        <f aca="false">P213*$D213</f>
        <v>0</v>
      </c>
      <c r="BO213" s="142" t="n">
        <f aca="false">Q213*$D213</f>
        <v>0</v>
      </c>
      <c r="BP213" s="142" t="n">
        <f aca="false">R213*$D213</f>
        <v>0</v>
      </c>
      <c r="BQ213" s="142" t="n">
        <f aca="false">S213*$D213</f>
        <v>0</v>
      </c>
      <c r="BR213" s="142" t="n">
        <f aca="false">U213*$D213</f>
        <v>0</v>
      </c>
      <c r="BS213" s="142" t="n">
        <f aca="false">AA213*$D213</f>
        <v>0</v>
      </c>
      <c r="BT213" s="142" t="n">
        <f aca="false">AI213*$D213</f>
        <v>0</v>
      </c>
      <c r="BU213" s="142" t="n">
        <f aca="false">AK213*D213</f>
        <v>0</v>
      </c>
    </row>
    <row r="214" customFormat="false" ht="12.75" hidden="false" customHeight="false" outlineLevel="0" collapsed="false">
      <c r="A214" s="144" t="n">
        <f aca="false">EDATE(A213,1)</f>
        <v>44348</v>
      </c>
      <c r="B214" s="145" t="n">
        <f aca="false">Inputs!$B$8</f>
        <v>50000</v>
      </c>
      <c r="C214" s="146" t="n">
        <f aca="false">IF(AZ214=0,0,IF(AND(AZ214=1,$H$3=1),B214*AU214,IF($H$3=2,B214,"N/A")))</f>
        <v>0</v>
      </c>
      <c r="D214" s="146" t="n">
        <f aca="false">C214*AY214</f>
        <v>0</v>
      </c>
      <c r="E214" s="147" t="n">
        <f aca="false">VLOOKUP($A214,[1]!CurveTable,MATCH($E$4,[1]!CurveType,0))</f>
        <v>5.4275</v>
      </c>
      <c r="F214" s="148" t="n">
        <f aca="false">E214-Inputs!$B$16</f>
        <v>5.4825</v>
      </c>
      <c r="G214" s="149" t="n">
        <f aca="false">F214</f>
        <v>5.4825</v>
      </c>
      <c r="H214" s="147" t="n">
        <f aca="false">VLOOKUP($A214,[1]!CurveTable,MATCH($H$4,[1]!CurveType,0))</f>
        <v>0.8</v>
      </c>
      <c r="I214" s="148" t="n">
        <f aca="false">H214+Inputs!$B$22</f>
        <v>0.8</v>
      </c>
      <c r="J214" s="150" t="n">
        <f aca="false">I214</f>
        <v>0.8</v>
      </c>
      <c r="K214" s="147" t="n">
        <f aca="false">VLOOKUP($A214,[1]!CurveTable,MATCH($K$4,[1]!CurveType,0))</f>
        <v>0</v>
      </c>
      <c r="L214" s="148" t="n">
        <v>0</v>
      </c>
      <c r="M214" s="151" t="n">
        <f aca="false">L214</f>
        <v>0</v>
      </c>
      <c r="N214" s="147" t="n">
        <f aca="false">VLOOKUP($A214,[1]!CurveTable,MATCH($N$4,[1]!CurveType,0))</f>
        <v>0.025</v>
      </c>
      <c r="O214" s="148" t="n">
        <f aca="false">N214+Inputs!$E$22</f>
        <v>0.025</v>
      </c>
      <c r="P214" s="151" t="n">
        <f aca="false">O214</f>
        <v>0.025</v>
      </c>
      <c r="Q214" s="147" t="n">
        <f aca="false">VLOOKUP($A214,[1]!CurveTable,MATCH($Q$4,[1]!CurveType,0))</f>
        <v>0.01</v>
      </c>
      <c r="R214" s="148" t="n">
        <v>0</v>
      </c>
      <c r="S214" s="151" t="n">
        <f aca="false">R214</f>
        <v>0</v>
      </c>
      <c r="T214" s="152"/>
      <c r="U214" s="153" t="n">
        <f aca="false">G214+J214</f>
        <v>6.2825</v>
      </c>
      <c r="V214" s="154"/>
      <c r="W214" s="155" t="n">
        <f aca="false">VLOOKUP($A214,[1]!CurveTable,MATCH($W$4,[1]!CurveType,0))+$W$9</f>
        <v>0.34</v>
      </c>
      <c r="X214" s="155" t="n">
        <f aca="false">VLOOKUP($A214,[1]!CurveTable,MATCH($X$4,[1]!CurveType,0))+$X$9</f>
        <v>0.345</v>
      </c>
      <c r="Y214" s="139" t="n">
        <f aca="false">SQRT((X214^2*($A214-$C$3)+W214^2*(DAY(EOMONTH(A214,0))/2))/$AN214)</f>
        <v>0.339973921177412</v>
      </c>
      <c r="Z214" s="152"/>
      <c r="AA214" s="153" t="n">
        <f aca="false">G214+P214+S214</f>
        <v>5.5075</v>
      </c>
      <c r="AB214" s="154"/>
      <c r="AC214" s="155" t="n">
        <f aca="false">VLOOKUP($A214,[1]!CurveTable,MATCH($AC$4,[1]!CurveType,0))+$AC$9</f>
        <v>0.17</v>
      </c>
      <c r="AD214" s="155" t="n">
        <f aca="false">VLOOKUP($A214,[1]!CurveTable,MATCH($AD$4,[1]!CurveType,0))+$AD$9</f>
        <v>0.175</v>
      </c>
      <c r="AE214" s="139" t="n">
        <f aca="false">SQRT((AD214^2*($A214-$C$3)+AC214^2*(DAY(EOMONTH(A214,0))/2))/$AN214)</f>
        <v>0.172473330371513</v>
      </c>
      <c r="AF214" s="152"/>
      <c r="AG214" s="156" t="n">
        <f aca="false">((Inputs!$F$20*(X214*AD214)*(A214-$C$3))+(Inputs!$F$19*W214*AC214*(DAY(EOMONTH(A214,0))/2)))/(AN214*Y214*AE214)</f>
        <v>0.75000071958203</v>
      </c>
      <c r="AH214" s="152"/>
      <c r="AI214" s="140" t="n">
        <f aca="false">Inputs!$B$15</f>
        <v>0.06</v>
      </c>
      <c r="AJ214" s="157"/>
      <c r="AK214" s="140" t="n">
        <f aca="false">IF((U214-AA214-AI214)&lt;0,0,(U214-AA214-AI214))</f>
        <v>0.714999999999999</v>
      </c>
      <c r="AL214" s="157"/>
      <c r="AM214" s="158" t="n">
        <f aca="false">WORKDAY(EOMONTH(A214-1,-1),0)</f>
        <v>44316</v>
      </c>
      <c r="AN214" s="159" t="n">
        <f aca="false">AM214-$C$3</f>
        <v>-1610</v>
      </c>
      <c r="AO214" s="159" t="n">
        <f aca="false">AO213</f>
        <v>1</v>
      </c>
      <c r="AP214" s="160"/>
      <c r="AQ214" s="161" t="e">
        <f aca="false">SPRDOPT(U214,AA214,AI214,AX214,X214,AD214,AG214,AN214,AO214,0)</f>
        <v>#NAME?</v>
      </c>
      <c r="AR214" s="162" t="e">
        <f aca="false">AQ214*C214</f>
        <v>#NAME?</v>
      </c>
      <c r="AS214" s="163" t="e">
        <f aca="false">AQ214-AK214</f>
        <v>#NAME?</v>
      </c>
      <c r="AU214" s="112" t="n">
        <f aca="false">A215-A214</f>
        <v>30</v>
      </c>
      <c r="AV214" s="164" t="n">
        <f aca="false">CHOOSE(F$3,A215+24,A214+14)</f>
        <v>44362</v>
      </c>
      <c r="AW214" s="49" t="n">
        <f aca="false">AV214-C$3</f>
        <v>-1564</v>
      </c>
      <c r="AX214" s="155" t="n">
        <f aca="false">VLOOKUP($A214,[1]!CurveTable,MATCH(AX$4,[1]!CurveType,0))</f>
        <v>0.0614690128186095</v>
      </c>
      <c r="AY214" s="165" t="n">
        <f aca="false">1/(1+CHOOSE(F$3,(AX215+(Inputs!$B$14/10000))/2,(AX214+(Inputs!$B$14/10000))/2))^(2*AW214/365.25)</f>
        <v>1.29595311803264</v>
      </c>
      <c r="AZ214" s="49" t="n">
        <f aca="false">IF(AND(mthbeg&lt;=A214,mthend&gt;=A214),1,0)</f>
        <v>0</v>
      </c>
      <c r="BA214" s="111" t="n">
        <f aca="false">AU214*AZ214</f>
        <v>0</v>
      </c>
      <c r="BC214" s="142" t="n">
        <f aca="false">E214*$D214</f>
        <v>0</v>
      </c>
      <c r="BD214" s="142" t="n">
        <f aca="false">F214*$D214</f>
        <v>0</v>
      </c>
      <c r="BE214" s="142" t="n">
        <f aca="false">G214*$D214</f>
        <v>0</v>
      </c>
      <c r="BF214" s="142" t="n">
        <f aca="false">H214*$D214</f>
        <v>0</v>
      </c>
      <c r="BG214" s="142" t="n">
        <f aca="false">I214*$D214</f>
        <v>0</v>
      </c>
      <c r="BH214" s="142" t="n">
        <f aca="false">J214*$D214</f>
        <v>0</v>
      </c>
      <c r="BI214" s="142" t="n">
        <f aca="false">K214*$D214</f>
        <v>0</v>
      </c>
      <c r="BJ214" s="142" t="n">
        <f aca="false">L214*$D214</f>
        <v>0</v>
      </c>
      <c r="BK214" s="142" t="n">
        <f aca="false">M214*$D214</f>
        <v>0</v>
      </c>
      <c r="BL214" s="142" t="n">
        <f aca="false">N214*$D214</f>
        <v>0</v>
      </c>
      <c r="BM214" s="142" t="n">
        <f aca="false">O214*$D214</f>
        <v>0</v>
      </c>
      <c r="BN214" s="142" t="n">
        <f aca="false">P214*$D214</f>
        <v>0</v>
      </c>
      <c r="BO214" s="142" t="n">
        <f aca="false">Q214*$D214</f>
        <v>0</v>
      </c>
      <c r="BP214" s="142" t="n">
        <f aca="false">R214*$D214</f>
        <v>0</v>
      </c>
      <c r="BQ214" s="142" t="n">
        <f aca="false">S214*$D214</f>
        <v>0</v>
      </c>
      <c r="BR214" s="142" t="n">
        <f aca="false">U214*$D214</f>
        <v>0</v>
      </c>
      <c r="BS214" s="142" t="n">
        <f aca="false">AA214*$D214</f>
        <v>0</v>
      </c>
      <c r="BT214" s="142" t="n">
        <f aca="false">AI214*$D214</f>
        <v>0</v>
      </c>
      <c r="BU214" s="142" t="n">
        <f aca="false">AK214*D214</f>
        <v>0</v>
      </c>
    </row>
    <row r="215" customFormat="false" ht="12.75" hidden="false" customHeight="false" outlineLevel="0" collapsed="false">
      <c r="A215" s="144" t="n">
        <f aca="false">EDATE(A214,1)</f>
        <v>44378</v>
      </c>
      <c r="B215" s="145" t="n">
        <f aca="false">Inputs!$B$8</f>
        <v>50000</v>
      </c>
      <c r="C215" s="146" t="n">
        <f aca="false">IF(AZ215=0,0,IF(AND(AZ215=1,$H$3=1),B215*AU215,IF($H$3=2,B215,"N/A")))</f>
        <v>0</v>
      </c>
      <c r="D215" s="146" t="n">
        <f aca="false">C215*AY215</f>
        <v>0</v>
      </c>
      <c r="E215" s="147" t="n">
        <f aca="false">VLOOKUP($A215,[1]!CurveTable,MATCH($E$4,[1]!CurveType,0))</f>
        <v>5.4725</v>
      </c>
      <c r="F215" s="148" t="n">
        <f aca="false">E215-Inputs!$B$16</f>
        <v>5.5275</v>
      </c>
      <c r="G215" s="149" t="n">
        <f aca="false">F215</f>
        <v>5.5275</v>
      </c>
      <c r="H215" s="147" t="n">
        <f aca="false">VLOOKUP($A215,[1]!CurveTable,MATCH($H$4,[1]!CurveType,0))</f>
        <v>1</v>
      </c>
      <c r="I215" s="148" t="n">
        <f aca="false">H215+Inputs!$B$22</f>
        <v>1</v>
      </c>
      <c r="J215" s="150" t="n">
        <f aca="false">I215</f>
        <v>1</v>
      </c>
      <c r="K215" s="147" t="n">
        <f aca="false">VLOOKUP($A215,[1]!CurveTable,MATCH($K$4,[1]!CurveType,0))</f>
        <v>0</v>
      </c>
      <c r="L215" s="148" t="n">
        <v>0</v>
      </c>
      <c r="M215" s="151" t="n">
        <f aca="false">L215</f>
        <v>0</v>
      </c>
      <c r="N215" s="147" t="n">
        <f aca="false">VLOOKUP($A215,[1]!CurveTable,MATCH($N$4,[1]!CurveType,0))</f>
        <v>0.0225</v>
      </c>
      <c r="O215" s="148" t="n">
        <f aca="false">N215+Inputs!$E$22</f>
        <v>0.0225</v>
      </c>
      <c r="P215" s="151" t="n">
        <f aca="false">O215</f>
        <v>0.0225</v>
      </c>
      <c r="Q215" s="147" t="n">
        <f aca="false">VLOOKUP($A215,[1]!CurveTable,MATCH($Q$4,[1]!CurveType,0))</f>
        <v>0.01</v>
      </c>
      <c r="R215" s="148" t="n">
        <v>0</v>
      </c>
      <c r="S215" s="151" t="n">
        <f aca="false">R215</f>
        <v>0</v>
      </c>
      <c r="T215" s="152"/>
      <c r="U215" s="153" t="n">
        <f aca="false">G215+J215</f>
        <v>6.5275</v>
      </c>
      <c r="V215" s="154"/>
      <c r="W215" s="155" t="n">
        <f aca="false">VLOOKUP($A215,[1]!CurveTable,MATCH($W$4,[1]!CurveType,0))+$W$9</f>
        <v>0.34</v>
      </c>
      <c r="X215" s="155" t="n">
        <f aca="false">VLOOKUP($A215,[1]!CurveTable,MATCH($X$4,[1]!CurveType,0))+$X$9</f>
        <v>0.345</v>
      </c>
      <c r="Y215" s="139" t="n">
        <f aca="false">SQRT((X215^2*($A215-$C$3)+W215^2*(DAY(EOMONTH(A215,0))/2))/$AN215)</f>
        <v>0.339931539507023</v>
      </c>
      <c r="Z215" s="152"/>
      <c r="AA215" s="153" t="n">
        <f aca="false">G215+P215+S215</f>
        <v>5.55</v>
      </c>
      <c r="AB215" s="154"/>
      <c r="AC215" s="155" t="n">
        <f aca="false">VLOOKUP($A215,[1]!CurveTable,MATCH($AC$4,[1]!CurveType,0))+$AC$9</f>
        <v>0.17</v>
      </c>
      <c r="AD215" s="155" t="n">
        <f aca="false">VLOOKUP($A215,[1]!CurveTable,MATCH($AD$4,[1]!CurveType,0))+$AD$9</f>
        <v>0.175</v>
      </c>
      <c r="AE215" s="139" t="n">
        <f aca="false">SQRT((AD215^2*($A215-$C$3)+AC215^2*(DAY(EOMONTH(A215,0))/2))/$AN215)</f>
        <v>0.172453057375334</v>
      </c>
      <c r="AF215" s="152"/>
      <c r="AG215" s="156" t="n">
        <f aca="false">((Inputs!$F$20*(X215*AD215)*(A215-$C$3))+(Inputs!$F$19*W215*AC215*(DAY(EOMONTH(A215,0))/2)))/(AN215*Y215*AE215)</f>
        <v>0.750000758721822</v>
      </c>
      <c r="AH215" s="152"/>
      <c r="AI215" s="140" t="n">
        <f aca="false">Inputs!$B$15</f>
        <v>0.06</v>
      </c>
      <c r="AJ215" s="157"/>
      <c r="AK215" s="140" t="n">
        <f aca="false">IF((U215-AA215-AI215)&lt;0,0,(U215-AA215-AI215))</f>
        <v>0.9175</v>
      </c>
      <c r="AL215" s="157"/>
      <c r="AM215" s="158" t="n">
        <f aca="false">WORKDAY(EOMONTH(A215-1,-1),0)</f>
        <v>44347</v>
      </c>
      <c r="AN215" s="159" t="n">
        <f aca="false">AM215-$C$3</f>
        <v>-1579</v>
      </c>
      <c r="AO215" s="159" t="n">
        <f aca="false">AO214</f>
        <v>1</v>
      </c>
      <c r="AP215" s="160"/>
      <c r="AQ215" s="161" t="e">
        <f aca="false">SPRDOPT(U215,AA215,AI215,AX215,X215,AD215,AG215,AN215,AO215,0)</f>
        <v>#NAME?</v>
      </c>
      <c r="AR215" s="162" t="e">
        <f aca="false">AQ215*C215</f>
        <v>#NAME?</v>
      </c>
      <c r="AS215" s="163" t="e">
        <f aca="false">AQ215-AK215</f>
        <v>#NAME?</v>
      </c>
      <c r="AU215" s="112" t="n">
        <f aca="false">A216-A215</f>
        <v>31</v>
      </c>
      <c r="AV215" s="164" t="n">
        <f aca="false">CHOOSE(F$3,A216+24,A215+14)</f>
        <v>44392</v>
      </c>
      <c r="AW215" s="49" t="n">
        <f aca="false">AV215-C$3</f>
        <v>-1534</v>
      </c>
      <c r="AX215" s="155" t="n">
        <f aca="false">VLOOKUP($A215,[1]!CurveTable,MATCH(AX$4,[1]!CurveType,0))</f>
        <v>0.0615253478118527</v>
      </c>
      <c r="AY215" s="165" t="n">
        <f aca="false">1/(1+CHOOSE(F$3,(AX216+(Inputs!$B$14/10000))/2,(AX215+(Inputs!$B$14/10000))/2))^(2*AW215/365.25)</f>
        <v>1.28982068732359</v>
      </c>
      <c r="AZ215" s="49" t="n">
        <f aca="false">IF(AND(mthbeg&lt;=A215,mthend&gt;=A215),1,0)</f>
        <v>0</v>
      </c>
      <c r="BA215" s="111" t="n">
        <f aca="false">AU215*AZ215</f>
        <v>0</v>
      </c>
      <c r="BC215" s="142" t="n">
        <f aca="false">E215*$D215</f>
        <v>0</v>
      </c>
      <c r="BD215" s="142" t="n">
        <f aca="false">F215*$D215</f>
        <v>0</v>
      </c>
      <c r="BE215" s="142" t="n">
        <f aca="false">G215*$D215</f>
        <v>0</v>
      </c>
      <c r="BF215" s="142" t="n">
        <f aca="false">H215*$D215</f>
        <v>0</v>
      </c>
      <c r="BG215" s="142" t="n">
        <f aca="false">I215*$D215</f>
        <v>0</v>
      </c>
      <c r="BH215" s="142" t="n">
        <f aca="false">J215*$D215</f>
        <v>0</v>
      </c>
      <c r="BI215" s="142" t="n">
        <f aca="false">K215*$D215</f>
        <v>0</v>
      </c>
      <c r="BJ215" s="142" t="n">
        <f aca="false">L215*$D215</f>
        <v>0</v>
      </c>
      <c r="BK215" s="142" t="n">
        <f aca="false">M215*$D215</f>
        <v>0</v>
      </c>
      <c r="BL215" s="142" t="n">
        <f aca="false">N215*$D215</f>
        <v>0</v>
      </c>
      <c r="BM215" s="142" t="n">
        <f aca="false">O215*$D215</f>
        <v>0</v>
      </c>
      <c r="BN215" s="142" t="n">
        <f aca="false">P215*$D215</f>
        <v>0</v>
      </c>
      <c r="BO215" s="142" t="n">
        <f aca="false">Q215*$D215</f>
        <v>0</v>
      </c>
      <c r="BP215" s="142" t="n">
        <f aca="false">R215*$D215</f>
        <v>0</v>
      </c>
      <c r="BQ215" s="142" t="n">
        <f aca="false">S215*$D215</f>
        <v>0</v>
      </c>
      <c r="BR215" s="142" t="n">
        <f aca="false">U215*$D215</f>
        <v>0</v>
      </c>
      <c r="BS215" s="142" t="n">
        <f aca="false">AA215*$D215</f>
        <v>0</v>
      </c>
      <c r="BT215" s="142" t="n">
        <f aca="false">AI215*$D215</f>
        <v>0</v>
      </c>
      <c r="BU215" s="142" t="n">
        <f aca="false">AK215*D215</f>
        <v>0</v>
      </c>
    </row>
    <row r="216" customFormat="false" ht="12.75" hidden="false" customHeight="false" outlineLevel="0" collapsed="false">
      <c r="A216" s="144" t="n">
        <f aca="false">EDATE(A215,1)</f>
        <v>44409</v>
      </c>
      <c r="B216" s="145" t="n">
        <f aca="false">Inputs!$B$8</f>
        <v>50000</v>
      </c>
      <c r="C216" s="146" t="n">
        <f aca="false">IF(AZ216=0,0,IF(AND(AZ216=1,$H$3=1),B216*AU216,IF($H$3=2,B216,"N/A")))</f>
        <v>0</v>
      </c>
      <c r="D216" s="146" t="n">
        <f aca="false">C216*AY216</f>
        <v>0</v>
      </c>
      <c r="E216" s="147" t="n">
        <f aca="false">VLOOKUP($A216,[1]!CurveTable,MATCH($E$4,[1]!CurveType,0))</f>
        <v>5.5105</v>
      </c>
      <c r="F216" s="148" t="n">
        <f aca="false">E216-Inputs!$B$16</f>
        <v>5.5655</v>
      </c>
      <c r="G216" s="149" t="n">
        <f aca="false">F216</f>
        <v>5.5655</v>
      </c>
      <c r="H216" s="147" t="n">
        <f aca="false">VLOOKUP($A216,[1]!CurveTable,MATCH($H$4,[1]!CurveType,0))</f>
        <v>1</v>
      </c>
      <c r="I216" s="148" t="n">
        <f aca="false">H216+Inputs!$B$22</f>
        <v>1</v>
      </c>
      <c r="J216" s="150" t="n">
        <f aca="false">I216</f>
        <v>1</v>
      </c>
      <c r="K216" s="147" t="n">
        <f aca="false">VLOOKUP($A216,[1]!CurveTable,MATCH($K$4,[1]!CurveType,0))</f>
        <v>0</v>
      </c>
      <c r="L216" s="148" t="n">
        <v>0</v>
      </c>
      <c r="M216" s="151" t="n">
        <f aca="false">L216</f>
        <v>0</v>
      </c>
      <c r="N216" s="147" t="n">
        <f aca="false">VLOOKUP($A216,[1]!CurveTable,MATCH($N$4,[1]!CurveType,0))</f>
        <v>0.0225</v>
      </c>
      <c r="O216" s="148" t="n">
        <f aca="false">N216+Inputs!$E$22</f>
        <v>0.0225</v>
      </c>
      <c r="P216" s="151" t="n">
        <f aca="false">O216</f>
        <v>0.0225</v>
      </c>
      <c r="Q216" s="147" t="n">
        <f aca="false">VLOOKUP($A216,[1]!CurveTable,MATCH($Q$4,[1]!CurveType,0))</f>
        <v>0.01</v>
      </c>
      <c r="R216" s="148" t="n">
        <v>0</v>
      </c>
      <c r="S216" s="151" t="n">
        <f aca="false">R216</f>
        <v>0</v>
      </c>
      <c r="T216" s="152"/>
      <c r="U216" s="153" t="n">
        <f aca="false">G216+J216</f>
        <v>6.5655</v>
      </c>
      <c r="V216" s="154"/>
      <c r="W216" s="155" t="n">
        <f aca="false">VLOOKUP($A216,[1]!CurveTable,MATCH($W$4,[1]!CurveType,0))+$W$9</f>
        <v>0.34</v>
      </c>
      <c r="X216" s="155" t="n">
        <f aca="false">VLOOKUP($A216,[1]!CurveTable,MATCH($X$4,[1]!CurveType,0))+$X$9</f>
        <v>0.345</v>
      </c>
      <c r="Y216" s="139" t="n">
        <f aca="false">SQRT((X216^2*($A216-$C$3)+W216^2*(DAY(EOMONTH(A216,0))/2))/$AN216)</f>
        <v>0.339719556424753</v>
      </c>
      <c r="Z216" s="152"/>
      <c r="AA216" s="153" t="n">
        <f aca="false">G216+P216+S216</f>
        <v>5.588</v>
      </c>
      <c r="AB216" s="154"/>
      <c r="AC216" s="155" t="n">
        <f aca="false">VLOOKUP($A216,[1]!CurveTable,MATCH($AC$4,[1]!CurveType,0))+$AC$9</f>
        <v>0.17</v>
      </c>
      <c r="AD216" s="155" t="n">
        <f aca="false">VLOOKUP($A216,[1]!CurveTable,MATCH($AD$4,[1]!CurveType,0))+$AD$9</f>
        <v>0.175</v>
      </c>
      <c r="AE216" s="139" t="n">
        <f aca="false">SQRT((AD216^2*($A216-$C$3)+AC216^2*(DAY(EOMONTH(A216,0))/2))/$AN216)</f>
        <v>0.172346010083601</v>
      </c>
      <c r="AF216" s="152"/>
      <c r="AG216" s="156" t="n">
        <f aca="false">((Inputs!$F$20*(X216*AD216)*(A216-$C$3))+(Inputs!$F$19*W216*AC216*(DAY(EOMONTH(A216,0))/2)))/(AN216*Y216*AE216)</f>
        <v>0.750000774532729</v>
      </c>
      <c r="AH216" s="152"/>
      <c r="AI216" s="140" t="n">
        <f aca="false">Inputs!$B$15</f>
        <v>0.06</v>
      </c>
      <c r="AJ216" s="157"/>
      <c r="AK216" s="140" t="n">
        <f aca="false">IF((U216-AA216-AI216)&lt;0,0,(U216-AA216-AI216))</f>
        <v>0.9175</v>
      </c>
      <c r="AL216" s="157"/>
      <c r="AM216" s="158" t="n">
        <f aca="false">WORKDAY(EOMONTH(A216-1,-1),0)</f>
        <v>44377</v>
      </c>
      <c r="AN216" s="159" t="n">
        <f aca="false">AM216-$C$3</f>
        <v>-1549</v>
      </c>
      <c r="AO216" s="159" t="n">
        <f aca="false">AO215</f>
        <v>1</v>
      </c>
      <c r="AP216" s="160"/>
      <c r="AQ216" s="161" t="e">
        <f aca="false">SPRDOPT(U216,AA216,AI216,AX216,X216,AD216,AG216,AN216,AO216,0)</f>
        <v>#NAME?</v>
      </c>
      <c r="AR216" s="162" t="e">
        <f aca="false">AQ216*C216</f>
        <v>#NAME?</v>
      </c>
      <c r="AS216" s="163" t="e">
        <f aca="false">AQ216-AK216</f>
        <v>#NAME?</v>
      </c>
      <c r="AU216" s="112" t="n">
        <f aca="false">A217-A216</f>
        <v>31</v>
      </c>
      <c r="AV216" s="164" t="n">
        <f aca="false">CHOOSE(F$3,A217+24,A216+14)</f>
        <v>44423</v>
      </c>
      <c r="AW216" s="49" t="n">
        <f aca="false">AV216-C$3</f>
        <v>-1503</v>
      </c>
      <c r="AX216" s="155" t="n">
        <f aca="false">VLOOKUP($A216,[1]!CurveTable,MATCH(AX$4,[1]!CurveType,0))</f>
        <v>0.0615835606393111</v>
      </c>
      <c r="AY216" s="165" t="n">
        <f aca="false">1/(1+CHOOSE(F$3,(AX217+(Inputs!$B$14/10000))/2,(AX216+(Inputs!$B$14/10000))/2))^(2*AW216/365.25)</f>
        <v>1.2835022118927</v>
      </c>
      <c r="AZ216" s="49" t="n">
        <f aca="false">IF(AND(mthbeg&lt;=A216,mthend&gt;=A216),1,0)</f>
        <v>0</v>
      </c>
      <c r="BA216" s="111" t="n">
        <f aca="false">AU216*AZ216</f>
        <v>0</v>
      </c>
      <c r="BC216" s="142" t="n">
        <f aca="false">E216*$D216</f>
        <v>0</v>
      </c>
      <c r="BD216" s="142" t="n">
        <f aca="false">F216*$D216</f>
        <v>0</v>
      </c>
      <c r="BE216" s="142" t="n">
        <f aca="false">G216*$D216</f>
        <v>0</v>
      </c>
      <c r="BF216" s="142" t="n">
        <f aca="false">H216*$D216</f>
        <v>0</v>
      </c>
      <c r="BG216" s="142" t="n">
        <f aca="false">I216*$D216</f>
        <v>0</v>
      </c>
      <c r="BH216" s="142" t="n">
        <f aca="false">J216*$D216</f>
        <v>0</v>
      </c>
      <c r="BI216" s="142" t="n">
        <f aca="false">K216*$D216</f>
        <v>0</v>
      </c>
      <c r="BJ216" s="142" t="n">
        <f aca="false">L216*$D216</f>
        <v>0</v>
      </c>
      <c r="BK216" s="142" t="n">
        <f aca="false">M216*$D216</f>
        <v>0</v>
      </c>
      <c r="BL216" s="142" t="n">
        <f aca="false">N216*$D216</f>
        <v>0</v>
      </c>
      <c r="BM216" s="142" t="n">
        <f aca="false">O216*$D216</f>
        <v>0</v>
      </c>
      <c r="BN216" s="142" t="n">
        <f aca="false">P216*$D216</f>
        <v>0</v>
      </c>
      <c r="BO216" s="142" t="n">
        <f aca="false">Q216*$D216</f>
        <v>0</v>
      </c>
      <c r="BP216" s="142" t="n">
        <f aca="false">R216*$D216</f>
        <v>0</v>
      </c>
      <c r="BQ216" s="142" t="n">
        <f aca="false">S216*$D216</f>
        <v>0</v>
      </c>
      <c r="BR216" s="142" t="n">
        <f aca="false">U216*$D216</f>
        <v>0</v>
      </c>
      <c r="BS216" s="142" t="n">
        <f aca="false">AA216*$D216</f>
        <v>0</v>
      </c>
      <c r="BT216" s="142" t="n">
        <f aca="false">AI216*$D216</f>
        <v>0</v>
      </c>
      <c r="BU216" s="142" t="n">
        <f aca="false">AK216*D216</f>
        <v>0</v>
      </c>
    </row>
    <row r="217" customFormat="false" ht="12.75" hidden="false" customHeight="false" outlineLevel="0" collapsed="false">
      <c r="A217" s="144" t="n">
        <f aca="false">EDATE(A216,1)</f>
        <v>44440</v>
      </c>
      <c r="B217" s="145" t="n">
        <f aca="false">Inputs!$B$8</f>
        <v>50000</v>
      </c>
      <c r="C217" s="146" t="n">
        <f aca="false">IF(AZ217=0,0,IF(AND(AZ217=1,$H$3=1),B217*AU217,IF($H$3=2,B217,"N/A")))</f>
        <v>0</v>
      </c>
      <c r="D217" s="146" t="n">
        <f aca="false">C217*AY217</f>
        <v>0</v>
      </c>
      <c r="E217" s="147" t="n">
        <f aca="false">VLOOKUP($A217,[1]!CurveTable,MATCH($E$4,[1]!CurveType,0))</f>
        <v>5.5045</v>
      </c>
      <c r="F217" s="148" t="n">
        <f aca="false">E217-Inputs!$B$16</f>
        <v>5.5595</v>
      </c>
      <c r="G217" s="149" t="n">
        <f aca="false">F217</f>
        <v>5.5595</v>
      </c>
      <c r="H217" s="147" t="n">
        <f aca="false">VLOOKUP($A217,[1]!CurveTable,MATCH($H$4,[1]!CurveType,0))</f>
        <v>0.6</v>
      </c>
      <c r="I217" s="148" t="n">
        <f aca="false">H217+Inputs!$B$22</f>
        <v>0.6</v>
      </c>
      <c r="J217" s="150" t="n">
        <f aca="false">I217</f>
        <v>0.6</v>
      </c>
      <c r="K217" s="147" t="n">
        <f aca="false">VLOOKUP($A217,[1]!CurveTable,MATCH($K$4,[1]!CurveType,0))</f>
        <v>0</v>
      </c>
      <c r="L217" s="148" t="n">
        <v>0</v>
      </c>
      <c r="M217" s="151" t="n">
        <f aca="false">L217</f>
        <v>0</v>
      </c>
      <c r="N217" s="147" t="n">
        <f aca="false">VLOOKUP($A217,[1]!CurveTable,MATCH($N$4,[1]!CurveType,0))</f>
        <v>0.0225</v>
      </c>
      <c r="O217" s="148" t="n">
        <f aca="false">N217+Inputs!$E$22</f>
        <v>0.0225</v>
      </c>
      <c r="P217" s="151" t="n">
        <f aca="false">O217</f>
        <v>0.0225</v>
      </c>
      <c r="Q217" s="147" t="n">
        <f aca="false">VLOOKUP($A217,[1]!CurveTable,MATCH($Q$4,[1]!CurveType,0))</f>
        <v>0.01</v>
      </c>
      <c r="R217" s="148" t="n">
        <v>0</v>
      </c>
      <c r="S217" s="151" t="n">
        <f aca="false">R217</f>
        <v>0</v>
      </c>
      <c r="T217" s="152"/>
      <c r="U217" s="153" t="n">
        <f aca="false">G217+J217</f>
        <v>6.1595</v>
      </c>
      <c r="V217" s="154"/>
      <c r="W217" s="155" t="n">
        <f aca="false">VLOOKUP($A217,[1]!CurveTable,MATCH($W$4,[1]!CurveType,0))+$W$9</f>
        <v>0.34</v>
      </c>
      <c r="X217" s="155" t="n">
        <f aca="false">VLOOKUP($A217,[1]!CurveTable,MATCH($X$4,[1]!CurveType,0))+$X$9</f>
        <v>0.345</v>
      </c>
      <c r="Y217" s="139" t="n">
        <f aca="false">SQRT((X217^2*($A217-$C$3)+W217^2*(DAY(EOMONTH(A217,0))/2))/$AN217)</f>
        <v>0.33966692008612</v>
      </c>
      <c r="Z217" s="152"/>
      <c r="AA217" s="153" t="n">
        <f aca="false">G217+P217+S217</f>
        <v>5.582</v>
      </c>
      <c r="AB217" s="154"/>
      <c r="AC217" s="155" t="n">
        <f aca="false">VLOOKUP($A217,[1]!CurveTable,MATCH($AC$4,[1]!CurveType,0))+$AC$9</f>
        <v>0.17</v>
      </c>
      <c r="AD217" s="155" t="n">
        <f aca="false">VLOOKUP($A217,[1]!CurveTable,MATCH($AD$4,[1]!CurveType,0))+$AD$9</f>
        <v>0.175</v>
      </c>
      <c r="AE217" s="139" t="n">
        <f aca="false">SQRT((AD217^2*($A217-$C$3)+AC217^2*(DAY(EOMONTH(A217,0))/2))/$AN217)</f>
        <v>0.172319008178756</v>
      </c>
      <c r="AF217" s="152"/>
      <c r="AG217" s="156" t="n">
        <f aca="false">((Inputs!$F$20*(X217*AD217)*(A217-$C$3))+(Inputs!$F$19*W217*AC217*(DAY(EOMONTH(A217,0))/2)))/(AN217*Y217*AE217)</f>
        <v>0.750000765001953</v>
      </c>
      <c r="AH217" s="152"/>
      <c r="AI217" s="140" t="n">
        <f aca="false">Inputs!$B$15</f>
        <v>0.06</v>
      </c>
      <c r="AJ217" s="157"/>
      <c r="AK217" s="140" t="n">
        <f aca="false">IF((U217-AA217-AI217)&lt;0,0,(U217-AA217-AI217))</f>
        <v>0.5175</v>
      </c>
      <c r="AL217" s="157"/>
      <c r="AM217" s="158" t="n">
        <f aca="false">WORKDAY(EOMONTH(A217-1,-1),0)</f>
        <v>44408</v>
      </c>
      <c r="AN217" s="159" t="n">
        <f aca="false">AM217-$C$3</f>
        <v>-1518</v>
      </c>
      <c r="AO217" s="159" t="n">
        <f aca="false">AO216</f>
        <v>1</v>
      </c>
      <c r="AP217" s="160"/>
      <c r="AQ217" s="161" t="e">
        <f aca="false">SPRDOPT(U217,AA217,AI217,AX217,X217,AD217,AG217,AN217,AO217,0)</f>
        <v>#NAME?</v>
      </c>
      <c r="AR217" s="162" t="e">
        <f aca="false">AQ217*C217</f>
        <v>#NAME?</v>
      </c>
      <c r="AS217" s="163" t="e">
        <f aca="false">AQ217-AK217</f>
        <v>#NAME?</v>
      </c>
      <c r="AU217" s="112" t="n">
        <f aca="false">A218-A217</f>
        <v>30</v>
      </c>
      <c r="AV217" s="164" t="n">
        <f aca="false">CHOOSE(F$3,A218+24,A217+14)</f>
        <v>44454</v>
      </c>
      <c r="AW217" s="49" t="n">
        <f aca="false">AV217-C$3</f>
        <v>-1472</v>
      </c>
      <c r="AX217" s="155" t="n">
        <f aca="false">VLOOKUP($A217,[1]!CurveTable,MATCH(AX$4,[1]!CurveType,0))</f>
        <v>0.0616417734678949</v>
      </c>
      <c r="AY217" s="165" t="n">
        <f aca="false">1/(1+CHOOSE(F$3,(AX218+(Inputs!$B$14/10000))/2,(AX217+(Inputs!$B$14/10000))/2))^(2*AW217/365.25)</f>
        <v>1.27720243689946</v>
      </c>
      <c r="AZ217" s="49" t="n">
        <f aca="false">IF(AND(mthbeg&lt;=A217,mthend&gt;=A217),1,0)</f>
        <v>0</v>
      </c>
      <c r="BA217" s="111" t="n">
        <f aca="false">AU217*AZ217</f>
        <v>0</v>
      </c>
      <c r="BC217" s="142" t="n">
        <f aca="false">E217*$D217</f>
        <v>0</v>
      </c>
      <c r="BD217" s="142" t="n">
        <f aca="false">F217*$D217</f>
        <v>0</v>
      </c>
      <c r="BE217" s="142" t="n">
        <f aca="false">G217*$D217</f>
        <v>0</v>
      </c>
      <c r="BF217" s="142" t="n">
        <f aca="false">H217*$D217</f>
        <v>0</v>
      </c>
      <c r="BG217" s="142" t="n">
        <f aca="false">I217*$D217</f>
        <v>0</v>
      </c>
      <c r="BH217" s="142" t="n">
        <f aca="false">J217*$D217</f>
        <v>0</v>
      </c>
      <c r="BI217" s="142" t="n">
        <f aca="false">K217*$D217</f>
        <v>0</v>
      </c>
      <c r="BJ217" s="142" t="n">
        <f aca="false">L217*$D217</f>
        <v>0</v>
      </c>
      <c r="BK217" s="142" t="n">
        <f aca="false">M217*$D217</f>
        <v>0</v>
      </c>
      <c r="BL217" s="142" t="n">
        <f aca="false">N217*$D217</f>
        <v>0</v>
      </c>
      <c r="BM217" s="142" t="n">
        <f aca="false">O217*$D217</f>
        <v>0</v>
      </c>
      <c r="BN217" s="142" t="n">
        <f aca="false">P217*$D217</f>
        <v>0</v>
      </c>
      <c r="BO217" s="142" t="n">
        <f aca="false">Q217*$D217</f>
        <v>0</v>
      </c>
      <c r="BP217" s="142" t="n">
        <f aca="false">R217*$D217</f>
        <v>0</v>
      </c>
      <c r="BQ217" s="142" t="n">
        <f aca="false">S217*$D217</f>
        <v>0</v>
      </c>
      <c r="BR217" s="142" t="n">
        <f aca="false">U217*$D217</f>
        <v>0</v>
      </c>
      <c r="BS217" s="142" t="n">
        <f aca="false">AA217*$D217</f>
        <v>0</v>
      </c>
      <c r="BT217" s="142" t="n">
        <f aca="false">AI217*$D217</f>
        <v>0</v>
      </c>
      <c r="BU217" s="142" t="n">
        <f aca="false">AK217*D217</f>
        <v>0</v>
      </c>
    </row>
    <row r="218" customFormat="false" ht="12.75" hidden="false" customHeight="false" outlineLevel="0" collapsed="false">
      <c r="A218" s="144" t="n">
        <f aca="false">EDATE(A217,1)</f>
        <v>44470</v>
      </c>
      <c r="B218" s="145" t="n">
        <f aca="false">Inputs!$B$8</f>
        <v>50000</v>
      </c>
      <c r="C218" s="146" t="n">
        <f aca="false">IF(AZ218=0,0,IF(AND(AZ218=1,$H$3=1),B218*AU218,IF($H$3=2,B218,"N/A")))</f>
        <v>0</v>
      </c>
      <c r="D218" s="146" t="n">
        <f aca="false">C218*AY218</f>
        <v>0</v>
      </c>
      <c r="E218" s="147" t="n">
        <f aca="false">VLOOKUP($A218,[1]!CurveTable,MATCH($E$4,[1]!CurveType,0))</f>
        <v>5.5045</v>
      </c>
      <c r="F218" s="148" t="n">
        <f aca="false">E218-Inputs!$B$16</f>
        <v>5.5595</v>
      </c>
      <c r="G218" s="149" t="n">
        <f aca="false">F218</f>
        <v>5.5595</v>
      </c>
      <c r="H218" s="147" t="n">
        <f aca="false">VLOOKUP($A218,[1]!CurveTable,MATCH($H$4,[1]!CurveType,0))</f>
        <v>0.3</v>
      </c>
      <c r="I218" s="148" t="n">
        <f aca="false">H218+Inputs!$B$22</f>
        <v>0.3</v>
      </c>
      <c r="J218" s="150" t="n">
        <f aca="false">I218</f>
        <v>0.3</v>
      </c>
      <c r="K218" s="147" t="n">
        <f aca="false">VLOOKUP($A218,[1]!CurveTable,MATCH($K$4,[1]!CurveType,0))</f>
        <v>0</v>
      </c>
      <c r="L218" s="148" t="n">
        <v>0</v>
      </c>
      <c r="M218" s="151" t="n">
        <f aca="false">L218</f>
        <v>0</v>
      </c>
      <c r="N218" s="147" t="n">
        <f aca="false">VLOOKUP($A218,[1]!CurveTable,MATCH($N$4,[1]!CurveType,0))</f>
        <v>0.021</v>
      </c>
      <c r="O218" s="148" t="n">
        <f aca="false">N218+Inputs!$E$22</f>
        <v>0.021</v>
      </c>
      <c r="P218" s="151" t="n">
        <f aca="false">O218</f>
        <v>0.021</v>
      </c>
      <c r="Q218" s="147" t="n">
        <f aca="false">VLOOKUP($A218,[1]!CurveTable,MATCH($Q$4,[1]!CurveType,0))</f>
        <v>0.01</v>
      </c>
      <c r="R218" s="148" t="n">
        <v>0</v>
      </c>
      <c r="S218" s="151" t="n">
        <f aca="false">R218</f>
        <v>0</v>
      </c>
      <c r="T218" s="152"/>
      <c r="U218" s="153" t="n">
        <f aca="false">G218+J218</f>
        <v>5.8595</v>
      </c>
      <c r="V218" s="154"/>
      <c r="W218" s="155" t="n">
        <f aca="false">VLOOKUP($A218,[1]!CurveTable,MATCH($W$4,[1]!CurveType,0))+$W$9</f>
        <v>0.17</v>
      </c>
      <c r="X218" s="155" t="n">
        <f aca="false">VLOOKUP($A218,[1]!CurveTable,MATCH($X$4,[1]!CurveType,0))+$X$9</f>
        <v>0.175</v>
      </c>
      <c r="Y218" s="139" t="n">
        <f aca="false">SQRT((X218^2*($A218-$C$3)+W218^2*(DAY(EOMONTH(A218,0))/2))/$AN218)</f>
        <v>0.172294242460986</v>
      </c>
      <c r="Z218" s="152"/>
      <c r="AA218" s="153" t="n">
        <f aca="false">G218+P218+S218</f>
        <v>5.5805</v>
      </c>
      <c r="AB218" s="154"/>
      <c r="AC218" s="155" t="n">
        <f aca="false">VLOOKUP($A218,[1]!CurveTable,MATCH($AC$4,[1]!CurveType,0))+$AC$9</f>
        <v>0.17</v>
      </c>
      <c r="AD218" s="155" t="n">
        <f aca="false">VLOOKUP($A218,[1]!CurveTable,MATCH($AD$4,[1]!CurveType,0))+$AD$9</f>
        <v>0.175</v>
      </c>
      <c r="AE218" s="139" t="n">
        <f aca="false">SQRT((AD218^2*($A218-$C$3)+AC218^2*(DAY(EOMONTH(A218,0))/2))/$AN218)</f>
        <v>0.172294242460986</v>
      </c>
      <c r="AF218" s="152"/>
      <c r="AG218" s="156" t="n">
        <f aca="false">((Inputs!$F$20*(X218*AD218)*(A218-$C$3))+(Inputs!$F$19*W218*AC218*(DAY(EOMONTH(A218,0))/2)))/(AN218*Y218*AE218)</f>
        <v>0.75</v>
      </c>
      <c r="AH218" s="152"/>
      <c r="AI218" s="140" t="n">
        <f aca="false">Inputs!$B$15</f>
        <v>0.06</v>
      </c>
      <c r="AJ218" s="157"/>
      <c r="AK218" s="140" t="n">
        <f aca="false">IF((U218-AA218-AI218)&lt;0,0,(U218-AA218-AI218))</f>
        <v>0.219</v>
      </c>
      <c r="AL218" s="157"/>
      <c r="AM218" s="158" t="n">
        <f aca="false">WORKDAY(EOMONTH(A218-1,-1),0)</f>
        <v>44439</v>
      </c>
      <c r="AN218" s="159" t="n">
        <f aca="false">AM218-$C$3</f>
        <v>-1487</v>
      </c>
      <c r="AO218" s="159" t="n">
        <f aca="false">AO217</f>
        <v>1</v>
      </c>
      <c r="AP218" s="160"/>
      <c r="AQ218" s="161" t="e">
        <f aca="false">SPRDOPT(U218,AA218,AI218,AX218,X218,AD218,AG218,AN218,AO218,0)</f>
        <v>#NAME?</v>
      </c>
      <c r="AR218" s="162" t="e">
        <f aca="false">AQ218*C218</f>
        <v>#NAME?</v>
      </c>
      <c r="AS218" s="163" t="e">
        <f aca="false">AQ218-AK218</f>
        <v>#NAME?</v>
      </c>
      <c r="AU218" s="112" t="n">
        <f aca="false">A219-A218</f>
        <v>31</v>
      </c>
      <c r="AV218" s="164" t="n">
        <f aca="false">CHOOSE(F$3,A219+24,A218+14)</f>
        <v>44484</v>
      </c>
      <c r="AW218" s="49" t="n">
        <f aca="false">AV218-C$3</f>
        <v>-1442</v>
      </c>
      <c r="AX218" s="155" t="n">
        <f aca="false">VLOOKUP($A218,[1]!CurveTable,MATCH(AX$4,[1]!CurveType,0))</f>
        <v>0.0616981084643693</v>
      </c>
      <c r="AY218" s="165" t="n">
        <f aca="false">1/(1+CHOOSE(F$3,(AX219+(Inputs!$B$14/10000))/2,(AX218+(Inputs!$B$14/10000))/2))^(2*AW218/365.25)</f>
        <v>1.27112371336206</v>
      </c>
      <c r="AZ218" s="49" t="n">
        <f aca="false">IF(AND(mthbeg&lt;=A218,mthend&gt;=A218),1,0)</f>
        <v>0</v>
      </c>
      <c r="BA218" s="111" t="n">
        <f aca="false">AU218*AZ218</f>
        <v>0</v>
      </c>
      <c r="BC218" s="142" t="n">
        <f aca="false">E218*$D218</f>
        <v>0</v>
      </c>
      <c r="BD218" s="142" t="n">
        <f aca="false">F218*$D218</f>
        <v>0</v>
      </c>
      <c r="BE218" s="142" t="n">
        <f aca="false">G218*$D218</f>
        <v>0</v>
      </c>
      <c r="BF218" s="142" t="n">
        <f aca="false">H218*$D218</f>
        <v>0</v>
      </c>
      <c r="BG218" s="142" t="n">
        <f aca="false">I218*$D218</f>
        <v>0</v>
      </c>
      <c r="BH218" s="142" t="n">
        <f aca="false">J218*$D218</f>
        <v>0</v>
      </c>
      <c r="BI218" s="142" t="n">
        <f aca="false">K218*$D218</f>
        <v>0</v>
      </c>
      <c r="BJ218" s="142" t="n">
        <f aca="false">L218*$D218</f>
        <v>0</v>
      </c>
      <c r="BK218" s="142" t="n">
        <f aca="false">M218*$D218</f>
        <v>0</v>
      </c>
      <c r="BL218" s="142" t="n">
        <f aca="false">N218*$D218</f>
        <v>0</v>
      </c>
      <c r="BM218" s="142" t="n">
        <f aca="false">O218*$D218</f>
        <v>0</v>
      </c>
      <c r="BN218" s="142" t="n">
        <f aca="false">P218*$D218</f>
        <v>0</v>
      </c>
      <c r="BO218" s="142" t="n">
        <f aca="false">Q218*$D218</f>
        <v>0</v>
      </c>
      <c r="BP218" s="142" t="n">
        <f aca="false">R218*$D218</f>
        <v>0</v>
      </c>
      <c r="BQ218" s="142" t="n">
        <f aca="false">S218*$D218</f>
        <v>0</v>
      </c>
      <c r="BR218" s="142" t="n">
        <f aca="false">U218*$D218</f>
        <v>0</v>
      </c>
      <c r="BS218" s="142" t="n">
        <f aca="false">AA218*$D218</f>
        <v>0</v>
      </c>
      <c r="BT218" s="142" t="n">
        <f aca="false">AI218*$D218</f>
        <v>0</v>
      </c>
      <c r="BU218" s="142" t="n">
        <f aca="false">AK218*D218</f>
        <v>0</v>
      </c>
    </row>
    <row r="219" customFormat="false" ht="12.75" hidden="false" customHeight="false" outlineLevel="0" collapsed="false">
      <c r="A219" s="144" t="n">
        <f aca="false">EDATE(A218,1)</f>
        <v>44501</v>
      </c>
      <c r="B219" s="145" t="n">
        <f aca="false">Inputs!$B$8</f>
        <v>50000</v>
      </c>
      <c r="C219" s="146" t="n">
        <f aca="false">IF(AZ219=0,0,IF(AND(AZ219=1,$H$3=1),B219*AU219,IF($H$3=2,B219,"N/A")))</f>
        <v>0</v>
      </c>
      <c r="D219" s="146" t="n">
        <f aca="false">C219*AY219</f>
        <v>0</v>
      </c>
      <c r="E219" s="147" t="n">
        <f aca="false">VLOOKUP($A219,[1]!CurveTable,MATCH($E$4,[1]!CurveType,0))</f>
        <v>5.6525</v>
      </c>
      <c r="F219" s="148" t="n">
        <f aca="false">E219-Inputs!$B$16</f>
        <v>5.7075</v>
      </c>
      <c r="G219" s="149" t="n">
        <f aca="false">F219</f>
        <v>5.7075</v>
      </c>
      <c r="H219" s="147" t="n">
        <f aca="false">VLOOKUP($A219,[1]!CurveTable,MATCH($H$4,[1]!CurveType,0))</f>
        <v>0.23</v>
      </c>
      <c r="I219" s="148" t="n">
        <f aca="false">H219+Inputs!$B$22</f>
        <v>0.23</v>
      </c>
      <c r="J219" s="150" t="n">
        <f aca="false">I219</f>
        <v>0.23</v>
      </c>
      <c r="K219" s="147" t="n">
        <f aca="false">VLOOKUP($A219,[1]!CurveTable,MATCH($K$4,[1]!CurveType,0))</f>
        <v>0</v>
      </c>
      <c r="L219" s="148" t="n">
        <v>0</v>
      </c>
      <c r="M219" s="151" t="n">
        <f aca="false">L219</f>
        <v>0</v>
      </c>
      <c r="N219" s="147" t="n">
        <f aca="false">VLOOKUP($A219,[1]!CurveTable,MATCH($N$4,[1]!CurveType,0))</f>
        <v>0.022</v>
      </c>
      <c r="O219" s="148" t="n">
        <f aca="false">N219+Inputs!$E$22</f>
        <v>0.022</v>
      </c>
      <c r="P219" s="151" t="n">
        <f aca="false">O219</f>
        <v>0.022</v>
      </c>
      <c r="Q219" s="147" t="n">
        <f aca="false">VLOOKUP($A219,[1]!CurveTable,MATCH($Q$4,[1]!CurveType,0))</f>
        <v>0.0075</v>
      </c>
      <c r="R219" s="148" t="n">
        <v>0</v>
      </c>
      <c r="S219" s="151" t="n">
        <f aca="false">R219</f>
        <v>0</v>
      </c>
      <c r="T219" s="152"/>
      <c r="U219" s="153" t="n">
        <f aca="false">G219+J219</f>
        <v>5.9375</v>
      </c>
      <c r="V219" s="154"/>
      <c r="W219" s="155" t="n">
        <f aca="false">VLOOKUP($A219,[1]!CurveTable,MATCH($W$4,[1]!CurveType,0))+$W$9</f>
        <v>0.17</v>
      </c>
      <c r="X219" s="155" t="n">
        <f aca="false">VLOOKUP($A219,[1]!CurveTable,MATCH($X$4,[1]!CurveType,0))+$X$9</f>
        <v>0.175</v>
      </c>
      <c r="Y219" s="139" t="n">
        <f aca="false">SQRT((X219^2*($A219-$C$3)+W219^2*(DAY(EOMONTH(A219,0))/2))/$AN219)</f>
        <v>0.172205853176431</v>
      </c>
      <c r="Z219" s="152"/>
      <c r="AA219" s="153" t="n">
        <f aca="false">G219+P219+S219</f>
        <v>5.7295</v>
      </c>
      <c r="AB219" s="154"/>
      <c r="AC219" s="155" t="n">
        <f aca="false">VLOOKUP($A219,[1]!CurveTable,MATCH($AC$4,[1]!CurveType,0))+$AC$9</f>
        <v>0.17</v>
      </c>
      <c r="AD219" s="155" t="n">
        <f aca="false">VLOOKUP($A219,[1]!CurveTable,MATCH($AD$4,[1]!CurveType,0))+$AD$9</f>
        <v>0.175</v>
      </c>
      <c r="AE219" s="139" t="n">
        <f aca="false">SQRT((AD219^2*($A219-$C$3)+AC219^2*(DAY(EOMONTH(A219,0))/2))/$AN219)</f>
        <v>0.172205853176431</v>
      </c>
      <c r="AF219" s="152"/>
      <c r="AG219" s="156" t="n">
        <f aca="false">((Inputs!$F$20*(X219*AD219)*(A219-$C$3))+(Inputs!$F$19*W219*AC219*(DAY(EOMONTH(A219,0))/2)))/(AN219*Y219*AE219)</f>
        <v>0.75</v>
      </c>
      <c r="AH219" s="152"/>
      <c r="AI219" s="140" t="n">
        <f aca="false">Inputs!$B$15</f>
        <v>0.06</v>
      </c>
      <c r="AJ219" s="157"/>
      <c r="AK219" s="140" t="n">
        <f aca="false">IF((U219-AA219-AI219)&lt;0,0,(U219-AA219-AI219))</f>
        <v>0.148</v>
      </c>
      <c r="AL219" s="157"/>
      <c r="AM219" s="158" t="n">
        <f aca="false">WORKDAY(EOMONTH(A219-1,-1),0)</f>
        <v>44469</v>
      </c>
      <c r="AN219" s="159" t="n">
        <f aca="false">AM219-$C$3</f>
        <v>-1457</v>
      </c>
      <c r="AO219" s="159" t="n">
        <f aca="false">AO218</f>
        <v>1</v>
      </c>
      <c r="AP219" s="160"/>
      <c r="AQ219" s="161" t="e">
        <f aca="false">SPRDOPT(U219,AA219,AI219,AX219,X219,AD219,AG219,AN219,AO219,0)</f>
        <v>#NAME?</v>
      </c>
      <c r="AR219" s="162" t="e">
        <f aca="false">AQ219*C219</f>
        <v>#NAME?</v>
      </c>
      <c r="AS219" s="163" t="e">
        <f aca="false">AQ219-AK219</f>
        <v>#NAME?</v>
      </c>
      <c r="AU219" s="112" t="n">
        <f aca="false">A220-A219</f>
        <v>30</v>
      </c>
      <c r="AV219" s="164" t="n">
        <f aca="false">CHOOSE(F$3,A220+24,A219+14)</f>
        <v>44515</v>
      </c>
      <c r="AW219" s="49" t="n">
        <f aca="false">AV219-C$3</f>
        <v>-1411</v>
      </c>
      <c r="AX219" s="155" t="n">
        <f aca="false">VLOOKUP($A219,[1]!CurveTable,MATCH(AX$4,[1]!CurveType,0))</f>
        <v>0.0617439337754582</v>
      </c>
      <c r="AY219" s="165" t="n">
        <f aca="false">1/(1+CHOOSE(F$3,(AX220+(Inputs!$B$14/10000))/2,(AX219+(Inputs!$B$14/10000))/2))^(2*AW219/365.25)</f>
        <v>1.2648021060741</v>
      </c>
      <c r="AZ219" s="49" t="n">
        <f aca="false">IF(AND(mthbeg&lt;=A219,mthend&gt;=A219),1,0)</f>
        <v>0</v>
      </c>
      <c r="BA219" s="111" t="n">
        <f aca="false">AU219*AZ219</f>
        <v>0</v>
      </c>
      <c r="BC219" s="142" t="n">
        <f aca="false">E219*$D219</f>
        <v>0</v>
      </c>
      <c r="BD219" s="142" t="n">
        <f aca="false">F219*$D219</f>
        <v>0</v>
      </c>
      <c r="BE219" s="142" t="n">
        <f aca="false">G219*$D219</f>
        <v>0</v>
      </c>
      <c r="BF219" s="142" t="n">
        <f aca="false">H219*$D219</f>
        <v>0</v>
      </c>
      <c r="BG219" s="142" t="n">
        <f aca="false">I219*$D219</f>
        <v>0</v>
      </c>
      <c r="BH219" s="142" t="n">
        <f aca="false">J219*$D219</f>
        <v>0</v>
      </c>
      <c r="BI219" s="142" t="n">
        <f aca="false">K219*$D219</f>
        <v>0</v>
      </c>
      <c r="BJ219" s="142" t="n">
        <f aca="false">L219*$D219</f>
        <v>0</v>
      </c>
      <c r="BK219" s="142" t="n">
        <f aca="false">M219*$D219</f>
        <v>0</v>
      </c>
      <c r="BL219" s="142" t="n">
        <f aca="false">N219*$D219</f>
        <v>0</v>
      </c>
      <c r="BM219" s="142" t="n">
        <f aca="false">O219*$D219</f>
        <v>0</v>
      </c>
      <c r="BN219" s="142" t="n">
        <f aca="false">P219*$D219</f>
        <v>0</v>
      </c>
      <c r="BO219" s="142" t="n">
        <f aca="false">Q219*$D219</f>
        <v>0</v>
      </c>
      <c r="BP219" s="142" t="n">
        <f aca="false">R219*$D219</f>
        <v>0</v>
      </c>
      <c r="BQ219" s="142" t="n">
        <f aca="false">S219*$D219</f>
        <v>0</v>
      </c>
      <c r="BR219" s="142" t="n">
        <f aca="false">U219*$D219</f>
        <v>0</v>
      </c>
      <c r="BS219" s="142" t="n">
        <f aca="false">AA219*$D219</f>
        <v>0</v>
      </c>
      <c r="BT219" s="142" t="n">
        <f aca="false">AI219*$D219</f>
        <v>0</v>
      </c>
      <c r="BU219" s="142" t="n">
        <f aca="false">AK219*D219</f>
        <v>0</v>
      </c>
    </row>
    <row r="220" customFormat="false" ht="12.75" hidden="false" customHeight="false" outlineLevel="0" collapsed="false">
      <c r="A220" s="144" t="n">
        <f aca="false">EDATE(A219,1)</f>
        <v>44531</v>
      </c>
      <c r="B220" s="145" t="n">
        <f aca="false">Inputs!$B$8</f>
        <v>50000</v>
      </c>
      <c r="C220" s="146" t="n">
        <f aca="false">IF(AZ220=0,0,IF(AND(AZ220=1,$H$3=1),B220*AU220,IF($H$3=2,B220,"N/A")))</f>
        <v>0</v>
      </c>
      <c r="D220" s="146" t="n">
        <f aca="false">C220*AY220</f>
        <v>0</v>
      </c>
      <c r="E220" s="147" t="n">
        <f aca="false">VLOOKUP($A220,[1]!CurveTable,MATCH($E$4,[1]!CurveType,0))</f>
        <v>5.8045</v>
      </c>
      <c r="F220" s="148" t="n">
        <f aca="false">E220-Inputs!$B$16</f>
        <v>5.8595</v>
      </c>
      <c r="G220" s="149" t="n">
        <f aca="false">F220</f>
        <v>5.8595</v>
      </c>
      <c r="H220" s="147" t="n">
        <f aca="false">VLOOKUP($A220,[1]!CurveTable,MATCH($H$4,[1]!CurveType,0))</f>
        <v>0.26</v>
      </c>
      <c r="I220" s="148" t="n">
        <f aca="false">H220+Inputs!$B$22</f>
        <v>0.26</v>
      </c>
      <c r="J220" s="150" t="n">
        <f aca="false">I220</f>
        <v>0.26</v>
      </c>
      <c r="K220" s="147" t="n">
        <f aca="false">VLOOKUP($A220,[1]!CurveTable,MATCH($K$4,[1]!CurveType,0))</f>
        <v>0</v>
      </c>
      <c r="L220" s="148" t="n">
        <v>0</v>
      </c>
      <c r="M220" s="151" t="n">
        <f aca="false">L220</f>
        <v>0</v>
      </c>
      <c r="N220" s="147" t="n">
        <f aca="false">VLOOKUP($A220,[1]!CurveTable,MATCH($N$4,[1]!CurveType,0))</f>
        <v>0.022</v>
      </c>
      <c r="O220" s="148" t="n">
        <f aca="false">N220+Inputs!$E$22</f>
        <v>0.022</v>
      </c>
      <c r="P220" s="151" t="n">
        <f aca="false">O220</f>
        <v>0.022</v>
      </c>
      <c r="Q220" s="147" t="n">
        <f aca="false">VLOOKUP($A220,[1]!CurveTable,MATCH($Q$4,[1]!CurveType,0))</f>
        <v>0.0075</v>
      </c>
      <c r="R220" s="148" t="n">
        <v>0</v>
      </c>
      <c r="S220" s="151" t="n">
        <f aca="false">R220</f>
        <v>0</v>
      </c>
      <c r="T220" s="152"/>
      <c r="U220" s="153" t="n">
        <f aca="false">G220+J220</f>
        <v>6.1195</v>
      </c>
      <c r="V220" s="154"/>
      <c r="W220" s="155" t="n">
        <f aca="false">VLOOKUP($A220,[1]!CurveTable,MATCH($W$4,[1]!CurveType,0))+$W$9</f>
        <v>0.17</v>
      </c>
      <c r="X220" s="155" t="n">
        <f aca="false">VLOOKUP($A220,[1]!CurveTable,MATCH($X$4,[1]!CurveType,0))+$X$9</f>
        <v>0.175</v>
      </c>
      <c r="Y220" s="139" t="n">
        <f aca="false">SQRT((X220^2*($A220-$C$3)+W220^2*(DAY(EOMONTH(A220,0))/2))/$AN220)</f>
        <v>0.172177549917671</v>
      </c>
      <c r="Z220" s="152"/>
      <c r="AA220" s="153" t="n">
        <f aca="false">G220+P220+S220</f>
        <v>5.8815</v>
      </c>
      <c r="AB220" s="154"/>
      <c r="AC220" s="155" t="n">
        <f aca="false">VLOOKUP($A220,[1]!CurveTable,MATCH($AC$4,[1]!CurveType,0))+$AC$9</f>
        <v>0.17</v>
      </c>
      <c r="AD220" s="155" t="n">
        <f aca="false">VLOOKUP($A220,[1]!CurveTable,MATCH($AD$4,[1]!CurveType,0))+$AD$9</f>
        <v>0.175</v>
      </c>
      <c r="AE220" s="139" t="n">
        <f aca="false">SQRT((AD220^2*($A220-$C$3)+AC220^2*(DAY(EOMONTH(A220,0))/2))/$AN220)</f>
        <v>0.172177549917671</v>
      </c>
      <c r="AF220" s="152"/>
      <c r="AG220" s="156" t="n">
        <f aca="false">((Inputs!$F$20*(X220*AD220)*(A220-$C$3))+(Inputs!$F$19*W220*AC220*(DAY(EOMONTH(A220,0))/2)))/(AN220*Y220*AE220)</f>
        <v>0.75</v>
      </c>
      <c r="AH220" s="152"/>
      <c r="AI220" s="140" t="n">
        <f aca="false">Inputs!$B$15</f>
        <v>0.06</v>
      </c>
      <c r="AJ220" s="157"/>
      <c r="AK220" s="140" t="n">
        <f aca="false">IF((U220-AA220-AI220)&lt;0,0,(U220-AA220-AI220))</f>
        <v>0.178</v>
      </c>
      <c r="AL220" s="157"/>
      <c r="AM220" s="158" t="n">
        <f aca="false">WORKDAY(EOMONTH(A220-1,-1),0)</f>
        <v>44500</v>
      </c>
      <c r="AN220" s="159" t="n">
        <f aca="false">AM220-$C$3</f>
        <v>-1426</v>
      </c>
      <c r="AO220" s="159" t="n">
        <f aca="false">AO219</f>
        <v>1</v>
      </c>
      <c r="AP220" s="160"/>
      <c r="AQ220" s="161" t="e">
        <f aca="false">SPRDOPT(U220,AA220,AI220,AX220,X220,AD220,AG220,AN220,AO220,0)</f>
        <v>#NAME?</v>
      </c>
      <c r="AR220" s="162" t="e">
        <f aca="false">AQ220*C220</f>
        <v>#NAME?</v>
      </c>
      <c r="AS220" s="163" t="e">
        <f aca="false">AQ220-AK220</f>
        <v>#NAME?</v>
      </c>
      <c r="AU220" s="112" t="n">
        <f aca="false">A221-A220</f>
        <v>31</v>
      </c>
      <c r="AV220" s="164" t="n">
        <f aca="false">CHOOSE(F$3,A221+24,A220+14)</f>
        <v>44545</v>
      </c>
      <c r="AW220" s="49" t="n">
        <f aca="false">AV220-C$3</f>
        <v>-1381</v>
      </c>
      <c r="AX220" s="155" t="n">
        <f aca="false">VLOOKUP($A220,[1]!CurveTable,MATCH(AX$4,[1]!CurveType,0))</f>
        <v>0.0617471794032487</v>
      </c>
      <c r="AY220" s="165" t="n">
        <f aca="false">1/(1+CHOOSE(F$3,(AX221+(Inputs!$B$14/10000))/2,(AX220+(Inputs!$B$14/10000))/2))^(2*AW220/365.25)</f>
        <v>1.25851557668063</v>
      </c>
      <c r="AZ220" s="49" t="n">
        <f aca="false">IF(AND(mthbeg&lt;=A220,mthend&gt;=A220),1,0)</f>
        <v>0</v>
      </c>
      <c r="BA220" s="111" t="n">
        <f aca="false">AU220*AZ220</f>
        <v>0</v>
      </c>
      <c r="BC220" s="142" t="n">
        <f aca="false">E220*$D220</f>
        <v>0</v>
      </c>
      <c r="BD220" s="142" t="n">
        <f aca="false">F220*$D220</f>
        <v>0</v>
      </c>
      <c r="BE220" s="142" t="n">
        <f aca="false">G220*$D220</f>
        <v>0</v>
      </c>
      <c r="BF220" s="142" t="n">
        <f aca="false">H220*$D220</f>
        <v>0</v>
      </c>
      <c r="BG220" s="142" t="n">
        <f aca="false">I220*$D220</f>
        <v>0</v>
      </c>
      <c r="BH220" s="142" t="n">
        <f aca="false">J220*$D220</f>
        <v>0</v>
      </c>
      <c r="BI220" s="142" t="n">
        <f aca="false">K220*$D220</f>
        <v>0</v>
      </c>
      <c r="BJ220" s="142" t="n">
        <f aca="false">L220*$D220</f>
        <v>0</v>
      </c>
      <c r="BK220" s="142" t="n">
        <f aca="false">M220*$D220</f>
        <v>0</v>
      </c>
      <c r="BL220" s="142" t="n">
        <f aca="false">N220*$D220</f>
        <v>0</v>
      </c>
      <c r="BM220" s="142" t="n">
        <f aca="false">O220*$D220</f>
        <v>0</v>
      </c>
      <c r="BN220" s="142" t="n">
        <f aca="false">P220*$D220</f>
        <v>0</v>
      </c>
      <c r="BO220" s="142" t="n">
        <f aca="false">Q220*$D220</f>
        <v>0</v>
      </c>
      <c r="BP220" s="142" t="n">
        <f aca="false">R220*$D220</f>
        <v>0</v>
      </c>
      <c r="BQ220" s="142" t="n">
        <f aca="false">S220*$D220</f>
        <v>0</v>
      </c>
      <c r="BR220" s="142" t="n">
        <f aca="false">U220*$D220</f>
        <v>0</v>
      </c>
      <c r="BS220" s="142" t="n">
        <f aca="false">AA220*$D220</f>
        <v>0</v>
      </c>
      <c r="BT220" s="142" t="n">
        <f aca="false">AI220*$D220</f>
        <v>0</v>
      </c>
      <c r="BU220" s="142" t="n">
        <f aca="false">AK220*D220</f>
        <v>0</v>
      </c>
    </row>
    <row r="221" customFormat="false" ht="12.75" hidden="false" customHeight="false" outlineLevel="0" collapsed="false">
      <c r="A221" s="144" t="n">
        <f aca="false">EDATE(A220,1)</f>
        <v>44562</v>
      </c>
      <c r="B221" s="145" t="n">
        <f aca="false">Inputs!$B$8</f>
        <v>50000</v>
      </c>
      <c r="C221" s="146" t="n">
        <f aca="false">IF(AZ221=0,0,IF(AND(AZ221=1,$H$3=1),B221*AU221,IF($H$3=2,B221,"N/A")))</f>
        <v>0</v>
      </c>
      <c r="D221" s="146" t="n">
        <f aca="false">C221*AY221</f>
        <v>0</v>
      </c>
      <c r="E221" s="147" t="n">
        <f aca="false">VLOOKUP($A221,[1]!CurveTable,MATCH($E$4,[1]!CurveType,0))</f>
        <v>5.882</v>
      </c>
      <c r="F221" s="148" t="n">
        <f aca="false">E221-Inputs!$B$16</f>
        <v>5.937</v>
      </c>
      <c r="G221" s="149" t="n">
        <f aca="false">F221</f>
        <v>5.937</v>
      </c>
      <c r="H221" s="147" t="n">
        <f aca="false">VLOOKUP($A221,[1]!CurveTable,MATCH($H$4,[1]!CurveType,0))</f>
        <v>0.085</v>
      </c>
      <c r="I221" s="148" t="n">
        <f aca="false">H221+Inputs!$B$22</f>
        <v>0.085</v>
      </c>
      <c r="J221" s="150" t="n">
        <f aca="false">I221</f>
        <v>0.085</v>
      </c>
      <c r="K221" s="147" t="n">
        <f aca="false">VLOOKUP($A221,[1]!CurveTable,MATCH($K$4,[1]!CurveType,0))</f>
        <v>0</v>
      </c>
      <c r="L221" s="148" t="n">
        <v>0</v>
      </c>
      <c r="M221" s="151" t="n">
        <f aca="false">L221</f>
        <v>0</v>
      </c>
      <c r="N221" s="147" t="n">
        <f aca="false">VLOOKUP($A221,[1]!CurveTable,MATCH($N$4,[1]!CurveType,0))</f>
        <v>0.022</v>
      </c>
      <c r="O221" s="148" t="n">
        <f aca="false">N221+Inputs!$E$22</f>
        <v>0.022</v>
      </c>
      <c r="P221" s="151" t="n">
        <f aca="false">O221</f>
        <v>0.022</v>
      </c>
      <c r="Q221" s="147" t="n">
        <f aca="false">VLOOKUP($A221,[1]!CurveTable,MATCH($Q$4,[1]!CurveType,0))</f>
        <v>0.0075</v>
      </c>
      <c r="R221" s="148" t="n">
        <v>0</v>
      </c>
      <c r="S221" s="151" t="n">
        <f aca="false">R221</f>
        <v>0</v>
      </c>
      <c r="T221" s="152"/>
      <c r="U221" s="153" t="n">
        <f aca="false">G221+J221</f>
        <v>6.022</v>
      </c>
      <c r="V221" s="154"/>
      <c r="W221" s="155" t="n">
        <f aca="false">VLOOKUP($A221,[1]!CurveTable,MATCH($W$4,[1]!CurveType,0))+$W$9</f>
        <v>0.17</v>
      </c>
      <c r="X221" s="155" t="n">
        <f aca="false">VLOOKUP($A221,[1]!CurveTable,MATCH($X$4,[1]!CurveType,0))+$X$9</f>
        <v>0.175</v>
      </c>
      <c r="Y221" s="139" t="n">
        <f aca="false">SQRT((X221^2*($A221-$C$3)+W221^2*(DAY(EOMONTH(A221,0))/2))/$AN221)</f>
        <v>0.172052646537378</v>
      </c>
      <c r="Z221" s="152"/>
      <c r="AA221" s="153" t="n">
        <f aca="false">G221+P221+S221</f>
        <v>5.959</v>
      </c>
      <c r="AB221" s="154"/>
      <c r="AC221" s="155" t="n">
        <f aca="false">VLOOKUP($A221,[1]!CurveTable,MATCH($AC$4,[1]!CurveType,0))+$AC$9</f>
        <v>0.17</v>
      </c>
      <c r="AD221" s="155" t="n">
        <f aca="false">VLOOKUP($A221,[1]!CurveTable,MATCH($AD$4,[1]!CurveType,0))+$AD$9</f>
        <v>0.175</v>
      </c>
      <c r="AE221" s="139" t="n">
        <f aca="false">SQRT((AD221^2*($A221-$C$3)+AC221^2*(DAY(EOMONTH(A221,0))/2))/$AN221)</f>
        <v>0.172052646537378</v>
      </c>
      <c r="AF221" s="152"/>
      <c r="AG221" s="156" t="n">
        <f aca="false">((Inputs!$F$20*(X221*AD221)*(A221-$C$3))+(Inputs!$F$19*W221*AC221*(DAY(EOMONTH(A221,0))/2)))/(AN221*Y221*AE221)</f>
        <v>0.75</v>
      </c>
      <c r="AH221" s="152"/>
      <c r="AI221" s="140" t="n">
        <f aca="false">Inputs!$B$15</f>
        <v>0.06</v>
      </c>
      <c r="AJ221" s="157"/>
      <c r="AK221" s="140" t="n">
        <f aca="false">IF((U221-AA221-AI221)&lt;0,0,(U221-AA221-AI221))</f>
        <v>0.00299999999999973</v>
      </c>
      <c r="AL221" s="157"/>
      <c r="AM221" s="158" t="n">
        <f aca="false">WORKDAY(EOMONTH(A221-1,-1),0)</f>
        <v>44530</v>
      </c>
      <c r="AN221" s="159" t="n">
        <f aca="false">AM221-$C$3</f>
        <v>-1396</v>
      </c>
      <c r="AO221" s="159" t="n">
        <f aca="false">AO220</f>
        <v>1</v>
      </c>
      <c r="AP221" s="160"/>
      <c r="AQ221" s="161" t="e">
        <f aca="false">SPRDOPT(U221,AA221,AI221,AX221,X221,AD221,AG221,AN221,AO221,0)</f>
        <v>#NAME?</v>
      </c>
      <c r="AR221" s="162" t="e">
        <f aca="false">AQ221*C221</f>
        <v>#NAME?</v>
      </c>
      <c r="AS221" s="163" t="e">
        <f aca="false">AQ221-AK221</f>
        <v>#NAME?</v>
      </c>
      <c r="AU221" s="112" t="n">
        <f aca="false">A222-A221</f>
        <v>31</v>
      </c>
      <c r="AV221" s="164" t="n">
        <f aca="false">CHOOSE(F$3,A222+24,A221+14)</f>
        <v>44576</v>
      </c>
      <c r="AW221" s="49" t="n">
        <f aca="false">AV221-C$3</f>
        <v>-1350</v>
      </c>
      <c r="AX221" s="155" t="n">
        <f aca="false">VLOOKUP($A221,[1]!CurveTable,MATCH(AX$4,[1]!CurveType,0))</f>
        <v>0.0617505332186354</v>
      </c>
      <c r="AY221" s="165" t="n">
        <f aca="false">1/(1+CHOOSE(F$3,(AX222+(Inputs!$B$14/10000))/2,(AX221+(Inputs!$B$14/10000))/2))^(2*AW221/365.25)</f>
        <v>1.25205164020387</v>
      </c>
      <c r="AZ221" s="49" t="n">
        <f aca="false">IF(AND(mthbeg&lt;=A221,mthend&gt;=A221),1,0)</f>
        <v>0</v>
      </c>
      <c r="BA221" s="111" t="n">
        <f aca="false">AU221*AZ221</f>
        <v>0</v>
      </c>
      <c r="BC221" s="142" t="n">
        <f aca="false">E221*$D221</f>
        <v>0</v>
      </c>
      <c r="BD221" s="142" t="n">
        <f aca="false">F221*$D221</f>
        <v>0</v>
      </c>
      <c r="BE221" s="142" t="n">
        <f aca="false">G221*$D221</f>
        <v>0</v>
      </c>
      <c r="BF221" s="142" t="n">
        <f aca="false">H221*$D221</f>
        <v>0</v>
      </c>
      <c r="BG221" s="142" t="n">
        <f aca="false">I221*$D221</f>
        <v>0</v>
      </c>
      <c r="BH221" s="142" t="n">
        <f aca="false">J221*$D221</f>
        <v>0</v>
      </c>
      <c r="BI221" s="142" t="n">
        <f aca="false">K221*$D221</f>
        <v>0</v>
      </c>
      <c r="BJ221" s="142" t="n">
        <f aca="false">L221*$D221</f>
        <v>0</v>
      </c>
      <c r="BK221" s="142" t="n">
        <f aca="false">M221*$D221</f>
        <v>0</v>
      </c>
      <c r="BL221" s="142" t="n">
        <f aca="false">N221*$D221</f>
        <v>0</v>
      </c>
      <c r="BM221" s="142" t="n">
        <f aca="false">O221*$D221</f>
        <v>0</v>
      </c>
      <c r="BN221" s="142" t="n">
        <f aca="false">P221*$D221</f>
        <v>0</v>
      </c>
      <c r="BO221" s="142" t="n">
        <f aca="false">Q221*$D221</f>
        <v>0</v>
      </c>
      <c r="BP221" s="142" t="n">
        <f aca="false">R221*$D221</f>
        <v>0</v>
      </c>
      <c r="BQ221" s="142" t="n">
        <f aca="false">S221*$D221</f>
        <v>0</v>
      </c>
      <c r="BR221" s="142" t="n">
        <f aca="false">U221*$D221</f>
        <v>0</v>
      </c>
      <c r="BS221" s="142" t="n">
        <f aca="false">AA221*$D221</f>
        <v>0</v>
      </c>
      <c r="BT221" s="142" t="n">
        <f aca="false">AI221*$D221</f>
        <v>0</v>
      </c>
      <c r="BU221" s="142" t="n">
        <f aca="false">AK221*D221</f>
        <v>0</v>
      </c>
    </row>
    <row r="222" customFormat="false" ht="12.75" hidden="false" customHeight="false" outlineLevel="0" collapsed="false">
      <c r="A222" s="144" t="n">
        <f aca="false">EDATE(A221,1)</f>
        <v>44593</v>
      </c>
      <c r="B222" s="145" t="n">
        <f aca="false">Inputs!$B$8</f>
        <v>50000</v>
      </c>
      <c r="C222" s="146" t="n">
        <f aca="false">IF(AZ222=0,0,IF(AND(AZ222=1,$H$3=1),B222*AU222,IF($H$3=2,B222,"N/A")))</f>
        <v>0</v>
      </c>
      <c r="D222" s="146" t="n">
        <f aca="false">C222*AY222</f>
        <v>0</v>
      </c>
      <c r="E222" s="147" t="n">
        <f aca="false">VLOOKUP($A222,[1]!CurveTable,MATCH($E$4,[1]!CurveType,0))</f>
        <v>5.795</v>
      </c>
      <c r="F222" s="148" t="n">
        <f aca="false">E222-Inputs!$B$16</f>
        <v>5.85</v>
      </c>
      <c r="G222" s="149" t="n">
        <f aca="false">F222</f>
        <v>5.85</v>
      </c>
      <c r="H222" s="147" t="n">
        <f aca="false">VLOOKUP($A222,[1]!CurveTable,MATCH($H$4,[1]!CurveType,0))</f>
        <v>0.075</v>
      </c>
      <c r="I222" s="148" t="n">
        <f aca="false">H222+Inputs!$B$22</f>
        <v>0.075</v>
      </c>
      <c r="J222" s="150" t="n">
        <f aca="false">I222</f>
        <v>0.075</v>
      </c>
      <c r="K222" s="147" t="n">
        <f aca="false">VLOOKUP($A222,[1]!CurveTable,MATCH($K$4,[1]!CurveType,0))</f>
        <v>0</v>
      </c>
      <c r="L222" s="148" t="n">
        <v>0</v>
      </c>
      <c r="M222" s="151" t="n">
        <f aca="false">L222</f>
        <v>0</v>
      </c>
      <c r="N222" s="147" t="n">
        <f aca="false">VLOOKUP($A222,[1]!CurveTable,MATCH($N$4,[1]!CurveType,0))</f>
        <v>0.022</v>
      </c>
      <c r="O222" s="148" t="n">
        <f aca="false">N222+Inputs!$E$22</f>
        <v>0.022</v>
      </c>
      <c r="P222" s="151" t="n">
        <f aca="false">O222</f>
        <v>0.022</v>
      </c>
      <c r="Q222" s="147" t="n">
        <f aca="false">VLOOKUP($A222,[1]!CurveTable,MATCH($Q$4,[1]!CurveType,0))</f>
        <v>0.0075</v>
      </c>
      <c r="R222" s="148" t="n">
        <v>0</v>
      </c>
      <c r="S222" s="151" t="n">
        <f aca="false">R222</f>
        <v>0</v>
      </c>
      <c r="T222" s="152"/>
      <c r="U222" s="153" t="n">
        <f aca="false">G222+J222</f>
        <v>5.925</v>
      </c>
      <c r="V222" s="154"/>
      <c r="W222" s="155" t="n">
        <f aca="false">VLOOKUP($A222,[1]!CurveTable,MATCH($W$4,[1]!CurveType,0))+$W$9</f>
        <v>0.17</v>
      </c>
      <c r="X222" s="155" t="n">
        <f aca="false">VLOOKUP($A222,[1]!CurveTable,MATCH($X$4,[1]!CurveType,0))+$X$9</f>
        <v>0.175</v>
      </c>
      <c r="Y222" s="139" t="n">
        <f aca="false">SQRT((X222^2*($A222-$C$3)+W222^2*(DAY(EOMONTH(A222,0))/2))/$AN222)</f>
        <v>0.172077427414641</v>
      </c>
      <c r="Z222" s="152"/>
      <c r="AA222" s="153" t="n">
        <f aca="false">G222+P222+S222</f>
        <v>5.872</v>
      </c>
      <c r="AB222" s="154"/>
      <c r="AC222" s="155" t="n">
        <f aca="false">VLOOKUP($A222,[1]!CurveTable,MATCH($AC$4,[1]!CurveType,0))+$AC$9</f>
        <v>0.17</v>
      </c>
      <c r="AD222" s="155" t="n">
        <f aca="false">VLOOKUP($A222,[1]!CurveTable,MATCH($AD$4,[1]!CurveType,0))+$AD$9</f>
        <v>0.175</v>
      </c>
      <c r="AE222" s="139" t="n">
        <f aca="false">SQRT((AD222^2*($A222-$C$3)+AC222^2*(DAY(EOMONTH(A222,0))/2))/$AN222)</f>
        <v>0.172077427414641</v>
      </c>
      <c r="AF222" s="152"/>
      <c r="AG222" s="156" t="n">
        <f aca="false">((Inputs!$F$20*(X222*AD222)*(A222-$C$3))+(Inputs!$F$19*W222*AC222*(DAY(EOMONTH(A222,0))/2)))/(AN222*Y222*AE222)</f>
        <v>0.75</v>
      </c>
      <c r="AH222" s="152"/>
      <c r="AI222" s="140" t="n">
        <f aca="false">Inputs!$B$15</f>
        <v>0.06</v>
      </c>
      <c r="AJ222" s="157"/>
      <c r="AK222" s="140" t="n">
        <f aca="false">IF((U222-AA222-AI222)&lt;0,0,(U222-AA222-AI222))</f>
        <v>0</v>
      </c>
      <c r="AL222" s="157"/>
      <c r="AM222" s="158" t="n">
        <f aca="false">WORKDAY(EOMONTH(A222-1,-1),0)</f>
        <v>44561</v>
      </c>
      <c r="AN222" s="159" t="n">
        <f aca="false">AM222-$C$3</f>
        <v>-1365</v>
      </c>
      <c r="AO222" s="159" t="n">
        <f aca="false">AO221</f>
        <v>1</v>
      </c>
      <c r="AP222" s="160"/>
      <c r="AQ222" s="161" t="e">
        <f aca="false">SPRDOPT(U222,AA222,AI222,AX222,X222,AD222,AG222,AN222,AO222,0)</f>
        <v>#NAME?</v>
      </c>
      <c r="AR222" s="162" t="e">
        <f aca="false">AQ222*C222</f>
        <v>#NAME?</v>
      </c>
      <c r="AS222" s="163" t="e">
        <f aca="false">AQ222-AK222</f>
        <v>#NAME?</v>
      </c>
      <c r="AU222" s="112" t="n">
        <f aca="false">A223-A222</f>
        <v>28</v>
      </c>
      <c r="AV222" s="164" t="n">
        <f aca="false">CHOOSE(F$3,A223+24,A222+14)</f>
        <v>44607</v>
      </c>
      <c r="AW222" s="49" t="n">
        <f aca="false">AV222-C$3</f>
        <v>-1319</v>
      </c>
      <c r="AX222" s="155" t="n">
        <f aca="false">VLOOKUP($A222,[1]!CurveTable,MATCH(AX$4,[1]!CurveType,0))</f>
        <v>0.0617538870340257</v>
      </c>
      <c r="AY222" s="165" t="n">
        <f aca="false">1/(1+CHOOSE(F$3,(AX223+(Inputs!$B$14/10000))/2,(AX222+(Inputs!$B$14/10000))/2))^(2*AW222/365.25)</f>
        <v>1.24562021561816</v>
      </c>
      <c r="AZ222" s="49" t="n">
        <f aca="false">IF(AND(mthbeg&lt;=A222,mthend&gt;=A222),1,0)</f>
        <v>0</v>
      </c>
      <c r="BA222" s="111" t="n">
        <f aca="false">AU222*AZ222</f>
        <v>0</v>
      </c>
      <c r="BC222" s="142" t="n">
        <f aca="false">E222*$D222</f>
        <v>0</v>
      </c>
      <c r="BD222" s="142" t="n">
        <f aca="false">F222*$D222</f>
        <v>0</v>
      </c>
      <c r="BE222" s="142" t="n">
        <f aca="false">G222*$D222</f>
        <v>0</v>
      </c>
      <c r="BF222" s="142" t="n">
        <f aca="false">H222*$D222</f>
        <v>0</v>
      </c>
      <c r="BG222" s="142" t="n">
        <f aca="false">I222*$D222</f>
        <v>0</v>
      </c>
      <c r="BH222" s="142" t="n">
        <f aca="false">J222*$D222</f>
        <v>0</v>
      </c>
      <c r="BI222" s="142" t="n">
        <f aca="false">K222*$D222</f>
        <v>0</v>
      </c>
      <c r="BJ222" s="142" t="n">
        <f aca="false">L222*$D222</f>
        <v>0</v>
      </c>
      <c r="BK222" s="142" t="n">
        <f aca="false">M222*$D222</f>
        <v>0</v>
      </c>
      <c r="BL222" s="142" t="n">
        <f aca="false">N222*$D222</f>
        <v>0</v>
      </c>
      <c r="BM222" s="142" t="n">
        <f aca="false">O222*$D222</f>
        <v>0</v>
      </c>
      <c r="BN222" s="142" t="n">
        <f aca="false">P222*$D222</f>
        <v>0</v>
      </c>
      <c r="BO222" s="142" t="n">
        <f aca="false">Q222*$D222</f>
        <v>0</v>
      </c>
      <c r="BP222" s="142" t="n">
        <f aca="false">R222*$D222</f>
        <v>0</v>
      </c>
      <c r="BQ222" s="142" t="n">
        <f aca="false">S222*$D222</f>
        <v>0</v>
      </c>
      <c r="BR222" s="142" t="n">
        <f aca="false">U222*$D222</f>
        <v>0</v>
      </c>
      <c r="BS222" s="142" t="n">
        <f aca="false">AA222*$D222</f>
        <v>0</v>
      </c>
      <c r="BT222" s="142" t="n">
        <f aca="false">AI222*$D222</f>
        <v>0</v>
      </c>
      <c r="BU222" s="142" t="n">
        <f aca="false">AK222*D222</f>
        <v>0</v>
      </c>
    </row>
    <row r="223" customFormat="false" ht="12.75" hidden="false" customHeight="false" outlineLevel="0" collapsed="false">
      <c r="A223" s="144" t="n">
        <f aca="false">EDATE(A222,1)</f>
        <v>44621</v>
      </c>
      <c r="B223" s="145" t="n">
        <f aca="false">Inputs!$B$8</f>
        <v>50000</v>
      </c>
      <c r="C223" s="146" t="n">
        <f aca="false">IF(AZ223=0,0,IF(AND(AZ223=1,$H$3=1),B223*AU223,IF($H$3=2,B223,"N/A")))</f>
        <v>0</v>
      </c>
      <c r="D223" s="146" t="n">
        <f aca="false">C223*AY223</f>
        <v>0</v>
      </c>
      <c r="E223" s="147" t="n">
        <f aca="false">VLOOKUP($A223,[1]!CurveTable,MATCH($E$4,[1]!CurveType,0))</f>
        <v>5.656</v>
      </c>
      <c r="F223" s="148" t="n">
        <f aca="false">E223-Inputs!$B$16</f>
        <v>5.711</v>
      </c>
      <c r="G223" s="149" t="n">
        <f aca="false">F223</f>
        <v>5.711</v>
      </c>
      <c r="H223" s="147" t="n">
        <f aca="false">VLOOKUP($A223,[1]!CurveTable,MATCH($H$4,[1]!CurveType,0))</f>
        <v>0.115</v>
      </c>
      <c r="I223" s="148" t="n">
        <f aca="false">H223+Inputs!$B$22</f>
        <v>0.115</v>
      </c>
      <c r="J223" s="150" t="n">
        <f aca="false">I223</f>
        <v>0.115</v>
      </c>
      <c r="K223" s="147" t="n">
        <f aca="false">VLOOKUP($A223,[1]!CurveTable,MATCH($K$4,[1]!CurveType,0))</f>
        <v>0</v>
      </c>
      <c r="L223" s="148" t="n">
        <v>0</v>
      </c>
      <c r="M223" s="151" t="n">
        <f aca="false">L223</f>
        <v>0</v>
      </c>
      <c r="N223" s="147" t="n">
        <f aca="false">VLOOKUP($A223,[1]!CurveTable,MATCH($N$4,[1]!CurveType,0))</f>
        <v>0.026</v>
      </c>
      <c r="O223" s="148" t="n">
        <f aca="false">N223+Inputs!$E$22</f>
        <v>0.026</v>
      </c>
      <c r="P223" s="151" t="n">
        <f aca="false">O223</f>
        <v>0.026</v>
      </c>
      <c r="Q223" s="147" t="n">
        <f aca="false">VLOOKUP($A223,[1]!CurveTable,MATCH($Q$4,[1]!CurveType,0))</f>
        <v>0.0075</v>
      </c>
      <c r="R223" s="148" t="n">
        <v>0</v>
      </c>
      <c r="S223" s="151" t="n">
        <f aca="false">R223</f>
        <v>0</v>
      </c>
      <c r="T223" s="152"/>
      <c r="U223" s="153" t="n">
        <f aca="false">G223+J223</f>
        <v>5.826</v>
      </c>
      <c r="V223" s="154"/>
      <c r="W223" s="155" t="n">
        <f aca="false">VLOOKUP($A223,[1]!CurveTable,MATCH($W$4,[1]!CurveType,0))+$W$9</f>
        <v>0.17</v>
      </c>
      <c r="X223" s="155" t="n">
        <f aca="false">VLOOKUP($A223,[1]!CurveTable,MATCH($X$4,[1]!CurveType,0))+$X$9</f>
        <v>0.175</v>
      </c>
      <c r="Y223" s="139" t="n">
        <f aca="false">SQRT((X223^2*($A223-$C$3)+W223^2*(DAY(EOMONTH(A223,0))/2))/$AN223)</f>
        <v>0.172114626129612</v>
      </c>
      <c r="Z223" s="152"/>
      <c r="AA223" s="153" t="n">
        <f aca="false">G223+P223+S223</f>
        <v>5.737</v>
      </c>
      <c r="AB223" s="154"/>
      <c r="AC223" s="155" t="n">
        <f aca="false">VLOOKUP($A223,[1]!CurveTable,MATCH($AC$4,[1]!CurveType,0))+$AC$9</f>
        <v>0.17</v>
      </c>
      <c r="AD223" s="155" t="n">
        <f aca="false">VLOOKUP($A223,[1]!CurveTable,MATCH($AD$4,[1]!CurveType,0))+$AD$9</f>
        <v>0.175</v>
      </c>
      <c r="AE223" s="139" t="n">
        <f aca="false">SQRT((AD223^2*($A223-$C$3)+AC223^2*(DAY(EOMONTH(A223,0))/2))/$AN223)</f>
        <v>0.172114626129612</v>
      </c>
      <c r="AF223" s="152"/>
      <c r="AG223" s="156" t="n">
        <f aca="false">((Inputs!$F$20*(X223*AD223)*(A223-$C$3))+(Inputs!$F$19*W223*AC223*(DAY(EOMONTH(A223,0))/2)))/(AN223*Y223*AE223)</f>
        <v>0.75</v>
      </c>
      <c r="AH223" s="152"/>
      <c r="AI223" s="140" t="n">
        <f aca="false">Inputs!$B$15</f>
        <v>0.06</v>
      </c>
      <c r="AJ223" s="157"/>
      <c r="AK223" s="140" t="n">
        <f aca="false">IF((U223-AA223-AI223)&lt;0,0,(U223-AA223-AI223))</f>
        <v>0.0290000000000004</v>
      </c>
      <c r="AL223" s="157"/>
      <c r="AM223" s="158" t="n">
        <f aca="false">WORKDAY(EOMONTH(A223-1,-1),0)</f>
        <v>44592</v>
      </c>
      <c r="AN223" s="159" t="n">
        <f aca="false">AM223-$C$3</f>
        <v>-1334</v>
      </c>
      <c r="AO223" s="159" t="n">
        <f aca="false">AO222</f>
        <v>1</v>
      </c>
      <c r="AP223" s="160"/>
      <c r="AQ223" s="161" t="e">
        <f aca="false">SPRDOPT(U223,AA223,AI223,AX223,X223,AD223,AG223,AN223,AO223,0)</f>
        <v>#NAME?</v>
      </c>
      <c r="AR223" s="162" t="e">
        <f aca="false">AQ223*C223</f>
        <v>#NAME?</v>
      </c>
      <c r="AS223" s="163" t="e">
        <f aca="false">AQ223-AK223</f>
        <v>#NAME?</v>
      </c>
      <c r="AU223" s="112" t="n">
        <f aca="false">A224-A223</f>
        <v>31</v>
      </c>
      <c r="AV223" s="164" t="n">
        <f aca="false">CHOOSE(F$3,A224+24,A223+14)</f>
        <v>44635</v>
      </c>
      <c r="AW223" s="49" t="n">
        <f aca="false">AV223-C$3</f>
        <v>-1291</v>
      </c>
      <c r="AX223" s="155" t="n">
        <f aca="false">VLOOKUP($A223,[1]!CurveTable,MATCH(AX$4,[1]!CurveType,0))</f>
        <v>0.0617569162866398</v>
      </c>
      <c r="AY223" s="165" t="n">
        <f aca="false">1/(1+CHOOSE(F$3,(AX224+(Inputs!$B$14/10000))/2,(AX223+(Inputs!$B$14/10000))/2))^(2*AW223/365.25)</f>
        <v>1.23983899859044</v>
      </c>
      <c r="AZ223" s="49" t="n">
        <f aca="false">IF(AND(mthbeg&lt;=A223,mthend&gt;=A223),1,0)</f>
        <v>0</v>
      </c>
      <c r="BA223" s="111" t="n">
        <f aca="false">AU223*AZ223</f>
        <v>0</v>
      </c>
      <c r="BC223" s="142" t="n">
        <f aca="false">E223*$D223</f>
        <v>0</v>
      </c>
      <c r="BD223" s="142" t="n">
        <f aca="false">F223*$D223</f>
        <v>0</v>
      </c>
      <c r="BE223" s="142" t="n">
        <f aca="false">G223*$D223</f>
        <v>0</v>
      </c>
      <c r="BF223" s="142" t="n">
        <f aca="false">H223*$D223</f>
        <v>0</v>
      </c>
      <c r="BG223" s="142" t="n">
        <f aca="false">I223*$D223</f>
        <v>0</v>
      </c>
      <c r="BH223" s="142" t="n">
        <f aca="false">J223*$D223</f>
        <v>0</v>
      </c>
      <c r="BI223" s="142" t="n">
        <f aca="false">K223*$D223</f>
        <v>0</v>
      </c>
      <c r="BJ223" s="142" t="n">
        <f aca="false">L223*$D223</f>
        <v>0</v>
      </c>
      <c r="BK223" s="142" t="n">
        <f aca="false">M223*$D223</f>
        <v>0</v>
      </c>
      <c r="BL223" s="142" t="n">
        <f aca="false">N223*$D223</f>
        <v>0</v>
      </c>
      <c r="BM223" s="142" t="n">
        <f aca="false">O223*$D223</f>
        <v>0</v>
      </c>
      <c r="BN223" s="142" t="n">
        <f aca="false">P223*$D223</f>
        <v>0</v>
      </c>
      <c r="BO223" s="142" t="n">
        <f aca="false">Q223*$D223</f>
        <v>0</v>
      </c>
      <c r="BP223" s="142" t="n">
        <f aca="false">R223*$D223</f>
        <v>0</v>
      </c>
      <c r="BQ223" s="142" t="n">
        <f aca="false">S223*$D223</f>
        <v>0</v>
      </c>
      <c r="BR223" s="142" t="n">
        <f aca="false">U223*$D223</f>
        <v>0</v>
      </c>
      <c r="BS223" s="142" t="n">
        <f aca="false">AA223*$D223</f>
        <v>0</v>
      </c>
      <c r="BT223" s="142" t="n">
        <f aca="false">AI223*$D223</f>
        <v>0</v>
      </c>
      <c r="BU223" s="142" t="n">
        <f aca="false">AK223*D223</f>
        <v>0</v>
      </c>
    </row>
    <row r="224" customFormat="false" ht="12.75" hidden="false" customHeight="false" outlineLevel="0" collapsed="false">
      <c r="A224" s="144" t="n">
        <f aca="false">EDATE(A223,1)</f>
        <v>44652</v>
      </c>
      <c r="B224" s="145" t="n">
        <f aca="false">Inputs!$B$8</f>
        <v>50000</v>
      </c>
      <c r="C224" s="146" t="n">
        <f aca="false">IF(AZ224=0,0,IF(AND(AZ224=1,$H$3=1),B224*AU224,IF($H$3=2,B224,"N/A")))</f>
        <v>0</v>
      </c>
      <c r="D224" s="146" t="n">
        <f aca="false">C224*AY224</f>
        <v>0</v>
      </c>
      <c r="E224" s="147" t="n">
        <f aca="false">VLOOKUP($A224,[1]!CurveTable,MATCH($E$4,[1]!CurveType,0))</f>
        <v>5.502</v>
      </c>
      <c r="F224" s="148" t="n">
        <f aca="false">E224-Inputs!$B$16</f>
        <v>5.557</v>
      </c>
      <c r="G224" s="149" t="n">
        <f aca="false">F224</f>
        <v>5.557</v>
      </c>
      <c r="H224" s="147" t="n">
        <f aca="false">VLOOKUP($A224,[1]!CurveTable,MATCH($H$4,[1]!CurveType,0))</f>
        <v>0.55</v>
      </c>
      <c r="I224" s="148" t="n">
        <f aca="false">H224+Inputs!$B$22</f>
        <v>0.55</v>
      </c>
      <c r="J224" s="150" t="n">
        <f aca="false">I224</f>
        <v>0.55</v>
      </c>
      <c r="K224" s="147" t="n">
        <f aca="false">VLOOKUP($A224,[1]!CurveTable,MATCH($K$4,[1]!CurveType,0))</f>
        <v>0</v>
      </c>
      <c r="L224" s="148" t="n">
        <v>0</v>
      </c>
      <c r="M224" s="151" t="n">
        <f aca="false">L224</f>
        <v>0</v>
      </c>
      <c r="N224" s="147" t="n">
        <f aca="false">VLOOKUP($A224,[1]!CurveTable,MATCH($N$4,[1]!CurveType,0))</f>
        <v>0.026</v>
      </c>
      <c r="O224" s="148" t="n">
        <f aca="false">N224+Inputs!$E$22</f>
        <v>0.026</v>
      </c>
      <c r="P224" s="151" t="n">
        <f aca="false">O224</f>
        <v>0.026</v>
      </c>
      <c r="Q224" s="147" t="n">
        <f aca="false">VLOOKUP($A224,[1]!CurveTable,MATCH($Q$4,[1]!CurveType,0))</f>
        <v>0.01</v>
      </c>
      <c r="R224" s="148" t="n">
        <v>0</v>
      </c>
      <c r="S224" s="151" t="n">
        <f aca="false">R224</f>
        <v>0</v>
      </c>
      <c r="T224" s="152"/>
      <c r="U224" s="153" t="n">
        <f aca="false">G224+J224</f>
        <v>6.107</v>
      </c>
      <c r="V224" s="154"/>
      <c r="W224" s="155" t="n">
        <f aca="false">VLOOKUP($A224,[1]!CurveTable,MATCH($W$4,[1]!CurveType,0))+$W$9</f>
        <v>0.17</v>
      </c>
      <c r="X224" s="155" t="n">
        <f aca="false">VLOOKUP($A224,[1]!CurveTable,MATCH($X$4,[1]!CurveType,0))+$X$9</f>
        <v>0.175</v>
      </c>
      <c r="Y224" s="139" t="n">
        <f aca="false">SQRT((X224^2*($A224-$C$3)+W224^2*(DAY(EOMONTH(A224,0))/2))/$AN224)</f>
        <v>0.171879863845978</v>
      </c>
      <c r="Z224" s="152"/>
      <c r="AA224" s="153" t="n">
        <f aca="false">G224+P224+S224</f>
        <v>5.583</v>
      </c>
      <c r="AB224" s="154"/>
      <c r="AC224" s="155" t="n">
        <f aca="false">VLOOKUP($A224,[1]!CurveTable,MATCH($AC$4,[1]!CurveType,0))+$AC$9</f>
        <v>0.17</v>
      </c>
      <c r="AD224" s="155" t="n">
        <f aca="false">VLOOKUP($A224,[1]!CurveTable,MATCH($AD$4,[1]!CurveType,0))+$AD$9</f>
        <v>0.175</v>
      </c>
      <c r="AE224" s="139" t="n">
        <f aca="false">SQRT((AD224^2*($A224-$C$3)+AC224^2*(DAY(EOMONTH(A224,0))/2))/$AN224)</f>
        <v>0.171879863845978</v>
      </c>
      <c r="AF224" s="152"/>
      <c r="AG224" s="156" t="n">
        <f aca="false">((Inputs!$F$20*(X224*AD224)*(A224-$C$3))+(Inputs!$F$19*W224*AC224*(DAY(EOMONTH(A224,0))/2)))/(AN224*Y224*AE224)</f>
        <v>0.75</v>
      </c>
      <c r="AH224" s="152"/>
      <c r="AI224" s="140" t="n">
        <f aca="false">Inputs!$B$15</f>
        <v>0.06</v>
      </c>
      <c r="AJ224" s="157"/>
      <c r="AK224" s="140" t="n">
        <f aca="false">IF((U224-AA224-AI224)&lt;0,0,(U224-AA224-AI224))</f>
        <v>0.464</v>
      </c>
      <c r="AL224" s="157"/>
      <c r="AM224" s="158" t="n">
        <f aca="false">WORKDAY(EOMONTH(A224-1,-1),0)</f>
        <v>44620</v>
      </c>
      <c r="AN224" s="159" t="n">
        <f aca="false">AM224-$C$3</f>
        <v>-1306</v>
      </c>
      <c r="AO224" s="159" t="n">
        <f aca="false">AO223</f>
        <v>1</v>
      </c>
      <c r="AP224" s="160"/>
      <c r="AQ224" s="161" t="e">
        <f aca="false">SPRDOPT(U224,AA224,AI224,AX224,X224,AD224,AG224,AN224,AO224,0)</f>
        <v>#NAME?</v>
      </c>
      <c r="AR224" s="162" t="e">
        <f aca="false">AQ224*C224</f>
        <v>#NAME?</v>
      </c>
      <c r="AS224" s="163" t="e">
        <f aca="false">AQ224-AK224</f>
        <v>#NAME?</v>
      </c>
      <c r="AU224" s="112" t="n">
        <f aca="false">A225-A224</f>
        <v>30</v>
      </c>
      <c r="AV224" s="164" t="n">
        <f aca="false">CHOOSE(F$3,A225+24,A224+14)</f>
        <v>44666</v>
      </c>
      <c r="AW224" s="49" t="n">
        <f aca="false">AV224-C$3</f>
        <v>-1260</v>
      </c>
      <c r="AX224" s="155" t="n">
        <f aca="false">VLOOKUP($A224,[1]!CurveTable,MATCH(AX$4,[1]!CurveType,0))</f>
        <v>0.0617602701020372</v>
      </c>
      <c r="AY224" s="165" t="n">
        <f aca="false">1/(1+CHOOSE(F$3,(AX225+(Inputs!$B$14/10000))/2,(AX224+(Inputs!$B$14/10000))/2))^(2*AW224/365.25)</f>
        <v>1.23346901030359</v>
      </c>
      <c r="AZ224" s="49" t="n">
        <f aca="false">IF(AND(mthbeg&lt;=A224,mthend&gt;=A224),1,0)</f>
        <v>0</v>
      </c>
      <c r="BA224" s="111" t="n">
        <f aca="false">AU224*AZ224</f>
        <v>0</v>
      </c>
      <c r="BC224" s="142" t="n">
        <f aca="false">E224*$D224</f>
        <v>0</v>
      </c>
      <c r="BD224" s="142" t="n">
        <f aca="false">F224*$D224</f>
        <v>0</v>
      </c>
      <c r="BE224" s="142" t="n">
        <f aca="false">G224*$D224</f>
        <v>0</v>
      </c>
      <c r="BF224" s="142" t="n">
        <f aca="false">H224*$D224</f>
        <v>0</v>
      </c>
      <c r="BG224" s="142" t="n">
        <f aca="false">I224*$D224</f>
        <v>0</v>
      </c>
      <c r="BH224" s="142" t="n">
        <f aca="false">J224*$D224</f>
        <v>0</v>
      </c>
      <c r="BI224" s="142" t="n">
        <f aca="false">K224*$D224</f>
        <v>0</v>
      </c>
      <c r="BJ224" s="142" t="n">
        <f aca="false">L224*$D224</f>
        <v>0</v>
      </c>
      <c r="BK224" s="142" t="n">
        <f aca="false">M224*$D224</f>
        <v>0</v>
      </c>
      <c r="BL224" s="142" t="n">
        <f aca="false">N224*$D224</f>
        <v>0</v>
      </c>
      <c r="BM224" s="142" t="n">
        <f aca="false">O224*$D224</f>
        <v>0</v>
      </c>
      <c r="BN224" s="142" t="n">
        <f aca="false">P224*$D224</f>
        <v>0</v>
      </c>
      <c r="BO224" s="142" t="n">
        <f aca="false">Q224*$D224</f>
        <v>0</v>
      </c>
      <c r="BP224" s="142" t="n">
        <f aca="false">R224*$D224</f>
        <v>0</v>
      </c>
      <c r="BQ224" s="142" t="n">
        <f aca="false">S224*$D224</f>
        <v>0</v>
      </c>
      <c r="BR224" s="142" t="n">
        <f aca="false">U224*$D224</f>
        <v>0</v>
      </c>
      <c r="BS224" s="142" t="n">
        <f aca="false">AA224*$D224</f>
        <v>0</v>
      </c>
      <c r="BT224" s="142" t="n">
        <f aca="false">AI224*$D224</f>
        <v>0</v>
      </c>
      <c r="BU224" s="142" t="n">
        <f aca="false">AK224*D224</f>
        <v>0</v>
      </c>
    </row>
    <row r="225" customFormat="false" ht="12.75" hidden="false" customHeight="false" outlineLevel="0" collapsed="false">
      <c r="A225" s="144" t="n">
        <f aca="false">EDATE(A224,1)</f>
        <v>44682</v>
      </c>
      <c r="B225" s="145" t="n">
        <f aca="false">Inputs!$B$8</f>
        <v>50000</v>
      </c>
      <c r="C225" s="146" t="n">
        <f aca="false">IF(AZ225=0,0,IF(AND(AZ225=1,$H$3=1),B225*AU225,IF($H$3=2,B225,"N/A")))</f>
        <v>0</v>
      </c>
      <c r="D225" s="146" t="n">
        <f aca="false">C225*AY225</f>
        <v>0</v>
      </c>
      <c r="E225" s="147" t="n">
        <f aca="false">VLOOKUP($A225,[1]!CurveTable,MATCH($E$4,[1]!CurveType,0))</f>
        <v>5.507</v>
      </c>
      <c r="F225" s="148" t="n">
        <f aca="false">E225-Inputs!$B$16</f>
        <v>5.562</v>
      </c>
      <c r="G225" s="149" t="n">
        <f aca="false">F225</f>
        <v>5.562</v>
      </c>
      <c r="H225" s="147" t="n">
        <f aca="false">VLOOKUP($A225,[1]!CurveTable,MATCH($H$4,[1]!CurveType,0))</f>
        <v>0.7</v>
      </c>
      <c r="I225" s="148" t="n">
        <f aca="false">H225+Inputs!$B$22</f>
        <v>0.7</v>
      </c>
      <c r="J225" s="150" t="n">
        <f aca="false">I225</f>
        <v>0.7</v>
      </c>
      <c r="K225" s="147" t="n">
        <f aca="false">VLOOKUP($A225,[1]!CurveTable,MATCH($K$4,[1]!CurveType,0))</f>
        <v>0</v>
      </c>
      <c r="L225" s="148" t="n">
        <v>0</v>
      </c>
      <c r="M225" s="151" t="n">
        <f aca="false">L225</f>
        <v>0</v>
      </c>
      <c r="N225" s="147" t="n">
        <f aca="false">VLOOKUP($A225,[1]!CurveTable,MATCH($N$4,[1]!CurveType,0))</f>
        <v>0.0285</v>
      </c>
      <c r="O225" s="148" t="n">
        <f aca="false">N225+Inputs!$E$22</f>
        <v>0.0285</v>
      </c>
      <c r="P225" s="151" t="n">
        <f aca="false">O225</f>
        <v>0.0285</v>
      </c>
      <c r="Q225" s="147" t="n">
        <f aca="false">VLOOKUP($A225,[1]!CurveTable,MATCH($Q$4,[1]!CurveType,0))</f>
        <v>0.01</v>
      </c>
      <c r="R225" s="148" t="n">
        <v>0</v>
      </c>
      <c r="S225" s="151" t="n">
        <f aca="false">R225</f>
        <v>0</v>
      </c>
      <c r="T225" s="152"/>
      <c r="U225" s="153" t="n">
        <f aca="false">G225+J225</f>
        <v>6.262</v>
      </c>
      <c r="V225" s="154"/>
      <c r="W225" s="155" t="n">
        <f aca="false">VLOOKUP($A225,[1]!CurveTable,MATCH($W$4,[1]!CurveType,0))+$W$9</f>
        <v>0.34</v>
      </c>
      <c r="X225" s="155" t="n">
        <f aca="false">VLOOKUP($A225,[1]!CurveTable,MATCH($X$4,[1]!CurveType,0))+$X$9</f>
        <v>0.345</v>
      </c>
      <c r="Y225" s="139" t="n">
        <f aca="false">SQRT((X225^2*($A225-$C$3)+W225^2*(DAY(EOMONTH(A225,0))/2))/$AN225)</f>
        <v>0.338711862045303</v>
      </c>
      <c r="Z225" s="152"/>
      <c r="AA225" s="153" t="n">
        <f aca="false">G225+P225+S225</f>
        <v>5.5905</v>
      </c>
      <c r="AB225" s="154"/>
      <c r="AC225" s="155" t="n">
        <f aca="false">VLOOKUP($A225,[1]!CurveTable,MATCH($AC$4,[1]!CurveType,0))+$AC$9</f>
        <v>0.17</v>
      </c>
      <c r="AD225" s="155" t="n">
        <f aca="false">VLOOKUP($A225,[1]!CurveTable,MATCH($AD$4,[1]!CurveType,0))+$AD$9</f>
        <v>0.175</v>
      </c>
      <c r="AE225" s="139" t="n">
        <f aca="false">SQRT((AD225^2*($A225-$C$3)+AC225^2*(DAY(EOMONTH(A225,0))/2))/$AN225)</f>
        <v>0.171840213057158</v>
      </c>
      <c r="AF225" s="152"/>
      <c r="AG225" s="156" t="n">
        <f aca="false">((Inputs!$F$20*(X225*AD225)*(A225-$C$3))+(Inputs!$F$19*W225*AC225*(DAY(EOMONTH(A225,0))/2)))/(AN225*Y225*AE225)</f>
        <v>0.750000948615324</v>
      </c>
      <c r="AH225" s="152"/>
      <c r="AI225" s="140" t="n">
        <f aca="false">Inputs!$B$15</f>
        <v>0.06</v>
      </c>
      <c r="AJ225" s="157"/>
      <c r="AK225" s="140" t="n">
        <f aca="false">IF((U225-AA225-AI225)&lt;0,0,(U225-AA225-AI225))</f>
        <v>0.6115</v>
      </c>
      <c r="AL225" s="157"/>
      <c r="AM225" s="158" t="n">
        <f aca="false">WORKDAY(EOMONTH(A225-1,-1),0)</f>
        <v>44651</v>
      </c>
      <c r="AN225" s="159" t="n">
        <f aca="false">AM225-$C$3</f>
        <v>-1275</v>
      </c>
      <c r="AO225" s="159" t="n">
        <f aca="false">AO224</f>
        <v>1</v>
      </c>
      <c r="AP225" s="160"/>
      <c r="AQ225" s="161" t="e">
        <f aca="false">SPRDOPT(U225,AA225,AI225,AX225,X225,AD225,AG225,AN225,AO225,0)</f>
        <v>#NAME?</v>
      </c>
      <c r="AR225" s="162" t="e">
        <f aca="false">AQ225*C225</f>
        <v>#NAME?</v>
      </c>
      <c r="AS225" s="163" t="e">
        <f aca="false">AQ225-AK225</f>
        <v>#NAME?</v>
      </c>
      <c r="AU225" s="112" t="n">
        <f aca="false">A226-A225</f>
        <v>31</v>
      </c>
      <c r="AV225" s="164" t="n">
        <f aca="false">CHOOSE(F$3,A226+24,A225+14)</f>
        <v>44696</v>
      </c>
      <c r="AW225" s="49" t="n">
        <f aca="false">AV225-C$3</f>
        <v>-1230</v>
      </c>
      <c r="AX225" s="155" t="n">
        <f aca="false">VLOOKUP($A225,[1]!CurveTable,MATCH(AX$4,[1]!CurveType,0))</f>
        <v>0.0617635157298451</v>
      </c>
      <c r="AY225" s="165" t="n">
        <f aca="false">1/(1+CHOOSE(F$3,(AX226+(Inputs!$B$14/10000))/2,(AX225+(Inputs!$B$14/10000))/2))^(2*AW225/365.25)</f>
        <v>1.22733502274279</v>
      </c>
      <c r="AZ225" s="49" t="n">
        <f aca="false">IF(AND(mthbeg&lt;=A225,mthend&gt;=A225),1,0)</f>
        <v>0</v>
      </c>
      <c r="BA225" s="111" t="n">
        <f aca="false">AU225*AZ225</f>
        <v>0</v>
      </c>
      <c r="BC225" s="142" t="n">
        <f aca="false">E225*$D225</f>
        <v>0</v>
      </c>
      <c r="BD225" s="142" t="n">
        <f aca="false">F225*$D225</f>
        <v>0</v>
      </c>
      <c r="BE225" s="142" t="n">
        <f aca="false">G225*$D225</f>
        <v>0</v>
      </c>
      <c r="BF225" s="142" t="n">
        <f aca="false">H225*$D225</f>
        <v>0</v>
      </c>
      <c r="BG225" s="142" t="n">
        <f aca="false">I225*$D225</f>
        <v>0</v>
      </c>
      <c r="BH225" s="142" t="n">
        <f aca="false">J225*$D225</f>
        <v>0</v>
      </c>
      <c r="BI225" s="142" t="n">
        <f aca="false">K225*$D225</f>
        <v>0</v>
      </c>
      <c r="BJ225" s="142" t="n">
        <f aca="false">L225*$D225</f>
        <v>0</v>
      </c>
      <c r="BK225" s="142" t="n">
        <f aca="false">M225*$D225</f>
        <v>0</v>
      </c>
      <c r="BL225" s="142" t="n">
        <f aca="false">N225*$D225</f>
        <v>0</v>
      </c>
      <c r="BM225" s="142" t="n">
        <f aca="false">O225*$D225</f>
        <v>0</v>
      </c>
      <c r="BN225" s="142" t="n">
        <f aca="false">P225*$D225</f>
        <v>0</v>
      </c>
      <c r="BO225" s="142" t="n">
        <f aca="false">Q225*$D225</f>
        <v>0</v>
      </c>
      <c r="BP225" s="142" t="n">
        <f aca="false">R225*$D225</f>
        <v>0</v>
      </c>
      <c r="BQ225" s="142" t="n">
        <f aca="false">S225*$D225</f>
        <v>0</v>
      </c>
      <c r="BR225" s="142" t="n">
        <f aca="false">U225*$D225</f>
        <v>0</v>
      </c>
      <c r="BS225" s="142" t="n">
        <f aca="false">AA225*$D225</f>
        <v>0</v>
      </c>
      <c r="BT225" s="142" t="n">
        <f aca="false">AI225*$D225</f>
        <v>0</v>
      </c>
      <c r="BU225" s="142" t="n">
        <f aca="false">AK225*D225</f>
        <v>0</v>
      </c>
    </row>
    <row r="226" customFormat="false" ht="12.75" hidden="false" customHeight="false" outlineLevel="0" collapsed="false">
      <c r="A226" s="144" t="n">
        <f aca="false">EDATE(A225,1)</f>
        <v>44713</v>
      </c>
      <c r="B226" s="145" t="n">
        <f aca="false">Inputs!$B$8</f>
        <v>50000</v>
      </c>
      <c r="C226" s="146" t="n">
        <f aca="false">IF(AZ226=0,0,IF(AND(AZ226=1,$H$3=1),B226*AU226,IF($H$3=2,B226,"N/A")))</f>
        <v>0</v>
      </c>
      <c r="D226" s="146" t="n">
        <f aca="false">C226*AY226</f>
        <v>0</v>
      </c>
      <c r="E226" s="147" t="n">
        <f aca="false">VLOOKUP($A226,[1]!CurveTable,MATCH($E$4,[1]!CurveType,0))</f>
        <v>5.545</v>
      </c>
      <c r="F226" s="148" t="n">
        <f aca="false">E226-Inputs!$B$16</f>
        <v>5.6</v>
      </c>
      <c r="G226" s="149" t="n">
        <f aca="false">F226</f>
        <v>5.6</v>
      </c>
      <c r="H226" s="147" t="n">
        <f aca="false">VLOOKUP($A226,[1]!CurveTable,MATCH($H$4,[1]!CurveType,0))</f>
        <v>0.8</v>
      </c>
      <c r="I226" s="148" t="n">
        <f aca="false">H226+Inputs!$B$22</f>
        <v>0.8</v>
      </c>
      <c r="J226" s="150" t="n">
        <f aca="false">I226</f>
        <v>0.8</v>
      </c>
      <c r="K226" s="147" t="n">
        <f aca="false">VLOOKUP($A226,[1]!CurveTable,MATCH($K$4,[1]!CurveType,0))</f>
        <v>0</v>
      </c>
      <c r="L226" s="148" t="n">
        <v>0</v>
      </c>
      <c r="M226" s="151" t="n">
        <f aca="false">L226</f>
        <v>0</v>
      </c>
      <c r="N226" s="147" t="n">
        <f aca="false">VLOOKUP($A226,[1]!CurveTable,MATCH($N$4,[1]!CurveType,0))</f>
        <v>0.026</v>
      </c>
      <c r="O226" s="148" t="n">
        <f aca="false">N226+Inputs!$E$22</f>
        <v>0.026</v>
      </c>
      <c r="P226" s="151" t="n">
        <f aca="false">O226</f>
        <v>0.026</v>
      </c>
      <c r="Q226" s="147" t="n">
        <f aca="false">VLOOKUP($A226,[1]!CurveTable,MATCH($Q$4,[1]!CurveType,0))</f>
        <v>0.01</v>
      </c>
      <c r="R226" s="148" t="n">
        <v>0</v>
      </c>
      <c r="S226" s="151" t="n">
        <f aca="false">R226</f>
        <v>0</v>
      </c>
      <c r="T226" s="152"/>
      <c r="U226" s="153" t="n">
        <f aca="false">G226+J226</f>
        <v>6.4</v>
      </c>
      <c r="V226" s="154"/>
      <c r="W226" s="155" t="n">
        <f aca="false">VLOOKUP($A226,[1]!CurveTable,MATCH($W$4,[1]!CurveType,0))+$W$9</f>
        <v>0.34</v>
      </c>
      <c r="X226" s="155" t="n">
        <f aca="false">VLOOKUP($A226,[1]!CurveTable,MATCH($X$4,[1]!CurveType,0))+$X$9</f>
        <v>0.345</v>
      </c>
      <c r="Y226" s="139" t="n">
        <f aca="false">SQRT((X226^2*($A226-$C$3)+W226^2*(DAY(EOMONTH(A226,0))/2))/$AN226)</f>
        <v>0.338486265315491</v>
      </c>
      <c r="Z226" s="152"/>
      <c r="AA226" s="153" t="n">
        <f aca="false">G226+P226+S226</f>
        <v>5.626</v>
      </c>
      <c r="AB226" s="154"/>
      <c r="AC226" s="155" t="n">
        <f aca="false">VLOOKUP($A226,[1]!CurveTable,MATCH($AC$4,[1]!CurveType,0))+$AC$9</f>
        <v>0.17</v>
      </c>
      <c r="AD226" s="155" t="n">
        <f aca="false">VLOOKUP($A226,[1]!CurveTable,MATCH($AD$4,[1]!CurveType,0))+$AD$9</f>
        <v>0.175</v>
      </c>
      <c r="AE226" s="139" t="n">
        <f aca="false">SQRT((AD226^2*($A226-$C$3)+AC226^2*(DAY(EOMONTH(A226,0))/2))/$AN226)</f>
        <v>0.171725532855595</v>
      </c>
      <c r="AF226" s="152"/>
      <c r="AG226" s="156" t="n">
        <f aca="false">((Inputs!$F$20*(X226*AD226)*(A226-$C$3))+(Inputs!$F$19*W226*AC226*(DAY(EOMONTH(A226,0))/2)))/(AN226*Y226*AE226)</f>
        <v>0.75000094130498</v>
      </c>
      <c r="AH226" s="152"/>
      <c r="AI226" s="140" t="n">
        <f aca="false">Inputs!$B$15</f>
        <v>0.06</v>
      </c>
      <c r="AJ226" s="157"/>
      <c r="AK226" s="140" t="n">
        <f aca="false">IF((U226-AA226-AI226)&lt;0,0,(U226-AA226-AI226))</f>
        <v>0.714</v>
      </c>
      <c r="AL226" s="157"/>
      <c r="AM226" s="158" t="n">
        <f aca="false">WORKDAY(EOMONTH(A226-1,-1),0)</f>
        <v>44681</v>
      </c>
      <c r="AN226" s="159" t="n">
        <f aca="false">AM226-$C$3</f>
        <v>-1245</v>
      </c>
      <c r="AO226" s="159" t="n">
        <f aca="false">AO225</f>
        <v>1</v>
      </c>
      <c r="AP226" s="160"/>
      <c r="AQ226" s="161" t="e">
        <f aca="false">SPRDOPT(U226,AA226,AI226,AX226,X226,AD226,AG226,AN226,AO226,0)</f>
        <v>#NAME?</v>
      </c>
      <c r="AR226" s="162" t="e">
        <f aca="false">AQ226*C226</f>
        <v>#NAME?</v>
      </c>
      <c r="AS226" s="163" t="e">
        <f aca="false">AQ226-AK226</f>
        <v>#NAME?</v>
      </c>
      <c r="AU226" s="112" t="n">
        <f aca="false">A227-A226</f>
        <v>30</v>
      </c>
      <c r="AV226" s="164" t="n">
        <f aca="false">CHOOSE(F$3,A227+24,A226+14)</f>
        <v>44727</v>
      </c>
      <c r="AW226" s="49" t="n">
        <f aca="false">AV226-C$3</f>
        <v>-1199</v>
      </c>
      <c r="AX226" s="155" t="n">
        <f aca="false">VLOOKUP($A226,[1]!CurveTable,MATCH(AX$4,[1]!CurveType,0))</f>
        <v>0.0617668695452505</v>
      </c>
      <c r="AY226" s="165" t="n">
        <f aca="false">1/(1+CHOOSE(F$3,(AX227+(Inputs!$B$14/10000))/2,(AX226+(Inputs!$B$14/10000))/2))^(2*AW226/365.25)</f>
        <v>1.22102794990671</v>
      </c>
      <c r="AZ226" s="49" t="n">
        <f aca="false">IF(AND(mthbeg&lt;=A226,mthend&gt;=A226),1,0)</f>
        <v>0</v>
      </c>
      <c r="BA226" s="111" t="n">
        <f aca="false">AU226*AZ226</f>
        <v>0</v>
      </c>
      <c r="BC226" s="142" t="n">
        <f aca="false">E226*$D226</f>
        <v>0</v>
      </c>
      <c r="BD226" s="142" t="n">
        <f aca="false">F226*$D226</f>
        <v>0</v>
      </c>
      <c r="BE226" s="142" t="n">
        <f aca="false">G226*$D226</f>
        <v>0</v>
      </c>
      <c r="BF226" s="142" t="n">
        <f aca="false">H226*$D226</f>
        <v>0</v>
      </c>
      <c r="BG226" s="142" t="n">
        <f aca="false">I226*$D226</f>
        <v>0</v>
      </c>
      <c r="BH226" s="142" t="n">
        <f aca="false">J226*$D226</f>
        <v>0</v>
      </c>
      <c r="BI226" s="142" t="n">
        <f aca="false">K226*$D226</f>
        <v>0</v>
      </c>
      <c r="BJ226" s="142" t="n">
        <f aca="false">L226*$D226</f>
        <v>0</v>
      </c>
      <c r="BK226" s="142" t="n">
        <f aca="false">M226*$D226</f>
        <v>0</v>
      </c>
      <c r="BL226" s="142" t="n">
        <f aca="false">N226*$D226</f>
        <v>0</v>
      </c>
      <c r="BM226" s="142" t="n">
        <f aca="false">O226*$D226</f>
        <v>0</v>
      </c>
      <c r="BN226" s="142" t="n">
        <f aca="false">P226*$D226</f>
        <v>0</v>
      </c>
      <c r="BO226" s="142" t="n">
        <f aca="false">Q226*$D226</f>
        <v>0</v>
      </c>
      <c r="BP226" s="142" t="n">
        <f aca="false">R226*$D226</f>
        <v>0</v>
      </c>
      <c r="BQ226" s="142" t="n">
        <f aca="false">S226*$D226</f>
        <v>0</v>
      </c>
      <c r="BR226" s="142" t="n">
        <f aca="false">U226*$D226</f>
        <v>0</v>
      </c>
      <c r="BS226" s="142" t="n">
        <f aca="false">AA226*$D226</f>
        <v>0</v>
      </c>
      <c r="BT226" s="142" t="n">
        <f aca="false">AI226*$D226</f>
        <v>0</v>
      </c>
      <c r="BU226" s="142" t="n">
        <f aca="false">AK226*D226</f>
        <v>0</v>
      </c>
    </row>
    <row r="227" customFormat="false" ht="12.75" hidden="false" customHeight="false" outlineLevel="0" collapsed="false">
      <c r="A227" s="144" t="n">
        <f aca="false">EDATE(A226,1)</f>
        <v>44743</v>
      </c>
      <c r="B227" s="145" t="n">
        <f aca="false">Inputs!$B$8</f>
        <v>50000</v>
      </c>
      <c r="C227" s="146" t="n">
        <f aca="false">IF(AZ227=0,0,IF(AND(AZ227=1,$H$3=1),B227*AU227,IF($H$3=2,B227,"N/A")))</f>
        <v>0</v>
      </c>
      <c r="D227" s="146" t="n">
        <f aca="false">C227*AY227</f>
        <v>0</v>
      </c>
      <c r="E227" s="147" t="n">
        <f aca="false">VLOOKUP($A227,[1]!CurveTable,MATCH($E$4,[1]!CurveType,0))</f>
        <v>5.59</v>
      </c>
      <c r="F227" s="148" t="n">
        <f aca="false">E227-Inputs!$B$16</f>
        <v>5.645</v>
      </c>
      <c r="G227" s="149" t="n">
        <f aca="false">F227</f>
        <v>5.645</v>
      </c>
      <c r="H227" s="147" t="n">
        <f aca="false">VLOOKUP($A227,[1]!CurveTable,MATCH($H$4,[1]!CurveType,0))</f>
        <v>1</v>
      </c>
      <c r="I227" s="148" t="n">
        <f aca="false">H227+Inputs!$B$22</f>
        <v>1</v>
      </c>
      <c r="J227" s="150" t="n">
        <f aca="false">I227</f>
        <v>1</v>
      </c>
      <c r="K227" s="147" t="n">
        <f aca="false">VLOOKUP($A227,[1]!CurveTable,MATCH($K$4,[1]!CurveType,0))</f>
        <v>0</v>
      </c>
      <c r="L227" s="148" t="n">
        <v>0</v>
      </c>
      <c r="M227" s="151" t="n">
        <f aca="false">L227</f>
        <v>0</v>
      </c>
      <c r="N227" s="147" t="n">
        <f aca="false">VLOOKUP($A227,[1]!CurveTable,MATCH($N$4,[1]!CurveType,0))</f>
        <v>0.0235</v>
      </c>
      <c r="O227" s="148" t="n">
        <f aca="false">N227+Inputs!$E$22</f>
        <v>0.0235</v>
      </c>
      <c r="P227" s="151" t="n">
        <f aca="false">O227</f>
        <v>0.0235</v>
      </c>
      <c r="Q227" s="147" t="n">
        <f aca="false">VLOOKUP($A227,[1]!CurveTable,MATCH($Q$4,[1]!CurveType,0))</f>
        <v>0.01</v>
      </c>
      <c r="R227" s="148" t="n">
        <v>0</v>
      </c>
      <c r="S227" s="151" t="n">
        <f aca="false">R227</f>
        <v>0</v>
      </c>
      <c r="T227" s="152"/>
      <c r="U227" s="153" t="n">
        <f aca="false">G227+J227</f>
        <v>6.645</v>
      </c>
      <c r="V227" s="154"/>
      <c r="W227" s="155" t="n">
        <f aca="false">VLOOKUP($A227,[1]!CurveTable,MATCH($W$4,[1]!CurveType,0))+$W$9</f>
        <v>0.34</v>
      </c>
      <c r="X227" s="155" t="n">
        <f aca="false">VLOOKUP($A227,[1]!CurveTable,MATCH($X$4,[1]!CurveType,0))+$X$9</f>
        <v>0.345</v>
      </c>
      <c r="Y227" s="139" t="n">
        <f aca="false">SQRT((X227^2*($A227-$C$3)+W227^2*(DAY(EOMONTH(A227,0))/2))/$AN227)</f>
        <v>0.338392818099057</v>
      </c>
      <c r="Z227" s="152"/>
      <c r="AA227" s="153" t="n">
        <f aca="false">G227+P227+S227</f>
        <v>5.6685</v>
      </c>
      <c r="AB227" s="154"/>
      <c r="AC227" s="155" t="n">
        <f aca="false">VLOOKUP($A227,[1]!CurveTable,MATCH($AC$4,[1]!CurveType,0))+$AC$9</f>
        <v>0.17</v>
      </c>
      <c r="AD227" s="155" t="n">
        <f aca="false">VLOOKUP($A227,[1]!CurveTable,MATCH($AD$4,[1]!CurveType,0))+$AD$9</f>
        <v>0.175</v>
      </c>
      <c r="AE227" s="139" t="n">
        <f aca="false">SQRT((AD227^2*($A227-$C$3)+AC227^2*(DAY(EOMONTH(A227,0))/2))/$AN227)</f>
        <v>0.171679908373241</v>
      </c>
      <c r="AF227" s="152"/>
      <c r="AG227" s="156" t="n">
        <f aca="false">((Inputs!$F$20*(X227*AD227)*(A227-$C$3))+(Inputs!$F$19*W227*AC227*(DAY(EOMONTH(A227,0))/2)))/(AN227*Y227*AE227)</f>
        <v>0.750000998772737</v>
      </c>
      <c r="AH227" s="152"/>
      <c r="AI227" s="140" t="n">
        <f aca="false">Inputs!$B$15</f>
        <v>0.06</v>
      </c>
      <c r="AJ227" s="157"/>
      <c r="AK227" s="140" t="n">
        <f aca="false">IF((U227-AA227-AI227)&lt;0,0,(U227-AA227-AI227))</f>
        <v>0.9165</v>
      </c>
      <c r="AL227" s="157"/>
      <c r="AM227" s="158" t="n">
        <f aca="false">WORKDAY(EOMONTH(A227-1,-1),0)</f>
        <v>44712</v>
      </c>
      <c r="AN227" s="159" t="n">
        <f aca="false">AM227-$C$3</f>
        <v>-1214</v>
      </c>
      <c r="AO227" s="159" t="n">
        <f aca="false">AO226</f>
        <v>1</v>
      </c>
      <c r="AP227" s="160"/>
      <c r="AQ227" s="161" t="e">
        <f aca="false">SPRDOPT(U227,AA227,AI227,AX227,X227,AD227,AG227,AN227,AO227,0)</f>
        <v>#NAME?</v>
      </c>
      <c r="AR227" s="162" t="e">
        <f aca="false">AQ227*C227</f>
        <v>#NAME?</v>
      </c>
      <c r="AS227" s="163" t="e">
        <f aca="false">AQ227-AK227</f>
        <v>#NAME?</v>
      </c>
      <c r="AU227" s="112" t="n">
        <f aca="false">A228-A227</f>
        <v>31</v>
      </c>
      <c r="AV227" s="164" t="n">
        <f aca="false">CHOOSE(F$3,A228+24,A227+14)</f>
        <v>44757</v>
      </c>
      <c r="AW227" s="49" t="n">
        <f aca="false">AV227-C$3</f>
        <v>-1169</v>
      </c>
      <c r="AX227" s="155" t="n">
        <f aca="false">VLOOKUP($A227,[1]!CurveTable,MATCH(AX$4,[1]!CurveType,0))</f>
        <v>0.061770115173065</v>
      </c>
      <c r="AY227" s="165" t="n">
        <f aca="false">1/(1+CHOOSE(F$3,(AX228+(Inputs!$B$14/10000))/2,(AX227+(Inputs!$B$14/10000))/2))^(2*AW227/365.25)</f>
        <v>1.21495455348367</v>
      </c>
      <c r="AZ227" s="49" t="n">
        <f aca="false">IF(AND(mthbeg&lt;=A227,mthend&gt;=A227),1,0)</f>
        <v>0</v>
      </c>
      <c r="BA227" s="111" t="n">
        <f aca="false">AU227*AZ227</f>
        <v>0</v>
      </c>
      <c r="BC227" s="142" t="n">
        <f aca="false">E227*$D227</f>
        <v>0</v>
      </c>
      <c r="BD227" s="142" t="n">
        <f aca="false">F227*$D227</f>
        <v>0</v>
      </c>
      <c r="BE227" s="142" t="n">
        <f aca="false">G227*$D227</f>
        <v>0</v>
      </c>
      <c r="BF227" s="142" t="n">
        <f aca="false">H227*$D227</f>
        <v>0</v>
      </c>
      <c r="BG227" s="142" t="n">
        <f aca="false">I227*$D227</f>
        <v>0</v>
      </c>
      <c r="BH227" s="142" t="n">
        <f aca="false">J227*$D227</f>
        <v>0</v>
      </c>
      <c r="BI227" s="142" t="n">
        <f aca="false">K227*$D227</f>
        <v>0</v>
      </c>
      <c r="BJ227" s="142" t="n">
        <f aca="false">L227*$D227</f>
        <v>0</v>
      </c>
      <c r="BK227" s="142" t="n">
        <f aca="false">M227*$D227</f>
        <v>0</v>
      </c>
      <c r="BL227" s="142" t="n">
        <f aca="false">N227*$D227</f>
        <v>0</v>
      </c>
      <c r="BM227" s="142" t="n">
        <f aca="false">O227*$D227</f>
        <v>0</v>
      </c>
      <c r="BN227" s="142" t="n">
        <f aca="false">P227*$D227</f>
        <v>0</v>
      </c>
      <c r="BO227" s="142" t="n">
        <f aca="false">Q227*$D227</f>
        <v>0</v>
      </c>
      <c r="BP227" s="142" t="n">
        <f aca="false">R227*$D227</f>
        <v>0</v>
      </c>
      <c r="BQ227" s="142" t="n">
        <f aca="false">S227*$D227</f>
        <v>0</v>
      </c>
      <c r="BR227" s="142" t="n">
        <f aca="false">U227*$D227</f>
        <v>0</v>
      </c>
      <c r="BS227" s="142" t="n">
        <f aca="false">AA227*$D227</f>
        <v>0</v>
      </c>
      <c r="BT227" s="142" t="n">
        <f aca="false">AI227*$D227</f>
        <v>0</v>
      </c>
      <c r="BU227" s="142" t="n">
        <f aca="false">AK227*D227</f>
        <v>0</v>
      </c>
    </row>
    <row r="228" customFormat="false" ht="12.75" hidden="false" customHeight="false" outlineLevel="0" collapsed="false">
      <c r="A228" s="144" t="n">
        <f aca="false">EDATE(A227,1)</f>
        <v>44774</v>
      </c>
      <c r="B228" s="145" t="n">
        <f aca="false">Inputs!$B$8</f>
        <v>50000</v>
      </c>
      <c r="C228" s="146" t="n">
        <f aca="false">IF(AZ228=0,0,IF(AND(AZ228=1,$H$3=1),B228*AU228,IF($H$3=2,B228,"N/A")))</f>
        <v>0</v>
      </c>
      <c r="D228" s="146" t="n">
        <f aca="false">C228*AY228</f>
        <v>0</v>
      </c>
      <c r="E228" s="147" t="n">
        <f aca="false">VLOOKUP($A228,[1]!CurveTable,MATCH($E$4,[1]!CurveType,0))</f>
        <v>5.628</v>
      </c>
      <c r="F228" s="148" t="n">
        <f aca="false">E228-Inputs!$B$16</f>
        <v>5.683</v>
      </c>
      <c r="G228" s="149" t="n">
        <f aca="false">F228</f>
        <v>5.683</v>
      </c>
      <c r="H228" s="147" t="n">
        <f aca="false">VLOOKUP($A228,[1]!CurveTable,MATCH($H$4,[1]!CurveType,0))</f>
        <v>1</v>
      </c>
      <c r="I228" s="148" t="n">
        <f aca="false">H228+Inputs!$B$22</f>
        <v>1</v>
      </c>
      <c r="J228" s="150" t="n">
        <f aca="false">I228</f>
        <v>1</v>
      </c>
      <c r="K228" s="147" t="n">
        <f aca="false">VLOOKUP($A228,[1]!CurveTable,MATCH($K$4,[1]!CurveType,0))</f>
        <v>0</v>
      </c>
      <c r="L228" s="148" t="n">
        <v>0</v>
      </c>
      <c r="M228" s="151" t="n">
        <f aca="false">L228</f>
        <v>0</v>
      </c>
      <c r="N228" s="147" t="n">
        <f aca="false">VLOOKUP($A228,[1]!CurveTable,MATCH($N$4,[1]!CurveType,0))</f>
        <v>0.0235</v>
      </c>
      <c r="O228" s="148" t="n">
        <f aca="false">N228+Inputs!$E$22</f>
        <v>0.0235</v>
      </c>
      <c r="P228" s="151" t="n">
        <f aca="false">O228</f>
        <v>0.0235</v>
      </c>
      <c r="Q228" s="147" t="n">
        <f aca="false">VLOOKUP($A228,[1]!CurveTable,MATCH($Q$4,[1]!CurveType,0))</f>
        <v>0.01</v>
      </c>
      <c r="R228" s="148" t="n">
        <v>0</v>
      </c>
      <c r="S228" s="151" t="n">
        <f aca="false">R228</f>
        <v>0</v>
      </c>
      <c r="T228" s="152"/>
      <c r="U228" s="153" t="n">
        <f aca="false">G228+J228</f>
        <v>6.683</v>
      </c>
      <c r="V228" s="154"/>
      <c r="W228" s="155" t="n">
        <f aca="false">VLOOKUP($A228,[1]!CurveTable,MATCH($W$4,[1]!CurveType,0))+$W$9</f>
        <v>0.34</v>
      </c>
      <c r="X228" s="155" t="n">
        <f aca="false">VLOOKUP($A228,[1]!CurveTable,MATCH($X$4,[1]!CurveType,0))+$X$9</f>
        <v>0.345</v>
      </c>
      <c r="Y228" s="139" t="n">
        <f aca="false">SQRT((X228^2*($A228-$C$3)+W228^2*(DAY(EOMONTH(A228,0))/2))/$AN228)</f>
        <v>0.338075085614888</v>
      </c>
      <c r="Z228" s="152"/>
      <c r="AA228" s="153" t="n">
        <f aca="false">G228+P228+S228</f>
        <v>5.7065</v>
      </c>
      <c r="AB228" s="154"/>
      <c r="AC228" s="155" t="n">
        <f aca="false">VLOOKUP($A228,[1]!CurveTable,MATCH($AC$4,[1]!CurveType,0))+$AC$9</f>
        <v>0.17</v>
      </c>
      <c r="AD228" s="155" t="n">
        <f aca="false">VLOOKUP($A228,[1]!CurveTable,MATCH($AD$4,[1]!CurveType,0))+$AD$9</f>
        <v>0.175</v>
      </c>
      <c r="AE228" s="139" t="n">
        <f aca="false">SQRT((AD228^2*($A228-$C$3)+AC228^2*(DAY(EOMONTH(A228,0))/2))/$AN228)</f>
        <v>0.171519564915052</v>
      </c>
      <c r="AF228" s="152"/>
      <c r="AG228" s="156" t="n">
        <f aca="false">((Inputs!$F$20*(X228*AD228)*(A228-$C$3))+(Inputs!$F$19*W228*AC228*(DAY(EOMONTH(A228,0))/2)))/(AN228*Y228*AE228)</f>
        <v>0.750001026351044</v>
      </c>
      <c r="AH228" s="152"/>
      <c r="AI228" s="140" t="n">
        <f aca="false">Inputs!$B$15</f>
        <v>0.06</v>
      </c>
      <c r="AJ228" s="157"/>
      <c r="AK228" s="140" t="n">
        <f aca="false">IF((U228-AA228-AI228)&lt;0,0,(U228-AA228-AI228))</f>
        <v>0.9165</v>
      </c>
      <c r="AL228" s="157"/>
      <c r="AM228" s="158" t="n">
        <f aca="false">WORKDAY(EOMONTH(A228-1,-1),0)</f>
        <v>44742</v>
      </c>
      <c r="AN228" s="159" t="n">
        <f aca="false">AM228-$C$3</f>
        <v>-1184</v>
      </c>
      <c r="AO228" s="159" t="n">
        <f aca="false">AO227</f>
        <v>1</v>
      </c>
      <c r="AP228" s="160"/>
      <c r="AQ228" s="161" t="e">
        <f aca="false">SPRDOPT(U228,AA228,AI228,AX228,X228,AD228,AG228,AN228,AO228,0)</f>
        <v>#NAME?</v>
      </c>
      <c r="AR228" s="162" t="e">
        <f aca="false">AQ228*C228</f>
        <v>#NAME?</v>
      </c>
      <c r="AS228" s="163" t="e">
        <f aca="false">AQ228-AK228</f>
        <v>#NAME?</v>
      </c>
      <c r="AU228" s="112" t="n">
        <f aca="false">A229-A228</f>
        <v>31</v>
      </c>
      <c r="AV228" s="164" t="n">
        <f aca="false">CHOOSE(F$3,A229+24,A228+14)</f>
        <v>44788</v>
      </c>
      <c r="AW228" s="49" t="n">
        <f aca="false">AV228-C$3</f>
        <v>-1138</v>
      </c>
      <c r="AX228" s="155" t="n">
        <f aca="false">VLOOKUP($A228,[1]!CurveTable,MATCH(AX$4,[1]!CurveType,0))</f>
        <v>0.061773468988477</v>
      </c>
      <c r="AY228" s="165" t="n">
        <f aca="false">1/(1+CHOOSE(F$3,(AX229+(Inputs!$B$14/10000))/2,(AX228+(Inputs!$B$14/10000))/2))^(2*AW228/365.25)</f>
        <v>1.20870978832931</v>
      </c>
      <c r="AZ228" s="49" t="n">
        <f aca="false">IF(AND(mthbeg&lt;=A228,mthend&gt;=A228),1,0)</f>
        <v>0</v>
      </c>
      <c r="BA228" s="111" t="n">
        <f aca="false">AU228*AZ228</f>
        <v>0</v>
      </c>
      <c r="BC228" s="142" t="n">
        <f aca="false">E228*$D228</f>
        <v>0</v>
      </c>
      <c r="BD228" s="142" t="n">
        <f aca="false">F228*$D228</f>
        <v>0</v>
      </c>
      <c r="BE228" s="142" t="n">
        <f aca="false">G228*$D228</f>
        <v>0</v>
      </c>
      <c r="BF228" s="142" t="n">
        <f aca="false">H228*$D228</f>
        <v>0</v>
      </c>
      <c r="BG228" s="142" t="n">
        <f aca="false">I228*$D228</f>
        <v>0</v>
      </c>
      <c r="BH228" s="142" t="n">
        <f aca="false">J228*$D228</f>
        <v>0</v>
      </c>
      <c r="BI228" s="142" t="n">
        <f aca="false">K228*$D228</f>
        <v>0</v>
      </c>
      <c r="BJ228" s="142" t="n">
        <f aca="false">L228*$D228</f>
        <v>0</v>
      </c>
      <c r="BK228" s="142" t="n">
        <f aca="false">M228*$D228</f>
        <v>0</v>
      </c>
      <c r="BL228" s="142" t="n">
        <f aca="false">N228*$D228</f>
        <v>0</v>
      </c>
      <c r="BM228" s="142" t="n">
        <f aca="false">O228*$D228</f>
        <v>0</v>
      </c>
      <c r="BN228" s="142" t="n">
        <f aca="false">P228*$D228</f>
        <v>0</v>
      </c>
      <c r="BO228" s="142" t="n">
        <f aca="false">Q228*$D228</f>
        <v>0</v>
      </c>
      <c r="BP228" s="142" t="n">
        <f aca="false">R228*$D228</f>
        <v>0</v>
      </c>
      <c r="BQ228" s="142" t="n">
        <f aca="false">S228*$D228</f>
        <v>0</v>
      </c>
      <c r="BR228" s="142" t="n">
        <f aca="false">U228*$D228</f>
        <v>0</v>
      </c>
      <c r="BS228" s="142" t="n">
        <f aca="false">AA228*$D228</f>
        <v>0</v>
      </c>
      <c r="BT228" s="142" t="n">
        <f aca="false">AI228*$D228</f>
        <v>0</v>
      </c>
      <c r="BU228" s="142" t="n">
        <f aca="false">AK228*D228</f>
        <v>0</v>
      </c>
    </row>
    <row r="229" customFormat="false" ht="12.75" hidden="false" customHeight="false" outlineLevel="0" collapsed="false">
      <c r="A229" s="144" t="n">
        <f aca="false">EDATE(A228,1)</f>
        <v>44805</v>
      </c>
      <c r="B229" s="145" t="n">
        <f aca="false">Inputs!$B$8</f>
        <v>50000</v>
      </c>
      <c r="C229" s="146" t="n">
        <f aca="false">IF(AZ229=0,0,IF(AND(AZ229=1,$H$3=1),B229*AU229,IF($H$3=2,B229,"N/A")))</f>
        <v>0</v>
      </c>
      <c r="D229" s="146" t="n">
        <f aca="false">C229*AY229</f>
        <v>0</v>
      </c>
      <c r="E229" s="147" t="n">
        <f aca="false">VLOOKUP($A229,[1]!CurveTable,MATCH($E$4,[1]!CurveType,0))</f>
        <v>5.622</v>
      </c>
      <c r="F229" s="148" t="n">
        <f aca="false">E229-Inputs!$B$16</f>
        <v>5.677</v>
      </c>
      <c r="G229" s="149" t="n">
        <f aca="false">F229</f>
        <v>5.677</v>
      </c>
      <c r="H229" s="147" t="n">
        <f aca="false">VLOOKUP($A229,[1]!CurveTable,MATCH($H$4,[1]!CurveType,0))</f>
        <v>0.6</v>
      </c>
      <c r="I229" s="148" t="n">
        <f aca="false">H229+Inputs!$B$22</f>
        <v>0.6</v>
      </c>
      <c r="J229" s="150" t="n">
        <f aca="false">I229</f>
        <v>0.6</v>
      </c>
      <c r="K229" s="147" t="n">
        <f aca="false">VLOOKUP($A229,[1]!CurveTable,MATCH($K$4,[1]!CurveType,0))</f>
        <v>0</v>
      </c>
      <c r="L229" s="148" t="n">
        <v>0</v>
      </c>
      <c r="M229" s="151" t="n">
        <f aca="false">L229</f>
        <v>0</v>
      </c>
      <c r="N229" s="147" t="n">
        <f aca="false">VLOOKUP($A229,[1]!CurveTable,MATCH($N$4,[1]!CurveType,0))</f>
        <v>0.0235</v>
      </c>
      <c r="O229" s="148" t="n">
        <f aca="false">N229+Inputs!$E$22</f>
        <v>0.0235</v>
      </c>
      <c r="P229" s="151" t="n">
        <f aca="false">O229</f>
        <v>0.0235</v>
      </c>
      <c r="Q229" s="147" t="n">
        <f aca="false">VLOOKUP($A229,[1]!CurveTable,MATCH($Q$4,[1]!CurveType,0))</f>
        <v>0.01</v>
      </c>
      <c r="R229" s="148" t="n">
        <v>0</v>
      </c>
      <c r="S229" s="151" t="n">
        <f aca="false">R229</f>
        <v>0</v>
      </c>
      <c r="T229" s="152"/>
      <c r="U229" s="153" t="n">
        <f aca="false">G229+J229</f>
        <v>6.277</v>
      </c>
      <c r="V229" s="154"/>
      <c r="W229" s="155" t="n">
        <f aca="false">VLOOKUP($A229,[1]!CurveTable,MATCH($W$4,[1]!CurveType,0))+$W$9</f>
        <v>0.34</v>
      </c>
      <c r="X229" s="155" t="n">
        <f aca="false">VLOOKUP($A229,[1]!CurveTable,MATCH($X$4,[1]!CurveType,0))+$X$9</f>
        <v>0.345</v>
      </c>
      <c r="Y229" s="139" t="n">
        <f aca="false">SQRT((X229^2*($A229-$C$3)+W229^2*(DAY(EOMONTH(A229,0))/2))/$AN229)</f>
        <v>0.337961114120272</v>
      </c>
      <c r="Z229" s="152"/>
      <c r="AA229" s="153" t="n">
        <f aca="false">G229+P229+S229</f>
        <v>5.7005</v>
      </c>
      <c r="AB229" s="154"/>
      <c r="AC229" s="155" t="n">
        <f aca="false">VLOOKUP($A229,[1]!CurveTable,MATCH($AC$4,[1]!CurveType,0))+$AC$9</f>
        <v>0.17</v>
      </c>
      <c r="AD229" s="155" t="n">
        <f aca="false">VLOOKUP($A229,[1]!CurveTable,MATCH($AD$4,[1]!CurveType,0))+$AD$9</f>
        <v>0.175</v>
      </c>
      <c r="AE229" s="139" t="n">
        <f aca="false">SQRT((AD229^2*($A229-$C$3)+AC229^2*(DAY(EOMONTH(A229,0))/2))/$AN229)</f>
        <v>0.171461563184318</v>
      </c>
      <c r="AF229" s="152"/>
      <c r="AG229" s="156" t="n">
        <f aca="false">((Inputs!$F$20*(X229*AD229)*(A229-$C$3))+(Inputs!$F$19*W229*AC229*(DAY(EOMONTH(A229,0))/2)))/(AN229*Y229*AE229)</f>
        <v>0.750001020563559</v>
      </c>
      <c r="AH229" s="152"/>
      <c r="AI229" s="140" t="n">
        <f aca="false">Inputs!$B$15</f>
        <v>0.06</v>
      </c>
      <c r="AJ229" s="157"/>
      <c r="AK229" s="140" t="n">
        <f aca="false">IF((U229-AA229-AI229)&lt;0,0,(U229-AA229-AI229))</f>
        <v>0.516499999999999</v>
      </c>
      <c r="AL229" s="157"/>
      <c r="AM229" s="158" t="n">
        <f aca="false">WORKDAY(EOMONTH(A229-1,-1),0)</f>
        <v>44773</v>
      </c>
      <c r="AN229" s="159" t="n">
        <f aca="false">AM229-$C$3</f>
        <v>-1153</v>
      </c>
      <c r="AO229" s="159" t="n">
        <f aca="false">AO228</f>
        <v>1</v>
      </c>
      <c r="AP229" s="160"/>
      <c r="AQ229" s="161" t="e">
        <f aca="false">SPRDOPT(U229,AA229,AI229,AX229,X229,AD229,AG229,AN229,AO229,0)</f>
        <v>#NAME?</v>
      </c>
      <c r="AR229" s="162" t="e">
        <f aca="false">AQ229*C229</f>
        <v>#NAME?</v>
      </c>
      <c r="AS229" s="163" t="e">
        <f aca="false">AQ229-AK229</f>
        <v>#NAME?</v>
      </c>
      <c r="AU229" s="112" t="n">
        <f aca="false">A230-A229</f>
        <v>30</v>
      </c>
      <c r="AV229" s="164" t="n">
        <f aca="false">CHOOSE(F$3,A230+24,A229+14)</f>
        <v>44819</v>
      </c>
      <c r="AW229" s="49" t="n">
        <f aca="false">AV229-C$3</f>
        <v>-1107</v>
      </c>
      <c r="AX229" s="155" t="n">
        <f aca="false">VLOOKUP($A229,[1]!CurveTable,MATCH(AX$4,[1]!CurveType,0))</f>
        <v>0.0617768228038931</v>
      </c>
      <c r="AY229" s="165" t="n">
        <f aca="false">1/(1+CHOOSE(F$3,(AX230+(Inputs!$B$14/10000))/2,(AX229+(Inputs!$B$14/10000))/2))^(2*AW229/365.25)</f>
        <v>1.20249645665802</v>
      </c>
      <c r="AZ229" s="49" t="n">
        <f aca="false">IF(AND(mthbeg&lt;=A229,mthend&gt;=A229),1,0)</f>
        <v>0</v>
      </c>
      <c r="BA229" s="111" t="n">
        <f aca="false">AU229*AZ229</f>
        <v>0</v>
      </c>
      <c r="BC229" s="142" t="n">
        <f aca="false">E229*$D229</f>
        <v>0</v>
      </c>
      <c r="BD229" s="142" t="n">
        <f aca="false">F229*$D229</f>
        <v>0</v>
      </c>
      <c r="BE229" s="142" t="n">
        <f aca="false">G229*$D229</f>
        <v>0</v>
      </c>
      <c r="BF229" s="142" t="n">
        <f aca="false">H229*$D229</f>
        <v>0</v>
      </c>
      <c r="BG229" s="142" t="n">
        <f aca="false">I229*$D229</f>
        <v>0</v>
      </c>
      <c r="BH229" s="142" t="n">
        <f aca="false">J229*$D229</f>
        <v>0</v>
      </c>
      <c r="BI229" s="142" t="n">
        <f aca="false">K229*$D229</f>
        <v>0</v>
      </c>
      <c r="BJ229" s="142" t="n">
        <f aca="false">L229*$D229</f>
        <v>0</v>
      </c>
      <c r="BK229" s="142" t="n">
        <f aca="false">M229*$D229</f>
        <v>0</v>
      </c>
      <c r="BL229" s="142" t="n">
        <f aca="false">N229*$D229</f>
        <v>0</v>
      </c>
      <c r="BM229" s="142" t="n">
        <f aca="false">O229*$D229</f>
        <v>0</v>
      </c>
      <c r="BN229" s="142" t="n">
        <f aca="false">P229*$D229</f>
        <v>0</v>
      </c>
      <c r="BO229" s="142" t="n">
        <f aca="false">Q229*$D229</f>
        <v>0</v>
      </c>
      <c r="BP229" s="142" t="n">
        <f aca="false">R229*$D229</f>
        <v>0</v>
      </c>
      <c r="BQ229" s="142" t="n">
        <f aca="false">S229*$D229</f>
        <v>0</v>
      </c>
      <c r="BR229" s="142" t="n">
        <f aca="false">U229*$D229</f>
        <v>0</v>
      </c>
      <c r="BS229" s="142" t="n">
        <f aca="false">AA229*$D229</f>
        <v>0</v>
      </c>
      <c r="BT229" s="142" t="n">
        <f aca="false">AI229*$D229</f>
        <v>0</v>
      </c>
      <c r="BU229" s="142" t="n">
        <f aca="false">AK229*D229</f>
        <v>0</v>
      </c>
    </row>
    <row r="230" customFormat="false" ht="12.75" hidden="false" customHeight="false" outlineLevel="0" collapsed="false">
      <c r="A230" s="144" t="n">
        <f aca="false">EDATE(A229,1)</f>
        <v>44835</v>
      </c>
      <c r="B230" s="145" t="n">
        <f aca="false">Inputs!$B$8</f>
        <v>50000</v>
      </c>
      <c r="C230" s="146" t="n">
        <f aca="false">IF(AZ230=0,0,IF(AND(AZ230=1,$H$3=1),B230*AU230,IF($H$3=2,B230,"N/A")))</f>
        <v>0</v>
      </c>
      <c r="D230" s="146" t="n">
        <f aca="false">C230*AY230</f>
        <v>0</v>
      </c>
      <c r="E230" s="147" t="n">
        <f aca="false">VLOOKUP($A230,[1]!CurveTable,MATCH($E$4,[1]!CurveType,0))</f>
        <v>5.622</v>
      </c>
      <c r="F230" s="148" t="n">
        <f aca="false">E230-Inputs!$B$16</f>
        <v>5.677</v>
      </c>
      <c r="G230" s="149" t="n">
        <f aca="false">F230</f>
        <v>5.677</v>
      </c>
      <c r="H230" s="147" t="n">
        <f aca="false">VLOOKUP($A230,[1]!CurveTable,MATCH($H$4,[1]!CurveType,0))</f>
        <v>0.3</v>
      </c>
      <c r="I230" s="148" t="n">
        <f aca="false">H230+Inputs!$B$22</f>
        <v>0.3</v>
      </c>
      <c r="J230" s="150" t="n">
        <f aca="false">I230</f>
        <v>0.3</v>
      </c>
      <c r="K230" s="147" t="n">
        <f aca="false">VLOOKUP($A230,[1]!CurveTable,MATCH($K$4,[1]!CurveType,0))</f>
        <v>0</v>
      </c>
      <c r="L230" s="148" t="n">
        <v>0</v>
      </c>
      <c r="M230" s="151" t="n">
        <f aca="false">L230</f>
        <v>0</v>
      </c>
      <c r="N230" s="147" t="n">
        <f aca="false">VLOOKUP($A230,[1]!CurveTable,MATCH($N$4,[1]!CurveType,0))</f>
        <v>0.022</v>
      </c>
      <c r="O230" s="148" t="n">
        <f aca="false">N230+Inputs!$E$22</f>
        <v>0.022</v>
      </c>
      <c r="P230" s="151" t="n">
        <f aca="false">O230</f>
        <v>0.022</v>
      </c>
      <c r="Q230" s="147" t="n">
        <f aca="false">VLOOKUP($A230,[1]!CurveTable,MATCH($Q$4,[1]!CurveType,0))</f>
        <v>0.01</v>
      </c>
      <c r="R230" s="148" t="n">
        <v>0</v>
      </c>
      <c r="S230" s="151" t="n">
        <f aca="false">R230</f>
        <v>0</v>
      </c>
      <c r="T230" s="152"/>
      <c r="U230" s="153" t="n">
        <f aca="false">G230+J230</f>
        <v>5.977</v>
      </c>
      <c r="V230" s="154"/>
      <c r="W230" s="155" t="n">
        <f aca="false">VLOOKUP($A230,[1]!CurveTable,MATCH($W$4,[1]!CurveType,0))+$W$9</f>
        <v>0.17</v>
      </c>
      <c r="X230" s="155" t="n">
        <f aca="false">VLOOKUP($A230,[1]!CurveTable,MATCH($X$4,[1]!CurveType,0))+$X$9</f>
        <v>0.175</v>
      </c>
      <c r="Y230" s="139" t="n">
        <f aca="false">SQRT((X230^2*($A230-$C$3)+W230^2*(DAY(EOMONTH(A230,0))/2))/$AN230)</f>
        <v>0.171404819942338</v>
      </c>
      <c r="Z230" s="152"/>
      <c r="AA230" s="153" t="n">
        <f aca="false">G230+P230+S230</f>
        <v>5.699</v>
      </c>
      <c r="AB230" s="154"/>
      <c r="AC230" s="155" t="n">
        <f aca="false">VLOOKUP($A230,[1]!CurveTable,MATCH($AC$4,[1]!CurveType,0))+$AC$9</f>
        <v>0.17</v>
      </c>
      <c r="AD230" s="155" t="n">
        <f aca="false">VLOOKUP($A230,[1]!CurveTable,MATCH($AD$4,[1]!CurveType,0))+$AD$9</f>
        <v>0.175</v>
      </c>
      <c r="AE230" s="139" t="n">
        <f aca="false">SQRT((AD230^2*($A230-$C$3)+AC230^2*(DAY(EOMONTH(A230,0))/2))/$AN230)</f>
        <v>0.171404819942338</v>
      </c>
      <c r="AF230" s="152"/>
      <c r="AG230" s="156" t="n">
        <f aca="false">((Inputs!$F$20*(X230*AD230)*(A230-$C$3))+(Inputs!$F$19*W230*AC230*(DAY(EOMONTH(A230,0))/2)))/(AN230*Y230*AE230)</f>
        <v>0.75</v>
      </c>
      <c r="AH230" s="152"/>
      <c r="AI230" s="140" t="n">
        <f aca="false">Inputs!$B$15</f>
        <v>0.06</v>
      </c>
      <c r="AJ230" s="157"/>
      <c r="AK230" s="140" t="n">
        <f aca="false">IF((U230-AA230-AI230)&lt;0,0,(U230-AA230-AI230))</f>
        <v>0.218</v>
      </c>
      <c r="AL230" s="157"/>
      <c r="AM230" s="158" t="n">
        <f aca="false">WORKDAY(EOMONTH(A230-1,-1),0)</f>
        <v>44804</v>
      </c>
      <c r="AN230" s="159" t="n">
        <f aca="false">AM230-$C$3</f>
        <v>-1122</v>
      </c>
      <c r="AO230" s="159" t="n">
        <f aca="false">AO229</f>
        <v>1</v>
      </c>
      <c r="AP230" s="160"/>
      <c r="AQ230" s="161" t="e">
        <f aca="false">SPRDOPT(U230,AA230,AI230,AX230,X230,AD230,AG230,AN230,AO230,0)</f>
        <v>#NAME?</v>
      </c>
      <c r="AR230" s="162" t="e">
        <f aca="false">AQ230*C230</f>
        <v>#NAME?</v>
      </c>
      <c r="AS230" s="163" t="e">
        <f aca="false">AQ230-AK230</f>
        <v>#NAME?</v>
      </c>
      <c r="AU230" s="112" t="n">
        <f aca="false">A231-A230</f>
        <v>31</v>
      </c>
      <c r="AV230" s="164" t="n">
        <f aca="false">CHOOSE(F$3,A231+24,A230+14)</f>
        <v>44849</v>
      </c>
      <c r="AW230" s="49" t="n">
        <f aca="false">AV230-C$3</f>
        <v>-1077</v>
      </c>
      <c r="AX230" s="155" t="n">
        <f aca="false">VLOOKUP($A230,[1]!CurveTable,MATCH(AX$4,[1]!CurveType,0))</f>
        <v>0.0617800684317191</v>
      </c>
      <c r="AY230" s="165" t="n">
        <f aca="false">1/(1+CHOOSE(F$3,(AX231+(Inputs!$B$14/10000))/2,(AX230+(Inputs!$B$14/10000))/2))^(2*AW230/365.25)</f>
        <v>1.1965133381525</v>
      </c>
      <c r="AZ230" s="49" t="n">
        <f aca="false">IF(AND(mthbeg&lt;=A230,mthend&gt;=A230),1,0)</f>
        <v>0</v>
      </c>
      <c r="BA230" s="111" t="n">
        <f aca="false">AU230*AZ230</f>
        <v>0</v>
      </c>
      <c r="BC230" s="142" t="n">
        <f aca="false">E230*$D230</f>
        <v>0</v>
      </c>
      <c r="BD230" s="142" t="n">
        <f aca="false">F230*$D230</f>
        <v>0</v>
      </c>
      <c r="BE230" s="142" t="n">
        <f aca="false">G230*$D230</f>
        <v>0</v>
      </c>
      <c r="BF230" s="142" t="n">
        <f aca="false">H230*$D230</f>
        <v>0</v>
      </c>
      <c r="BG230" s="142" t="n">
        <f aca="false">I230*$D230</f>
        <v>0</v>
      </c>
      <c r="BH230" s="142" t="n">
        <f aca="false">J230*$D230</f>
        <v>0</v>
      </c>
      <c r="BI230" s="142" t="n">
        <f aca="false">K230*$D230</f>
        <v>0</v>
      </c>
      <c r="BJ230" s="142" t="n">
        <f aca="false">L230*$D230</f>
        <v>0</v>
      </c>
      <c r="BK230" s="142" t="n">
        <f aca="false">M230*$D230</f>
        <v>0</v>
      </c>
      <c r="BL230" s="142" t="n">
        <f aca="false">N230*$D230</f>
        <v>0</v>
      </c>
      <c r="BM230" s="142" t="n">
        <f aca="false">O230*$D230</f>
        <v>0</v>
      </c>
      <c r="BN230" s="142" t="n">
        <f aca="false">P230*$D230</f>
        <v>0</v>
      </c>
      <c r="BO230" s="142" t="n">
        <f aca="false">Q230*$D230</f>
        <v>0</v>
      </c>
      <c r="BP230" s="142" t="n">
        <f aca="false">R230*$D230</f>
        <v>0</v>
      </c>
      <c r="BQ230" s="142" t="n">
        <f aca="false">S230*$D230</f>
        <v>0</v>
      </c>
      <c r="BR230" s="142" t="n">
        <f aca="false">U230*$D230</f>
        <v>0</v>
      </c>
      <c r="BS230" s="142" t="n">
        <f aca="false">AA230*$D230</f>
        <v>0</v>
      </c>
      <c r="BT230" s="142" t="n">
        <f aca="false">AI230*$D230</f>
        <v>0</v>
      </c>
      <c r="BU230" s="142" t="n">
        <f aca="false">AK230*D230</f>
        <v>0</v>
      </c>
    </row>
    <row r="231" customFormat="false" ht="12.75" hidden="false" customHeight="false" outlineLevel="0" collapsed="false">
      <c r="A231" s="144" t="n">
        <f aca="false">EDATE(A230,1)</f>
        <v>44866</v>
      </c>
      <c r="B231" s="145" t="n">
        <f aca="false">Inputs!$B$8</f>
        <v>50000</v>
      </c>
      <c r="C231" s="146" t="n">
        <f aca="false">IF(AZ231=0,0,IF(AND(AZ231=1,$H$3=1),B231*AU231,IF($H$3=2,B231,"N/A")))</f>
        <v>0</v>
      </c>
      <c r="D231" s="146" t="n">
        <f aca="false">C231*AY231</f>
        <v>0</v>
      </c>
      <c r="E231" s="147" t="n">
        <f aca="false">VLOOKUP($A231,[1]!CurveTable,MATCH($E$4,[1]!CurveType,0))</f>
        <v>5.77</v>
      </c>
      <c r="F231" s="148" t="n">
        <f aca="false">E231-Inputs!$B$16</f>
        <v>5.825</v>
      </c>
      <c r="G231" s="149" t="n">
        <f aca="false">F231</f>
        <v>5.825</v>
      </c>
      <c r="H231" s="147" t="n">
        <f aca="false">VLOOKUP($A231,[1]!CurveTable,MATCH($H$4,[1]!CurveType,0))</f>
        <v>0.23</v>
      </c>
      <c r="I231" s="148" t="n">
        <f aca="false">H231+Inputs!$B$22</f>
        <v>0.23</v>
      </c>
      <c r="J231" s="150" t="n">
        <f aca="false">I231</f>
        <v>0.23</v>
      </c>
      <c r="K231" s="147" t="n">
        <f aca="false">VLOOKUP($A231,[1]!CurveTable,MATCH($K$4,[1]!CurveType,0))</f>
        <v>0</v>
      </c>
      <c r="L231" s="148" t="n">
        <v>0</v>
      </c>
      <c r="M231" s="151" t="n">
        <f aca="false">L231</f>
        <v>0</v>
      </c>
      <c r="N231" s="147" t="n">
        <f aca="false">VLOOKUP($A231,[1]!CurveTable,MATCH($N$4,[1]!CurveType,0))</f>
        <v>0.023</v>
      </c>
      <c r="O231" s="148" t="n">
        <f aca="false">N231+Inputs!$E$22</f>
        <v>0.023</v>
      </c>
      <c r="P231" s="151" t="n">
        <f aca="false">O231</f>
        <v>0.023</v>
      </c>
      <c r="Q231" s="147" t="n">
        <f aca="false">VLOOKUP($A231,[1]!CurveTable,MATCH($Q$4,[1]!CurveType,0))</f>
        <v>0.0075</v>
      </c>
      <c r="R231" s="148" t="n">
        <v>0</v>
      </c>
      <c r="S231" s="151" t="n">
        <f aca="false">R231</f>
        <v>0</v>
      </c>
      <c r="T231" s="152"/>
      <c r="U231" s="153" t="n">
        <f aca="false">G231+J231</f>
        <v>6.055</v>
      </c>
      <c r="V231" s="154"/>
      <c r="W231" s="155" t="n">
        <f aca="false">VLOOKUP($A231,[1]!CurveTable,MATCH($W$4,[1]!CurveType,0))+$W$9</f>
        <v>0.17</v>
      </c>
      <c r="X231" s="155" t="n">
        <f aca="false">VLOOKUP($A231,[1]!CurveTable,MATCH($X$4,[1]!CurveType,0))+$X$9</f>
        <v>0.175</v>
      </c>
      <c r="Y231" s="139" t="n">
        <f aca="false">SQRT((X231^2*($A231-$C$3)+W231^2*(DAY(EOMONTH(A231,0))/2))/$AN231)</f>
        <v>0.171261747277628</v>
      </c>
      <c r="Z231" s="152"/>
      <c r="AA231" s="153" t="n">
        <f aca="false">G231+P231+S231</f>
        <v>5.848</v>
      </c>
      <c r="AB231" s="154"/>
      <c r="AC231" s="155" t="n">
        <f aca="false">VLOOKUP($A231,[1]!CurveTable,MATCH($AC$4,[1]!CurveType,0))+$AC$9</f>
        <v>0.17</v>
      </c>
      <c r="AD231" s="155" t="n">
        <f aca="false">VLOOKUP($A231,[1]!CurveTable,MATCH($AD$4,[1]!CurveType,0))+$AD$9</f>
        <v>0.175</v>
      </c>
      <c r="AE231" s="139" t="n">
        <f aca="false">SQRT((AD231^2*($A231-$C$3)+AC231^2*(DAY(EOMONTH(A231,0))/2))/$AN231)</f>
        <v>0.171261747277628</v>
      </c>
      <c r="AF231" s="152"/>
      <c r="AG231" s="156" t="n">
        <f aca="false">((Inputs!$F$20*(X231*AD231)*(A231-$C$3))+(Inputs!$F$19*W231*AC231*(DAY(EOMONTH(A231,0))/2)))/(AN231*Y231*AE231)</f>
        <v>0.75</v>
      </c>
      <c r="AH231" s="152"/>
      <c r="AI231" s="140" t="n">
        <f aca="false">Inputs!$B$15</f>
        <v>0.06</v>
      </c>
      <c r="AJ231" s="157"/>
      <c r="AK231" s="140" t="n">
        <f aca="false">IF((U231-AA231-AI231)&lt;0,0,(U231-AA231-AI231))</f>
        <v>0.147000000000001</v>
      </c>
      <c r="AL231" s="157"/>
      <c r="AM231" s="158" t="n">
        <f aca="false">WORKDAY(EOMONTH(A231-1,-1),0)</f>
        <v>44834</v>
      </c>
      <c r="AN231" s="159" t="n">
        <f aca="false">AM231-$C$3</f>
        <v>-1092</v>
      </c>
      <c r="AO231" s="159" t="n">
        <f aca="false">AO230</f>
        <v>1</v>
      </c>
      <c r="AP231" s="160"/>
      <c r="AQ231" s="161" t="e">
        <f aca="false">SPRDOPT(U231,AA231,AI231,AX231,X231,AD231,AG231,AN231,AO231,0)</f>
        <v>#NAME?</v>
      </c>
      <c r="AR231" s="162" t="e">
        <f aca="false">AQ231*C231</f>
        <v>#NAME?</v>
      </c>
      <c r="AS231" s="163" t="e">
        <f aca="false">AQ231-AK231</f>
        <v>#NAME?</v>
      </c>
      <c r="AU231" s="112" t="n">
        <f aca="false">A232-A231</f>
        <v>30</v>
      </c>
      <c r="AV231" s="164" t="n">
        <f aca="false">CHOOSE(F$3,A232+24,A231+14)</f>
        <v>44880</v>
      </c>
      <c r="AW231" s="49" t="n">
        <f aca="false">AV231-C$3</f>
        <v>-1046</v>
      </c>
      <c r="AX231" s="155" t="n">
        <f aca="false">VLOOKUP($A231,[1]!CurveTable,MATCH(AX$4,[1]!CurveType,0))</f>
        <v>0.0617834222471423</v>
      </c>
      <c r="AY231" s="165" t="n">
        <f aca="false">1/(1+CHOOSE(F$3,(AX232+(Inputs!$B$14/10000))/2,(AX231+(Inputs!$B$14/10000))/2))^(2*AW231/365.25)</f>
        <v>1.19036140835463</v>
      </c>
      <c r="AZ231" s="49" t="n">
        <f aca="false">IF(AND(mthbeg&lt;=A231,mthend&gt;=A231),1,0)</f>
        <v>0</v>
      </c>
      <c r="BA231" s="111" t="n">
        <f aca="false">AU231*AZ231</f>
        <v>0</v>
      </c>
      <c r="BC231" s="142" t="n">
        <f aca="false">E231*$D231</f>
        <v>0</v>
      </c>
      <c r="BD231" s="142" t="n">
        <f aca="false">F231*$D231</f>
        <v>0</v>
      </c>
      <c r="BE231" s="142" t="n">
        <f aca="false">G231*$D231</f>
        <v>0</v>
      </c>
      <c r="BF231" s="142" t="n">
        <f aca="false">H231*$D231</f>
        <v>0</v>
      </c>
      <c r="BG231" s="142" t="n">
        <f aca="false">I231*$D231</f>
        <v>0</v>
      </c>
      <c r="BH231" s="142" t="n">
        <f aca="false">J231*$D231</f>
        <v>0</v>
      </c>
      <c r="BI231" s="142" t="n">
        <f aca="false">K231*$D231</f>
        <v>0</v>
      </c>
      <c r="BJ231" s="142" t="n">
        <f aca="false">L231*$D231</f>
        <v>0</v>
      </c>
      <c r="BK231" s="142" t="n">
        <f aca="false">M231*$D231</f>
        <v>0</v>
      </c>
      <c r="BL231" s="142" t="n">
        <f aca="false">N231*$D231</f>
        <v>0</v>
      </c>
      <c r="BM231" s="142" t="n">
        <f aca="false">O231*$D231</f>
        <v>0</v>
      </c>
      <c r="BN231" s="142" t="n">
        <f aca="false">P231*$D231</f>
        <v>0</v>
      </c>
      <c r="BO231" s="142" t="n">
        <f aca="false">Q231*$D231</f>
        <v>0</v>
      </c>
      <c r="BP231" s="142" t="n">
        <f aca="false">R231*$D231</f>
        <v>0</v>
      </c>
      <c r="BQ231" s="142" t="n">
        <f aca="false">S231*$D231</f>
        <v>0</v>
      </c>
      <c r="BR231" s="142" t="n">
        <f aca="false">U231*$D231</f>
        <v>0</v>
      </c>
      <c r="BS231" s="142" t="n">
        <f aca="false">AA231*$D231</f>
        <v>0</v>
      </c>
      <c r="BT231" s="142" t="n">
        <f aca="false">AI231*$D231</f>
        <v>0</v>
      </c>
      <c r="BU231" s="142" t="n">
        <f aca="false">AK231*D231</f>
        <v>0</v>
      </c>
    </row>
    <row r="232" customFormat="false" ht="12.75" hidden="false" customHeight="false" outlineLevel="0" collapsed="false">
      <c r="A232" s="144" t="n">
        <f aca="false">EDATE(A231,1)</f>
        <v>44896</v>
      </c>
      <c r="B232" s="145" t="n">
        <f aca="false">Inputs!$B$8</f>
        <v>50000</v>
      </c>
      <c r="C232" s="146" t="n">
        <f aca="false">IF(AZ232=0,0,IF(AND(AZ232=1,$H$3=1),B232*AU232,IF($H$3=2,B232,"N/A")))</f>
        <v>0</v>
      </c>
      <c r="D232" s="146" t="n">
        <f aca="false">C232*AY232</f>
        <v>0</v>
      </c>
      <c r="E232" s="147" t="n">
        <f aca="false">VLOOKUP($A232,[1]!CurveTable,MATCH($E$4,[1]!CurveType,0))</f>
        <v>5.922</v>
      </c>
      <c r="F232" s="148" t="n">
        <f aca="false">E232-Inputs!$B$16</f>
        <v>5.977</v>
      </c>
      <c r="G232" s="149" t="n">
        <f aca="false">F232</f>
        <v>5.977</v>
      </c>
      <c r="H232" s="147" t="n">
        <f aca="false">VLOOKUP($A232,[1]!CurveTable,MATCH($H$4,[1]!CurveType,0))</f>
        <v>0.26</v>
      </c>
      <c r="I232" s="148" t="n">
        <f aca="false">H232+Inputs!$B$22</f>
        <v>0.26</v>
      </c>
      <c r="J232" s="150" t="n">
        <f aca="false">I232</f>
        <v>0.26</v>
      </c>
      <c r="K232" s="147" t="n">
        <f aca="false">VLOOKUP($A232,[1]!CurveTable,MATCH($K$4,[1]!CurveType,0))</f>
        <v>0</v>
      </c>
      <c r="L232" s="148" t="n">
        <v>0</v>
      </c>
      <c r="M232" s="151" t="n">
        <f aca="false">L232</f>
        <v>0</v>
      </c>
      <c r="N232" s="147" t="n">
        <f aca="false">VLOOKUP($A232,[1]!CurveTable,MATCH($N$4,[1]!CurveType,0))</f>
        <v>0.023</v>
      </c>
      <c r="O232" s="148" t="n">
        <f aca="false">N232+Inputs!$E$22</f>
        <v>0.023</v>
      </c>
      <c r="P232" s="151" t="n">
        <f aca="false">O232</f>
        <v>0.023</v>
      </c>
      <c r="Q232" s="147" t="n">
        <f aca="false">VLOOKUP($A232,[1]!CurveTable,MATCH($Q$4,[1]!CurveType,0))</f>
        <v>0.0075</v>
      </c>
      <c r="R232" s="148" t="n">
        <v>0</v>
      </c>
      <c r="S232" s="151" t="n">
        <f aca="false">R232</f>
        <v>0</v>
      </c>
      <c r="T232" s="152"/>
      <c r="U232" s="153" t="n">
        <f aca="false">G232+J232</f>
        <v>6.237</v>
      </c>
      <c r="V232" s="154"/>
      <c r="W232" s="155" t="n">
        <f aca="false">VLOOKUP($A232,[1]!CurveTable,MATCH($W$4,[1]!CurveType,0))+$W$9</f>
        <v>0.17</v>
      </c>
      <c r="X232" s="155" t="n">
        <f aca="false">VLOOKUP($A232,[1]!CurveTable,MATCH($X$4,[1]!CurveType,0))+$X$9</f>
        <v>0.175</v>
      </c>
      <c r="Y232" s="139" t="n">
        <f aca="false">SQRT((X232^2*($A232-$C$3)+W232^2*(DAY(EOMONTH(A232,0))/2))/$AN232)</f>
        <v>0.171195827373464</v>
      </c>
      <c r="Z232" s="152"/>
      <c r="AA232" s="153" t="n">
        <f aca="false">G232+P232+S232</f>
        <v>6</v>
      </c>
      <c r="AB232" s="154"/>
      <c r="AC232" s="155" t="n">
        <f aca="false">VLOOKUP($A232,[1]!CurveTable,MATCH($AC$4,[1]!CurveType,0))+$AC$9</f>
        <v>0.17</v>
      </c>
      <c r="AD232" s="155" t="n">
        <f aca="false">VLOOKUP($A232,[1]!CurveTable,MATCH($AD$4,[1]!CurveType,0))+$AD$9</f>
        <v>0.175</v>
      </c>
      <c r="AE232" s="139" t="n">
        <f aca="false">SQRT((AD232^2*($A232-$C$3)+AC232^2*(DAY(EOMONTH(A232,0))/2))/$AN232)</f>
        <v>0.171195827373464</v>
      </c>
      <c r="AF232" s="152"/>
      <c r="AG232" s="156" t="n">
        <f aca="false">((Inputs!$F$20*(X232*AD232)*(A232-$C$3))+(Inputs!$F$19*W232*AC232*(DAY(EOMONTH(A232,0))/2)))/(AN232*Y232*AE232)</f>
        <v>0.75</v>
      </c>
      <c r="AH232" s="152"/>
      <c r="AI232" s="140" t="n">
        <f aca="false">Inputs!$B$15</f>
        <v>0.06</v>
      </c>
      <c r="AJ232" s="157"/>
      <c r="AK232" s="140" t="n">
        <f aca="false">IF((U232-AA232-AI232)&lt;0,0,(U232-AA232-AI232))</f>
        <v>0.177</v>
      </c>
      <c r="AL232" s="157"/>
      <c r="AM232" s="158" t="n">
        <f aca="false">WORKDAY(EOMONTH(A232-1,-1),0)</f>
        <v>44865</v>
      </c>
      <c r="AN232" s="159" t="n">
        <f aca="false">AM232-$C$3</f>
        <v>-1061</v>
      </c>
      <c r="AO232" s="159" t="n">
        <f aca="false">AO231</f>
        <v>1</v>
      </c>
      <c r="AP232" s="160"/>
      <c r="AQ232" s="161" t="e">
        <f aca="false">SPRDOPT(U232,AA232,AI232,AX232,X232,AD232,AG232,AN232,AO232,0)</f>
        <v>#NAME?</v>
      </c>
      <c r="AR232" s="162" t="e">
        <f aca="false">AQ232*C232</f>
        <v>#NAME?</v>
      </c>
      <c r="AS232" s="163" t="e">
        <f aca="false">AQ232-AK232</f>
        <v>#NAME?</v>
      </c>
      <c r="AU232" s="112" t="n">
        <f aca="false">A233-A232</f>
        <v>31</v>
      </c>
      <c r="AV232" s="164" t="n">
        <f aca="false">CHOOSE(F$3,A233+24,A232+14)</f>
        <v>44910</v>
      </c>
      <c r="AW232" s="49" t="n">
        <f aca="false">AV232-C$3</f>
        <v>-1016</v>
      </c>
      <c r="AX232" s="155" t="n">
        <f aca="false">VLOOKUP($A232,[1]!CurveTable,MATCH(AX$4,[1]!CurveType,0))</f>
        <v>0.061786667874975</v>
      </c>
      <c r="AY232" s="165" t="n">
        <f aca="false">1/(1+CHOOSE(F$3,(AX233+(Inputs!$B$14/10000))/2,(AX232+(Inputs!$B$14/10000))/2))^(2*AW232/365.25)</f>
        <v>1.1844374231605</v>
      </c>
      <c r="AZ232" s="49" t="n">
        <f aca="false">IF(AND(mthbeg&lt;=A232,mthend&gt;=A232),1,0)</f>
        <v>0</v>
      </c>
      <c r="BA232" s="111" t="n">
        <f aca="false">AU232*AZ232</f>
        <v>0</v>
      </c>
      <c r="BC232" s="142" t="n">
        <f aca="false">E232*$D232</f>
        <v>0</v>
      </c>
      <c r="BD232" s="142" t="n">
        <f aca="false">F232*$D232</f>
        <v>0</v>
      </c>
      <c r="BE232" s="142" t="n">
        <f aca="false">G232*$D232</f>
        <v>0</v>
      </c>
      <c r="BF232" s="142" t="n">
        <f aca="false">H232*$D232</f>
        <v>0</v>
      </c>
      <c r="BG232" s="142" t="n">
        <f aca="false">I232*$D232</f>
        <v>0</v>
      </c>
      <c r="BH232" s="142" t="n">
        <f aca="false">J232*$D232</f>
        <v>0</v>
      </c>
      <c r="BI232" s="142" t="n">
        <f aca="false">K232*$D232</f>
        <v>0</v>
      </c>
      <c r="BJ232" s="142" t="n">
        <f aca="false">L232*$D232</f>
        <v>0</v>
      </c>
      <c r="BK232" s="142" t="n">
        <f aca="false">M232*$D232</f>
        <v>0</v>
      </c>
      <c r="BL232" s="142" t="n">
        <f aca="false">N232*$D232</f>
        <v>0</v>
      </c>
      <c r="BM232" s="142" t="n">
        <f aca="false">O232*$D232</f>
        <v>0</v>
      </c>
      <c r="BN232" s="142" t="n">
        <f aca="false">P232*$D232</f>
        <v>0</v>
      </c>
      <c r="BO232" s="142" t="n">
        <f aca="false">Q232*$D232</f>
        <v>0</v>
      </c>
      <c r="BP232" s="142" t="n">
        <f aca="false">R232*$D232</f>
        <v>0</v>
      </c>
      <c r="BQ232" s="142" t="n">
        <f aca="false">S232*$D232</f>
        <v>0</v>
      </c>
      <c r="BR232" s="142" t="n">
        <f aca="false">U232*$D232</f>
        <v>0</v>
      </c>
      <c r="BS232" s="142" t="n">
        <f aca="false">AA232*$D232</f>
        <v>0</v>
      </c>
      <c r="BT232" s="142" t="n">
        <f aca="false">AI232*$D232</f>
        <v>0</v>
      </c>
      <c r="BU232" s="142" t="n">
        <f aca="false">AK232*D232</f>
        <v>0</v>
      </c>
    </row>
    <row r="233" customFormat="false" ht="12.75" hidden="false" customHeight="false" outlineLevel="0" collapsed="false">
      <c r="A233" s="144" t="n">
        <f aca="false">EDATE(A232,1)</f>
        <v>44927</v>
      </c>
      <c r="B233" s="145" t="n">
        <f aca="false">Inputs!$B$8</f>
        <v>50000</v>
      </c>
      <c r="C233" s="146" t="n">
        <f aca="false">IF(AZ233=0,0,IF(AND(AZ233=1,$H$3=1),B233*AU233,IF($H$3=2,B233,"N/A")))</f>
        <v>0</v>
      </c>
      <c r="D233" s="146" t="n">
        <f aca="false">C233*AY233</f>
        <v>0</v>
      </c>
      <c r="E233" s="147" t="n">
        <f aca="false">VLOOKUP($A233,[1]!CurveTable,MATCH($E$4,[1]!CurveType,0))</f>
        <v>5.9995</v>
      </c>
      <c r="F233" s="148" t="n">
        <f aca="false">E233-Inputs!$B$16</f>
        <v>6.0545</v>
      </c>
      <c r="G233" s="149" t="n">
        <f aca="false">F233</f>
        <v>6.0545</v>
      </c>
      <c r="H233" s="147" t="n">
        <f aca="false">VLOOKUP($A233,[1]!CurveTable,MATCH($H$4,[1]!CurveType,0))</f>
        <v>0.085</v>
      </c>
      <c r="I233" s="148" t="n">
        <f aca="false">H233+Inputs!$B$22</f>
        <v>0.085</v>
      </c>
      <c r="J233" s="150" t="n">
        <f aca="false">I233</f>
        <v>0.085</v>
      </c>
      <c r="K233" s="147" t="n">
        <f aca="false">VLOOKUP($A233,[1]!CurveTable,MATCH($K$4,[1]!CurveType,0))</f>
        <v>0</v>
      </c>
      <c r="L233" s="148" t="n">
        <v>0</v>
      </c>
      <c r="M233" s="151" t="n">
        <f aca="false">L233</f>
        <v>0</v>
      </c>
      <c r="N233" s="147" t="str">
        <f aca="false">VLOOKUP($A233,[1]!CurveTable,MATCH($N$4,[1]!CurveType,0))</f>
        <v/>
      </c>
      <c r="O233" s="148" t="e">
        <f aca="false">N233+Inputs!$E$22</f>
        <v>#VALUE!</v>
      </c>
      <c r="P233" s="151" t="e">
        <f aca="false">O233</f>
        <v>#VALUE!</v>
      </c>
      <c r="Q233" s="147" t="str">
        <f aca="false">VLOOKUP($A233,[1]!CurveTable,MATCH($Q$4,[1]!CurveType,0))</f>
        <v/>
      </c>
      <c r="R233" s="148" t="n">
        <v>0</v>
      </c>
      <c r="S233" s="151" t="n">
        <f aca="false">R233</f>
        <v>0</v>
      </c>
      <c r="T233" s="152"/>
      <c r="U233" s="153" t="n">
        <f aca="false">G233+J233</f>
        <v>6.1395</v>
      </c>
      <c r="V233" s="154"/>
      <c r="W233" s="155" t="n">
        <f aca="false">VLOOKUP($A233,[1]!CurveTable,MATCH($W$4,[1]!CurveType,0))+$W$9</f>
        <v>0.17</v>
      </c>
      <c r="X233" s="155" t="n">
        <f aca="false">VLOOKUP($A233,[1]!CurveTable,MATCH($X$4,[1]!CurveType,0))+$X$9</f>
        <v>0.175</v>
      </c>
      <c r="Y233" s="139" t="n">
        <f aca="false">SQRT((X233^2*($A233-$C$3)+W233^2*(DAY(EOMONTH(A233,0))/2))/$AN233)</f>
        <v>0.170997033456778</v>
      </c>
      <c r="Z233" s="152"/>
      <c r="AA233" s="153" t="e">
        <f aca="false">G233+P233+S233</f>
        <v>#VALUE!</v>
      </c>
      <c r="AB233" s="154"/>
      <c r="AC233" s="155" t="n">
        <f aca="false">VLOOKUP($A233,[1]!CurveTable,MATCH($AC$4,[1]!CurveType,0))+$AC$9</f>
        <v>0.17</v>
      </c>
      <c r="AD233" s="155" t="n">
        <f aca="false">VLOOKUP($A233,[1]!CurveTable,MATCH($AD$4,[1]!CurveType,0))+$AD$9</f>
        <v>0.175</v>
      </c>
      <c r="AE233" s="139" t="n">
        <f aca="false">SQRT((AD233^2*($A233-$C$3)+AC233^2*(DAY(EOMONTH(A233,0))/2))/$AN233)</f>
        <v>0.170997033456778</v>
      </c>
      <c r="AF233" s="152"/>
      <c r="AG233" s="156" t="n">
        <f aca="false">((Inputs!$F$20*(X233*AD233)*(A233-$C$3))+(Inputs!$F$19*W233*AC233*(DAY(EOMONTH(A233,0))/2)))/(AN233*Y233*AE233)</f>
        <v>0.75</v>
      </c>
      <c r="AH233" s="152"/>
      <c r="AI233" s="140" t="n">
        <f aca="false">Inputs!$B$15</f>
        <v>0.06</v>
      </c>
      <c r="AJ233" s="157"/>
      <c r="AK233" s="140" t="e">
        <f aca="false">IF((U233-AA233-AI233)&lt;0,0,(U233-AA233-AI233))</f>
        <v>#VALUE!</v>
      </c>
      <c r="AL233" s="157"/>
      <c r="AM233" s="158" t="n">
        <f aca="false">WORKDAY(EOMONTH(A233-1,-1),0)</f>
        <v>44895</v>
      </c>
      <c r="AN233" s="159" t="n">
        <f aca="false">AM233-$C$3</f>
        <v>-1031</v>
      </c>
      <c r="AO233" s="159" t="n">
        <f aca="false">AO232</f>
        <v>1</v>
      </c>
      <c r="AP233" s="160"/>
      <c r="AQ233" s="161" t="e">
        <f aca="false">SPRDOPT(U233,AA233,AI233,AX233,X233,AD233,AG233,AN233,AO233,0)</f>
        <v>#NAME?</v>
      </c>
      <c r="AR233" s="162" t="e">
        <f aca="false">AQ233*C233</f>
        <v>#NAME?</v>
      </c>
      <c r="AS233" s="163" t="e">
        <f aca="false">AQ233-AK233</f>
        <v>#VALUE!</v>
      </c>
      <c r="AU233" s="112" t="n">
        <f aca="false">A234-A233</f>
        <v>31</v>
      </c>
      <c r="AV233" s="164" t="n">
        <f aca="false">CHOOSE(F$3,A234+24,A233+14)</f>
        <v>44941</v>
      </c>
      <c r="AW233" s="49" t="n">
        <f aca="false">AV233-C$3</f>
        <v>-985</v>
      </c>
      <c r="AX233" s="155" t="n">
        <f aca="false">VLOOKUP($A233,[1]!CurveTable,MATCH(AX$4,[1]!CurveType,0))</f>
        <v>0.0617900216904057</v>
      </c>
      <c r="AY233" s="165" t="n">
        <f aca="false">1/(1+CHOOSE(F$3,(AX234+(Inputs!$B$14/10000))/2,(AX233+(Inputs!$B$14/10000))/2))^(2*AW233/365.25)</f>
        <v>1.17834630174739</v>
      </c>
      <c r="AZ233" s="49" t="n">
        <f aca="false">IF(AND(mthbeg&lt;=A233,mthend&gt;=A233),1,0)</f>
        <v>0</v>
      </c>
      <c r="BA233" s="111" t="n">
        <f aca="false">AU233*AZ233</f>
        <v>0</v>
      </c>
      <c r="BC233" s="142" t="n">
        <f aca="false">E233*$D233</f>
        <v>0</v>
      </c>
      <c r="BD233" s="142" t="n">
        <f aca="false">F233*$D233</f>
        <v>0</v>
      </c>
      <c r="BE233" s="142" t="n">
        <f aca="false">G233*$D233</f>
        <v>0</v>
      </c>
      <c r="BF233" s="142" t="n">
        <f aca="false">H233*$D233</f>
        <v>0</v>
      </c>
      <c r="BG233" s="142" t="n">
        <f aca="false">I233*$D233</f>
        <v>0</v>
      </c>
      <c r="BH233" s="142" t="n">
        <f aca="false">J233*$D233</f>
        <v>0</v>
      </c>
      <c r="BI233" s="142" t="n">
        <f aca="false">K233*$D233</f>
        <v>0</v>
      </c>
      <c r="BJ233" s="142" t="n">
        <f aca="false">L233*$D233</f>
        <v>0</v>
      </c>
      <c r="BK233" s="142" t="n">
        <f aca="false">M233*$D233</f>
        <v>0</v>
      </c>
      <c r="BL233" s="142" t="e">
        <f aca="false">N233*$D233</f>
        <v>#VALUE!</v>
      </c>
      <c r="BM233" s="142" t="e">
        <f aca="false">O233*$D233</f>
        <v>#VALUE!</v>
      </c>
      <c r="BN233" s="142" t="e">
        <f aca="false">P233*$D233</f>
        <v>#VALUE!</v>
      </c>
      <c r="BO233" s="142" t="e">
        <f aca="false">Q233*$D233</f>
        <v>#VALUE!</v>
      </c>
      <c r="BP233" s="142" t="n">
        <f aca="false">R233*$D233</f>
        <v>0</v>
      </c>
      <c r="BQ233" s="142" t="n">
        <f aca="false">S233*$D233</f>
        <v>0</v>
      </c>
      <c r="BR233" s="142" t="n">
        <f aca="false">U233*$D233</f>
        <v>0</v>
      </c>
      <c r="BS233" s="142" t="e">
        <f aca="false">AA233*$D233</f>
        <v>#VALUE!</v>
      </c>
      <c r="BT233" s="142" t="n">
        <f aca="false">AI233*$D233</f>
        <v>0</v>
      </c>
      <c r="BU233" s="142" t="e">
        <f aca="false">AK233*D233</f>
        <v>#VALUE!</v>
      </c>
    </row>
    <row r="234" customFormat="false" ht="12.75" hidden="false" customHeight="false" outlineLevel="0" collapsed="false">
      <c r="A234" s="144" t="n">
        <f aca="false">EDATE(A233,1)</f>
        <v>44958</v>
      </c>
      <c r="B234" s="145" t="n">
        <f aca="false">Inputs!$B$8</f>
        <v>50000</v>
      </c>
      <c r="C234" s="146" t="n">
        <f aca="false">IF(AZ234=0,0,IF(AND(AZ234=1,$H$3=1),B234*AU234,IF($H$3=2,B234,"N/A")))</f>
        <v>0</v>
      </c>
      <c r="D234" s="146" t="n">
        <f aca="false">C234*AY234</f>
        <v>0</v>
      </c>
      <c r="E234" s="147" t="n">
        <f aca="false">VLOOKUP($A234,[1]!CurveTable,MATCH($E$4,[1]!CurveType,0))</f>
        <v>5.9125</v>
      </c>
      <c r="F234" s="148" t="n">
        <f aca="false">E234-Inputs!$B$16</f>
        <v>5.9675</v>
      </c>
      <c r="G234" s="149" t="n">
        <f aca="false">F234</f>
        <v>5.9675</v>
      </c>
      <c r="H234" s="147" t="n">
        <f aca="false">VLOOKUP($A234,[1]!CurveTable,MATCH($H$4,[1]!CurveType,0))</f>
        <v>0.075</v>
      </c>
      <c r="I234" s="148" t="n">
        <f aca="false">H234+Inputs!$B$22</f>
        <v>0.075</v>
      </c>
      <c r="J234" s="150" t="n">
        <f aca="false">I234</f>
        <v>0.075</v>
      </c>
      <c r="K234" s="147" t="n">
        <f aca="false">VLOOKUP($A234,[1]!CurveTable,MATCH($K$4,[1]!CurveType,0))</f>
        <v>0</v>
      </c>
      <c r="L234" s="148" t="n">
        <v>0</v>
      </c>
      <c r="M234" s="151" t="n">
        <f aca="false">L234</f>
        <v>0</v>
      </c>
      <c r="N234" s="147" t="str">
        <f aca="false">VLOOKUP($A234,[1]!CurveTable,MATCH($N$4,[1]!CurveType,0))</f>
        <v/>
      </c>
      <c r="O234" s="148" t="e">
        <f aca="false">N234+Inputs!$E$22</f>
        <v>#VALUE!</v>
      </c>
      <c r="P234" s="151" t="e">
        <f aca="false">O234</f>
        <v>#VALUE!</v>
      </c>
      <c r="Q234" s="147" t="str">
        <f aca="false">VLOOKUP($A234,[1]!CurveTable,MATCH($Q$4,[1]!CurveType,0))</f>
        <v/>
      </c>
      <c r="R234" s="148" t="n">
        <v>0</v>
      </c>
      <c r="S234" s="151" t="n">
        <f aca="false">R234</f>
        <v>0</v>
      </c>
      <c r="T234" s="152"/>
      <c r="U234" s="153" t="n">
        <f aca="false">G234+J234</f>
        <v>6.0425</v>
      </c>
      <c r="V234" s="154"/>
      <c r="W234" s="155" t="n">
        <f aca="false">VLOOKUP($A234,[1]!CurveTable,MATCH($W$4,[1]!CurveType,0))+$W$9</f>
        <v>0.17</v>
      </c>
      <c r="X234" s="155" t="n">
        <f aca="false">VLOOKUP($A234,[1]!CurveTable,MATCH($X$4,[1]!CurveType,0))+$X$9</f>
        <v>0.175</v>
      </c>
      <c r="Y234" s="139" t="n">
        <f aca="false">SQRT((X234^2*($A234-$C$3)+W234^2*(DAY(EOMONTH(A234,0))/2))/$AN234)</f>
        <v>0.170998245605035</v>
      </c>
      <c r="Z234" s="152"/>
      <c r="AA234" s="153" t="e">
        <f aca="false">G234+P234+S234</f>
        <v>#VALUE!</v>
      </c>
      <c r="AB234" s="154"/>
      <c r="AC234" s="155" t="n">
        <f aca="false">VLOOKUP($A234,[1]!CurveTable,MATCH($AC$4,[1]!CurveType,0))+$AC$9</f>
        <v>0.17</v>
      </c>
      <c r="AD234" s="155" t="n">
        <f aca="false">VLOOKUP($A234,[1]!CurveTable,MATCH($AD$4,[1]!CurveType,0))+$AD$9</f>
        <v>0.175</v>
      </c>
      <c r="AE234" s="139" t="n">
        <f aca="false">SQRT((AD234^2*($A234-$C$3)+AC234^2*(DAY(EOMONTH(A234,0))/2))/$AN234)</f>
        <v>0.170998245605035</v>
      </c>
      <c r="AF234" s="152"/>
      <c r="AG234" s="156" t="n">
        <f aca="false">((Inputs!$F$20*(X234*AD234)*(A234-$C$3))+(Inputs!$F$19*W234*AC234*(DAY(EOMONTH(A234,0))/2)))/(AN234*Y234*AE234)</f>
        <v>0.75</v>
      </c>
      <c r="AH234" s="152"/>
      <c r="AI234" s="140" t="n">
        <f aca="false">Inputs!$B$15</f>
        <v>0.06</v>
      </c>
      <c r="AJ234" s="157"/>
      <c r="AK234" s="140" t="e">
        <f aca="false">IF((U234-AA234-AI234)&lt;0,0,(U234-AA234-AI234))</f>
        <v>#VALUE!</v>
      </c>
      <c r="AL234" s="157"/>
      <c r="AM234" s="158" t="n">
        <f aca="false">WORKDAY(EOMONTH(A234-1,-1),0)</f>
        <v>44926</v>
      </c>
      <c r="AN234" s="159" t="n">
        <f aca="false">AM234-$C$3</f>
        <v>-1000</v>
      </c>
      <c r="AO234" s="159" t="n">
        <f aca="false">AO233</f>
        <v>1</v>
      </c>
      <c r="AP234" s="160"/>
      <c r="AQ234" s="161" t="e">
        <f aca="false">SPRDOPT(U234,AA234,AI234,AX234,X234,AD234,AG234,AN234,AO234,0)</f>
        <v>#NAME?</v>
      </c>
      <c r="AR234" s="162" t="e">
        <f aca="false">AQ234*C234</f>
        <v>#NAME?</v>
      </c>
      <c r="AS234" s="163" t="e">
        <f aca="false">AQ234-AK234</f>
        <v>#VALUE!</v>
      </c>
      <c r="AU234" s="112" t="n">
        <f aca="false">A235-A234</f>
        <v>28</v>
      </c>
      <c r="AV234" s="164" t="n">
        <f aca="false">CHOOSE(F$3,A235+24,A234+14)</f>
        <v>44972</v>
      </c>
      <c r="AW234" s="49" t="n">
        <f aca="false">AV234-C$3</f>
        <v>-954</v>
      </c>
      <c r="AX234" s="155" t="n">
        <f aca="false">VLOOKUP($A234,[1]!CurveTable,MATCH(AX$4,[1]!CurveType,0))</f>
        <v>0.06179337550584</v>
      </c>
      <c r="AY234" s="165" t="n">
        <f aca="false">1/(1+CHOOSE(F$3,(AX235+(Inputs!$B$14/10000))/2,(AX234+(Inputs!$B$14/10000))/2))^(2*AW234/365.25)</f>
        <v>1.17228585731011</v>
      </c>
      <c r="AZ234" s="49" t="n">
        <f aca="false">IF(AND(mthbeg&lt;=A234,mthend&gt;=A234),1,0)</f>
        <v>0</v>
      </c>
      <c r="BA234" s="111" t="n">
        <f aca="false">AU234*AZ234</f>
        <v>0</v>
      </c>
      <c r="BC234" s="142" t="n">
        <f aca="false">E234*$D234</f>
        <v>0</v>
      </c>
      <c r="BD234" s="142" t="n">
        <f aca="false">F234*$D234</f>
        <v>0</v>
      </c>
      <c r="BE234" s="142" t="n">
        <f aca="false">G234*$D234</f>
        <v>0</v>
      </c>
      <c r="BF234" s="142" t="n">
        <f aca="false">H234*$D234</f>
        <v>0</v>
      </c>
      <c r="BG234" s="142" t="n">
        <f aca="false">I234*$D234</f>
        <v>0</v>
      </c>
      <c r="BH234" s="142" t="n">
        <f aca="false">J234*$D234</f>
        <v>0</v>
      </c>
      <c r="BI234" s="142" t="n">
        <f aca="false">K234*$D234</f>
        <v>0</v>
      </c>
      <c r="BJ234" s="142" t="n">
        <f aca="false">L234*$D234</f>
        <v>0</v>
      </c>
      <c r="BK234" s="142" t="n">
        <f aca="false">M234*$D234</f>
        <v>0</v>
      </c>
      <c r="BL234" s="142" t="e">
        <f aca="false">N234*$D234</f>
        <v>#VALUE!</v>
      </c>
      <c r="BM234" s="142" t="e">
        <f aca="false">O234*$D234</f>
        <v>#VALUE!</v>
      </c>
      <c r="BN234" s="142" t="e">
        <f aca="false">P234*$D234</f>
        <v>#VALUE!</v>
      </c>
      <c r="BO234" s="142" t="e">
        <f aca="false">Q234*$D234</f>
        <v>#VALUE!</v>
      </c>
      <c r="BP234" s="142" t="n">
        <f aca="false">R234*$D234</f>
        <v>0</v>
      </c>
      <c r="BQ234" s="142" t="n">
        <f aca="false">S234*$D234</f>
        <v>0</v>
      </c>
      <c r="BR234" s="142" t="n">
        <f aca="false">U234*$D234</f>
        <v>0</v>
      </c>
      <c r="BS234" s="142" t="e">
        <f aca="false">AA234*$D234</f>
        <v>#VALUE!</v>
      </c>
      <c r="BT234" s="142" t="n">
        <f aca="false">AI234*$D234</f>
        <v>0</v>
      </c>
      <c r="BU234" s="142" t="e">
        <f aca="false">AK234*D234</f>
        <v>#VALUE!</v>
      </c>
    </row>
    <row r="235" customFormat="false" ht="12.75" hidden="false" customHeight="false" outlineLevel="0" collapsed="false">
      <c r="A235" s="144" t="n">
        <f aca="false">EDATE(A234,1)</f>
        <v>44986</v>
      </c>
      <c r="B235" s="145" t="n">
        <f aca="false">Inputs!$B$8</f>
        <v>50000</v>
      </c>
      <c r="C235" s="146" t="n">
        <f aca="false">IF(AZ235=0,0,IF(AND(AZ235=1,$H$3=1),B235*AU235,IF($H$3=2,B235,"N/A")))</f>
        <v>0</v>
      </c>
      <c r="D235" s="146" t="n">
        <f aca="false">C235*AY235</f>
        <v>0</v>
      </c>
      <c r="E235" s="147" t="n">
        <f aca="false">VLOOKUP($A235,[1]!CurveTable,MATCH($E$4,[1]!CurveType,0))</f>
        <v>5.7735</v>
      </c>
      <c r="F235" s="148" t="n">
        <f aca="false">E235-Inputs!$B$16</f>
        <v>5.8285</v>
      </c>
      <c r="G235" s="149" t="n">
        <f aca="false">F235</f>
        <v>5.8285</v>
      </c>
      <c r="H235" s="147" t="n">
        <f aca="false">VLOOKUP($A235,[1]!CurveTable,MATCH($H$4,[1]!CurveType,0))</f>
        <v>0.115</v>
      </c>
      <c r="I235" s="148" t="n">
        <f aca="false">H235+Inputs!$B$22</f>
        <v>0.115</v>
      </c>
      <c r="J235" s="150" t="n">
        <f aca="false">I235</f>
        <v>0.115</v>
      </c>
      <c r="K235" s="147" t="n">
        <f aca="false">VLOOKUP($A235,[1]!CurveTable,MATCH($K$4,[1]!CurveType,0))</f>
        <v>0</v>
      </c>
      <c r="L235" s="148" t="n">
        <v>0</v>
      </c>
      <c r="M235" s="151" t="n">
        <f aca="false">L235</f>
        <v>0</v>
      </c>
      <c r="N235" s="147" t="str">
        <f aca="false">VLOOKUP($A235,[1]!CurveTable,MATCH($N$4,[1]!CurveType,0))</f>
        <v/>
      </c>
      <c r="O235" s="148" t="e">
        <f aca="false">N235+Inputs!$E$22</f>
        <v>#VALUE!</v>
      </c>
      <c r="P235" s="151" t="e">
        <f aca="false">O235</f>
        <v>#VALUE!</v>
      </c>
      <c r="Q235" s="147" t="str">
        <f aca="false">VLOOKUP($A235,[1]!CurveTable,MATCH($Q$4,[1]!CurveType,0))</f>
        <v/>
      </c>
      <c r="R235" s="148" t="n">
        <v>0</v>
      </c>
      <c r="S235" s="151" t="n">
        <f aca="false">R235</f>
        <v>0</v>
      </c>
      <c r="T235" s="152"/>
      <c r="U235" s="153" t="n">
        <f aca="false">G235+J235</f>
        <v>5.9435</v>
      </c>
      <c r="V235" s="154"/>
      <c r="W235" s="155" t="n">
        <f aca="false">VLOOKUP($A235,[1]!CurveTable,MATCH($W$4,[1]!CurveType,0))+$W$9</f>
        <v>0.17</v>
      </c>
      <c r="X235" s="155" t="n">
        <f aca="false">VLOOKUP($A235,[1]!CurveTable,MATCH($X$4,[1]!CurveType,0))+$X$9</f>
        <v>0.175</v>
      </c>
      <c r="Y235" s="139" t="n">
        <f aca="false">SQRT((X235^2*($A235-$C$3)+W235^2*(DAY(EOMONTH(A235,0))/2))/$AN235)</f>
        <v>0.171015150295367</v>
      </c>
      <c r="Z235" s="152"/>
      <c r="AA235" s="153" t="e">
        <f aca="false">G235+P235+S235</f>
        <v>#VALUE!</v>
      </c>
      <c r="AB235" s="154"/>
      <c r="AC235" s="155" t="n">
        <f aca="false">VLOOKUP($A235,[1]!CurveTable,MATCH($AC$4,[1]!CurveType,0))+$AC$9</f>
        <v>0.17</v>
      </c>
      <c r="AD235" s="155" t="n">
        <f aca="false">VLOOKUP($A235,[1]!CurveTable,MATCH($AD$4,[1]!CurveType,0))+$AD$9</f>
        <v>0.175</v>
      </c>
      <c r="AE235" s="139" t="n">
        <f aca="false">SQRT((AD235^2*($A235-$C$3)+AC235^2*(DAY(EOMONTH(A235,0))/2))/$AN235)</f>
        <v>0.171015150295367</v>
      </c>
      <c r="AF235" s="152"/>
      <c r="AG235" s="156" t="n">
        <f aca="false">((Inputs!$F$20*(X235*AD235)*(A235-$C$3))+(Inputs!$F$19*W235*AC235*(DAY(EOMONTH(A235,0))/2)))/(AN235*Y235*AE235)</f>
        <v>0.75</v>
      </c>
      <c r="AH235" s="152"/>
      <c r="AI235" s="140" t="n">
        <f aca="false">Inputs!$B$15</f>
        <v>0.06</v>
      </c>
      <c r="AJ235" s="157"/>
      <c r="AK235" s="140" t="e">
        <f aca="false">IF((U235-AA235-AI235)&lt;0,0,(U235-AA235-AI235))</f>
        <v>#VALUE!</v>
      </c>
      <c r="AL235" s="157"/>
      <c r="AM235" s="158" t="n">
        <f aca="false">WORKDAY(EOMONTH(A235-1,-1),0)</f>
        <v>44957</v>
      </c>
      <c r="AN235" s="159" t="n">
        <f aca="false">AM235-$C$3</f>
        <v>-969</v>
      </c>
      <c r="AO235" s="159" t="n">
        <f aca="false">AO234</f>
        <v>1</v>
      </c>
      <c r="AP235" s="160"/>
      <c r="AQ235" s="161" t="e">
        <f aca="false">SPRDOPT(U235,AA235,AI235,AX235,X235,AD235,AG235,AN235,AO235,0)</f>
        <v>#NAME?</v>
      </c>
      <c r="AR235" s="162" t="e">
        <f aca="false">AQ235*C235</f>
        <v>#NAME?</v>
      </c>
      <c r="AS235" s="163" t="e">
        <f aca="false">AQ235-AK235</f>
        <v>#VALUE!</v>
      </c>
      <c r="AU235" s="112" t="n">
        <f aca="false">A236-A235</f>
        <v>31</v>
      </c>
      <c r="AV235" s="164" t="n">
        <f aca="false">CHOOSE(F$3,A236+24,A235+14)</f>
        <v>45000</v>
      </c>
      <c r="AW235" s="49" t="n">
        <f aca="false">AV235-C$3</f>
        <v>-926</v>
      </c>
      <c r="AX235" s="155" t="n">
        <f aca="false">VLOOKUP($A235,[1]!CurveTable,MATCH(AX$4,[1]!CurveType,0))</f>
        <v>0.0617964047584936</v>
      </c>
      <c r="AY235" s="165" t="n">
        <f aca="false">1/(1+CHOOSE(F$3,(AX236+(Inputs!$B$14/10000))/2,(AX235+(Inputs!$B$14/10000))/2))^(2*AW235/365.25)</f>
        <v>1.1668381493129</v>
      </c>
      <c r="AZ235" s="49" t="n">
        <f aca="false">IF(AND(mthbeg&lt;=A235,mthend&gt;=A235),1,0)</f>
        <v>0</v>
      </c>
      <c r="BA235" s="111" t="n">
        <f aca="false">AU235*AZ235</f>
        <v>0</v>
      </c>
      <c r="BC235" s="142" t="n">
        <f aca="false">E235*$D235</f>
        <v>0</v>
      </c>
      <c r="BD235" s="142" t="n">
        <f aca="false">F235*$D235</f>
        <v>0</v>
      </c>
      <c r="BE235" s="142" t="n">
        <f aca="false">G235*$D235</f>
        <v>0</v>
      </c>
      <c r="BF235" s="142" t="n">
        <f aca="false">H235*$D235</f>
        <v>0</v>
      </c>
      <c r="BG235" s="142" t="n">
        <f aca="false">I235*$D235</f>
        <v>0</v>
      </c>
      <c r="BH235" s="142" t="n">
        <f aca="false">J235*$D235</f>
        <v>0</v>
      </c>
      <c r="BI235" s="142" t="n">
        <f aca="false">K235*$D235</f>
        <v>0</v>
      </c>
      <c r="BJ235" s="142" t="n">
        <f aca="false">L235*$D235</f>
        <v>0</v>
      </c>
      <c r="BK235" s="142" t="n">
        <f aca="false">M235*$D235</f>
        <v>0</v>
      </c>
      <c r="BL235" s="142" t="e">
        <f aca="false">N235*$D235</f>
        <v>#VALUE!</v>
      </c>
      <c r="BM235" s="142" t="e">
        <f aca="false">O235*$D235</f>
        <v>#VALUE!</v>
      </c>
      <c r="BN235" s="142" t="e">
        <f aca="false">P235*$D235</f>
        <v>#VALUE!</v>
      </c>
      <c r="BO235" s="142" t="e">
        <f aca="false">Q235*$D235</f>
        <v>#VALUE!</v>
      </c>
      <c r="BP235" s="142" t="n">
        <f aca="false">R235*$D235</f>
        <v>0</v>
      </c>
      <c r="BQ235" s="142" t="n">
        <f aca="false">S235*$D235</f>
        <v>0</v>
      </c>
      <c r="BR235" s="142" t="n">
        <f aca="false">U235*$D235</f>
        <v>0</v>
      </c>
      <c r="BS235" s="142" t="e">
        <f aca="false">AA235*$D235</f>
        <v>#VALUE!</v>
      </c>
      <c r="BT235" s="142" t="n">
        <f aca="false">AI235*$D235</f>
        <v>0</v>
      </c>
      <c r="BU235" s="142" t="e">
        <f aca="false">AK235*D235</f>
        <v>#VALUE!</v>
      </c>
    </row>
    <row r="236" customFormat="false" ht="12.75" hidden="false" customHeight="false" outlineLevel="0" collapsed="false">
      <c r="A236" s="144" t="n">
        <f aca="false">EDATE(A235,1)</f>
        <v>45017</v>
      </c>
      <c r="B236" s="145" t="n">
        <f aca="false">Inputs!$B$8</f>
        <v>50000</v>
      </c>
      <c r="C236" s="146" t="n">
        <f aca="false">IF(AZ236=0,0,IF(AND(AZ236=1,$H$3=1),B236*AU236,IF($H$3=2,B236,"N/A")))</f>
        <v>0</v>
      </c>
      <c r="D236" s="146" t="n">
        <f aca="false">C236*AY236</f>
        <v>0</v>
      </c>
      <c r="E236" s="147" t="n">
        <f aca="false">VLOOKUP($A236,[1]!CurveTable,MATCH($E$4,[1]!CurveType,0))</f>
        <v>5.6195</v>
      </c>
      <c r="F236" s="148" t="n">
        <f aca="false">E236-Inputs!$B$16</f>
        <v>5.6745</v>
      </c>
      <c r="G236" s="149" t="n">
        <f aca="false">F236</f>
        <v>5.6745</v>
      </c>
      <c r="H236" s="147" t="n">
        <f aca="false">VLOOKUP($A236,[1]!CurveTable,MATCH($H$4,[1]!CurveType,0))</f>
        <v>0</v>
      </c>
      <c r="I236" s="148" t="n">
        <f aca="false">H236+Inputs!$B$22</f>
        <v>0</v>
      </c>
      <c r="J236" s="150" t="n">
        <f aca="false">I236</f>
        <v>0</v>
      </c>
      <c r="K236" s="147" t="n">
        <f aca="false">VLOOKUP($A236,[1]!CurveTable,MATCH($K$4,[1]!CurveType,0))</f>
        <v>0</v>
      </c>
      <c r="L236" s="148" t="n">
        <v>0</v>
      </c>
      <c r="M236" s="151" t="n">
        <f aca="false">L236</f>
        <v>0</v>
      </c>
      <c r="N236" s="147" t="str">
        <f aca="false">VLOOKUP($A236,[1]!CurveTable,MATCH($N$4,[1]!CurveType,0))</f>
        <v/>
      </c>
      <c r="O236" s="148" t="e">
        <f aca="false">N236+Inputs!$E$22</f>
        <v>#VALUE!</v>
      </c>
      <c r="P236" s="151" t="e">
        <f aca="false">O236</f>
        <v>#VALUE!</v>
      </c>
      <c r="Q236" s="147" t="str">
        <f aca="false">VLOOKUP($A236,[1]!CurveTable,MATCH($Q$4,[1]!CurveType,0))</f>
        <v/>
      </c>
      <c r="R236" s="148" t="n">
        <v>0</v>
      </c>
      <c r="S236" s="151" t="n">
        <f aca="false">R236</f>
        <v>0</v>
      </c>
      <c r="T236" s="152"/>
      <c r="U236" s="153" t="n">
        <f aca="false">G236+J236</f>
        <v>5.6745</v>
      </c>
      <c r="V236" s="154"/>
      <c r="W236" s="155" t="n">
        <f aca="false">VLOOKUP($A236,[1]!CurveTable,MATCH($W$4,[1]!CurveType,0))+$W$9</f>
        <v>0.17</v>
      </c>
      <c r="X236" s="155" t="n">
        <f aca="false">VLOOKUP($A236,[1]!CurveTable,MATCH($X$4,[1]!CurveType,0))+$X$9</f>
        <v>0.175</v>
      </c>
      <c r="Y236" s="139" t="n">
        <f aca="false">SQRT((X236^2*($A236-$C$3)+W236^2*(DAY(EOMONTH(A236,0))/2))/$AN236)</f>
        <v>0.170654254566031</v>
      </c>
      <c r="Z236" s="152"/>
      <c r="AA236" s="153" t="e">
        <f aca="false">G236+P236+S236</f>
        <v>#VALUE!</v>
      </c>
      <c r="AB236" s="154"/>
      <c r="AC236" s="155" t="n">
        <f aca="false">VLOOKUP($A236,[1]!CurveTable,MATCH($AC$4,[1]!CurveType,0))+$AC$9</f>
        <v>0.17</v>
      </c>
      <c r="AD236" s="155" t="n">
        <f aca="false">VLOOKUP($A236,[1]!CurveTable,MATCH($AD$4,[1]!CurveType,0))+$AD$9</f>
        <v>0.175</v>
      </c>
      <c r="AE236" s="139" t="n">
        <f aca="false">SQRT((AD236^2*($A236-$C$3)+AC236^2*(DAY(EOMONTH(A236,0))/2))/$AN236)</f>
        <v>0.170654254566031</v>
      </c>
      <c r="AF236" s="152"/>
      <c r="AG236" s="156" t="n">
        <f aca="false">((Inputs!$F$20*(X236*AD236)*(A236-$C$3))+(Inputs!$F$19*W236*AC236*(DAY(EOMONTH(A236,0))/2)))/(AN236*Y236*AE236)</f>
        <v>0.75</v>
      </c>
      <c r="AH236" s="152"/>
      <c r="AI236" s="140" t="n">
        <f aca="false">Inputs!$B$15</f>
        <v>0.06</v>
      </c>
      <c r="AJ236" s="157"/>
      <c r="AK236" s="140" t="e">
        <f aca="false">IF((U236-AA236-AI236)&lt;0,0,(U236-AA236-AI236))</f>
        <v>#VALUE!</v>
      </c>
      <c r="AL236" s="157"/>
      <c r="AM236" s="158" t="n">
        <f aca="false">WORKDAY(EOMONTH(A236-1,-1),0)</f>
        <v>44985</v>
      </c>
      <c r="AN236" s="159" t="n">
        <f aca="false">AM236-$C$3</f>
        <v>-941</v>
      </c>
      <c r="AO236" s="159" t="n">
        <f aca="false">AO235</f>
        <v>1</v>
      </c>
      <c r="AP236" s="160"/>
      <c r="AQ236" s="161" t="e">
        <f aca="false">SPRDOPT(U236,AA236,AI236,AX236,X236,AD236,AG236,AN236,AO236,0)</f>
        <v>#NAME?</v>
      </c>
      <c r="AR236" s="162" t="e">
        <f aca="false">AQ236*C236</f>
        <v>#NAME?</v>
      </c>
      <c r="AS236" s="163" t="e">
        <f aca="false">AQ236-AK236</f>
        <v>#VALUE!</v>
      </c>
      <c r="AU236" s="112" t="n">
        <f aca="false">A237-A236</f>
        <v>30</v>
      </c>
      <c r="AV236" s="164" t="n">
        <f aca="false">CHOOSE(F$3,A237+24,A236+14)</f>
        <v>45031</v>
      </c>
      <c r="AW236" s="49" t="n">
        <f aca="false">AV236-C$3</f>
        <v>-895</v>
      </c>
      <c r="AX236" s="155" t="n">
        <f aca="false">VLOOKUP($A236,[1]!CurveTable,MATCH(AX$4,[1]!CurveType,0))</f>
        <v>0.0617997585739354</v>
      </c>
      <c r="AY236" s="165" t="n">
        <f aca="false">1/(1+CHOOSE(F$3,(AX237+(Inputs!$B$14/10000))/2,(AX236+(Inputs!$B$14/10000))/2))^(2*AW236/365.25)</f>
        <v>1.16083567324387</v>
      </c>
      <c r="AZ236" s="49" t="n">
        <f aca="false">IF(AND(mthbeg&lt;=A236,mthend&gt;=A236),1,0)</f>
        <v>0</v>
      </c>
      <c r="BA236" s="111" t="n">
        <f aca="false">AU236*AZ236</f>
        <v>0</v>
      </c>
      <c r="BC236" s="142" t="n">
        <f aca="false">E236*$D236</f>
        <v>0</v>
      </c>
      <c r="BD236" s="142" t="n">
        <f aca="false">F236*$D236</f>
        <v>0</v>
      </c>
      <c r="BE236" s="142" t="n">
        <f aca="false">G236*$D236</f>
        <v>0</v>
      </c>
      <c r="BF236" s="142" t="n">
        <f aca="false">H236*$D236</f>
        <v>0</v>
      </c>
      <c r="BG236" s="142" t="n">
        <f aca="false">I236*$D236</f>
        <v>0</v>
      </c>
      <c r="BH236" s="142" t="n">
        <f aca="false">J236*$D236</f>
        <v>0</v>
      </c>
      <c r="BI236" s="142" t="n">
        <f aca="false">K236*$D236</f>
        <v>0</v>
      </c>
      <c r="BJ236" s="142" t="n">
        <f aca="false">L236*$D236</f>
        <v>0</v>
      </c>
      <c r="BK236" s="142" t="n">
        <f aca="false">M236*$D236</f>
        <v>0</v>
      </c>
      <c r="BL236" s="142" t="e">
        <f aca="false">N236*$D236</f>
        <v>#VALUE!</v>
      </c>
      <c r="BM236" s="142" t="e">
        <f aca="false">O236*$D236</f>
        <v>#VALUE!</v>
      </c>
      <c r="BN236" s="142" t="e">
        <f aca="false">P236*$D236</f>
        <v>#VALUE!</v>
      </c>
      <c r="BO236" s="142" t="e">
        <f aca="false">Q236*$D236</f>
        <v>#VALUE!</v>
      </c>
      <c r="BP236" s="142" t="n">
        <f aca="false">R236*$D236</f>
        <v>0</v>
      </c>
      <c r="BQ236" s="142" t="n">
        <f aca="false">S236*$D236</f>
        <v>0</v>
      </c>
      <c r="BR236" s="142" t="n">
        <f aca="false">U236*$D236</f>
        <v>0</v>
      </c>
      <c r="BS236" s="142" t="e">
        <f aca="false">AA236*$D236</f>
        <v>#VALUE!</v>
      </c>
      <c r="BT236" s="142" t="n">
        <f aca="false">AI236*$D236</f>
        <v>0</v>
      </c>
      <c r="BU236" s="142" t="e">
        <f aca="false">AK236*D236</f>
        <v>#VALUE!</v>
      </c>
    </row>
    <row r="237" customFormat="false" ht="12.75" hidden="false" customHeight="false" outlineLevel="0" collapsed="false">
      <c r="A237" s="144" t="n">
        <f aca="false">EDATE(A236,1)</f>
        <v>45047</v>
      </c>
      <c r="B237" s="145" t="n">
        <f aca="false">Inputs!$B$8</f>
        <v>50000</v>
      </c>
      <c r="C237" s="146" t="n">
        <f aca="false">IF(AZ237=0,0,IF(AND(AZ237=1,$H$3=1),B237*AU237,IF($H$3=2,B237,"N/A")))</f>
        <v>0</v>
      </c>
      <c r="D237" s="146" t="n">
        <f aca="false">C237*AY237</f>
        <v>0</v>
      </c>
      <c r="E237" s="147" t="n">
        <f aca="false">VLOOKUP($A237,[1]!CurveTable,MATCH($E$4,[1]!CurveType,0))</f>
        <v>5.6245</v>
      </c>
      <c r="F237" s="148" t="n">
        <f aca="false">E237-Inputs!$B$16</f>
        <v>5.6795</v>
      </c>
      <c r="G237" s="149" t="n">
        <f aca="false">F237</f>
        <v>5.6795</v>
      </c>
      <c r="H237" s="147" t="n">
        <f aca="false">VLOOKUP($A237,[1]!CurveTable,MATCH($H$4,[1]!CurveType,0))</f>
        <v>0</v>
      </c>
      <c r="I237" s="148" t="n">
        <f aca="false">H237+Inputs!$B$22</f>
        <v>0</v>
      </c>
      <c r="J237" s="150" t="n">
        <f aca="false">I237</f>
        <v>0</v>
      </c>
      <c r="K237" s="147" t="n">
        <f aca="false">VLOOKUP($A237,[1]!CurveTable,MATCH($K$4,[1]!CurveType,0))</f>
        <v>0</v>
      </c>
      <c r="L237" s="148" t="n">
        <v>0</v>
      </c>
      <c r="M237" s="151" t="n">
        <f aca="false">L237</f>
        <v>0</v>
      </c>
      <c r="N237" s="147" t="str">
        <f aca="false">VLOOKUP($A237,[1]!CurveTable,MATCH($N$4,[1]!CurveType,0))</f>
        <v/>
      </c>
      <c r="O237" s="148" t="e">
        <f aca="false">N237+Inputs!$E$22</f>
        <v>#VALUE!</v>
      </c>
      <c r="P237" s="151" t="e">
        <f aca="false">O237</f>
        <v>#VALUE!</v>
      </c>
      <c r="Q237" s="147" t="str">
        <f aca="false">VLOOKUP($A237,[1]!CurveTable,MATCH($Q$4,[1]!CurveType,0))</f>
        <v/>
      </c>
      <c r="R237" s="148" t="n">
        <v>0</v>
      </c>
      <c r="S237" s="151" t="n">
        <f aca="false">R237</f>
        <v>0</v>
      </c>
      <c r="T237" s="152"/>
      <c r="U237" s="153" t="n">
        <f aca="false">G237+J237</f>
        <v>5.6795</v>
      </c>
      <c r="V237" s="154"/>
      <c r="W237" s="155" t="n">
        <f aca="false">VLOOKUP($A237,[1]!CurveTable,MATCH($W$4,[1]!CurveType,0))+$W$9</f>
        <v>0.34</v>
      </c>
      <c r="X237" s="155" t="n">
        <f aca="false">VLOOKUP($A237,[1]!CurveTable,MATCH($X$4,[1]!CurveType,0))+$X$9</f>
        <v>0.345</v>
      </c>
      <c r="Y237" s="139" t="n">
        <f aca="false">SQRT((X237^2*($A237-$C$3)+W237^2*(DAY(EOMONTH(A237,0))/2))/$AN237)</f>
        <v>0.336156646831193</v>
      </c>
      <c r="Z237" s="152"/>
      <c r="AA237" s="153" t="e">
        <f aca="false">G237+P237+S237</f>
        <v>#VALUE!</v>
      </c>
      <c r="AB237" s="154"/>
      <c r="AC237" s="155" t="n">
        <f aca="false">VLOOKUP($A237,[1]!CurveTable,MATCH($AC$4,[1]!CurveType,0))+$AC$9</f>
        <v>0.17</v>
      </c>
      <c r="AD237" s="155" t="n">
        <f aca="false">VLOOKUP($A237,[1]!CurveTable,MATCH($AD$4,[1]!CurveType,0))+$AD$9</f>
        <v>0.175</v>
      </c>
      <c r="AE237" s="139" t="n">
        <f aca="false">SQRT((AD237^2*($A237-$C$3)+AC237^2*(DAY(EOMONTH(A237,0))/2))/$AN237)</f>
        <v>0.170556377840226</v>
      </c>
      <c r="AF237" s="152"/>
      <c r="AG237" s="156" t="n">
        <f aca="false">((Inputs!$F$20*(X237*AD237)*(A237-$C$3))+(Inputs!$F$19*W237*AC237*(DAY(EOMONTH(A237,0))/2)))/(AN237*Y237*AE237)</f>
        <v>0.750001356085839</v>
      </c>
      <c r="AH237" s="152"/>
      <c r="AI237" s="140" t="n">
        <f aca="false">Inputs!$B$15</f>
        <v>0.06</v>
      </c>
      <c r="AJ237" s="157"/>
      <c r="AK237" s="140" t="e">
        <f aca="false">IF((U237-AA237-AI237)&lt;0,0,(U237-AA237-AI237))</f>
        <v>#VALUE!</v>
      </c>
      <c r="AL237" s="157"/>
      <c r="AM237" s="158" t="n">
        <f aca="false">WORKDAY(EOMONTH(A237-1,-1),0)</f>
        <v>45016</v>
      </c>
      <c r="AN237" s="159" t="n">
        <f aca="false">AM237-$C$3</f>
        <v>-910</v>
      </c>
      <c r="AO237" s="159" t="n">
        <f aca="false">AO236</f>
        <v>1</v>
      </c>
      <c r="AP237" s="160"/>
      <c r="AQ237" s="161" t="e">
        <f aca="false">SPRDOPT(U237,AA237,AI237,AX237,X237,AD237,AG237,AN237,AO237,0)</f>
        <v>#NAME?</v>
      </c>
      <c r="AR237" s="162" t="e">
        <f aca="false">AQ237*C237</f>
        <v>#NAME?</v>
      </c>
      <c r="AS237" s="163" t="e">
        <f aca="false">AQ237-AK237</f>
        <v>#VALUE!</v>
      </c>
      <c r="AU237" s="112" t="n">
        <f aca="false">A238-A237</f>
        <v>31</v>
      </c>
      <c r="AV237" s="164" t="n">
        <f aca="false">CHOOSE(F$3,A238+24,A237+14)</f>
        <v>45061</v>
      </c>
      <c r="AW237" s="49" t="n">
        <f aca="false">AV237-C$3</f>
        <v>-865</v>
      </c>
      <c r="AX237" s="155" t="n">
        <f aca="false">VLOOKUP($A237,[1]!CurveTable,MATCH(AX$4,[1]!CurveType,0))</f>
        <v>0.0618030042017859</v>
      </c>
      <c r="AY237" s="165" t="n">
        <f aca="false">1/(1+CHOOSE(F$3,(AX238+(Inputs!$B$14/10000))/2,(AX237+(Inputs!$B$14/10000))/2))^(2*AW237/365.25)</f>
        <v>1.15505561976181</v>
      </c>
      <c r="AZ237" s="49" t="n">
        <f aca="false">IF(AND(mthbeg&lt;=A237,mthend&gt;=A237),1,0)</f>
        <v>0</v>
      </c>
      <c r="BA237" s="111" t="n">
        <f aca="false">AU237*AZ237</f>
        <v>0</v>
      </c>
      <c r="BC237" s="142" t="n">
        <f aca="false">E237*$D237</f>
        <v>0</v>
      </c>
      <c r="BD237" s="142" t="n">
        <f aca="false">F237*$D237</f>
        <v>0</v>
      </c>
      <c r="BE237" s="142" t="n">
        <f aca="false">G237*$D237</f>
        <v>0</v>
      </c>
      <c r="BF237" s="142" t="n">
        <f aca="false">H237*$D237</f>
        <v>0</v>
      </c>
      <c r="BG237" s="142" t="n">
        <f aca="false">I237*$D237</f>
        <v>0</v>
      </c>
      <c r="BH237" s="142" t="n">
        <f aca="false">J237*$D237</f>
        <v>0</v>
      </c>
      <c r="BI237" s="142" t="n">
        <f aca="false">K237*$D237</f>
        <v>0</v>
      </c>
      <c r="BJ237" s="142" t="n">
        <f aca="false">L237*$D237</f>
        <v>0</v>
      </c>
      <c r="BK237" s="142" t="n">
        <f aca="false">M237*$D237</f>
        <v>0</v>
      </c>
      <c r="BL237" s="142" t="e">
        <f aca="false">N237*$D237</f>
        <v>#VALUE!</v>
      </c>
      <c r="BM237" s="142" t="e">
        <f aca="false">O237*$D237</f>
        <v>#VALUE!</v>
      </c>
      <c r="BN237" s="142" t="e">
        <f aca="false">P237*$D237</f>
        <v>#VALUE!</v>
      </c>
      <c r="BO237" s="142" t="e">
        <f aca="false">Q237*$D237</f>
        <v>#VALUE!</v>
      </c>
      <c r="BP237" s="142" t="n">
        <f aca="false">R237*$D237</f>
        <v>0</v>
      </c>
      <c r="BQ237" s="142" t="n">
        <f aca="false">S237*$D237</f>
        <v>0</v>
      </c>
      <c r="BR237" s="142" t="n">
        <f aca="false">U237*$D237</f>
        <v>0</v>
      </c>
      <c r="BS237" s="142" t="e">
        <f aca="false">AA237*$D237</f>
        <v>#VALUE!</v>
      </c>
      <c r="BT237" s="142" t="n">
        <f aca="false">AI237*$D237</f>
        <v>0</v>
      </c>
      <c r="BU237" s="142" t="e">
        <f aca="false">AK237*D237</f>
        <v>#VALUE!</v>
      </c>
    </row>
    <row r="238" customFormat="false" ht="12.75" hidden="false" customHeight="false" outlineLevel="0" collapsed="false">
      <c r="A238" s="144" t="n">
        <f aca="false">EDATE(A237,1)</f>
        <v>45078</v>
      </c>
      <c r="B238" s="145" t="n">
        <f aca="false">Inputs!$B$8</f>
        <v>50000</v>
      </c>
      <c r="C238" s="146" t="n">
        <f aca="false">IF(AZ238=0,0,IF(AND(AZ238=1,$H$3=1),B238*AU238,IF($H$3=2,B238,"N/A")))</f>
        <v>0</v>
      </c>
      <c r="D238" s="146" t="n">
        <f aca="false">C238*AY238</f>
        <v>0</v>
      </c>
      <c r="E238" s="147" t="n">
        <f aca="false">VLOOKUP($A238,[1]!CurveTable,MATCH($E$4,[1]!CurveType,0))</f>
        <v>5.6625</v>
      </c>
      <c r="F238" s="148" t="n">
        <f aca="false">E238-Inputs!$B$16</f>
        <v>5.7175</v>
      </c>
      <c r="G238" s="149" t="n">
        <f aca="false">F238</f>
        <v>5.7175</v>
      </c>
      <c r="H238" s="147" t="n">
        <f aca="false">VLOOKUP($A238,[1]!CurveTable,MATCH($H$4,[1]!CurveType,0))</f>
        <v>0</v>
      </c>
      <c r="I238" s="148" t="n">
        <f aca="false">H238+Inputs!$B$22</f>
        <v>0</v>
      </c>
      <c r="J238" s="150" t="n">
        <f aca="false">I238</f>
        <v>0</v>
      </c>
      <c r="K238" s="147" t="n">
        <f aca="false">VLOOKUP($A238,[1]!CurveTable,MATCH($K$4,[1]!CurveType,0))</f>
        <v>0</v>
      </c>
      <c r="L238" s="148" t="n">
        <v>0</v>
      </c>
      <c r="M238" s="151" t="n">
        <f aca="false">L238</f>
        <v>0</v>
      </c>
      <c r="N238" s="147" t="str">
        <f aca="false">VLOOKUP($A238,[1]!CurveTable,MATCH($N$4,[1]!CurveType,0))</f>
        <v/>
      </c>
      <c r="O238" s="148" t="e">
        <f aca="false">N238+Inputs!$E$22</f>
        <v>#VALUE!</v>
      </c>
      <c r="P238" s="151" t="e">
        <f aca="false">O238</f>
        <v>#VALUE!</v>
      </c>
      <c r="Q238" s="147" t="str">
        <f aca="false">VLOOKUP($A238,[1]!CurveTable,MATCH($Q$4,[1]!CurveType,0))</f>
        <v/>
      </c>
      <c r="R238" s="148" t="n">
        <v>0</v>
      </c>
      <c r="S238" s="151" t="n">
        <f aca="false">R238</f>
        <v>0</v>
      </c>
      <c r="T238" s="152"/>
      <c r="U238" s="153" t="n">
        <f aca="false">G238+J238</f>
        <v>5.7175</v>
      </c>
      <c r="V238" s="154"/>
      <c r="W238" s="155" t="n">
        <f aca="false">VLOOKUP($A238,[1]!CurveTable,MATCH($W$4,[1]!CurveType,0))+$W$9</f>
        <v>0.34</v>
      </c>
      <c r="X238" s="155" t="n">
        <f aca="false">VLOOKUP($A238,[1]!CurveTable,MATCH($X$4,[1]!CurveType,0))+$X$9</f>
        <v>0.345</v>
      </c>
      <c r="Y238" s="139" t="n">
        <f aca="false">SQRT((X238^2*($A238-$C$3)+W238^2*(DAY(EOMONTH(A238,0))/2))/$AN238)</f>
        <v>0.335747470037175</v>
      </c>
      <c r="Z238" s="152"/>
      <c r="AA238" s="153" t="e">
        <f aca="false">G238+P238+S238</f>
        <v>#VALUE!</v>
      </c>
      <c r="AB238" s="154"/>
      <c r="AC238" s="155" t="n">
        <f aca="false">VLOOKUP($A238,[1]!CurveTable,MATCH($AC$4,[1]!CurveType,0))+$AC$9</f>
        <v>0.17</v>
      </c>
      <c r="AD238" s="155" t="n">
        <f aca="false">VLOOKUP($A238,[1]!CurveTable,MATCH($AD$4,[1]!CurveType,0))+$AD$9</f>
        <v>0.175</v>
      </c>
      <c r="AE238" s="139" t="n">
        <f aca="false">SQRT((AD238^2*($A238-$C$3)+AC238^2*(DAY(EOMONTH(A238,0))/2))/$AN238)</f>
        <v>0.170348906659245</v>
      </c>
      <c r="AF238" s="152"/>
      <c r="AG238" s="156" t="n">
        <f aca="false">((Inputs!$F$20*(X238*AD238)*(A238-$C$3))+(Inputs!$F$19*W238*AC238*(DAY(EOMONTH(A238,0))/2)))/(AN238*Y238*AE238)</f>
        <v>0.750001360461618</v>
      </c>
      <c r="AH238" s="152"/>
      <c r="AI238" s="140" t="n">
        <f aca="false">Inputs!$B$15</f>
        <v>0.06</v>
      </c>
      <c r="AJ238" s="157"/>
      <c r="AK238" s="140" t="e">
        <f aca="false">IF((U238-AA238-AI238)&lt;0,0,(U238-AA238-AI238))</f>
        <v>#VALUE!</v>
      </c>
      <c r="AL238" s="157"/>
      <c r="AM238" s="158" t="n">
        <f aca="false">WORKDAY(EOMONTH(A238-1,-1),0)</f>
        <v>45046</v>
      </c>
      <c r="AN238" s="159" t="n">
        <f aca="false">AM238-$C$3</f>
        <v>-880</v>
      </c>
      <c r="AO238" s="159" t="n">
        <f aca="false">AO237</f>
        <v>1</v>
      </c>
      <c r="AP238" s="160"/>
      <c r="AQ238" s="161" t="e">
        <f aca="false">SPRDOPT(U238,AA238,AI238,AX238,X238,AD238,AG238,AN238,AO238,0)</f>
        <v>#NAME?</v>
      </c>
      <c r="AR238" s="162" t="e">
        <f aca="false">AQ238*C238</f>
        <v>#NAME?</v>
      </c>
      <c r="AS238" s="163" t="e">
        <f aca="false">AQ238-AK238</f>
        <v>#VALUE!</v>
      </c>
      <c r="AU238" s="112" t="n">
        <f aca="false">A239-A238</f>
        <v>30</v>
      </c>
      <c r="AV238" s="164" t="n">
        <f aca="false">CHOOSE(F$3,A239+24,A238+14)</f>
        <v>45092</v>
      </c>
      <c r="AW238" s="49" t="n">
        <f aca="false">AV238-C$3</f>
        <v>-834</v>
      </c>
      <c r="AX238" s="155" t="n">
        <f aca="false">VLOOKUP($A238,[1]!CurveTable,MATCH(AX$4,[1]!CurveType,0))</f>
        <v>0.0618063580172348</v>
      </c>
      <c r="AY238" s="165" t="n">
        <f aca="false">1/(1+CHOOSE(F$3,(AX239+(Inputs!$B$14/10000))/2,(AX238+(Inputs!$B$14/10000))/2))^(2*AW238/365.25)</f>
        <v>1.14911250693752</v>
      </c>
      <c r="AZ238" s="49" t="n">
        <f aca="false">IF(AND(mthbeg&lt;=A238,mthend&gt;=A238),1,0)</f>
        <v>0</v>
      </c>
      <c r="BA238" s="111" t="n">
        <f aca="false">AU238*AZ238</f>
        <v>0</v>
      </c>
      <c r="BC238" s="142" t="n">
        <f aca="false">E238*$D238</f>
        <v>0</v>
      </c>
      <c r="BD238" s="142" t="n">
        <f aca="false">F238*$D238</f>
        <v>0</v>
      </c>
      <c r="BE238" s="142" t="n">
        <f aca="false">G238*$D238</f>
        <v>0</v>
      </c>
      <c r="BF238" s="142" t="n">
        <f aca="false">H238*$D238</f>
        <v>0</v>
      </c>
      <c r="BG238" s="142" t="n">
        <f aca="false">I238*$D238</f>
        <v>0</v>
      </c>
      <c r="BH238" s="142" t="n">
        <f aca="false">J238*$D238</f>
        <v>0</v>
      </c>
      <c r="BI238" s="142" t="n">
        <f aca="false">K238*$D238</f>
        <v>0</v>
      </c>
      <c r="BJ238" s="142" t="n">
        <f aca="false">L238*$D238</f>
        <v>0</v>
      </c>
      <c r="BK238" s="142" t="n">
        <f aca="false">M238*$D238</f>
        <v>0</v>
      </c>
      <c r="BL238" s="142" t="e">
        <f aca="false">N238*$D238</f>
        <v>#VALUE!</v>
      </c>
      <c r="BM238" s="142" t="e">
        <f aca="false">O238*$D238</f>
        <v>#VALUE!</v>
      </c>
      <c r="BN238" s="142" t="e">
        <f aca="false">P238*$D238</f>
        <v>#VALUE!</v>
      </c>
      <c r="BO238" s="142" t="e">
        <f aca="false">Q238*$D238</f>
        <v>#VALUE!</v>
      </c>
      <c r="BP238" s="142" t="n">
        <f aca="false">R238*$D238</f>
        <v>0</v>
      </c>
      <c r="BQ238" s="142" t="n">
        <f aca="false">S238*$D238</f>
        <v>0</v>
      </c>
      <c r="BR238" s="142" t="n">
        <f aca="false">U238*$D238</f>
        <v>0</v>
      </c>
      <c r="BS238" s="142" t="e">
        <f aca="false">AA238*$D238</f>
        <v>#VALUE!</v>
      </c>
      <c r="BT238" s="142" t="n">
        <f aca="false">AI238*$D238</f>
        <v>0</v>
      </c>
      <c r="BU238" s="142" t="e">
        <f aca="false">AK238*D238</f>
        <v>#VALUE!</v>
      </c>
    </row>
    <row r="239" customFormat="false" ht="12.75" hidden="false" customHeight="false" outlineLevel="0" collapsed="false">
      <c r="A239" s="144" t="n">
        <f aca="false">EDATE(A238,1)</f>
        <v>45108</v>
      </c>
      <c r="B239" s="145" t="n">
        <f aca="false">Inputs!$B$8</f>
        <v>50000</v>
      </c>
      <c r="C239" s="146" t="n">
        <f aca="false">IF(AZ239=0,0,IF(AND(AZ239=1,$H$3=1),B239*AU239,IF($H$3=2,B239,"N/A")))</f>
        <v>0</v>
      </c>
      <c r="D239" s="146" t="n">
        <f aca="false">C239*AY239</f>
        <v>0</v>
      </c>
      <c r="E239" s="147" t="n">
        <f aca="false">VLOOKUP($A239,[1]!CurveTable,MATCH($E$4,[1]!CurveType,0))</f>
        <v>5.7075</v>
      </c>
      <c r="F239" s="148" t="n">
        <f aca="false">E239-Inputs!$B$16</f>
        <v>5.7625</v>
      </c>
      <c r="G239" s="149" t="n">
        <f aca="false">F239</f>
        <v>5.7625</v>
      </c>
      <c r="H239" s="147" t="n">
        <f aca="false">VLOOKUP($A239,[1]!CurveTable,MATCH($H$4,[1]!CurveType,0))</f>
        <v>0</v>
      </c>
      <c r="I239" s="148" t="n">
        <f aca="false">H239+Inputs!$B$22</f>
        <v>0</v>
      </c>
      <c r="J239" s="150" t="n">
        <f aca="false">I239</f>
        <v>0</v>
      </c>
      <c r="K239" s="147" t="n">
        <f aca="false">VLOOKUP($A239,[1]!CurveTable,MATCH($K$4,[1]!CurveType,0))</f>
        <v>0</v>
      </c>
      <c r="L239" s="148" t="n">
        <v>0</v>
      </c>
      <c r="M239" s="151" t="n">
        <f aca="false">L239</f>
        <v>0</v>
      </c>
      <c r="N239" s="147" t="str">
        <f aca="false">VLOOKUP($A239,[1]!CurveTable,MATCH($N$4,[1]!CurveType,0))</f>
        <v/>
      </c>
      <c r="O239" s="148" t="e">
        <f aca="false">N239+Inputs!$E$22</f>
        <v>#VALUE!</v>
      </c>
      <c r="P239" s="151" t="e">
        <f aca="false">O239</f>
        <v>#VALUE!</v>
      </c>
      <c r="Q239" s="147" t="str">
        <f aca="false">VLOOKUP($A239,[1]!CurveTable,MATCH($Q$4,[1]!CurveType,0))</f>
        <v/>
      </c>
      <c r="R239" s="148" t="n">
        <v>0</v>
      </c>
      <c r="S239" s="151" t="n">
        <f aca="false">R239</f>
        <v>0</v>
      </c>
      <c r="T239" s="152"/>
      <c r="U239" s="153" t="n">
        <f aca="false">G239+J239</f>
        <v>5.7625</v>
      </c>
      <c r="V239" s="154"/>
      <c r="W239" s="155" t="n">
        <f aca="false">VLOOKUP($A239,[1]!CurveTable,MATCH($W$4,[1]!CurveType,0))+$W$9</f>
        <v>0.34</v>
      </c>
      <c r="X239" s="155" t="n">
        <f aca="false">VLOOKUP($A239,[1]!CurveTable,MATCH($X$4,[1]!CurveType,0))+$X$9</f>
        <v>0.345</v>
      </c>
      <c r="Y239" s="139" t="n">
        <f aca="false">SQRT((X239^2*($A239-$C$3)+W239^2*(DAY(EOMONTH(A239,0))/2))/$AN239)</f>
        <v>0.33551228344717</v>
      </c>
      <c r="Z239" s="152"/>
      <c r="AA239" s="153" t="e">
        <f aca="false">G239+P239+S239</f>
        <v>#VALUE!</v>
      </c>
      <c r="AB239" s="154"/>
      <c r="AC239" s="155" t="n">
        <f aca="false">VLOOKUP($A239,[1]!CurveTable,MATCH($AC$4,[1]!CurveType,0))+$AC$9</f>
        <v>0.17</v>
      </c>
      <c r="AD239" s="155" t="n">
        <f aca="false">VLOOKUP($A239,[1]!CurveTable,MATCH($AD$4,[1]!CurveType,0))+$AD$9</f>
        <v>0.175</v>
      </c>
      <c r="AE239" s="139" t="n">
        <f aca="false">SQRT((AD239^2*($A239-$C$3)+AC239^2*(DAY(EOMONTH(A239,0))/2))/$AN239)</f>
        <v>0.170232640652323</v>
      </c>
      <c r="AF239" s="152"/>
      <c r="AG239" s="156" t="n">
        <f aca="false">((Inputs!$F$20*(X239*AD239)*(A239-$C$3))+(Inputs!$F$19*W239*AC239*(DAY(EOMONTH(A239,0))/2)))/(AN239*Y239*AE239)</f>
        <v>0.750001460951491</v>
      </c>
      <c r="AH239" s="152"/>
      <c r="AI239" s="140" t="n">
        <f aca="false">Inputs!$B$15</f>
        <v>0.06</v>
      </c>
      <c r="AJ239" s="157"/>
      <c r="AK239" s="140" t="e">
        <f aca="false">IF((U239-AA239-AI239)&lt;0,0,(U239-AA239-AI239))</f>
        <v>#VALUE!</v>
      </c>
      <c r="AL239" s="157"/>
      <c r="AM239" s="158" t="n">
        <f aca="false">WORKDAY(EOMONTH(A239-1,-1),0)</f>
        <v>45077</v>
      </c>
      <c r="AN239" s="159" t="n">
        <f aca="false">AM239-$C$3</f>
        <v>-849</v>
      </c>
      <c r="AO239" s="159" t="n">
        <f aca="false">AO238</f>
        <v>1</v>
      </c>
      <c r="AP239" s="160"/>
      <c r="AQ239" s="161" t="e">
        <f aca="false">SPRDOPT(U239,AA239,AI239,AX239,X239,AD239,AG239,AN239,AO239,0)</f>
        <v>#NAME?</v>
      </c>
      <c r="AR239" s="162" t="e">
        <f aca="false">AQ239*C239</f>
        <v>#NAME?</v>
      </c>
      <c r="AS239" s="163" t="e">
        <f aca="false">AQ239-AK239</f>
        <v>#VALUE!</v>
      </c>
      <c r="AU239" s="112" t="n">
        <f aca="false">A240-A239</f>
        <v>31</v>
      </c>
      <c r="AV239" s="164" t="n">
        <f aca="false">CHOOSE(F$3,A240+24,A239+14)</f>
        <v>45122</v>
      </c>
      <c r="AW239" s="49" t="n">
        <f aca="false">AV239-C$3</f>
        <v>-804</v>
      </c>
      <c r="AX239" s="155" t="n">
        <f aca="false">VLOOKUP($A239,[1]!CurveTable,MATCH(AX$4,[1]!CurveType,0))</f>
        <v>0.0618096036450919</v>
      </c>
      <c r="AY239" s="165" t="n">
        <f aca="false">1/(1+CHOOSE(F$3,(AX240+(Inputs!$B$14/10000))/2,(AX239+(Inputs!$B$14/10000))/2))^(2*AW239/365.25)</f>
        <v>1.14338962323557</v>
      </c>
      <c r="AZ239" s="49" t="n">
        <f aca="false">IF(AND(mthbeg&lt;=A239,mthend&gt;=A239),1,0)</f>
        <v>0</v>
      </c>
      <c r="BA239" s="111" t="n">
        <f aca="false">AU239*AZ239</f>
        <v>0</v>
      </c>
      <c r="BC239" s="142" t="n">
        <f aca="false">E239*$D239</f>
        <v>0</v>
      </c>
      <c r="BD239" s="142" t="n">
        <f aca="false">F239*$D239</f>
        <v>0</v>
      </c>
      <c r="BE239" s="142" t="n">
        <f aca="false">G239*$D239</f>
        <v>0</v>
      </c>
      <c r="BF239" s="142" t="n">
        <f aca="false">H239*$D239</f>
        <v>0</v>
      </c>
      <c r="BG239" s="142" t="n">
        <f aca="false">I239*$D239</f>
        <v>0</v>
      </c>
      <c r="BH239" s="142" t="n">
        <f aca="false">J239*$D239</f>
        <v>0</v>
      </c>
      <c r="BI239" s="142" t="n">
        <f aca="false">K239*$D239</f>
        <v>0</v>
      </c>
      <c r="BJ239" s="142" t="n">
        <f aca="false">L239*$D239</f>
        <v>0</v>
      </c>
      <c r="BK239" s="142" t="n">
        <f aca="false">M239*$D239</f>
        <v>0</v>
      </c>
      <c r="BL239" s="142" t="e">
        <f aca="false">N239*$D239</f>
        <v>#VALUE!</v>
      </c>
      <c r="BM239" s="142" t="e">
        <f aca="false">O239*$D239</f>
        <v>#VALUE!</v>
      </c>
      <c r="BN239" s="142" t="e">
        <f aca="false">P239*$D239</f>
        <v>#VALUE!</v>
      </c>
      <c r="BO239" s="142" t="e">
        <f aca="false">Q239*$D239</f>
        <v>#VALUE!</v>
      </c>
      <c r="BP239" s="142" t="n">
        <f aca="false">R239*$D239</f>
        <v>0</v>
      </c>
      <c r="BQ239" s="142" t="n">
        <f aca="false">S239*$D239</f>
        <v>0</v>
      </c>
      <c r="BR239" s="142" t="n">
        <f aca="false">U239*$D239</f>
        <v>0</v>
      </c>
      <c r="BS239" s="142" t="e">
        <f aca="false">AA239*$D239</f>
        <v>#VALUE!</v>
      </c>
      <c r="BT239" s="142" t="n">
        <f aca="false">AI239*$D239</f>
        <v>0</v>
      </c>
      <c r="BU239" s="142" t="e">
        <f aca="false">AK239*D239</f>
        <v>#VALUE!</v>
      </c>
    </row>
    <row r="240" customFormat="false" ht="12.75" hidden="false" customHeight="false" outlineLevel="0" collapsed="false">
      <c r="A240" s="144" t="n">
        <f aca="false">EDATE(A239,1)</f>
        <v>45139</v>
      </c>
      <c r="B240" s="145" t="n">
        <f aca="false">Inputs!$B$8</f>
        <v>50000</v>
      </c>
      <c r="C240" s="146" t="n">
        <f aca="false">IF(AZ240=0,0,IF(AND(AZ240=1,$H$3=1),B240*AU240,IF($H$3=2,B240,"N/A")))</f>
        <v>0</v>
      </c>
      <c r="D240" s="146" t="n">
        <f aca="false">C240*AY240</f>
        <v>0</v>
      </c>
      <c r="E240" s="147" t="n">
        <f aca="false">VLOOKUP($A240,[1]!CurveTable,MATCH($E$4,[1]!CurveType,0))</f>
        <v>5.7455</v>
      </c>
      <c r="F240" s="148" t="n">
        <f aca="false">E240-Inputs!$B$16</f>
        <v>5.8005</v>
      </c>
      <c r="G240" s="149" t="n">
        <f aca="false">F240</f>
        <v>5.8005</v>
      </c>
      <c r="H240" s="147" t="n">
        <f aca="false">VLOOKUP($A240,[1]!CurveTable,MATCH($H$4,[1]!CurveType,0))</f>
        <v>0</v>
      </c>
      <c r="I240" s="148" t="n">
        <f aca="false">H240+Inputs!$B$22</f>
        <v>0</v>
      </c>
      <c r="J240" s="150" t="n">
        <f aca="false">I240</f>
        <v>0</v>
      </c>
      <c r="K240" s="147" t="n">
        <f aca="false">VLOOKUP($A240,[1]!CurveTable,MATCH($K$4,[1]!CurveType,0))</f>
        <v>0</v>
      </c>
      <c r="L240" s="148" t="n">
        <v>0</v>
      </c>
      <c r="M240" s="151" t="n">
        <f aca="false">L240</f>
        <v>0</v>
      </c>
      <c r="N240" s="147" t="str">
        <f aca="false">VLOOKUP($A240,[1]!CurveTable,MATCH($N$4,[1]!CurveType,0))</f>
        <v/>
      </c>
      <c r="O240" s="148" t="e">
        <f aca="false">N240+Inputs!$E$22</f>
        <v>#VALUE!</v>
      </c>
      <c r="P240" s="151" t="e">
        <f aca="false">O240</f>
        <v>#VALUE!</v>
      </c>
      <c r="Q240" s="147" t="str">
        <f aca="false">VLOOKUP($A240,[1]!CurveTable,MATCH($Q$4,[1]!CurveType,0))</f>
        <v/>
      </c>
      <c r="R240" s="148" t="n">
        <v>0</v>
      </c>
      <c r="S240" s="151" t="n">
        <f aca="false">R240</f>
        <v>0</v>
      </c>
      <c r="T240" s="152"/>
      <c r="U240" s="153" t="n">
        <f aca="false">G240+J240</f>
        <v>5.8005</v>
      </c>
      <c r="V240" s="154"/>
      <c r="W240" s="155" t="n">
        <f aca="false">VLOOKUP($A240,[1]!CurveTable,MATCH($W$4,[1]!CurveType,0))+$W$9</f>
        <v>0.34</v>
      </c>
      <c r="X240" s="155" t="n">
        <f aca="false">VLOOKUP($A240,[1]!CurveTable,MATCH($X$4,[1]!CurveType,0))+$X$9</f>
        <v>0.345</v>
      </c>
      <c r="Y240" s="139" t="n">
        <f aca="false">SQRT((X240^2*($A240-$C$3)+W240^2*(DAY(EOMONTH(A240,0))/2))/$AN240)</f>
        <v>0.334942772069589</v>
      </c>
      <c r="Z240" s="152"/>
      <c r="AA240" s="153" t="e">
        <f aca="false">G240+P240+S240</f>
        <v>#VALUE!</v>
      </c>
      <c r="AB240" s="154"/>
      <c r="AC240" s="155" t="n">
        <f aca="false">VLOOKUP($A240,[1]!CurveTable,MATCH($AC$4,[1]!CurveType,0))+$AC$9</f>
        <v>0.17</v>
      </c>
      <c r="AD240" s="155" t="n">
        <f aca="false">VLOOKUP($A240,[1]!CurveTable,MATCH($AD$4,[1]!CurveType,0))+$AD$9</f>
        <v>0.175</v>
      </c>
      <c r="AE240" s="139" t="n">
        <f aca="false">SQRT((AD240^2*($A240-$C$3)+AC240^2*(DAY(EOMONTH(A240,0))/2))/$AN240)</f>
        <v>0.169945495104964</v>
      </c>
      <c r="AF240" s="152"/>
      <c r="AG240" s="156" t="n">
        <f aca="false">((Inputs!$F$20*(X240*AD240)*(A240-$C$3))+(Inputs!$F$19*W240*AC240*(DAY(EOMONTH(A240,0))/2)))/(AN240*Y240*AE240)</f>
        <v>0.750001520711295</v>
      </c>
      <c r="AH240" s="152"/>
      <c r="AI240" s="140" t="n">
        <f aca="false">Inputs!$B$15</f>
        <v>0.06</v>
      </c>
      <c r="AJ240" s="157"/>
      <c r="AK240" s="140" t="e">
        <f aca="false">IF((U240-AA240-AI240)&lt;0,0,(U240-AA240-AI240))</f>
        <v>#VALUE!</v>
      </c>
      <c r="AL240" s="157"/>
      <c r="AM240" s="158" t="n">
        <f aca="false">WORKDAY(EOMONTH(A240-1,-1),0)</f>
        <v>45107</v>
      </c>
      <c r="AN240" s="159" t="n">
        <f aca="false">AM240-$C$3</f>
        <v>-819</v>
      </c>
      <c r="AO240" s="159" t="n">
        <f aca="false">AO239</f>
        <v>1</v>
      </c>
      <c r="AP240" s="160"/>
      <c r="AQ240" s="161" t="e">
        <f aca="false">SPRDOPT(U240,AA240,AI240,AX240,X240,AD240,AG240,AN240,AO240,0)</f>
        <v>#NAME?</v>
      </c>
      <c r="AR240" s="162" t="e">
        <f aca="false">AQ240*C240</f>
        <v>#NAME?</v>
      </c>
      <c r="AS240" s="163" t="e">
        <f aca="false">AQ240-AK240</f>
        <v>#VALUE!</v>
      </c>
      <c r="AU240" s="112" t="n">
        <f aca="false">A241-A240</f>
        <v>31</v>
      </c>
      <c r="AV240" s="164" t="n">
        <f aca="false">CHOOSE(F$3,A241+24,A240+14)</f>
        <v>45153</v>
      </c>
      <c r="AW240" s="49" t="n">
        <f aca="false">AV240-C$3</f>
        <v>-773</v>
      </c>
      <c r="AX240" s="155" t="n">
        <f aca="false">VLOOKUP($A240,[1]!CurveTable,MATCH(AX$4,[1]!CurveType,0))</f>
        <v>0.0618129574605484</v>
      </c>
      <c r="AY240" s="165" t="n">
        <f aca="false">1/(1+CHOOSE(F$3,(AX241+(Inputs!$B$14/10000))/2,(AX240+(Inputs!$B$14/10000))/2))^(2*AW240/365.25)</f>
        <v>1.13750529941535</v>
      </c>
      <c r="AZ240" s="49" t="n">
        <f aca="false">IF(AND(mthbeg&lt;=A240,mthend&gt;=A240),1,0)</f>
        <v>0</v>
      </c>
      <c r="BA240" s="111" t="n">
        <f aca="false">AU240*AZ240</f>
        <v>0</v>
      </c>
      <c r="BC240" s="142" t="n">
        <f aca="false">E240*$D240</f>
        <v>0</v>
      </c>
      <c r="BD240" s="142" t="n">
        <f aca="false">F240*$D240</f>
        <v>0</v>
      </c>
      <c r="BE240" s="142" t="n">
        <f aca="false">G240*$D240</f>
        <v>0</v>
      </c>
      <c r="BF240" s="142" t="n">
        <f aca="false">H240*$D240</f>
        <v>0</v>
      </c>
      <c r="BG240" s="142" t="n">
        <f aca="false">I240*$D240</f>
        <v>0</v>
      </c>
      <c r="BH240" s="142" t="n">
        <f aca="false">J240*$D240</f>
        <v>0</v>
      </c>
      <c r="BI240" s="142" t="n">
        <f aca="false">K240*$D240</f>
        <v>0</v>
      </c>
      <c r="BJ240" s="142" t="n">
        <f aca="false">L240*$D240</f>
        <v>0</v>
      </c>
      <c r="BK240" s="142" t="n">
        <f aca="false">M240*$D240</f>
        <v>0</v>
      </c>
      <c r="BL240" s="142" t="e">
        <f aca="false">N240*$D240</f>
        <v>#VALUE!</v>
      </c>
      <c r="BM240" s="142" t="e">
        <f aca="false">O240*$D240</f>
        <v>#VALUE!</v>
      </c>
      <c r="BN240" s="142" t="e">
        <f aca="false">P240*$D240</f>
        <v>#VALUE!</v>
      </c>
      <c r="BO240" s="142" t="e">
        <f aca="false">Q240*$D240</f>
        <v>#VALUE!</v>
      </c>
      <c r="BP240" s="142" t="n">
        <f aca="false">R240*$D240</f>
        <v>0</v>
      </c>
      <c r="BQ240" s="142" t="n">
        <f aca="false">S240*$D240</f>
        <v>0</v>
      </c>
      <c r="BR240" s="142" t="n">
        <f aca="false">U240*$D240</f>
        <v>0</v>
      </c>
      <c r="BS240" s="142" t="e">
        <f aca="false">AA240*$D240</f>
        <v>#VALUE!</v>
      </c>
      <c r="BT240" s="142" t="n">
        <f aca="false">AI240*$D240</f>
        <v>0</v>
      </c>
      <c r="BU240" s="142" t="e">
        <f aca="false">AK240*D240</f>
        <v>#VALUE!</v>
      </c>
    </row>
    <row r="241" customFormat="false" ht="12.75" hidden="false" customHeight="false" outlineLevel="0" collapsed="false">
      <c r="A241" s="144" t="n">
        <f aca="false">EDATE(A240,1)</f>
        <v>45170</v>
      </c>
      <c r="B241" s="145" t="n">
        <f aca="false">Inputs!$B$8</f>
        <v>50000</v>
      </c>
      <c r="C241" s="146" t="n">
        <f aca="false">IF(AZ241=0,0,IF(AND(AZ241=1,$H$3=1),B241*AU241,IF($H$3=2,B241,"N/A")))</f>
        <v>0</v>
      </c>
      <c r="D241" s="146" t="n">
        <f aca="false">C241*AY241</f>
        <v>0</v>
      </c>
      <c r="E241" s="147" t="n">
        <f aca="false">VLOOKUP($A241,[1]!CurveTable,MATCH($E$4,[1]!CurveType,0))</f>
        <v>5.7395</v>
      </c>
      <c r="F241" s="148" t="n">
        <f aca="false">E241-Inputs!$B$16</f>
        <v>5.7945</v>
      </c>
      <c r="G241" s="149" t="n">
        <f aca="false">F241</f>
        <v>5.7945</v>
      </c>
      <c r="H241" s="147" t="n">
        <f aca="false">VLOOKUP($A241,[1]!CurveTable,MATCH($H$4,[1]!CurveType,0))</f>
        <v>0</v>
      </c>
      <c r="I241" s="148" t="n">
        <f aca="false">H241+Inputs!$B$22</f>
        <v>0</v>
      </c>
      <c r="J241" s="150" t="n">
        <f aca="false">I241</f>
        <v>0</v>
      </c>
      <c r="K241" s="147" t="n">
        <f aca="false">VLOOKUP($A241,[1]!CurveTable,MATCH($K$4,[1]!CurveType,0))</f>
        <v>0</v>
      </c>
      <c r="L241" s="148" t="n">
        <v>0</v>
      </c>
      <c r="M241" s="151" t="n">
        <f aca="false">L241</f>
        <v>0</v>
      </c>
      <c r="N241" s="147" t="str">
        <f aca="false">VLOOKUP($A241,[1]!CurveTable,MATCH($N$4,[1]!CurveType,0))</f>
        <v/>
      </c>
      <c r="O241" s="148" t="e">
        <f aca="false">N241+Inputs!$E$22</f>
        <v>#VALUE!</v>
      </c>
      <c r="P241" s="151" t="e">
        <f aca="false">O241</f>
        <v>#VALUE!</v>
      </c>
      <c r="Q241" s="147" t="str">
        <f aca="false">VLOOKUP($A241,[1]!CurveTable,MATCH($Q$4,[1]!CurveType,0))</f>
        <v/>
      </c>
      <c r="R241" s="148" t="n">
        <v>0</v>
      </c>
      <c r="S241" s="151" t="n">
        <f aca="false">R241</f>
        <v>0</v>
      </c>
      <c r="T241" s="152"/>
      <c r="U241" s="153" t="n">
        <f aca="false">G241+J241</f>
        <v>5.7945</v>
      </c>
      <c r="V241" s="154"/>
      <c r="W241" s="155" t="n">
        <f aca="false">VLOOKUP($A241,[1]!CurveTable,MATCH($W$4,[1]!CurveType,0))+$W$9</f>
        <v>0.34</v>
      </c>
      <c r="X241" s="155" t="n">
        <f aca="false">VLOOKUP($A241,[1]!CurveTable,MATCH($X$4,[1]!CurveType,0))+$X$9</f>
        <v>0.345</v>
      </c>
      <c r="Y241" s="139" t="n">
        <f aca="false">SQRT((X241^2*($A241-$C$3)+W241^2*(DAY(EOMONTH(A241,0))/2))/$AN241)</f>
        <v>0.334650548853152</v>
      </c>
      <c r="Z241" s="152"/>
      <c r="AA241" s="153" t="e">
        <f aca="false">G241+P241+S241</f>
        <v>#VALUE!</v>
      </c>
      <c r="AB241" s="154"/>
      <c r="AC241" s="155" t="n">
        <f aca="false">VLOOKUP($A241,[1]!CurveTable,MATCH($AC$4,[1]!CurveType,0))+$AC$9</f>
        <v>0.17</v>
      </c>
      <c r="AD241" s="155" t="n">
        <f aca="false">VLOOKUP($A241,[1]!CurveTable,MATCH($AD$4,[1]!CurveType,0))+$AD$9</f>
        <v>0.175</v>
      </c>
      <c r="AE241" s="139" t="n">
        <f aca="false">SQRT((AD241^2*($A241-$C$3)+AC241^2*(DAY(EOMONTH(A241,0))/2))/$AN241)</f>
        <v>0.16979758029522</v>
      </c>
      <c r="AF241" s="152"/>
      <c r="AG241" s="156" t="n">
        <f aca="false">((Inputs!$F$20*(X241*AD241)*(A241-$C$3))+(Inputs!$F$19*W241*AC241*(DAY(EOMONTH(A241,0))/2)))/(AN241*Y241*AE241)</f>
        <v>0.750001532439077</v>
      </c>
      <c r="AH241" s="152"/>
      <c r="AI241" s="140" t="n">
        <f aca="false">Inputs!$B$15</f>
        <v>0.06</v>
      </c>
      <c r="AJ241" s="157"/>
      <c r="AK241" s="140" t="e">
        <f aca="false">IF((U241-AA241-AI241)&lt;0,0,(U241-AA241-AI241))</f>
        <v>#VALUE!</v>
      </c>
      <c r="AL241" s="157"/>
      <c r="AM241" s="158" t="n">
        <f aca="false">WORKDAY(EOMONTH(A241-1,-1),0)</f>
        <v>45138</v>
      </c>
      <c r="AN241" s="159" t="n">
        <f aca="false">AM241-$C$3</f>
        <v>-788</v>
      </c>
      <c r="AO241" s="159" t="n">
        <f aca="false">AO240</f>
        <v>1</v>
      </c>
      <c r="AP241" s="160"/>
      <c r="AQ241" s="161" t="e">
        <f aca="false">SPRDOPT(U241,AA241,AI241,AX241,X241,AD241,AG241,AN241,AO241,0)</f>
        <v>#NAME?</v>
      </c>
      <c r="AR241" s="162" t="e">
        <f aca="false">AQ241*C241</f>
        <v>#NAME?</v>
      </c>
      <c r="AS241" s="163" t="e">
        <f aca="false">AQ241-AK241</f>
        <v>#VALUE!</v>
      </c>
      <c r="AU241" s="112" t="n">
        <f aca="false">A242-A241</f>
        <v>30</v>
      </c>
      <c r="AV241" s="164" t="n">
        <f aca="false">CHOOSE(F$3,A242+24,A241+14)</f>
        <v>45184</v>
      </c>
      <c r="AW241" s="49" t="n">
        <f aca="false">AV241-C$3</f>
        <v>-742</v>
      </c>
      <c r="AX241" s="155" t="n">
        <f aca="false">VLOOKUP($A241,[1]!CurveTable,MATCH(AX$4,[1]!CurveType,0))</f>
        <v>0.0618163112760084</v>
      </c>
      <c r="AY241" s="165" t="n">
        <f aca="false">1/(1+CHOOSE(F$3,(AX242+(Inputs!$B$14/10000))/2,(AX241+(Inputs!$B$14/10000))/2))^(2*AW241/365.25)</f>
        <v>1.13165063364791</v>
      </c>
      <c r="AZ241" s="49" t="n">
        <f aca="false">IF(AND(mthbeg&lt;=A241,mthend&gt;=A241),1,0)</f>
        <v>0</v>
      </c>
      <c r="BA241" s="111" t="n">
        <f aca="false">AU241*AZ241</f>
        <v>0</v>
      </c>
      <c r="BC241" s="142" t="n">
        <f aca="false">E241*$D241</f>
        <v>0</v>
      </c>
      <c r="BD241" s="142" t="n">
        <f aca="false">F241*$D241</f>
        <v>0</v>
      </c>
      <c r="BE241" s="142" t="n">
        <f aca="false">G241*$D241</f>
        <v>0</v>
      </c>
      <c r="BF241" s="142" t="n">
        <f aca="false">H241*$D241</f>
        <v>0</v>
      </c>
      <c r="BG241" s="142" t="n">
        <f aca="false">I241*$D241</f>
        <v>0</v>
      </c>
      <c r="BH241" s="142" t="n">
        <f aca="false">J241*$D241</f>
        <v>0</v>
      </c>
      <c r="BI241" s="142" t="n">
        <f aca="false">K241*$D241</f>
        <v>0</v>
      </c>
      <c r="BJ241" s="142" t="n">
        <f aca="false">L241*$D241</f>
        <v>0</v>
      </c>
      <c r="BK241" s="142" t="n">
        <f aca="false">M241*$D241</f>
        <v>0</v>
      </c>
      <c r="BL241" s="142" t="e">
        <f aca="false">N241*$D241</f>
        <v>#VALUE!</v>
      </c>
      <c r="BM241" s="142" t="e">
        <f aca="false">O241*$D241</f>
        <v>#VALUE!</v>
      </c>
      <c r="BN241" s="142" t="e">
        <f aca="false">P241*$D241</f>
        <v>#VALUE!</v>
      </c>
      <c r="BO241" s="142" t="e">
        <f aca="false">Q241*$D241</f>
        <v>#VALUE!</v>
      </c>
      <c r="BP241" s="142" t="n">
        <f aca="false">R241*$D241</f>
        <v>0</v>
      </c>
      <c r="BQ241" s="142" t="n">
        <f aca="false">S241*$D241</f>
        <v>0</v>
      </c>
      <c r="BR241" s="142" t="n">
        <f aca="false">U241*$D241</f>
        <v>0</v>
      </c>
      <c r="BS241" s="142" t="e">
        <f aca="false">AA241*$D241</f>
        <v>#VALUE!</v>
      </c>
      <c r="BT241" s="142" t="n">
        <f aca="false">AI241*$D241</f>
        <v>0</v>
      </c>
      <c r="BU241" s="142" t="e">
        <f aca="false">AK241*D241</f>
        <v>#VALUE!</v>
      </c>
    </row>
    <row r="242" customFormat="false" ht="12.75" hidden="false" customHeight="false" outlineLevel="0" collapsed="false">
      <c r="A242" s="144" t="n">
        <f aca="false">EDATE(A241,1)</f>
        <v>45200</v>
      </c>
      <c r="B242" s="145" t="n">
        <f aca="false">Inputs!$B$8</f>
        <v>50000</v>
      </c>
      <c r="C242" s="146" t="n">
        <f aca="false">IF(AZ242=0,0,IF(AND(AZ242=1,$H$3=1),B242*AU242,IF($H$3=2,B242,"N/A")))</f>
        <v>0</v>
      </c>
      <c r="D242" s="146" t="n">
        <f aca="false">C242*AY242</f>
        <v>0</v>
      </c>
      <c r="E242" s="147" t="n">
        <f aca="false">VLOOKUP($A242,[1]!CurveTable,MATCH($E$4,[1]!CurveType,0))</f>
        <v>5.7395</v>
      </c>
      <c r="F242" s="148" t="n">
        <f aca="false">E242-Inputs!$B$16</f>
        <v>5.7945</v>
      </c>
      <c r="G242" s="149" t="n">
        <f aca="false">F242</f>
        <v>5.7945</v>
      </c>
      <c r="H242" s="147" t="n">
        <f aca="false">VLOOKUP($A242,[1]!CurveTable,MATCH($H$4,[1]!CurveType,0))</f>
        <v>0</v>
      </c>
      <c r="I242" s="148" t="n">
        <f aca="false">H242+Inputs!$B$22</f>
        <v>0</v>
      </c>
      <c r="J242" s="150" t="n">
        <f aca="false">I242</f>
        <v>0</v>
      </c>
      <c r="K242" s="147" t="n">
        <f aca="false">VLOOKUP($A242,[1]!CurveTable,MATCH($K$4,[1]!CurveType,0))</f>
        <v>0</v>
      </c>
      <c r="L242" s="148" t="n">
        <v>0</v>
      </c>
      <c r="M242" s="151" t="n">
        <f aca="false">L242</f>
        <v>0</v>
      </c>
      <c r="N242" s="147" t="str">
        <f aca="false">VLOOKUP($A242,[1]!CurveTable,MATCH($N$4,[1]!CurveType,0))</f>
        <v/>
      </c>
      <c r="O242" s="148" t="e">
        <f aca="false">N242+Inputs!$E$22</f>
        <v>#VALUE!</v>
      </c>
      <c r="P242" s="151" t="e">
        <f aca="false">O242</f>
        <v>#VALUE!</v>
      </c>
      <c r="Q242" s="147" t="str">
        <f aca="false">VLOOKUP($A242,[1]!CurveTable,MATCH($Q$4,[1]!CurveType,0))</f>
        <v/>
      </c>
      <c r="R242" s="148" t="n">
        <v>0</v>
      </c>
      <c r="S242" s="151" t="n">
        <f aca="false">R242</f>
        <v>0</v>
      </c>
      <c r="T242" s="152"/>
      <c r="U242" s="153" t="n">
        <f aca="false">G242+J242</f>
        <v>5.7945</v>
      </c>
      <c r="V242" s="154"/>
      <c r="W242" s="155" t="n">
        <f aca="false">VLOOKUP($A242,[1]!CurveTable,MATCH($W$4,[1]!CurveType,0))+$W$9</f>
        <v>0.17</v>
      </c>
      <c r="X242" s="155" t="n">
        <f aca="false">VLOOKUP($A242,[1]!CurveTable,MATCH($X$4,[1]!CurveType,0))+$X$9</f>
        <v>0.175</v>
      </c>
      <c r="Y242" s="139" t="n">
        <f aca="false">SQRT((X242^2*($A242-$C$3)+W242^2*(DAY(EOMONTH(A242,0))/2))/$AN242)</f>
        <v>0.169644122024267</v>
      </c>
      <c r="Z242" s="152"/>
      <c r="AA242" s="153" t="e">
        <f aca="false">G242+P242+S242</f>
        <v>#VALUE!</v>
      </c>
      <c r="AB242" s="154"/>
      <c r="AC242" s="155" t="n">
        <f aca="false">VLOOKUP($A242,[1]!CurveTable,MATCH($AC$4,[1]!CurveType,0))+$AC$9</f>
        <v>0.17</v>
      </c>
      <c r="AD242" s="155" t="n">
        <f aca="false">VLOOKUP($A242,[1]!CurveTable,MATCH($AD$4,[1]!CurveType,0))+$AD$9</f>
        <v>0.175</v>
      </c>
      <c r="AE242" s="139" t="n">
        <f aca="false">SQRT((AD242^2*($A242-$C$3)+AC242^2*(DAY(EOMONTH(A242,0))/2))/$AN242)</f>
        <v>0.169644122024267</v>
      </c>
      <c r="AF242" s="152"/>
      <c r="AG242" s="156" t="n">
        <f aca="false">((Inputs!$F$20*(X242*AD242)*(A242-$C$3))+(Inputs!$F$19*W242*AC242*(DAY(EOMONTH(A242,0))/2)))/(AN242*Y242*AE242)</f>
        <v>0.75</v>
      </c>
      <c r="AH242" s="152"/>
      <c r="AI242" s="140" t="n">
        <f aca="false">Inputs!$B$15</f>
        <v>0.06</v>
      </c>
      <c r="AJ242" s="157"/>
      <c r="AK242" s="140" t="e">
        <f aca="false">IF((U242-AA242-AI242)&lt;0,0,(U242-AA242-AI242))</f>
        <v>#VALUE!</v>
      </c>
      <c r="AL242" s="157"/>
      <c r="AM242" s="158" t="n">
        <f aca="false">WORKDAY(EOMONTH(A242-1,-1),0)</f>
        <v>45169</v>
      </c>
      <c r="AN242" s="159" t="n">
        <f aca="false">AM242-$C$3</f>
        <v>-757</v>
      </c>
      <c r="AO242" s="159" t="n">
        <f aca="false">AO241</f>
        <v>1</v>
      </c>
      <c r="AP242" s="160"/>
      <c r="AQ242" s="161" t="e">
        <f aca="false">SPRDOPT(U242,AA242,AI242,AX242,X242,AD242,AG242,AN242,AO242,0)</f>
        <v>#NAME?</v>
      </c>
      <c r="AR242" s="162" t="e">
        <f aca="false">AQ242*C242</f>
        <v>#NAME?</v>
      </c>
      <c r="AS242" s="163" t="e">
        <f aca="false">AQ242-AK242</f>
        <v>#VALUE!</v>
      </c>
      <c r="AU242" s="112" t="n">
        <f aca="false">A243-A242</f>
        <v>31</v>
      </c>
      <c r="AV242" s="164" t="n">
        <f aca="false">CHOOSE(F$3,A243+24,A242+14)</f>
        <v>45214</v>
      </c>
      <c r="AW242" s="49" t="n">
        <f aca="false">AV242-C$3</f>
        <v>-712</v>
      </c>
      <c r="AX242" s="155" t="n">
        <f aca="false">VLOOKUP($A242,[1]!CurveTable,MATCH(AX$4,[1]!CurveType,0))</f>
        <v>0.0618195569038766</v>
      </c>
      <c r="AY242" s="165" t="n">
        <f aca="false">1/(1+CHOOSE(F$3,(AX243+(Inputs!$B$14/10000))/2,(AX242+(Inputs!$B$14/10000))/2))^(2*AW242/365.25)</f>
        <v>1.12601292877564</v>
      </c>
      <c r="AZ242" s="49" t="n">
        <f aca="false">IF(AND(mthbeg&lt;=A242,mthend&gt;=A242),1,0)</f>
        <v>0</v>
      </c>
      <c r="BA242" s="111" t="n">
        <f aca="false">AU242*AZ242</f>
        <v>0</v>
      </c>
      <c r="BC242" s="142" t="n">
        <f aca="false">E242*$D242</f>
        <v>0</v>
      </c>
      <c r="BD242" s="142" t="n">
        <f aca="false">F242*$D242</f>
        <v>0</v>
      </c>
      <c r="BE242" s="142" t="n">
        <f aca="false">G242*$D242</f>
        <v>0</v>
      </c>
      <c r="BF242" s="142" t="n">
        <f aca="false">H242*$D242</f>
        <v>0</v>
      </c>
      <c r="BG242" s="142" t="n">
        <f aca="false">I242*$D242</f>
        <v>0</v>
      </c>
      <c r="BH242" s="142" t="n">
        <f aca="false">J242*$D242</f>
        <v>0</v>
      </c>
      <c r="BI242" s="142" t="n">
        <f aca="false">K242*$D242</f>
        <v>0</v>
      </c>
      <c r="BJ242" s="142" t="n">
        <f aca="false">L242*$D242</f>
        <v>0</v>
      </c>
      <c r="BK242" s="142" t="n">
        <f aca="false">M242*$D242</f>
        <v>0</v>
      </c>
      <c r="BL242" s="142" t="e">
        <f aca="false">N242*$D242</f>
        <v>#VALUE!</v>
      </c>
      <c r="BM242" s="142" t="e">
        <f aca="false">O242*$D242</f>
        <v>#VALUE!</v>
      </c>
      <c r="BN242" s="142" t="e">
        <f aca="false">P242*$D242</f>
        <v>#VALUE!</v>
      </c>
      <c r="BO242" s="142" t="e">
        <f aca="false">Q242*$D242</f>
        <v>#VALUE!</v>
      </c>
      <c r="BP242" s="142" t="n">
        <f aca="false">R242*$D242</f>
        <v>0</v>
      </c>
      <c r="BQ242" s="142" t="n">
        <f aca="false">S242*$D242</f>
        <v>0</v>
      </c>
      <c r="BR242" s="142" t="n">
        <f aca="false">U242*$D242</f>
        <v>0</v>
      </c>
      <c r="BS242" s="142" t="e">
        <f aca="false">AA242*$D242</f>
        <v>#VALUE!</v>
      </c>
      <c r="BT242" s="142" t="n">
        <f aca="false">AI242*$D242</f>
        <v>0</v>
      </c>
      <c r="BU242" s="142" t="e">
        <f aca="false">AK242*D242</f>
        <v>#VALUE!</v>
      </c>
    </row>
    <row r="243" customFormat="false" ht="12.75" hidden="false" customHeight="false" outlineLevel="0" collapsed="false">
      <c r="A243" s="144" t="n">
        <f aca="false">EDATE(A242,1)</f>
        <v>45231</v>
      </c>
      <c r="B243" s="145" t="n">
        <f aca="false">Inputs!$B$8</f>
        <v>50000</v>
      </c>
      <c r="C243" s="146" t="n">
        <f aca="false">IF(AZ243=0,0,IF(AND(AZ243=1,$H$3=1),B243*AU243,IF($H$3=2,B243,"N/A")))</f>
        <v>0</v>
      </c>
      <c r="D243" s="146" t="n">
        <f aca="false">C243*AY243</f>
        <v>0</v>
      </c>
      <c r="E243" s="147" t="n">
        <f aca="false">VLOOKUP($A243,[1]!CurveTable,MATCH($E$4,[1]!CurveType,0))</f>
        <v>5.8875</v>
      </c>
      <c r="F243" s="148" t="n">
        <f aca="false">E243-Inputs!$B$16</f>
        <v>5.9425</v>
      </c>
      <c r="G243" s="149" t="n">
        <f aca="false">F243</f>
        <v>5.9425</v>
      </c>
      <c r="H243" s="147" t="n">
        <f aca="false">VLOOKUP($A243,[1]!CurveTable,MATCH($H$4,[1]!CurveType,0))</f>
        <v>0</v>
      </c>
      <c r="I243" s="148" t="n">
        <f aca="false">H243+Inputs!$B$22</f>
        <v>0</v>
      </c>
      <c r="J243" s="150" t="n">
        <f aca="false">I243</f>
        <v>0</v>
      </c>
      <c r="K243" s="147" t="n">
        <f aca="false">VLOOKUP($A243,[1]!CurveTable,MATCH($K$4,[1]!CurveType,0))</f>
        <v>0</v>
      </c>
      <c r="L243" s="148" t="n">
        <v>0</v>
      </c>
      <c r="M243" s="151" t="n">
        <f aca="false">L243</f>
        <v>0</v>
      </c>
      <c r="N243" s="147" t="str">
        <f aca="false">VLOOKUP($A243,[1]!CurveTable,MATCH($N$4,[1]!CurveType,0))</f>
        <v/>
      </c>
      <c r="O243" s="148" t="e">
        <f aca="false">N243+Inputs!$E$22</f>
        <v>#VALUE!</v>
      </c>
      <c r="P243" s="151" t="e">
        <f aca="false">O243</f>
        <v>#VALUE!</v>
      </c>
      <c r="Q243" s="147" t="str">
        <f aca="false">VLOOKUP($A243,[1]!CurveTable,MATCH($Q$4,[1]!CurveType,0))</f>
        <v/>
      </c>
      <c r="R243" s="148" t="n">
        <v>0</v>
      </c>
      <c r="S243" s="151" t="n">
        <f aca="false">R243</f>
        <v>0</v>
      </c>
      <c r="T243" s="152"/>
      <c r="U243" s="153" t="n">
        <f aca="false">G243+J243</f>
        <v>5.9425</v>
      </c>
      <c r="V243" s="154"/>
      <c r="W243" s="155" t="n">
        <f aca="false">VLOOKUP($A243,[1]!CurveTable,MATCH($W$4,[1]!CurveType,0))+$W$9</f>
        <v>0.17</v>
      </c>
      <c r="X243" s="155" t="n">
        <f aca="false">VLOOKUP($A243,[1]!CurveTable,MATCH($X$4,[1]!CurveType,0))+$X$9</f>
        <v>0.175</v>
      </c>
      <c r="Y243" s="139" t="n">
        <f aca="false">SQRT((X243^2*($A243-$C$3)+W243^2*(DAY(EOMONTH(A243,0))/2))/$AN243)</f>
        <v>0.169353796504969</v>
      </c>
      <c r="Z243" s="152"/>
      <c r="AA243" s="153" t="e">
        <f aca="false">G243+P243+S243</f>
        <v>#VALUE!</v>
      </c>
      <c r="AB243" s="154"/>
      <c r="AC243" s="155" t="n">
        <f aca="false">VLOOKUP($A243,[1]!CurveTable,MATCH($AC$4,[1]!CurveType,0))+$AC$9</f>
        <v>0.17</v>
      </c>
      <c r="AD243" s="155" t="n">
        <f aca="false">VLOOKUP($A243,[1]!CurveTable,MATCH($AD$4,[1]!CurveType,0))+$AD$9</f>
        <v>0.175</v>
      </c>
      <c r="AE243" s="139" t="n">
        <f aca="false">SQRT((AD243^2*($A243-$C$3)+AC243^2*(DAY(EOMONTH(A243,0))/2))/$AN243)</f>
        <v>0.169353796504969</v>
      </c>
      <c r="AF243" s="152"/>
      <c r="AG243" s="156" t="n">
        <f aca="false">((Inputs!$F$20*(X243*AD243)*(A243-$C$3))+(Inputs!$F$19*W243*AC243*(DAY(EOMONTH(A243,0))/2)))/(AN243*Y243*AE243)</f>
        <v>0.75</v>
      </c>
      <c r="AH243" s="152"/>
      <c r="AI243" s="140" t="n">
        <f aca="false">Inputs!$B$15</f>
        <v>0.06</v>
      </c>
      <c r="AJ243" s="157"/>
      <c r="AK243" s="140" t="e">
        <f aca="false">IF((U243-AA243-AI243)&lt;0,0,(U243-AA243-AI243))</f>
        <v>#VALUE!</v>
      </c>
      <c r="AL243" s="157"/>
      <c r="AM243" s="158" t="n">
        <f aca="false">WORKDAY(EOMONTH(A243-1,-1),0)</f>
        <v>45199</v>
      </c>
      <c r="AN243" s="159" t="n">
        <f aca="false">AM243-$C$3</f>
        <v>-727</v>
      </c>
      <c r="AO243" s="159" t="n">
        <f aca="false">AO242</f>
        <v>1</v>
      </c>
      <c r="AP243" s="160"/>
      <c r="AQ243" s="161" t="e">
        <f aca="false">SPRDOPT(U243,AA243,AI243,AX243,X243,AD243,AG243,AN243,AO243,0)</f>
        <v>#NAME?</v>
      </c>
      <c r="AR243" s="162" t="e">
        <f aca="false">AQ243*C243</f>
        <v>#NAME?</v>
      </c>
      <c r="AS243" s="163" t="e">
        <f aca="false">AQ243-AK243</f>
        <v>#VALUE!</v>
      </c>
      <c r="AU243" s="112" t="n">
        <f aca="false">A244-A243</f>
        <v>30</v>
      </c>
      <c r="AV243" s="164" t="n">
        <f aca="false">CHOOSE(F$3,A244+24,A243+14)</f>
        <v>45245</v>
      </c>
      <c r="AW243" s="49" t="n">
        <f aca="false">AV243-C$3</f>
        <v>-681</v>
      </c>
      <c r="AX243" s="155" t="n">
        <f aca="false">VLOOKUP($A243,[1]!CurveTable,MATCH(AX$4,[1]!CurveType,0))</f>
        <v>0.0618229107193438</v>
      </c>
      <c r="AY243" s="165" t="n">
        <f aca="false">1/(1+CHOOSE(F$3,(AX244+(Inputs!$B$14/10000))/2,(AX243+(Inputs!$B$14/10000))/2))^(2*AW243/365.25)</f>
        <v>1.12021619618882</v>
      </c>
      <c r="AZ243" s="49" t="n">
        <f aca="false">IF(AND(mthbeg&lt;=A243,mthend&gt;=A243),1,0)</f>
        <v>0</v>
      </c>
      <c r="BA243" s="111" t="n">
        <f aca="false">AU243*AZ243</f>
        <v>0</v>
      </c>
      <c r="BC243" s="142" t="n">
        <f aca="false">E243*$D243</f>
        <v>0</v>
      </c>
      <c r="BD243" s="142" t="n">
        <f aca="false">F243*$D243</f>
        <v>0</v>
      </c>
      <c r="BE243" s="142" t="n">
        <f aca="false">G243*$D243</f>
        <v>0</v>
      </c>
      <c r="BF243" s="142" t="n">
        <f aca="false">H243*$D243</f>
        <v>0</v>
      </c>
      <c r="BG243" s="142" t="n">
        <f aca="false">I243*$D243</f>
        <v>0</v>
      </c>
      <c r="BH243" s="142" t="n">
        <f aca="false">J243*$D243</f>
        <v>0</v>
      </c>
      <c r="BI243" s="142" t="n">
        <f aca="false">K243*$D243</f>
        <v>0</v>
      </c>
      <c r="BJ243" s="142" t="n">
        <f aca="false">L243*$D243</f>
        <v>0</v>
      </c>
      <c r="BK243" s="142" t="n">
        <f aca="false">M243*$D243</f>
        <v>0</v>
      </c>
      <c r="BL243" s="142" t="e">
        <f aca="false">N243*$D243</f>
        <v>#VALUE!</v>
      </c>
      <c r="BM243" s="142" t="e">
        <f aca="false">O243*$D243</f>
        <v>#VALUE!</v>
      </c>
      <c r="BN243" s="142" t="e">
        <f aca="false">P243*$D243</f>
        <v>#VALUE!</v>
      </c>
      <c r="BO243" s="142" t="e">
        <f aca="false">Q243*$D243</f>
        <v>#VALUE!</v>
      </c>
      <c r="BP243" s="142" t="n">
        <f aca="false">R243*$D243</f>
        <v>0</v>
      </c>
      <c r="BQ243" s="142" t="n">
        <f aca="false">S243*$D243</f>
        <v>0</v>
      </c>
      <c r="BR243" s="142" t="n">
        <f aca="false">U243*$D243</f>
        <v>0</v>
      </c>
      <c r="BS243" s="142" t="e">
        <f aca="false">AA243*$D243</f>
        <v>#VALUE!</v>
      </c>
      <c r="BT243" s="142" t="n">
        <f aca="false">AI243*$D243</f>
        <v>0</v>
      </c>
      <c r="BU243" s="142" t="e">
        <f aca="false">AK243*D243</f>
        <v>#VALUE!</v>
      </c>
    </row>
    <row r="244" customFormat="false" ht="12.75" hidden="false" customHeight="false" outlineLevel="0" collapsed="false">
      <c r="A244" s="144" t="n">
        <f aca="false">EDATE(A243,1)</f>
        <v>45261</v>
      </c>
      <c r="B244" s="145" t="n">
        <f aca="false">Inputs!$B$8</f>
        <v>50000</v>
      </c>
      <c r="C244" s="146" t="n">
        <f aca="false">IF(AZ244=0,0,IF(AND(AZ244=1,$H$3=1),B244*AU244,IF($H$3=2,B244,"N/A")))</f>
        <v>0</v>
      </c>
      <c r="D244" s="146" t="n">
        <f aca="false">C244*AY244</f>
        <v>0</v>
      </c>
      <c r="E244" s="147" t="n">
        <f aca="false">VLOOKUP($A244,[1]!CurveTable,MATCH($E$4,[1]!CurveType,0))</f>
        <v>6.0395</v>
      </c>
      <c r="F244" s="148" t="n">
        <f aca="false">E244-Inputs!$B$16</f>
        <v>6.0945</v>
      </c>
      <c r="G244" s="149" t="n">
        <f aca="false">F244</f>
        <v>6.0945</v>
      </c>
      <c r="H244" s="147" t="n">
        <f aca="false">VLOOKUP($A244,[1]!CurveTable,MATCH($H$4,[1]!CurveType,0))</f>
        <v>0</v>
      </c>
      <c r="I244" s="148" t="n">
        <f aca="false">H244+Inputs!$B$22</f>
        <v>0</v>
      </c>
      <c r="J244" s="150" t="n">
        <f aca="false">I244</f>
        <v>0</v>
      </c>
      <c r="K244" s="147" t="n">
        <f aca="false">VLOOKUP($A244,[1]!CurveTable,MATCH($K$4,[1]!CurveType,0))</f>
        <v>0</v>
      </c>
      <c r="L244" s="148" t="n">
        <v>0</v>
      </c>
      <c r="M244" s="151" t="n">
        <f aca="false">L244</f>
        <v>0</v>
      </c>
      <c r="N244" s="147" t="str">
        <f aca="false">VLOOKUP($A244,[1]!CurveTable,MATCH($N$4,[1]!CurveType,0))</f>
        <v/>
      </c>
      <c r="O244" s="148" t="e">
        <f aca="false">N244+Inputs!$E$22</f>
        <v>#VALUE!</v>
      </c>
      <c r="P244" s="151" t="e">
        <f aca="false">O244</f>
        <v>#VALUE!</v>
      </c>
      <c r="Q244" s="147" t="str">
        <f aca="false">VLOOKUP($A244,[1]!CurveTable,MATCH($Q$4,[1]!CurveType,0))</f>
        <v/>
      </c>
      <c r="R244" s="148" t="n">
        <v>0</v>
      </c>
      <c r="S244" s="151" t="n">
        <f aca="false">R244</f>
        <v>0</v>
      </c>
      <c r="T244" s="152"/>
      <c r="U244" s="153" t="n">
        <f aca="false">G244+J244</f>
        <v>6.0945</v>
      </c>
      <c r="V244" s="154"/>
      <c r="W244" s="155" t="n">
        <f aca="false">VLOOKUP($A244,[1]!CurveTable,MATCH($W$4,[1]!CurveType,0))+$W$9</f>
        <v>0.17</v>
      </c>
      <c r="X244" s="155" t="n">
        <f aca="false">VLOOKUP($A244,[1]!CurveTable,MATCH($X$4,[1]!CurveType,0))+$X$9</f>
        <v>0.175</v>
      </c>
      <c r="Y244" s="139" t="n">
        <f aca="false">SQRT((X244^2*($A244-$C$3)+W244^2*(DAY(EOMONTH(A244,0))/2))/$AN244)</f>
        <v>0.169166631277953</v>
      </c>
      <c r="Z244" s="152"/>
      <c r="AA244" s="153" t="e">
        <f aca="false">G244+P244+S244</f>
        <v>#VALUE!</v>
      </c>
      <c r="AB244" s="154"/>
      <c r="AC244" s="155" t="n">
        <f aca="false">VLOOKUP($A244,[1]!CurveTable,MATCH($AC$4,[1]!CurveType,0))+$AC$9</f>
        <v>0.17</v>
      </c>
      <c r="AD244" s="155" t="n">
        <f aca="false">VLOOKUP($A244,[1]!CurveTable,MATCH($AD$4,[1]!CurveType,0))+$AD$9</f>
        <v>0.175</v>
      </c>
      <c r="AE244" s="139" t="n">
        <f aca="false">SQRT((AD244^2*($A244-$C$3)+AC244^2*(DAY(EOMONTH(A244,0))/2))/$AN244)</f>
        <v>0.169166631277953</v>
      </c>
      <c r="AF244" s="152"/>
      <c r="AG244" s="156" t="n">
        <f aca="false">((Inputs!$F$20*(X244*AD244)*(A244-$C$3))+(Inputs!$F$19*W244*AC244*(DAY(EOMONTH(A244,0))/2)))/(AN244*Y244*AE244)</f>
        <v>0.75</v>
      </c>
      <c r="AH244" s="152"/>
      <c r="AI244" s="140" t="n">
        <f aca="false">Inputs!$B$15</f>
        <v>0.06</v>
      </c>
      <c r="AJ244" s="157"/>
      <c r="AK244" s="140" t="e">
        <f aca="false">IF((U244-AA244-AI244)&lt;0,0,(U244-AA244-AI244))</f>
        <v>#VALUE!</v>
      </c>
      <c r="AL244" s="157"/>
      <c r="AM244" s="158" t="n">
        <f aca="false">WORKDAY(EOMONTH(A244-1,-1),0)</f>
        <v>45230</v>
      </c>
      <c r="AN244" s="159" t="n">
        <f aca="false">AM244-$C$3</f>
        <v>-696</v>
      </c>
      <c r="AO244" s="159" t="n">
        <f aca="false">AO243</f>
        <v>1</v>
      </c>
      <c r="AP244" s="160"/>
      <c r="AQ244" s="161" t="e">
        <f aca="false">SPRDOPT(U244,AA244,AI244,AX244,X244,AD244,AG244,AN244,AO244,0)</f>
        <v>#NAME?</v>
      </c>
      <c r="AR244" s="162" t="e">
        <f aca="false">AQ244*C244</f>
        <v>#NAME?</v>
      </c>
      <c r="AS244" s="163" t="e">
        <f aca="false">AQ244-AK244</f>
        <v>#VALUE!</v>
      </c>
      <c r="AU244" s="112" t="n">
        <f aca="false">A245-A244</f>
        <v>31</v>
      </c>
      <c r="AV244" s="164" t="n">
        <f aca="false">CHOOSE(F$3,A245+24,A244+14)</f>
        <v>45275</v>
      </c>
      <c r="AW244" s="49" t="n">
        <f aca="false">AV244-C$3</f>
        <v>-651</v>
      </c>
      <c r="AX244" s="155" t="n">
        <f aca="false">VLOOKUP($A244,[1]!CurveTable,MATCH(AX$4,[1]!CurveType,0))</f>
        <v>0.0618261563472191</v>
      </c>
      <c r="AY244" s="165" t="n">
        <f aca="false">1/(1+CHOOSE(F$3,(AX245+(Inputs!$B$14/10000))/2,(AX244+(Inputs!$B$14/10000))/2))^(2*AW244/365.25)</f>
        <v>1.11463428371688</v>
      </c>
      <c r="AZ244" s="49" t="n">
        <f aca="false">IF(AND(mthbeg&lt;=A244,mthend&gt;=A244),1,0)</f>
        <v>0</v>
      </c>
      <c r="BA244" s="111" t="n">
        <f aca="false">AU244*AZ244</f>
        <v>0</v>
      </c>
      <c r="BC244" s="142" t="n">
        <f aca="false">E244*$D244</f>
        <v>0</v>
      </c>
      <c r="BD244" s="142" t="n">
        <f aca="false">F244*$D244</f>
        <v>0</v>
      </c>
      <c r="BE244" s="142" t="n">
        <f aca="false">G244*$D244</f>
        <v>0</v>
      </c>
      <c r="BF244" s="142" t="n">
        <f aca="false">H244*$D244</f>
        <v>0</v>
      </c>
      <c r="BG244" s="142" t="n">
        <f aca="false">I244*$D244</f>
        <v>0</v>
      </c>
      <c r="BH244" s="142" t="n">
        <f aca="false">J244*$D244</f>
        <v>0</v>
      </c>
      <c r="BI244" s="142" t="n">
        <f aca="false">K244*$D244</f>
        <v>0</v>
      </c>
      <c r="BJ244" s="142" t="n">
        <f aca="false">L244*$D244</f>
        <v>0</v>
      </c>
      <c r="BK244" s="142" t="n">
        <f aca="false">M244*$D244</f>
        <v>0</v>
      </c>
      <c r="BL244" s="142" t="e">
        <f aca="false">N244*$D244</f>
        <v>#VALUE!</v>
      </c>
      <c r="BM244" s="142" t="e">
        <f aca="false">O244*$D244</f>
        <v>#VALUE!</v>
      </c>
      <c r="BN244" s="142" t="e">
        <f aca="false">P244*$D244</f>
        <v>#VALUE!</v>
      </c>
      <c r="BO244" s="142" t="e">
        <f aca="false">Q244*$D244</f>
        <v>#VALUE!</v>
      </c>
      <c r="BP244" s="142" t="n">
        <f aca="false">R244*$D244</f>
        <v>0</v>
      </c>
      <c r="BQ244" s="142" t="n">
        <f aca="false">S244*$D244</f>
        <v>0</v>
      </c>
      <c r="BR244" s="142" t="n">
        <f aca="false">U244*$D244</f>
        <v>0</v>
      </c>
      <c r="BS244" s="142" t="e">
        <f aca="false">AA244*$D244</f>
        <v>#VALUE!</v>
      </c>
      <c r="BT244" s="142" t="n">
        <f aca="false">AI244*$D244</f>
        <v>0</v>
      </c>
      <c r="BU244" s="142" t="e">
        <f aca="false">AK244*D244</f>
        <v>#VALUE!</v>
      </c>
    </row>
    <row r="245" customFormat="false" ht="12.75" hidden="false" customHeight="false" outlineLevel="0" collapsed="false">
      <c r="A245" s="144" t="n">
        <f aca="false">EDATE(A244,1)</f>
        <v>45292</v>
      </c>
      <c r="B245" s="145" t="n">
        <f aca="false">Inputs!$B$8</f>
        <v>50000</v>
      </c>
      <c r="C245" s="146" t="n">
        <f aca="false">IF(AZ245=0,0,IF(AND(AZ245=1,$H$3=1),B245*AU245,IF($H$3=2,B245,"N/A")))</f>
        <v>0</v>
      </c>
      <c r="D245" s="146" t="n">
        <f aca="false">C245*AY245</f>
        <v>0</v>
      </c>
      <c r="E245" s="147" t="n">
        <f aca="false">VLOOKUP($A245,[1]!CurveTable,MATCH($E$4,[1]!CurveType,0))</f>
        <v>6.117</v>
      </c>
      <c r="F245" s="148" t="n">
        <f aca="false">E245-Inputs!$B$16</f>
        <v>6.172</v>
      </c>
      <c r="G245" s="149" t="n">
        <f aca="false">F245</f>
        <v>6.172</v>
      </c>
      <c r="H245" s="147" t="n">
        <f aca="false">VLOOKUP($A245,[1]!CurveTable,MATCH($H$4,[1]!CurveType,0))</f>
        <v>0</v>
      </c>
      <c r="I245" s="148" t="n">
        <f aca="false">H245+Inputs!$B$22</f>
        <v>0</v>
      </c>
      <c r="J245" s="150" t="n">
        <f aca="false">I245</f>
        <v>0</v>
      </c>
      <c r="K245" s="147" t="n">
        <f aca="false">VLOOKUP($A245,[1]!CurveTable,MATCH($K$4,[1]!CurveType,0))</f>
        <v>0</v>
      </c>
      <c r="L245" s="148" t="n">
        <v>0</v>
      </c>
      <c r="M245" s="151" t="n">
        <f aca="false">L245</f>
        <v>0</v>
      </c>
      <c r="N245" s="147" t="str">
        <f aca="false">VLOOKUP($A245,[1]!CurveTable,MATCH($N$4,[1]!CurveType,0))</f>
        <v/>
      </c>
      <c r="O245" s="148" t="e">
        <f aca="false">N245+Inputs!$E$22</f>
        <v>#VALUE!</v>
      </c>
      <c r="P245" s="151" t="e">
        <f aca="false">O245</f>
        <v>#VALUE!</v>
      </c>
      <c r="Q245" s="147" t="str">
        <f aca="false">VLOOKUP($A245,[1]!CurveTable,MATCH($Q$4,[1]!CurveType,0))</f>
        <v/>
      </c>
      <c r="R245" s="148" t="n">
        <v>0</v>
      </c>
      <c r="S245" s="151" t="n">
        <f aca="false">R245</f>
        <v>0</v>
      </c>
      <c r="T245" s="152"/>
      <c r="U245" s="153" t="n">
        <f aca="false">G245+J245</f>
        <v>6.172</v>
      </c>
      <c r="V245" s="154"/>
      <c r="W245" s="155" t="n">
        <f aca="false">VLOOKUP($A245,[1]!CurveTable,MATCH($W$4,[1]!CurveType,0))+$W$9</f>
        <v>0.17</v>
      </c>
      <c r="X245" s="155" t="n">
        <f aca="false">VLOOKUP($A245,[1]!CurveTable,MATCH($X$4,[1]!CurveType,0))+$X$9</f>
        <v>0.175</v>
      </c>
      <c r="Y245" s="139" t="n">
        <f aca="false">SQRT((X245^2*($A245-$C$3)+W245^2*(DAY(EOMONTH(A245,0))/2))/$AN245)</f>
        <v>0.168762943002695</v>
      </c>
      <c r="Z245" s="152"/>
      <c r="AA245" s="153" t="e">
        <f aca="false">G245+P245+S245</f>
        <v>#VALUE!</v>
      </c>
      <c r="AB245" s="154"/>
      <c r="AC245" s="155" t="n">
        <f aca="false">VLOOKUP($A245,[1]!CurveTable,MATCH($AC$4,[1]!CurveType,0))+$AC$9</f>
        <v>0.17</v>
      </c>
      <c r="AD245" s="155" t="n">
        <f aca="false">VLOOKUP($A245,[1]!CurveTable,MATCH($AD$4,[1]!CurveType,0))+$AD$9</f>
        <v>0.175</v>
      </c>
      <c r="AE245" s="139" t="n">
        <f aca="false">SQRT((AD245^2*($A245-$C$3)+AC245^2*(DAY(EOMONTH(A245,0))/2))/$AN245)</f>
        <v>0.168762943002695</v>
      </c>
      <c r="AF245" s="152"/>
      <c r="AG245" s="156" t="n">
        <f aca="false">((Inputs!$F$20*(X245*AD245)*(A245-$C$3))+(Inputs!$F$19*W245*AC245*(DAY(EOMONTH(A245,0))/2)))/(AN245*Y245*AE245)</f>
        <v>0.75</v>
      </c>
      <c r="AH245" s="152"/>
      <c r="AI245" s="140" t="n">
        <f aca="false">Inputs!$B$15</f>
        <v>0.06</v>
      </c>
      <c r="AJ245" s="157"/>
      <c r="AK245" s="140" t="e">
        <f aca="false">IF((U245-AA245-AI245)&lt;0,0,(U245-AA245-AI245))</f>
        <v>#VALUE!</v>
      </c>
      <c r="AL245" s="157"/>
      <c r="AM245" s="158" t="n">
        <f aca="false">WORKDAY(EOMONTH(A245-1,-1),0)</f>
        <v>45260</v>
      </c>
      <c r="AN245" s="159" t="n">
        <f aca="false">AM245-$C$3</f>
        <v>-666</v>
      </c>
      <c r="AO245" s="159" t="n">
        <f aca="false">AO244</f>
        <v>1</v>
      </c>
      <c r="AP245" s="160"/>
      <c r="AQ245" s="161" t="e">
        <f aca="false">SPRDOPT(U245,AA245,AI245,AX245,X245,AD245,AG245,AN245,AO245,0)</f>
        <v>#NAME?</v>
      </c>
      <c r="AR245" s="162" t="e">
        <f aca="false">AQ245*C245</f>
        <v>#NAME?</v>
      </c>
      <c r="AS245" s="163" t="e">
        <f aca="false">AQ245-AK245</f>
        <v>#VALUE!</v>
      </c>
      <c r="AU245" s="112" t="n">
        <f aca="false">A246-A245</f>
        <v>31</v>
      </c>
      <c r="AV245" s="164" t="n">
        <f aca="false">CHOOSE(F$3,A246+24,A245+14)</f>
        <v>45306</v>
      </c>
      <c r="AW245" s="49" t="n">
        <f aca="false">AV245-C$3</f>
        <v>-620</v>
      </c>
      <c r="AX245" s="155" t="n">
        <f aca="false">VLOOKUP($A245,[1]!CurveTable,MATCH(AX$4,[1]!CurveType,0))</f>
        <v>0.0618295101626938</v>
      </c>
      <c r="AY245" s="165" t="n">
        <f aca="false">1/(1+CHOOSE(F$3,(AX246+(Inputs!$B$14/10000))/2,(AX245+(Inputs!$B$14/10000))/2))^(2*AW245/365.25)</f>
        <v>1.10889492358193</v>
      </c>
      <c r="AZ245" s="49" t="n">
        <f aca="false">IF(AND(mthbeg&lt;=A245,mthend&gt;=A245),1,0)</f>
        <v>0</v>
      </c>
      <c r="BA245" s="111" t="n">
        <f aca="false">AU245*AZ245</f>
        <v>0</v>
      </c>
      <c r="BC245" s="142" t="n">
        <f aca="false">E245*$D245</f>
        <v>0</v>
      </c>
      <c r="BD245" s="142" t="n">
        <f aca="false">F245*$D245</f>
        <v>0</v>
      </c>
      <c r="BE245" s="142" t="n">
        <f aca="false">G245*$D245</f>
        <v>0</v>
      </c>
      <c r="BF245" s="142" t="n">
        <f aca="false">H245*$D245</f>
        <v>0</v>
      </c>
      <c r="BG245" s="142" t="n">
        <f aca="false">I245*$D245</f>
        <v>0</v>
      </c>
      <c r="BH245" s="142" t="n">
        <f aca="false">J245*$D245</f>
        <v>0</v>
      </c>
      <c r="BI245" s="142" t="n">
        <f aca="false">K245*$D245</f>
        <v>0</v>
      </c>
      <c r="BJ245" s="142" t="n">
        <f aca="false">L245*$D245</f>
        <v>0</v>
      </c>
      <c r="BK245" s="142" t="n">
        <f aca="false">M245*$D245</f>
        <v>0</v>
      </c>
      <c r="BL245" s="142" t="e">
        <f aca="false">N245*$D245</f>
        <v>#VALUE!</v>
      </c>
      <c r="BM245" s="142" t="e">
        <f aca="false">O245*$D245</f>
        <v>#VALUE!</v>
      </c>
      <c r="BN245" s="142" t="e">
        <f aca="false">P245*$D245</f>
        <v>#VALUE!</v>
      </c>
      <c r="BO245" s="142" t="e">
        <f aca="false">Q245*$D245</f>
        <v>#VALUE!</v>
      </c>
      <c r="BP245" s="142" t="n">
        <f aca="false">R245*$D245</f>
        <v>0</v>
      </c>
      <c r="BQ245" s="142" t="n">
        <f aca="false">S245*$D245</f>
        <v>0</v>
      </c>
      <c r="BR245" s="142" t="n">
        <f aca="false">U245*$D245</f>
        <v>0</v>
      </c>
      <c r="BS245" s="142" t="e">
        <f aca="false">AA245*$D245</f>
        <v>#VALUE!</v>
      </c>
      <c r="BT245" s="142" t="n">
        <f aca="false">AI245*$D245</f>
        <v>0</v>
      </c>
      <c r="BU245" s="142" t="e">
        <f aca="false">AK245*D245</f>
        <v>#VALUE!</v>
      </c>
    </row>
    <row r="246" customFormat="false" ht="12.75" hidden="false" customHeight="false" outlineLevel="0" collapsed="false">
      <c r="A246" s="144" t="n">
        <f aca="false">EDATE(A245,1)</f>
        <v>45323</v>
      </c>
      <c r="B246" s="145" t="n">
        <f aca="false">Inputs!$B$8</f>
        <v>50000</v>
      </c>
      <c r="C246" s="146" t="n">
        <f aca="false">IF(AZ246=0,0,IF(AND(AZ246=1,$H$3=1),B246*AU246,IF($H$3=2,B246,"N/A")))</f>
        <v>0</v>
      </c>
      <c r="D246" s="146" t="n">
        <f aca="false">C246*AY246</f>
        <v>0</v>
      </c>
      <c r="E246" s="147" t="n">
        <f aca="false">VLOOKUP($A246,[1]!CurveTable,MATCH($E$4,[1]!CurveType,0))</f>
        <v>6.03</v>
      </c>
      <c r="F246" s="148" t="n">
        <f aca="false">E246-Inputs!$B$16</f>
        <v>6.085</v>
      </c>
      <c r="G246" s="149" t="n">
        <f aca="false">F246</f>
        <v>6.085</v>
      </c>
      <c r="H246" s="147" t="n">
        <f aca="false">VLOOKUP($A246,[1]!CurveTable,MATCH($H$4,[1]!CurveType,0))</f>
        <v>0</v>
      </c>
      <c r="I246" s="148" t="n">
        <f aca="false">H246+Inputs!$B$22</f>
        <v>0</v>
      </c>
      <c r="J246" s="150" t="n">
        <f aca="false">I246</f>
        <v>0</v>
      </c>
      <c r="K246" s="147" t="n">
        <f aca="false">VLOOKUP($A246,[1]!CurveTable,MATCH($K$4,[1]!CurveType,0))</f>
        <v>0</v>
      </c>
      <c r="L246" s="148" t="n">
        <v>0</v>
      </c>
      <c r="M246" s="151" t="n">
        <f aca="false">L246</f>
        <v>0</v>
      </c>
      <c r="N246" s="147" t="str">
        <f aca="false">VLOOKUP($A246,[1]!CurveTable,MATCH($N$4,[1]!CurveType,0))</f>
        <v/>
      </c>
      <c r="O246" s="148" t="e">
        <f aca="false">N246+Inputs!$E$22</f>
        <v>#VALUE!</v>
      </c>
      <c r="P246" s="151" t="e">
        <f aca="false">O246</f>
        <v>#VALUE!</v>
      </c>
      <c r="Q246" s="147" t="str">
        <f aca="false">VLOOKUP($A246,[1]!CurveTable,MATCH($Q$4,[1]!CurveType,0))</f>
        <v/>
      </c>
      <c r="R246" s="148" t="n">
        <v>0</v>
      </c>
      <c r="S246" s="151" t="n">
        <f aca="false">R246</f>
        <v>0</v>
      </c>
      <c r="T246" s="152"/>
      <c r="U246" s="153" t="n">
        <f aca="false">G246+J246</f>
        <v>6.085</v>
      </c>
      <c r="V246" s="154"/>
      <c r="W246" s="155" t="n">
        <f aca="false">VLOOKUP($A246,[1]!CurveTable,MATCH($W$4,[1]!CurveType,0))+$W$9</f>
        <v>0.17</v>
      </c>
      <c r="X246" s="155" t="n">
        <f aca="false">VLOOKUP($A246,[1]!CurveTable,MATCH($X$4,[1]!CurveType,0))+$X$9</f>
        <v>0.175</v>
      </c>
      <c r="Y246" s="139" t="n">
        <f aca="false">SQRT((X246^2*($A246-$C$3)+W246^2*(DAY(EOMONTH(A246,0))/2))/$AN246)</f>
        <v>0.168587578586156</v>
      </c>
      <c r="Z246" s="152"/>
      <c r="AA246" s="153" t="e">
        <f aca="false">G246+P246+S246</f>
        <v>#VALUE!</v>
      </c>
      <c r="AB246" s="154"/>
      <c r="AC246" s="155" t="n">
        <f aca="false">VLOOKUP($A246,[1]!CurveTable,MATCH($AC$4,[1]!CurveType,0))+$AC$9</f>
        <v>0.17</v>
      </c>
      <c r="AD246" s="155" t="n">
        <f aca="false">VLOOKUP($A246,[1]!CurveTable,MATCH($AD$4,[1]!CurveType,0))+$AD$9</f>
        <v>0.175</v>
      </c>
      <c r="AE246" s="139" t="n">
        <f aca="false">SQRT((AD246^2*($A246-$C$3)+AC246^2*(DAY(EOMONTH(A246,0))/2))/$AN246)</f>
        <v>0.168587578586156</v>
      </c>
      <c r="AF246" s="152"/>
      <c r="AG246" s="156" t="n">
        <f aca="false">((Inputs!$F$20*(X246*AD246)*(A246-$C$3))+(Inputs!$F$19*W246*AC246*(DAY(EOMONTH(A246,0))/2)))/(AN246*Y246*AE246)</f>
        <v>0.75</v>
      </c>
      <c r="AH246" s="152"/>
      <c r="AI246" s="140" t="n">
        <f aca="false">Inputs!$B$15</f>
        <v>0.06</v>
      </c>
      <c r="AJ246" s="157"/>
      <c r="AK246" s="140" t="e">
        <f aca="false">IF((U246-AA246-AI246)&lt;0,0,(U246-AA246-AI246))</f>
        <v>#VALUE!</v>
      </c>
      <c r="AL246" s="157"/>
      <c r="AM246" s="158" t="n">
        <f aca="false">WORKDAY(EOMONTH(A246-1,-1),0)</f>
        <v>45291</v>
      </c>
      <c r="AN246" s="159" t="n">
        <f aca="false">AM246-$C$3</f>
        <v>-635</v>
      </c>
      <c r="AO246" s="159" t="n">
        <f aca="false">AO245</f>
        <v>1</v>
      </c>
      <c r="AP246" s="160"/>
      <c r="AQ246" s="161" t="e">
        <f aca="false">SPRDOPT(U246,AA246,AI246,AX246,X246,AD246,AG246,AN246,AO246,0)</f>
        <v>#NAME?</v>
      </c>
      <c r="AR246" s="162" t="e">
        <f aca="false">AQ246*C246</f>
        <v>#NAME?</v>
      </c>
      <c r="AS246" s="163" t="e">
        <f aca="false">AQ246-AK246</f>
        <v>#VALUE!</v>
      </c>
      <c r="AU246" s="112" t="n">
        <f aca="false">A247-A246</f>
        <v>29</v>
      </c>
      <c r="AV246" s="164" t="n">
        <f aca="false">CHOOSE(F$3,A247+24,A246+14)</f>
        <v>45337</v>
      </c>
      <c r="AW246" s="49" t="n">
        <f aca="false">AV246-C$3</f>
        <v>-589</v>
      </c>
      <c r="AX246" s="155" t="n">
        <f aca="false">VLOOKUP($A246,[1]!CurveTable,MATCH(AX$4,[1]!CurveType,0))</f>
        <v>0.061832863978172</v>
      </c>
      <c r="AY246" s="165" t="n">
        <f aca="false">1/(1+CHOOSE(F$3,(AX247+(Inputs!$B$14/10000))/2,(AX246+(Inputs!$B$14/10000))/2))^(2*AW246/365.25)</f>
        <v>1.10318450675081</v>
      </c>
      <c r="AZ246" s="49" t="n">
        <f aca="false">IF(AND(mthbeg&lt;=A246,mthend&gt;=A246),1,0)</f>
        <v>0</v>
      </c>
      <c r="BA246" s="111" t="n">
        <f aca="false">AU246*AZ246</f>
        <v>0</v>
      </c>
      <c r="BC246" s="142" t="n">
        <f aca="false">E246*$D246</f>
        <v>0</v>
      </c>
      <c r="BD246" s="142" t="n">
        <f aca="false">F246*$D246</f>
        <v>0</v>
      </c>
      <c r="BE246" s="142" t="n">
        <f aca="false">G246*$D246</f>
        <v>0</v>
      </c>
      <c r="BF246" s="142" t="n">
        <f aca="false">H246*$D246</f>
        <v>0</v>
      </c>
      <c r="BG246" s="142" t="n">
        <f aca="false">I246*$D246</f>
        <v>0</v>
      </c>
      <c r="BH246" s="142" t="n">
        <f aca="false">J246*$D246</f>
        <v>0</v>
      </c>
      <c r="BI246" s="142" t="n">
        <f aca="false">K246*$D246</f>
        <v>0</v>
      </c>
      <c r="BJ246" s="142" t="n">
        <f aca="false">L246*$D246</f>
        <v>0</v>
      </c>
      <c r="BK246" s="142" t="n">
        <f aca="false">M246*$D246</f>
        <v>0</v>
      </c>
      <c r="BL246" s="142" t="e">
        <f aca="false">N246*$D246</f>
        <v>#VALUE!</v>
      </c>
      <c r="BM246" s="142" t="e">
        <f aca="false">O246*$D246</f>
        <v>#VALUE!</v>
      </c>
      <c r="BN246" s="142" t="e">
        <f aca="false">P246*$D246</f>
        <v>#VALUE!</v>
      </c>
      <c r="BO246" s="142" t="e">
        <f aca="false">Q246*$D246</f>
        <v>#VALUE!</v>
      </c>
      <c r="BP246" s="142" t="n">
        <f aca="false">R246*$D246</f>
        <v>0</v>
      </c>
      <c r="BQ246" s="142" t="n">
        <f aca="false">S246*$D246</f>
        <v>0</v>
      </c>
      <c r="BR246" s="142" t="n">
        <f aca="false">U246*$D246</f>
        <v>0</v>
      </c>
      <c r="BS246" s="142" t="e">
        <f aca="false">AA246*$D246</f>
        <v>#VALUE!</v>
      </c>
      <c r="BT246" s="142" t="n">
        <f aca="false">AI246*$D246</f>
        <v>0</v>
      </c>
      <c r="BU246" s="142" t="e">
        <f aca="false">AK246*D246</f>
        <v>#VALUE!</v>
      </c>
    </row>
    <row r="247" customFormat="false" ht="12.75" hidden="false" customHeight="false" outlineLevel="0" collapsed="false">
      <c r="A247" s="144" t="n">
        <f aca="false">EDATE(A246,1)</f>
        <v>45352</v>
      </c>
      <c r="B247" s="145" t="n">
        <f aca="false">Inputs!$B$8</f>
        <v>50000</v>
      </c>
      <c r="C247" s="146" t="n">
        <f aca="false">IF(AZ247=0,0,IF(AND(AZ247=1,$H$3=1),B247*AU247,IF($H$3=2,B247,"N/A")))</f>
        <v>0</v>
      </c>
      <c r="D247" s="146" t="n">
        <f aca="false">C247*AY247</f>
        <v>0</v>
      </c>
      <c r="E247" s="147" t="n">
        <f aca="false">VLOOKUP($A247,[1]!CurveTable,MATCH($E$4,[1]!CurveType,0))</f>
        <v>5.891</v>
      </c>
      <c r="F247" s="148" t="n">
        <f aca="false">E247-Inputs!$B$16</f>
        <v>5.946</v>
      </c>
      <c r="G247" s="149" t="n">
        <f aca="false">F247</f>
        <v>5.946</v>
      </c>
      <c r="H247" s="147" t="n">
        <f aca="false">VLOOKUP($A247,[1]!CurveTable,MATCH($H$4,[1]!CurveType,0))</f>
        <v>0</v>
      </c>
      <c r="I247" s="148" t="n">
        <f aca="false">H247+Inputs!$B$22</f>
        <v>0</v>
      </c>
      <c r="J247" s="150" t="n">
        <f aca="false">I247</f>
        <v>0</v>
      </c>
      <c r="K247" s="147" t="n">
        <f aca="false">VLOOKUP($A247,[1]!CurveTable,MATCH($K$4,[1]!CurveType,0))</f>
        <v>0</v>
      </c>
      <c r="L247" s="148" t="n">
        <v>0</v>
      </c>
      <c r="M247" s="151" t="n">
        <f aca="false">L247</f>
        <v>0</v>
      </c>
      <c r="N247" s="147" t="str">
        <f aca="false">VLOOKUP($A247,[1]!CurveTable,MATCH($N$4,[1]!CurveType,0))</f>
        <v/>
      </c>
      <c r="O247" s="148" t="e">
        <f aca="false">N247+Inputs!$E$22</f>
        <v>#VALUE!</v>
      </c>
      <c r="P247" s="151" t="e">
        <f aca="false">O247</f>
        <v>#VALUE!</v>
      </c>
      <c r="Q247" s="147" t="str">
        <f aca="false">VLOOKUP($A247,[1]!CurveTable,MATCH($Q$4,[1]!CurveType,0))</f>
        <v/>
      </c>
      <c r="R247" s="148" t="n">
        <v>0</v>
      </c>
      <c r="S247" s="151" t="n">
        <f aca="false">R247</f>
        <v>0</v>
      </c>
      <c r="T247" s="152"/>
      <c r="U247" s="153" t="n">
        <f aca="false">G247+J247</f>
        <v>5.946</v>
      </c>
      <c r="V247" s="154"/>
      <c r="W247" s="155" t="n">
        <f aca="false">VLOOKUP($A247,[1]!CurveTable,MATCH($W$4,[1]!CurveType,0))+$W$9</f>
        <v>0.17</v>
      </c>
      <c r="X247" s="155" t="n">
        <f aca="false">VLOOKUP($A247,[1]!CurveTable,MATCH($X$4,[1]!CurveType,0))+$X$9</f>
        <v>0.175</v>
      </c>
      <c r="Y247" s="139" t="n">
        <f aca="false">SQRT((X247^2*($A247-$C$3)+W247^2*(DAY(EOMONTH(A247,0))/2))/$AN247)</f>
        <v>0.168410960616075</v>
      </c>
      <c r="Z247" s="152"/>
      <c r="AA247" s="153" t="e">
        <f aca="false">G247+P247+S247</f>
        <v>#VALUE!</v>
      </c>
      <c r="AB247" s="154"/>
      <c r="AC247" s="155" t="n">
        <f aca="false">VLOOKUP($A247,[1]!CurveTable,MATCH($AC$4,[1]!CurveType,0))+$AC$9</f>
        <v>0.17</v>
      </c>
      <c r="AD247" s="155" t="n">
        <f aca="false">VLOOKUP($A247,[1]!CurveTable,MATCH($AD$4,[1]!CurveType,0))+$AD$9</f>
        <v>0.175</v>
      </c>
      <c r="AE247" s="139" t="n">
        <f aca="false">SQRT((AD247^2*($A247-$C$3)+AC247^2*(DAY(EOMONTH(A247,0))/2))/$AN247)</f>
        <v>0.168410960616075</v>
      </c>
      <c r="AF247" s="152"/>
      <c r="AG247" s="156" t="n">
        <f aca="false">((Inputs!$F$20*(X247*AD247)*(A247-$C$3))+(Inputs!$F$19*W247*AC247*(DAY(EOMONTH(A247,0))/2)))/(AN247*Y247*AE247)</f>
        <v>0.75</v>
      </c>
      <c r="AH247" s="152"/>
      <c r="AI247" s="140" t="n">
        <f aca="false">Inputs!$B$15</f>
        <v>0.06</v>
      </c>
      <c r="AJ247" s="157"/>
      <c r="AK247" s="140" t="e">
        <f aca="false">IF((U247-AA247-AI247)&lt;0,0,(U247-AA247-AI247))</f>
        <v>#VALUE!</v>
      </c>
      <c r="AL247" s="157"/>
      <c r="AM247" s="158" t="n">
        <f aca="false">WORKDAY(EOMONTH(A247-1,-1),0)</f>
        <v>45322</v>
      </c>
      <c r="AN247" s="159" t="n">
        <f aca="false">AM247-$C$3</f>
        <v>-604</v>
      </c>
      <c r="AO247" s="159" t="n">
        <f aca="false">AO246</f>
        <v>1</v>
      </c>
      <c r="AP247" s="160"/>
      <c r="AQ247" s="161" t="e">
        <f aca="false">SPRDOPT(U247,AA247,AI247,AX247,X247,AD247,AG247,AN247,AO247,0)</f>
        <v>#NAME?</v>
      </c>
      <c r="AR247" s="162" t="e">
        <f aca="false">AQ247*C247</f>
        <v>#NAME?</v>
      </c>
      <c r="AS247" s="163" t="e">
        <f aca="false">AQ247-AK247</f>
        <v>#VALUE!</v>
      </c>
      <c r="AU247" s="112" t="n">
        <f aca="false">A248-A247</f>
        <v>31</v>
      </c>
      <c r="AV247" s="164" t="n">
        <f aca="false">CHOOSE(F$3,A248+24,A247+14)</f>
        <v>45366</v>
      </c>
      <c r="AW247" s="49" t="n">
        <f aca="false">AV247-C$3</f>
        <v>-560</v>
      </c>
      <c r="AX247" s="155" t="n">
        <f aca="false">VLOOKUP($A247,[1]!CurveTable,MATCH(AX$4,[1]!CurveType,0))</f>
        <v>0.0618360014184618</v>
      </c>
      <c r="AY247" s="165" t="n">
        <f aca="false">1/(1+CHOOSE(F$3,(AX248+(Inputs!$B$14/10000))/2,(AX247+(Inputs!$B$14/10000))/2))^(2*AW247/365.25)</f>
        <v>1.09786858001543</v>
      </c>
      <c r="AZ247" s="49" t="n">
        <f aca="false">IF(AND(mthbeg&lt;=A247,mthend&gt;=A247),1,0)</f>
        <v>0</v>
      </c>
      <c r="BA247" s="111" t="n">
        <f aca="false">AU247*AZ247</f>
        <v>0</v>
      </c>
      <c r="BC247" s="142" t="n">
        <f aca="false">E247*$D247</f>
        <v>0</v>
      </c>
      <c r="BD247" s="142" t="n">
        <f aca="false">F247*$D247</f>
        <v>0</v>
      </c>
      <c r="BE247" s="142" t="n">
        <f aca="false">G247*$D247</f>
        <v>0</v>
      </c>
      <c r="BF247" s="142" t="n">
        <f aca="false">H247*$D247</f>
        <v>0</v>
      </c>
      <c r="BG247" s="142" t="n">
        <f aca="false">I247*$D247</f>
        <v>0</v>
      </c>
      <c r="BH247" s="142" t="n">
        <f aca="false">J247*$D247</f>
        <v>0</v>
      </c>
      <c r="BI247" s="142" t="n">
        <f aca="false">K247*$D247</f>
        <v>0</v>
      </c>
      <c r="BJ247" s="142" t="n">
        <f aca="false">L247*$D247</f>
        <v>0</v>
      </c>
      <c r="BK247" s="142" t="n">
        <f aca="false">M247*$D247</f>
        <v>0</v>
      </c>
      <c r="BL247" s="142" t="e">
        <f aca="false">N247*$D247</f>
        <v>#VALUE!</v>
      </c>
      <c r="BM247" s="142" t="e">
        <f aca="false">O247*$D247</f>
        <v>#VALUE!</v>
      </c>
      <c r="BN247" s="142" t="e">
        <f aca="false">P247*$D247</f>
        <v>#VALUE!</v>
      </c>
      <c r="BO247" s="142" t="e">
        <f aca="false">Q247*$D247</f>
        <v>#VALUE!</v>
      </c>
      <c r="BP247" s="142" t="n">
        <f aca="false">R247*$D247</f>
        <v>0</v>
      </c>
      <c r="BQ247" s="142" t="n">
        <f aca="false">S247*$D247</f>
        <v>0</v>
      </c>
      <c r="BR247" s="142" t="n">
        <f aca="false">U247*$D247</f>
        <v>0</v>
      </c>
      <c r="BS247" s="142" t="e">
        <f aca="false">AA247*$D247</f>
        <v>#VALUE!</v>
      </c>
      <c r="BT247" s="142" t="n">
        <f aca="false">AI247*$D247</f>
        <v>0</v>
      </c>
      <c r="BU247" s="142" t="e">
        <f aca="false">AK247*D247</f>
        <v>#VALUE!</v>
      </c>
    </row>
    <row r="248" customFormat="false" ht="12.75" hidden="false" customHeight="false" outlineLevel="0" collapsed="false">
      <c r="A248" s="144" t="n">
        <f aca="false">EDATE(A247,1)</f>
        <v>45383</v>
      </c>
      <c r="B248" s="145" t="n">
        <f aca="false">Inputs!$B$8</f>
        <v>50000</v>
      </c>
      <c r="C248" s="146" t="n">
        <f aca="false">IF(AZ248=0,0,IF(AND(AZ248=1,$H$3=1),B248*AU248,IF($H$3=2,B248,"N/A")))</f>
        <v>0</v>
      </c>
      <c r="D248" s="146" t="n">
        <f aca="false">C248*AY248</f>
        <v>0</v>
      </c>
      <c r="E248" s="147" t="n">
        <f aca="false">VLOOKUP($A248,[1]!CurveTable,MATCH($E$4,[1]!CurveType,0))</f>
        <v>5.737</v>
      </c>
      <c r="F248" s="148" t="n">
        <f aca="false">E248-Inputs!$B$16</f>
        <v>5.792</v>
      </c>
      <c r="G248" s="149" t="n">
        <f aca="false">F248</f>
        <v>5.792</v>
      </c>
      <c r="H248" s="147" t="n">
        <f aca="false">VLOOKUP($A248,[1]!CurveTable,MATCH($H$4,[1]!CurveType,0))</f>
        <v>0</v>
      </c>
      <c r="I248" s="148" t="n">
        <f aca="false">H248+Inputs!$B$22</f>
        <v>0</v>
      </c>
      <c r="J248" s="150" t="n">
        <f aca="false">I248</f>
        <v>0</v>
      </c>
      <c r="K248" s="147" t="n">
        <f aca="false">VLOOKUP($A248,[1]!CurveTable,MATCH($K$4,[1]!CurveType,0))</f>
        <v>0</v>
      </c>
      <c r="L248" s="148" t="n">
        <v>0</v>
      </c>
      <c r="M248" s="151" t="n">
        <f aca="false">L248</f>
        <v>0</v>
      </c>
      <c r="N248" s="147" t="str">
        <f aca="false">VLOOKUP($A248,[1]!CurveTable,MATCH($N$4,[1]!CurveType,0))</f>
        <v/>
      </c>
      <c r="O248" s="148" t="e">
        <f aca="false">N248+Inputs!$E$22</f>
        <v>#VALUE!</v>
      </c>
      <c r="P248" s="151" t="e">
        <f aca="false">O248</f>
        <v>#VALUE!</v>
      </c>
      <c r="Q248" s="147" t="str">
        <f aca="false">VLOOKUP($A248,[1]!CurveTable,MATCH($Q$4,[1]!CurveType,0))</f>
        <v/>
      </c>
      <c r="R248" s="148" t="n">
        <v>0</v>
      </c>
      <c r="S248" s="151" t="n">
        <f aca="false">R248</f>
        <v>0</v>
      </c>
      <c r="T248" s="152"/>
      <c r="U248" s="153" t="n">
        <f aca="false">G248+J248</f>
        <v>5.792</v>
      </c>
      <c r="V248" s="154"/>
      <c r="W248" s="155" t="n">
        <f aca="false">VLOOKUP($A248,[1]!CurveTable,MATCH($W$4,[1]!CurveType,0))+$W$9</f>
        <v>0.17</v>
      </c>
      <c r="X248" s="155" t="n">
        <f aca="false">VLOOKUP($A248,[1]!CurveTable,MATCH($X$4,[1]!CurveType,0))+$X$9</f>
        <v>0.175</v>
      </c>
      <c r="Y248" s="139" t="n">
        <f aca="false">SQRT((X248^2*($A248-$C$3)+W248^2*(DAY(EOMONTH(A248,0))/2))/$AN248)</f>
        <v>0.167829494220875</v>
      </c>
      <c r="Z248" s="152"/>
      <c r="AA248" s="153" t="e">
        <f aca="false">G248+P248+S248</f>
        <v>#VALUE!</v>
      </c>
      <c r="AB248" s="154"/>
      <c r="AC248" s="155" t="n">
        <f aca="false">VLOOKUP($A248,[1]!CurveTable,MATCH($AC$4,[1]!CurveType,0))+$AC$9</f>
        <v>0.17</v>
      </c>
      <c r="AD248" s="155" t="n">
        <f aca="false">VLOOKUP($A248,[1]!CurveTable,MATCH($AD$4,[1]!CurveType,0))+$AD$9</f>
        <v>0.175</v>
      </c>
      <c r="AE248" s="139" t="n">
        <f aca="false">SQRT((AD248^2*($A248-$C$3)+AC248^2*(DAY(EOMONTH(A248,0))/2))/$AN248)</f>
        <v>0.167829494220875</v>
      </c>
      <c r="AF248" s="152"/>
      <c r="AG248" s="156" t="n">
        <f aca="false">((Inputs!$F$20*(X248*AD248)*(A248-$C$3))+(Inputs!$F$19*W248*AC248*(DAY(EOMONTH(A248,0))/2)))/(AN248*Y248*AE248)</f>
        <v>0.75</v>
      </c>
      <c r="AH248" s="152"/>
      <c r="AI248" s="140" t="n">
        <f aca="false">Inputs!$B$15</f>
        <v>0.06</v>
      </c>
      <c r="AJ248" s="157"/>
      <c r="AK248" s="140" t="e">
        <f aca="false">IF((U248-AA248-AI248)&lt;0,0,(U248-AA248-AI248))</f>
        <v>#VALUE!</v>
      </c>
      <c r="AL248" s="157"/>
      <c r="AM248" s="158" t="n">
        <f aca="false">WORKDAY(EOMONTH(A248-1,-1),0)</f>
        <v>45351</v>
      </c>
      <c r="AN248" s="159" t="n">
        <f aca="false">AM248-$C$3</f>
        <v>-575</v>
      </c>
      <c r="AO248" s="159" t="n">
        <f aca="false">AO247</f>
        <v>1</v>
      </c>
      <c r="AP248" s="160"/>
      <c r="AQ248" s="161" t="e">
        <f aca="false">SPRDOPT(U248,AA248,AI248,AX248,X248,AD248,AG248,AN248,AO248,0)</f>
        <v>#NAME?</v>
      </c>
      <c r="AR248" s="162" t="e">
        <f aca="false">AQ248*C248</f>
        <v>#NAME?</v>
      </c>
      <c r="AS248" s="163" t="e">
        <f aca="false">AQ248-AK248</f>
        <v>#VALUE!</v>
      </c>
      <c r="AU248" s="112" t="n">
        <f aca="false">A249-A248</f>
        <v>30</v>
      </c>
      <c r="AV248" s="164" t="n">
        <f aca="false">CHOOSE(F$3,A249+24,A248+14)</f>
        <v>45397</v>
      </c>
      <c r="AW248" s="49" t="n">
        <f aca="false">AV248-C$3</f>
        <v>-529</v>
      </c>
      <c r="AX248" s="155" t="n">
        <f aca="false">VLOOKUP($A248,[1]!CurveTable,MATCH(AX$4,[1]!CurveType,0))</f>
        <v>0.0618393552339476</v>
      </c>
      <c r="AY248" s="165" t="n">
        <f aca="false">1/(1+CHOOSE(F$3,(AX249+(Inputs!$B$14/10000))/2,(AX248+(Inputs!$B$14/10000))/2))^(2*AW248/365.25)</f>
        <v>1.09221377755253</v>
      </c>
      <c r="AZ248" s="49" t="n">
        <f aca="false">IF(AND(mthbeg&lt;=A248,mthend&gt;=A248),1,0)</f>
        <v>0</v>
      </c>
      <c r="BA248" s="111" t="n">
        <f aca="false">AU248*AZ248</f>
        <v>0</v>
      </c>
      <c r="BC248" s="142" t="n">
        <f aca="false">E248*$D248</f>
        <v>0</v>
      </c>
      <c r="BD248" s="142" t="n">
        <f aca="false">F248*$D248</f>
        <v>0</v>
      </c>
      <c r="BE248" s="142" t="n">
        <f aca="false">G248*$D248</f>
        <v>0</v>
      </c>
      <c r="BF248" s="142" t="n">
        <f aca="false">H248*$D248</f>
        <v>0</v>
      </c>
      <c r="BG248" s="142" t="n">
        <f aca="false">I248*$D248</f>
        <v>0</v>
      </c>
      <c r="BH248" s="142" t="n">
        <f aca="false">J248*$D248</f>
        <v>0</v>
      </c>
      <c r="BI248" s="142" t="n">
        <f aca="false">K248*$D248</f>
        <v>0</v>
      </c>
      <c r="BJ248" s="142" t="n">
        <f aca="false">L248*$D248</f>
        <v>0</v>
      </c>
      <c r="BK248" s="142" t="n">
        <f aca="false">M248*$D248</f>
        <v>0</v>
      </c>
      <c r="BL248" s="142" t="e">
        <f aca="false">N248*$D248</f>
        <v>#VALUE!</v>
      </c>
      <c r="BM248" s="142" t="e">
        <f aca="false">O248*$D248</f>
        <v>#VALUE!</v>
      </c>
      <c r="BN248" s="142" t="e">
        <f aca="false">P248*$D248</f>
        <v>#VALUE!</v>
      </c>
      <c r="BO248" s="142" t="e">
        <f aca="false">Q248*$D248</f>
        <v>#VALUE!</v>
      </c>
      <c r="BP248" s="142" t="n">
        <f aca="false">R248*$D248</f>
        <v>0</v>
      </c>
      <c r="BQ248" s="142" t="n">
        <f aca="false">S248*$D248</f>
        <v>0</v>
      </c>
      <c r="BR248" s="142" t="n">
        <f aca="false">U248*$D248</f>
        <v>0</v>
      </c>
      <c r="BS248" s="142" t="e">
        <f aca="false">AA248*$D248</f>
        <v>#VALUE!</v>
      </c>
      <c r="BT248" s="142" t="n">
        <f aca="false">AI248*$D248</f>
        <v>0</v>
      </c>
      <c r="BU248" s="142" t="e">
        <f aca="false">AK248*D248</f>
        <v>#VALUE!</v>
      </c>
    </row>
    <row r="249" customFormat="false" ht="12.75" hidden="false" customHeight="false" outlineLevel="0" collapsed="false">
      <c r="A249" s="144" t="n">
        <f aca="false">EDATE(A248,1)</f>
        <v>45413</v>
      </c>
      <c r="B249" s="145" t="n">
        <f aca="false">Inputs!$B$8</f>
        <v>50000</v>
      </c>
      <c r="C249" s="146" t="n">
        <f aca="false">IF(AZ249=0,0,IF(AND(AZ249=1,$H$3=1),B249*AU249,IF($H$3=2,B249,"N/A")))</f>
        <v>0</v>
      </c>
      <c r="D249" s="146" t="n">
        <f aca="false">C249*AY249</f>
        <v>0</v>
      </c>
      <c r="E249" s="147" t="n">
        <f aca="false">VLOOKUP($A249,[1]!CurveTable,MATCH($E$4,[1]!CurveType,0))</f>
        <v>5.742</v>
      </c>
      <c r="F249" s="148" t="n">
        <f aca="false">E249-Inputs!$B$16</f>
        <v>5.797</v>
      </c>
      <c r="G249" s="149" t="n">
        <f aca="false">F249</f>
        <v>5.797</v>
      </c>
      <c r="H249" s="147" t="n">
        <f aca="false">VLOOKUP($A249,[1]!CurveTable,MATCH($H$4,[1]!CurveType,0))</f>
        <v>0</v>
      </c>
      <c r="I249" s="148" t="n">
        <f aca="false">H249+Inputs!$B$22</f>
        <v>0</v>
      </c>
      <c r="J249" s="150" t="n">
        <f aca="false">I249</f>
        <v>0</v>
      </c>
      <c r="K249" s="147" t="n">
        <f aca="false">VLOOKUP($A249,[1]!CurveTable,MATCH($K$4,[1]!CurveType,0))</f>
        <v>0</v>
      </c>
      <c r="L249" s="148" t="n">
        <v>0</v>
      </c>
      <c r="M249" s="151" t="n">
        <f aca="false">L249</f>
        <v>0</v>
      </c>
      <c r="N249" s="147" t="str">
        <f aca="false">VLOOKUP($A249,[1]!CurveTable,MATCH($N$4,[1]!CurveType,0))</f>
        <v/>
      </c>
      <c r="O249" s="148" t="e">
        <f aca="false">N249+Inputs!$E$22</f>
        <v>#VALUE!</v>
      </c>
      <c r="P249" s="151" t="e">
        <f aca="false">O249</f>
        <v>#VALUE!</v>
      </c>
      <c r="Q249" s="147" t="str">
        <f aca="false">VLOOKUP($A249,[1]!CurveTable,MATCH($Q$4,[1]!CurveType,0))</f>
        <v/>
      </c>
      <c r="R249" s="148" t="n">
        <v>0</v>
      </c>
      <c r="S249" s="151" t="n">
        <f aca="false">R249</f>
        <v>0</v>
      </c>
      <c r="T249" s="152"/>
      <c r="U249" s="153" t="n">
        <f aca="false">G249+J249</f>
        <v>5.797</v>
      </c>
      <c r="V249" s="154"/>
      <c r="W249" s="155" t="n">
        <f aca="false">VLOOKUP($A249,[1]!CurveTable,MATCH($W$4,[1]!CurveType,0))+$W$9</f>
        <v>0.34</v>
      </c>
      <c r="X249" s="155" t="n">
        <f aca="false">VLOOKUP($A249,[1]!CurveTable,MATCH($X$4,[1]!CurveType,0))+$X$9</f>
        <v>0.345</v>
      </c>
      <c r="Y249" s="139" t="n">
        <f aca="false">SQRT((X249^2*($A249-$C$3)+W249^2*(DAY(EOMONTH(A249,0))/2))/$AN249)</f>
        <v>0.330073590836418</v>
      </c>
      <c r="Z249" s="152"/>
      <c r="AA249" s="153" t="e">
        <f aca="false">G249+P249+S249</f>
        <v>#VALUE!</v>
      </c>
      <c r="AB249" s="154"/>
      <c r="AC249" s="155" t="n">
        <f aca="false">VLOOKUP($A249,[1]!CurveTable,MATCH($AC$4,[1]!CurveType,0))+$AC$9</f>
        <v>0.17</v>
      </c>
      <c r="AD249" s="155" t="n">
        <f aca="false">VLOOKUP($A249,[1]!CurveTable,MATCH($AD$4,[1]!CurveType,0))+$AD$9</f>
        <v>0.175</v>
      </c>
      <c r="AE249" s="139" t="n">
        <f aca="false">SQRT((AD249^2*($A249-$C$3)+AC249^2*(DAY(EOMONTH(A249,0))/2))/$AN249)</f>
        <v>0.16750041154471</v>
      </c>
      <c r="AF249" s="152"/>
      <c r="AG249" s="156" t="n">
        <f aca="false">((Inputs!$F$20*(X249*AD249)*(A249-$C$3))+(Inputs!$F$19*W249*AC249*(DAY(EOMONTH(A249,0))/2)))/(AN249*Y249*AE249)</f>
        <v>0.750002381586616</v>
      </c>
      <c r="AH249" s="152"/>
      <c r="AI249" s="140" t="n">
        <f aca="false">Inputs!$B$15</f>
        <v>0.06</v>
      </c>
      <c r="AJ249" s="157"/>
      <c r="AK249" s="140" t="e">
        <f aca="false">IF((U249-AA249-AI249)&lt;0,0,(U249-AA249-AI249))</f>
        <v>#VALUE!</v>
      </c>
      <c r="AL249" s="157"/>
      <c r="AM249" s="158" t="n">
        <f aca="false">WORKDAY(EOMONTH(A249-1,-1),0)</f>
        <v>45382</v>
      </c>
      <c r="AN249" s="159" t="n">
        <f aca="false">AM249-$C$3</f>
        <v>-544</v>
      </c>
      <c r="AO249" s="159" t="n">
        <f aca="false">AO248</f>
        <v>1</v>
      </c>
      <c r="AP249" s="160"/>
      <c r="AQ249" s="161" t="e">
        <f aca="false">SPRDOPT(U249,AA249,AI249,AX249,X249,AD249,AG249,AN249,AO249,0)</f>
        <v>#NAME?</v>
      </c>
      <c r="AR249" s="162" t="e">
        <f aca="false">AQ249*C249</f>
        <v>#NAME?</v>
      </c>
      <c r="AS249" s="163" t="e">
        <f aca="false">AQ249-AK249</f>
        <v>#VALUE!</v>
      </c>
      <c r="AU249" s="112" t="n">
        <f aca="false">A250-A249</f>
        <v>31</v>
      </c>
      <c r="AV249" s="164" t="n">
        <f aca="false">CHOOSE(F$3,A250+24,A249+14)</f>
        <v>45427</v>
      </c>
      <c r="AW249" s="49" t="n">
        <f aca="false">AV249-C$3</f>
        <v>-499</v>
      </c>
      <c r="AX249" s="155" t="n">
        <f aca="false">VLOOKUP($A249,[1]!CurveTable,MATCH(AX$4,[1]!CurveType,0))</f>
        <v>0.0618426008618407</v>
      </c>
      <c r="AY249" s="165" t="n">
        <f aca="false">1/(1+CHOOSE(F$3,(AX250+(Inputs!$B$14/10000))/2,(AX249+(Inputs!$B$14/10000))/2))^(2*AW249/365.25)</f>
        <v>1.0867685502547</v>
      </c>
      <c r="AZ249" s="49" t="n">
        <f aca="false">IF(AND(mthbeg&lt;=A249,mthend&gt;=A249),1,0)</f>
        <v>0</v>
      </c>
      <c r="BA249" s="111" t="n">
        <f aca="false">AU249*AZ249</f>
        <v>0</v>
      </c>
      <c r="BC249" s="142" t="n">
        <f aca="false">E249*$D249</f>
        <v>0</v>
      </c>
      <c r="BD249" s="142" t="n">
        <f aca="false">F249*$D249</f>
        <v>0</v>
      </c>
      <c r="BE249" s="142" t="n">
        <f aca="false">G249*$D249</f>
        <v>0</v>
      </c>
      <c r="BF249" s="142" t="n">
        <f aca="false">H249*$D249</f>
        <v>0</v>
      </c>
      <c r="BG249" s="142" t="n">
        <f aca="false">I249*$D249</f>
        <v>0</v>
      </c>
      <c r="BH249" s="142" t="n">
        <f aca="false">J249*$D249</f>
        <v>0</v>
      </c>
      <c r="BI249" s="142" t="n">
        <f aca="false">K249*$D249</f>
        <v>0</v>
      </c>
      <c r="BJ249" s="142" t="n">
        <f aca="false">L249*$D249</f>
        <v>0</v>
      </c>
      <c r="BK249" s="142" t="n">
        <f aca="false">M249*$D249</f>
        <v>0</v>
      </c>
      <c r="BL249" s="142" t="e">
        <f aca="false">N249*$D249</f>
        <v>#VALUE!</v>
      </c>
      <c r="BM249" s="142" t="e">
        <f aca="false">O249*$D249</f>
        <v>#VALUE!</v>
      </c>
      <c r="BN249" s="142" t="e">
        <f aca="false">P249*$D249</f>
        <v>#VALUE!</v>
      </c>
      <c r="BO249" s="142" t="e">
        <f aca="false">Q249*$D249</f>
        <v>#VALUE!</v>
      </c>
      <c r="BP249" s="142" t="n">
        <f aca="false">R249*$D249</f>
        <v>0</v>
      </c>
      <c r="BQ249" s="142" t="n">
        <f aca="false">S249*$D249</f>
        <v>0</v>
      </c>
      <c r="BR249" s="142" t="n">
        <f aca="false">U249*$D249</f>
        <v>0</v>
      </c>
      <c r="BS249" s="142" t="e">
        <f aca="false">AA249*$D249</f>
        <v>#VALUE!</v>
      </c>
      <c r="BT249" s="142" t="n">
        <f aca="false">AI249*$D249</f>
        <v>0</v>
      </c>
      <c r="BU249" s="142" t="e">
        <f aca="false">AK249*D249</f>
        <v>#VALUE!</v>
      </c>
    </row>
    <row r="250" customFormat="false" ht="12.75" hidden="false" customHeight="false" outlineLevel="0" collapsed="false">
      <c r="A250" s="144" t="n">
        <f aca="false">EDATE(A249,1)</f>
        <v>45444</v>
      </c>
      <c r="B250" s="145" t="n">
        <f aca="false">Inputs!$B$8</f>
        <v>50000</v>
      </c>
      <c r="C250" s="146" t="n">
        <f aca="false">IF(AZ250=0,0,IF(AND(AZ250=1,$H$3=1),B250*AU250,IF($H$3=2,B250,"N/A")))</f>
        <v>0</v>
      </c>
      <c r="D250" s="146" t="n">
        <f aca="false">C250*AY250</f>
        <v>0</v>
      </c>
      <c r="E250" s="147" t="n">
        <f aca="false">VLOOKUP($A250,[1]!CurveTable,MATCH($E$4,[1]!CurveType,0))</f>
        <v>5.78</v>
      </c>
      <c r="F250" s="148" t="n">
        <f aca="false">E250-Inputs!$B$16</f>
        <v>5.835</v>
      </c>
      <c r="G250" s="149" t="n">
        <f aca="false">F250</f>
        <v>5.835</v>
      </c>
      <c r="H250" s="147" t="n">
        <f aca="false">VLOOKUP($A250,[1]!CurveTable,MATCH($H$4,[1]!CurveType,0))</f>
        <v>0</v>
      </c>
      <c r="I250" s="148" t="n">
        <f aca="false">H250+Inputs!$B$22</f>
        <v>0</v>
      </c>
      <c r="J250" s="150" t="n">
        <f aca="false">I250</f>
        <v>0</v>
      </c>
      <c r="K250" s="147" t="n">
        <f aca="false">VLOOKUP($A250,[1]!CurveTable,MATCH($K$4,[1]!CurveType,0))</f>
        <v>0</v>
      </c>
      <c r="L250" s="148" t="n">
        <v>0</v>
      </c>
      <c r="M250" s="151" t="n">
        <f aca="false">L250</f>
        <v>0</v>
      </c>
      <c r="N250" s="147" t="str">
        <f aca="false">VLOOKUP($A250,[1]!CurveTable,MATCH($N$4,[1]!CurveType,0))</f>
        <v/>
      </c>
      <c r="O250" s="148" t="e">
        <f aca="false">N250+Inputs!$E$22</f>
        <v>#VALUE!</v>
      </c>
      <c r="P250" s="151" t="e">
        <f aca="false">O250</f>
        <v>#VALUE!</v>
      </c>
      <c r="Q250" s="147" t="str">
        <f aca="false">VLOOKUP($A250,[1]!CurveTable,MATCH($Q$4,[1]!CurveType,0))</f>
        <v/>
      </c>
      <c r="R250" s="148" t="n">
        <v>0</v>
      </c>
      <c r="S250" s="151" t="n">
        <f aca="false">R250</f>
        <v>0</v>
      </c>
      <c r="T250" s="152"/>
      <c r="U250" s="153" t="n">
        <f aca="false">G250+J250</f>
        <v>5.835</v>
      </c>
      <c r="V250" s="154"/>
      <c r="W250" s="155" t="n">
        <f aca="false">VLOOKUP($A250,[1]!CurveTable,MATCH($W$4,[1]!CurveType,0))+$W$9</f>
        <v>0.34</v>
      </c>
      <c r="X250" s="155" t="n">
        <f aca="false">VLOOKUP($A250,[1]!CurveTable,MATCH($X$4,[1]!CurveType,0))+$X$9</f>
        <v>0.345</v>
      </c>
      <c r="Y250" s="139" t="n">
        <f aca="false">SQRT((X250^2*($A250-$C$3)+W250^2*(DAY(EOMONTH(A250,0))/2))/$AN250)</f>
        <v>0.329000520383253</v>
      </c>
      <c r="Z250" s="152"/>
      <c r="AA250" s="153" t="e">
        <f aca="false">G250+P250+S250</f>
        <v>#VALUE!</v>
      </c>
      <c r="AB250" s="154"/>
      <c r="AC250" s="155" t="n">
        <f aca="false">VLOOKUP($A250,[1]!CurveTable,MATCH($AC$4,[1]!CurveType,0))+$AC$9</f>
        <v>0.17</v>
      </c>
      <c r="AD250" s="155" t="n">
        <f aca="false">VLOOKUP($A250,[1]!CurveTable,MATCH($AD$4,[1]!CurveType,0))+$AD$9</f>
        <v>0.175</v>
      </c>
      <c r="AE250" s="139" t="n">
        <f aca="false">SQRT((AD250^2*($A250-$C$3)+AC250^2*(DAY(EOMONTH(A250,0))/2))/$AN250)</f>
        <v>0.16695807857064</v>
      </c>
      <c r="AF250" s="152"/>
      <c r="AG250" s="156" t="n">
        <f aca="false">((Inputs!$F$20*(X250*AD250)*(A250-$C$3))+(Inputs!$F$19*W250*AC250*(DAY(EOMONTH(A250,0))/2)))/(AN250*Y250*AE250)</f>
        <v>0.750002457380576</v>
      </c>
      <c r="AH250" s="152"/>
      <c r="AI250" s="140" t="n">
        <f aca="false">Inputs!$B$15</f>
        <v>0.06</v>
      </c>
      <c r="AJ250" s="157"/>
      <c r="AK250" s="140" t="e">
        <f aca="false">IF((U250-AA250-AI250)&lt;0,0,(U250-AA250-AI250))</f>
        <v>#VALUE!</v>
      </c>
      <c r="AL250" s="157"/>
      <c r="AM250" s="158" t="n">
        <f aca="false">WORKDAY(EOMONTH(A250-1,-1),0)</f>
        <v>45412</v>
      </c>
      <c r="AN250" s="159" t="n">
        <f aca="false">AM250-$C$3</f>
        <v>-514</v>
      </c>
      <c r="AO250" s="159" t="n">
        <f aca="false">AO249</f>
        <v>1</v>
      </c>
      <c r="AP250" s="160"/>
      <c r="AQ250" s="161" t="e">
        <f aca="false">SPRDOPT(U250,AA250,AI250,AX250,X250,AD250,AG250,AN250,AO250,0)</f>
        <v>#NAME?</v>
      </c>
      <c r="AR250" s="162" t="e">
        <f aca="false">AQ250*C250</f>
        <v>#NAME?</v>
      </c>
      <c r="AS250" s="163" t="e">
        <f aca="false">AQ250-AK250</f>
        <v>#VALUE!</v>
      </c>
      <c r="AU250" s="112" t="n">
        <f aca="false">A251-A250</f>
        <v>30</v>
      </c>
      <c r="AV250" s="164" t="n">
        <f aca="false">CHOOSE(F$3,A251+24,A250+14)</f>
        <v>45458</v>
      </c>
      <c r="AW250" s="49" t="n">
        <f aca="false">AV250-C$3</f>
        <v>-468</v>
      </c>
      <c r="AX250" s="155" t="n">
        <f aca="false">VLOOKUP($A250,[1]!CurveTable,MATCH(AX$4,[1]!CurveType,0))</f>
        <v>0.0618459546773336</v>
      </c>
      <c r="AY250" s="165" t="n">
        <f aca="false">1/(1+CHOOSE(F$3,(AX251+(Inputs!$B$14/10000))/2,(AX250+(Inputs!$B$14/10000))/2))^(2*AW250/365.25)</f>
        <v>1.08116974597084</v>
      </c>
      <c r="AZ250" s="49" t="n">
        <f aca="false">IF(AND(mthbeg&lt;=A250,mthend&gt;=A250),1,0)</f>
        <v>0</v>
      </c>
      <c r="BA250" s="111" t="n">
        <f aca="false">AU250*AZ250</f>
        <v>0</v>
      </c>
      <c r="BC250" s="142" t="n">
        <f aca="false">E250*$D250</f>
        <v>0</v>
      </c>
      <c r="BD250" s="142" t="n">
        <f aca="false">F250*$D250</f>
        <v>0</v>
      </c>
      <c r="BE250" s="142" t="n">
        <f aca="false">G250*$D250</f>
        <v>0</v>
      </c>
      <c r="BF250" s="142" t="n">
        <f aca="false">H250*$D250</f>
        <v>0</v>
      </c>
      <c r="BG250" s="142" t="n">
        <f aca="false">I250*$D250</f>
        <v>0</v>
      </c>
      <c r="BH250" s="142" t="n">
        <f aca="false">J250*$D250</f>
        <v>0</v>
      </c>
      <c r="BI250" s="142" t="n">
        <f aca="false">K250*$D250</f>
        <v>0</v>
      </c>
      <c r="BJ250" s="142" t="n">
        <f aca="false">L250*$D250</f>
        <v>0</v>
      </c>
      <c r="BK250" s="142" t="n">
        <f aca="false">M250*$D250</f>
        <v>0</v>
      </c>
      <c r="BL250" s="142" t="e">
        <f aca="false">N250*$D250</f>
        <v>#VALUE!</v>
      </c>
      <c r="BM250" s="142" t="e">
        <f aca="false">O250*$D250</f>
        <v>#VALUE!</v>
      </c>
      <c r="BN250" s="142" t="e">
        <f aca="false">P250*$D250</f>
        <v>#VALUE!</v>
      </c>
      <c r="BO250" s="142" t="e">
        <f aca="false">Q250*$D250</f>
        <v>#VALUE!</v>
      </c>
      <c r="BP250" s="142" t="n">
        <f aca="false">R250*$D250</f>
        <v>0</v>
      </c>
      <c r="BQ250" s="142" t="n">
        <f aca="false">S250*$D250</f>
        <v>0</v>
      </c>
      <c r="BR250" s="142" t="n">
        <f aca="false">U250*$D250</f>
        <v>0</v>
      </c>
      <c r="BS250" s="142" t="e">
        <f aca="false">AA250*$D250</f>
        <v>#VALUE!</v>
      </c>
      <c r="BT250" s="142" t="n">
        <f aca="false">AI250*$D250</f>
        <v>0</v>
      </c>
      <c r="BU250" s="142" t="e">
        <f aca="false">AK250*D250</f>
        <v>#VALUE!</v>
      </c>
    </row>
    <row r="251" customFormat="false" ht="12.75" hidden="false" customHeight="false" outlineLevel="0" collapsed="false">
      <c r="A251" s="144" t="n">
        <f aca="false">EDATE(A250,1)</f>
        <v>45474</v>
      </c>
      <c r="B251" s="145" t="n">
        <f aca="false">Inputs!$B$8</f>
        <v>50000</v>
      </c>
      <c r="C251" s="146" t="n">
        <f aca="false">IF(AZ251=0,0,IF(AND(AZ251=1,$H$3=1),B251*AU251,IF($H$3=2,B251,"N/A")))</f>
        <v>0</v>
      </c>
      <c r="D251" s="146" t="n">
        <f aca="false">C251*AY251</f>
        <v>0</v>
      </c>
      <c r="E251" s="147" t="n">
        <f aca="false">VLOOKUP($A251,[1]!CurveTable,MATCH($E$4,[1]!CurveType,0))</f>
        <v>5.825</v>
      </c>
      <c r="F251" s="148" t="n">
        <f aca="false">E251-Inputs!$B$16</f>
        <v>5.88</v>
      </c>
      <c r="G251" s="149" t="n">
        <f aca="false">F251</f>
        <v>5.88</v>
      </c>
      <c r="H251" s="147" t="n">
        <f aca="false">VLOOKUP($A251,[1]!CurveTable,MATCH($H$4,[1]!CurveType,0))</f>
        <v>0</v>
      </c>
      <c r="I251" s="148" t="n">
        <f aca="false">H251+Inputs!$B$22</f>
        <v>0</v>
      </c>
      <c r="J251" s="150" t="n">
        <f aca="false">I251</f>
        <v>0</v>
      </c>
      <c r="K251" s="147" t="n">
        <f aca="false">VLOOKUP($A251,[1]!CurveTable,MATCH($K$4,[1]!CurveType,0))</f>
        <v>0</v>
      </c>
      <c r="L251" s="148" t="n">
        <v>0</v>
      </c>
      <c r="M251" s="151" t="n">
        <f aca="false">L251</f>
        <v>0</v>
      </c>
      <c r="N251" s="147" t="str">
        <f aca="false">VLOOKUP($A251,[1]!CurveTable,MATCH($N$4,[1]!CurveType,0))</f>
        <v/>
      </c>
      <c r="O251" s="148" t="e">
        <f aca="false">N251+Inputs!$E$22</f>
        <v>#VALUE!</v>
      </c>
      <c r="P251" s="151" t="e">
        <f aca="false">O251</f>
        <v>#VALUE!</v>
      </c>
      <c r="Q251" s="147" t="str">
        <f aca="false">VLOOKUP($A251,[1]!CurveTable,MATCH($Q$4,[1]!CurveType,0))</f>
        <v/>
      </c>
      <c r="R251" s="148" t="n">
        <v>0</v>
      </c>
      <c r="S251" s="151" t="n">
        <f aca="false">R251</f>
        <v>0</v>
      </c>
      <c r="T251" s="152"/>
      <c r="U251" s="153" t="n">
        <f aca="false">G251+J251</f>
        <v>5.88</v>
      </c>
      <c r="V251" s="154"/>
      <c r="W251" s="155" t="n">
        <f aca="false">VLOOKUP($A251,[1]!CurveTable,MATCH($W$4,[1]!CurveType,0))+$W$9</f>
        <v>0.34</v>
      </c>
      <c r="X251" s="155" t="n">
        <f aca="false">VLOOKUP($A251,[1]!CurveTable,MATCH($X$4,[1]!CurveType,0))+$X$9</f>
        <v>0.345</v>
      </c>
      <c r="Y251" s="139" t="n">
        <f aca="false">SQRT((X251^2*($A251-$C$3)+W251^2*(DAY(EOMONTH(A251,0))/2))/$AN251)</f>
        <v>0.328140188695096</v>
      </c>
      <c r="Z251" s="152"/>
      <c r="AA251" s="153" t="e">
        <f aca="false">G251+P251+S251</f>
        <v>#VALUE!</v>
      </c>
      <c r="AB251" s="154"/>
      <c r="AC251" s="155" t="n">
        <f aca="false">VLOOKUP($A251,[1]!CurveTable,MATCH($AC$4,[1]!CurveType,0))+$AC$9</f>
        <v>0.17</v>
      </c>
      <c r="AD251" s="155" t="n">
        <f aca="false">VLOOKUP($A251,[1]!CurveTable,MATCH($AD$4,[1]!CurveType,0))+$AD$9</f>
        <v>0.175</v>
      </c>
      <c r="AE251" s="139" t="n">
        <f aca="false">SQRT((AD251^2*($A251-$C$3)+AC251^2*(DAY(EOMONTH(A251,0))/2))/$AN251)</f>
        <v>0.166529239407498</v>
      </c>
      <c r="AF251" s="152"/>
      <c r="AG251" s="156" t="n">
        <f aca="false">((Inputs!$F$20*(X251*AD251)*(A251-$C$3))+(Inputs!$F$19*W251*AC251*(DAY(EOMONTH(A251,0))/2)))/(AN251*Y251*AE251)</f>
        <v>0.750002724861029</v>
      </c>
      <c r="AH251" s="152"/>
      <c r="AI251" s="140" t="n">
        <f aca="false">Inputs!$B$15</f>
        <v>0.06</v>
      </c>
      <c r="AJ251" s="157"/>
      <c r="AK251" s="140" t="e">
        <f aca="false">IF((U251-AA251-AI251)&lt;0,0,(U251-AA251-AI251))</f>
        <v>#VALUE!</v>
      </c>
      <c r="AL251" s="157"/>
      <c r="AM251" s="158" t="n">
        <f aca="false">WORKDAY(EOMONTH(A251-1,-1),0)</f>
        <v>45443</v>
      </c>
      <c r="AN251" s="159" t="n">
        <f aca="false">AM251-$C$3</f>
        <v>-483</v>
      </c>
      <c r="AO251" s="159" t="n">
        <f aca="false">AO250</f>
        <v>1</v>
      </c>
      <c r="AP251" s="160"/>
      <c r="AQ251" s="161" t="e">
        <f aca="false">SPRDOPT(U251,AA251,AI251,AX251,X251,AD251,AG251,AN251,AO251,0)</f>
        <v>#NAME?</v>
      </c>
      <c r="AR251" s="162" t="e">
        <f aca="false">AQ251*C251</f>
        <v>#NAME?</v>
      </c>
      <c r="AS251" s="163" t="e">
        <f aca="false">AQ251-AK251</f>
        <v>#VALUE!</v>
      </c>
      <c r="AU251" s="112" t="n">
        <f aca="false">A252-A251</f>
        <v>31</v>
      </c>
      <c r="AV251" s="164" t="n">
        <f aca="false">CHOOSE(F$3,A252+24,A251+14)</f>
        <v>45488</v>
      </c>
      <c r="AW251" s="49" t="n">
        <f aca="false">AV251-C$3</f>
        <v>-438</v>
      </c>
      <c r="AX251" s="155" t="n">
        <f aca="false">VLOOKUP($A251,[1]!CurveTable,MATCH(AX$4,[1]!CurveType,0))</f>
        <v>0.0618492003052333</v>
      </c>
      <c r="AY251" s="165" t="n">
        <f aca="false">1/(1+CHOOSE(F$3,(AX252+(Inputs!$B$14/10000))/2,(AX251+(Inputs!$B$14/10000))/2))^(2*AW251/365.25)</f>
        <v>1.07577844736464</v>
      </c>
      <c r="AZ251" s="49" t="n">
        <f aca="false">IF(AND(mthbeg&lt;=A251,mthend&gt;=A251),1,0)</f>
        <v>0</v>
      </c>
      <c r="BA251" s="111" t="n">
        <f aca="false">AU251*AZ251</f>
        <v>0</v>
      </c>
      <c r="BC251" s="142" t="n">
        <f aca="false">E251*$D251</f>
        <v>0</v>
      </c>
      <c r="BD251" s="142" t="n">
        <f aca="false">F251*$D251</f>
        <v>0</v>
      </c>
      <c r="BE251" s="142" t="n">
        <f aca="false">G251*$D251</f>
        <v>0</v>
      </c>
      <c r="BF251" s="142" t="n">
        <f aca="false">H251*$D251</f>
        <v>0</v>
      </c>
      <c r="BG251" s="142" t="n">
        <f aca="false">I251*$D251</f>
        <v>0</v>
      </c>
      <c r="BH251" s="142" t="n">
        <f aca="false">J251*$D251</f>
        <v>0</v>
      </c>
      <c r="BI251" s="142" t="n">
        <f aca="false">K251*$D251</f>
        <v>0</v>
      </c>
      <c r="BJ251" s="142" t="n">
        <f aca="false">L251*$D251</f>
        <v>0</v>
      </c>
      <c r="BK251" s="142" t="n">
        <f aca="false">M251*$D251</f>
        <v>0</v>
      </c>
      <c r="BL251" s="142" t="e">
        <f aca="false">N251*$D251</f>
        <v>#VALUE!</v>
      </c>
      <c r="BM251" s="142" t="e">
        <f aca="false">O251*$D251</f>
        <v>#VALUE!</v>
      </c>
      <c r="BN251" s="142" t="e">
        <f aca="false">P251*$D251</f>
        <v>#VALUE!</v>
      </c>
      <c r="BO251" s="142" t="e">
        <f aca="false">Q251*$D251</f>
        <v>#VALUE!</v>
      </c>
      <c r="BP251" s="142" t="n">
        <f aca="false">R251*$D251</f>
        <v>0</v>
      </c>
      <c r="BQ251" s="142" t="n">
        <f aca="false">S251*$D251</f>
        <v>0</v>
      </c>
      <c r="BR251" s="142" t="n">
        <f aca="false">U251*$D251</f>
        <v>0</v>
      </c>
      <c r="BS251" s="142" t="e">
        <f aca="false">AA251*$D251</f>
        <v>#VALUE!</v>
      </c>
      <c r="BT251" s="142" t="n">
        <f aca="false">AI251*$D251</f>
        <v>0</v>
      </c>
      <c r="BU251" s="142" t="e">
        <f aca="false">AK251*D251</f>
        <v>#VALUE!</v>
      </c>
    </row>
    <row r="252" customFormat="false" ht="12.75" hidden="false" customHeight="false" outlineLevel="0" collapsed="false">
      <c r="A252" s="144" t="n">
        <f aca="false">EDATE(A251,1)</f>
        <v>45505</v>
      </c>
      <c r="B252" s="145" t="n">
        <f aca="false">Inputs!$B$8</f>
        <v>50000</v>
      </c>
      <c r="C252" s="146" t="n">
        <f aca="false">IF(AZ252=0,0,IF(AND(AZ252=1,$H$3=1),B252*AU252,IF($H$3=2,B252,"N/A")))</f>
        <v>0</v>
      </c>
      <c r="D252" s="146" t="n">
        <f aca="false">C252*AY252</f>
        <v>0</v>
      </c>
      <c r="E252" s="147" t="n">
        <f aca="false">VLOOKUP($A252,[1]!CurveTable,MATCH($E$4,[1]!CurveType,0))</f>
        <v>5.863</v>
      </c>
      <c r="F252" s="148" t="n">
        <f aca="false">E252-Inputs!$B$16</f>
        <v>5.918</v>
      </c>
      <c r="G252" s="149" t="n">
        <f aca="false">F252</f>
        <v>5.918</v>
      </c>
      <c r="H252" s="147" t="n">
        <f aca="false">VLOOKUP($A252,[1]!CurveTable,MATCH($H$4,[1]!CurveType,0))</f>
        <v>0</v>
      </c>
      <c r="I252" s="148" t="n">
        <f aca="false">H252+Inputs!$B$22</f>
        <v>0</v>
      </c>
      <c r="J252" s="150" t="n">
        <f aca="false">I252</f>
        <v>0</v>
      </c>
      <c r="K252" s="147" t="n">
        <f aca="false">VLOOKUP($A252,[1]!CurveTable,MATCH($K$4,[1]!CurveType,0))</f>
        <v>0</v>
      </c>
      <c r="L252" s="148" t="n">
        <v>0</v>
      </c>
      <c r="M252" s="151" t="n">
        <f aca="false">L252</f>
        <v>0</v>
      </c>
      <c r="N252" s="147" t="str">
        <f aca="false">VLOOKUP($A252,[1]!CurveTable,MATCH($N$4,[1]!CurveType,0))</f>
        <v/>
      </c>
      <c r="O252" s="148" t="e">
        <f aca="false">N252+Inputs!$E$22</f>
        <v>#VALUE!</v>
      </c>
      <c r="P252" s="151" t="e">
        <f aca="false">O252</f>
        <v>#VALUE!</v>
      </c>
      <c r="Q252" s="147" t="str">
        <f aca="false">VLOOKUP($A252,[1]!CurveTable,MATCH($Q$4,[1]!CurveType,0))</f>
        <v/>
      </c>
      <c r="R252" s="148" t="n">
        <v>0</v>
      </c>
      <c r="S252" s="151" t="n">
        <f aca="false">R252</f>
        <v>0</v>
      </c>
      <c r="T252" s="152"/>
      <c r="U252" s="153" t="n">
        <f aca="false">G252+J252</f>
        <v>5.918</v>
      </c>
      <c r="V252" s="154"/>
      <c r="W252" s="155" t="n">
        <f aca="false">VLOOKUP($A252,[1]!CurveTable,MATCH($W$4,[1]!CurveType,0))+$W$9</f>
        <v>0.34</v>
      </c>
      <c r="X252" s="155" t="n">
        <f aca="false">VLOOKUP($A252,[1]!CurveTable,MATCH($X$4,[1]!CurveType,0))+$X$9</f>
        <v>0.345</v>
      </c>
      <c r="Y252" s="139" t="n">
        <f aca="false">SQRT((X252^2*($A252-$C$3)+W252^2*(DAY(EOMONTH(A252,0))/2))/$AN252)</f>
        <v>0.326590943829757</v>
      </c>
      <c r="Z252" s="152"/>
      <c r="AA252" s="153" t="e">
        <f aca="false">G252+P252+S252</f>
        <v>#VALUE!</v>
      </c>
      <c r="AB252" s="154"/>
      <c r="AC252" s="155" t="n">
        <f aca="false">VLOOKUP($A252,[1]!CurveTable,MATCH($AC$4,[1]!CurveType,0))+$AC$9</f>
        <v>0.17</v>
      </c>
      <c r="AD252" s="155" t="n">
        <f aca="false">VLOOKUP($A252,[1]!CurveTable,MATCH($AD$4,[1]!CurveType,0))+$AD$9</f>
        <v>0.175</v>
      </c>
      <c r="AE252" s="139" t="n">
        <f aca="false">SQRT((AD252^2*($A252-$C$3)+AC252^2*(DAY(EOMONTH(A252,0))/2))/$AN252)</f>
        <v>0.165749185501713</v>
      </c>
      <c r="AF252" s="152"/>
      <c r="AG252" s="156" t="n">
        <f aca="false">((Inputs!$F$20*(X252*AD252)*(A252-$C$3))+(Inputs!$F$19*W252*AC252*(DAY(EOMONTH(A252,0))/2)))/(AN252*Y252*AE252)</f>
        <v>0.750002940184449</v>
      </c>
      <c r="AH252" s="152"/>
      <c r="AI252" s="140" t="n">
        <f aca="false">Inputs!$B$15</f>
        <v>0.06</v>
      </c>
      <c r="AJ252" s="157"/>
      <c r="AK252" s="140" t="e">
        <f aca="false">IF((U252-AA252-AI252)&lt;0,0,(U252-AA252-AI252))</f>
        <v>#VALUE!</v>
      </c>
      <c r="AL252" s="157"/>
      <c r="AM252" s="158" t="n">
        <f aca="false">WORKDAY(EOMONTH(A252-1,-1),0)</f>
        <v>45473</v>
      </c>
      <c r="AN252" s="159" t="n">
        <f aca="false">AM252-$C$3</f>
        <v>-453</v>
      </c>
      <c r="AO252" s="159" t="n">
        <f aca="false">AO251</f>
        <v>1</v>
      </c>
      <c r="AP252" s="160"/>
      <c r="AQ252" s="161" t="e">
        <f aca="false">SPRDOPT(U252,AA252,AI252,AX252,X252,AD252,AG252,AN252,AO252,0)</f>
        <v>#NAME?</v>
      </c>
      <c r="AR252" s="162" t="e">
        <f aca="false">AQ252*C252</f>
        <v>#NAME?</v>
      </c>
      <c r="AS252" s="163" t="e">
        <f aca="false">AQ252-AK252</f>
        <v>#VALUE!</v>
      </c>
      <c r="AU252" s="112" t="n">
        <f aca="false">A253-A252</f>
        <v>31</v>
      </c>
      <c r="AV252" s="164" t="n">
        <f aca="false">CHOOSE(F$3,A253+24,A252+14)</f>
        <v>45519</v>
      </c>
      <c r="AW252" s="49" t="n">
        <f aca="false">AV252-C$3</f>
        <v>-407</v>
      </c>
      <c r="AX252" s="155" t="n">
        <f aca="false">VLOOKUP($A252,[1]!CurveTable,MATCH(AX$4,[1]!CurveType,0))</f>
        <v>0.0618525541207338</v>
      </c>
      <c r="AY252" s="165" t="n">
        <f aca="false">1/(1+CHOOSE(F$3,(AX253+(Inputs!$B$14/10000))/2,(AX252+(Inputs!$B$14/10000))/2))^(2*AW252/365.25)</f>
        <v>1.07023509882698</v>
      </c>
      <c r="AZ252" s="49" t="n">
        <f aca="false">IF(AND(mthbeg&lt;=A252,mthend&gt;=A252),1,0)</f>
        <v>0</v>
      </c>
      <c r="BA252" s="111" t="n">
        <f aca="false">AU252*AZ252</f>
        <v>0</v>
      </c>
      <c r="BC252" s="142" t="n">
        <f aca="false">E252*$D252</f>
        <v>0</v>
      </c>
      <c r="BD252" s="142" t="n">
        <f aca="false">F252*$D252</f>
        <v>0</v>
      </c>
      <c r="BE252" s="142" t="n">
        <f aca="false">G252*$D252</f>
        <v>0</v>
      </c>
      <c r="BF252" s="142" t="n">
        <f aca="false">H252*$D252</f>
        <v>0</v>
      </c>
      <c r="BG252" s="142" t="n">
        <f aca="false">I252*$D252</f>
        <v>0</v>
      </c>
      <c r="BH252" s="142" t="n">
        <f aca="false">J252*$D252</f>
        <v>0</v>
      </c>
      <c r="BI252" s="142" t="n">
        <f aca="false">K252*$D252</f>
        <v>0</v>
      </c>
      <c r="BJ252" s="142" t="n">
        <f aca="false">L252*$D252</f>
        <v>0</v>
      </c>
      <c r="BK252" s="142" t="n">
        <f aca="false">M252*$D252</f>
        <v>0</v>
      </c>
      <c r="BL252" s="142" t="e">
        <f aca="false">N252*$D252</f>
        <v>#VALUE!</v>
      </c>
      <c r="BM252" s="142" t="e">
        <f aca="false">O252*$D252</f>
        <v>#VALUE!</v>
      </c>
      <c r="BN252" s="142" t="e">
        <f aca="false">P252*$D252</f>
        <v>#VALUE!</v>
      </c>
      <c r="BO252" s="142" t="e">
        <f aca="false">Q252*$D252</f>
        <v>#VALUE!</v>
      </c>
      <c r="BP252" s="142" t="n">
        <f aca="false">R252*$D252</f>
        <v>0</v>
      </c>
      <c r="BQ252" s="142" t="n">
        <f aca="false">S252*$D252</f>
        <v>0</v>
      </c>
      <c r="BR252" s="142" t="n">
        <f aca="false">U252*$D252</f>
        <v>0</v>
      </c>
      <c r="BS252" s="142" t="e">
        <f aca="false">AA252*$D252</f>
        <v>#VALUE!</v>
      </c>
      <c r="BT252" s="142" t="n">
        <f aca="false">AI252*$D252</f>
        <v>0</v>
      </c>
      <c r="BU252" s="142" t="e">
        <f aca="false">AK252*D252</f>
        <v>#VALUE!</v>
      </c>
    </row>
    <row r="253" customFormat="false" ht="12.75" hidden="false" customHeight="false" outlineLevel="0" collapsed="false">
      <c r="A253" s="144" t="n">
        <f aca="false">EDATE(A252,1)</f>
        <v>45536</v>
      </c>
      <c r="B253" s="145" t="n">
        <f aca="false">Inputs!$B$8</f>
        <v>50000</v>
      </c>
      <c r="C253" s="146" t="n">
        <f aca="false">IF(AZ253=0,0,IF(AND(AZ253=1,$H$3=1),B253*AU253,IF($H$3=2,B253,"N/A")))</f>
        <v>0</v>
      </c>
      <c r="D253" s="146" t="n">
        <f aca="false">C253*AY253</f>
        <v>0</v>
      </c>
      <c r="E253" s="147" t="n">
        <f aca="false">VLOOKUP($A253,[1]!CurveTable,MATCH($E$4,[1]!CurveType,0))</f>
        <v>5.857</v>
      </c>
      <c r="F253" s="148" t="n">
        <f aca="false">E253-Inputs!$B$16</f>
        <v>5.912</v>
      </c>
      <c r="G253" s="149" t="n">
        <f aca="false">F253</f>
        <v>5.912</v>
      </c>
      <c r="H253" s="147" t="str">
        <f aca="false">VLOOKUP($A253,[1]!CurveTable,MATCH($H$4,[1]!CurveType,0))</f>
        <v/>
      </c>
      <c r="I253" s="148" t="e">
        <f aca="false">H253+Inputs!$B$22</f>
        <v>#VALUE!</v>
      </c>
      <c r="J253" s="150" t="e">
        <f aca="false">I253</f>
        <v>#VALUE!</v>
      </c>
      <c r="K253" s="147" t="str">
        <f aca="false">VLOOKUP($A253,[1]!CurveTable,MATCH($K$4,[1]!CurveType,0))</f>
        <v/>
      </c>
      <c r="L253" s="148" t="n">
        <v>0</v>
      </c>
      <c r="M253" s="151" t="n">
        <f aca="false">L253</f>
        <v>0</v>
      </c>
      <c r="N253" s="147" t="str">
        <f aca="false">VLOOKUP($A253,[1]!CurveTable,MATCH($N$4,[1]!CurveType,0))</f>
        <v/>
      </c>
      <c r="O253" s="148" t="e">
        <f aca="false">N253+Inputs!$E$22</f>
        <v>#VALUE!</v>
      </c>
      <c r="P253" s="151" t="e">
        <f aca="false">O253</f>
        <v>#VALUE!</v>
      </c>
      <c r="Q253" s="147" t="str">
        <f aca="false">VLOOKUP($A253,[1]!CurveTable,MATCH($Q$4,[1]!CurveType,0))</f>
        <v/>
      </c>
      <c r="R253" s="148" t="n">
        <v>0</v>
      </c>
      <c r="S253" s="151" t="n">
        <f aca="false">R253</f>
        <v>0</v>
      </c>
      <c r="T253" s="152"/>
      <c r="U253" s="153" t="e">
        <f aca="false">G253+J253</f>
        <v>#VALUE!</v>
      </c>
      <c r="V253" s="154"/>
      <c r="W253" s="155" t="n">
        <f aca="false">VLOOKUP($A253,[1]!CurveTable,MATCH($W$4,[1]!CurveType,0))+$W$9</f>
        <v>0.34</v>
      </c>
      <c r="X253" s="155" t="n">
        <f aca="false">VLOOKUP($A253,[1]!CurveTable,MATCH($X$4,[1]!CurveType,0))+$X$9</f>
        <v>0.345</v>
      </c>
      <c r="Y253" s="139" t="n">
        <f aca="false">SQRT((X253^2*($A253-$C$3)+W253^2*(DAY(EOMONTH(A253,0))/2))/$AN253)</f>
        <v>0.325408055898439</v>
      </c>
      <c r="Z253" s="152"/>
      <c r="AA253" s="153" t="e">
        <f aca="false">G253+P253+S253</f>
        <v>#VALUE!</v>
      </c>
      <c r="AB253" s="154"/>
      <c r="AC253" s="155" t="n">
        <f aca="false">VLOOKUP($A253,[1]!CurveTable,MATCH($AC$4,[1]!CurveType,0))+$AC$9</f>
        <v>0.17</v>
      </c>
      <c r="AD253" s="155" t="n">
        <f aca="false">VLOOKUP($A253,[1]!CurveTable,MATCH($AD$4,[1]!CurveType,0))+$AD$9</f>
        <v>0.175</v>
      </c>
      <c r="AE253" s="139" t="n">
        <f aca="false">SQRT((AD253^2*($A253-$C$3)+AC253^2*(DAY(EOMONTH(A253,0))/2))/$AN253)</f>
        <v>0.165152880488502</v>
      </c>
      <c r="AF253" s="152"/>
      <c r="AG253" s="156" t="n">
        <f aca="false">((Inputs!$F$20*(X253*AD253)*(A253-$C$3))+(Inputs!$F$19*W253*AC253*(DAY(EOMONTH(A253,0))/2)))/(AN253*Y253*AE253)</f>
        <v>0.750003081557566</v>
      </c>
      <c r="AH253" s="152"/>
      <c r="AI253" s="140" t="n">
        <f aca="false">Inputs!$B$15</f>
        <v>0.06</v>
      </c>
      <c r="AJ253" s="157"/>
      <c r="AK253" s="140" t="e">
        <f aca="false">IF((U253-AA253-AI253)&lt;0,0,(U253-AA253-AI253))</f>
        <v>#VALUE!</v>
      </c>
      <c r="AL253" s="157"/>
      <c r="AM253" s="158" t="n">
        <f aca="false">WORKDAY(EOMONTH(A253-1,-1),0)</f>
        <v>45504</v>
      </c>
      <c r="AN253" s="159" t="n">
        <f aca="false">AM253-$C$3</f>
        <v>-422</v>
      </c>
      <c r="AO253" s="159" t="n">
        <f aca="false">AO252</f>
        <v>1</v>
      </c>
      <c r="AP253" s="160"/>
      <c r="AQ253" s="161" t="e">
        <f aca="false">SPRDOPT(U253,AA253,AI253,AX253,X253,AD253,AG253,AN253,AO253,0)</f>
        <v>#NAME?</v>
      </c>
      <c r="AR253" s="162" t="e">
        <f aca="false">AQ253*C253</f>
        <v>#NAME?</v>
      </c>
      <c r="AS253" s="163" t="e">
        <f aca="false">AQ253-AK253</f>
        <v>#VALUE!</v>
      </c>
      <c r="AU253" s="112" t="n">
        <f aca="false">A254-A253</f>
        <v>30</v>
      </c>
      <c r="AV253" s="164" t="n">
        <f aca="false">CHOOSE(F$3,A254+24,A253+14)</f>
        <v>45550</v>
      </c>
      <c r="AW253" s="49" t="n">
        <f aca="false">AV253-C$3</f>
        <v>-376</v>
      </c>
      <c r="AX253" s="155" t="n">
        <f aca="false">VLOOKUP($A253,[1]!CurveTable,MATCH(AX$4,[1]!CurveType,0))</f>
        <v>0.0618559079362377</v>
      </c>
      <c r="AY253" s="165" t="n">
        <f aca="false">1/(1+CHOOSE(F$3,(AX254+(Inputs!$B$14/10000))/2,(AX253+(Inputs!$B$14/10000))/2))^(2*AW253/365.25)</f>
        <v>1.0647197264871</v>
      </c>
      <c r="AZ253" s="49" t="n">
        <f aca="false">IF(AND(mthbeg&lt;=A253,mthend&gt;=A253),1,0)</f>
        <v>0</v>
      </c>
      <c r="BA253" s="111" t="n">
        <f aca="false">AU253*AZ253</f>
        <v>0</v>
      </c>
      <c r="BC253" s="142" t="n">
        <f aca="false">E253*$D253</f>
        <v>0</v>
      </c>
      <c r="BD253" s="142" t="n">
        <f aca="false">F253*$D253</f>
        <v>0</v>
      </c>
      <c r="BE253" s="142" t="n">
        <f aca="false">G253*$D253</f>
        <v>0</v>
      </c>
      <c r="BF253" s="142" t="e">
        <f aca="false">H253*$D253</f>
        <v>#VALUE!</v>
      </c>
      <c r="BG253" s="142" t="e">
        <f aca="false">I253*$D253</f>
        <v>#VALUE!</v>
      </c>
      <c r="BH253" s="142" t="e">
        <f aca="false">J253*$D253</f>
        <v>#VALUE!</v>
      </c>
      <c r="BI253" s="142" t="e">
        <f aca="false">K253*$D253</f>
        <v>#VALUE!</v>
      </c>
      <c r="BJ253" s="142" t="n">
        <f aca="false">L253*$D253</f>
        <v>0</v>
      </c>
      <c r="BK253" s="142" t="n">
        <f aca="false">M253*$D253</f>
        <v>0</v>
      </c>
      <c r="BL253" s="142" t="e">
        <f aca="false">N253*$D253</f>
        <v>#VALUE!</v>
      </c>
      <c r="BM253" s="142" t="e">
        <f aca="false">O253*$D253</f>
        <v>#VALUE!</v>
      </c>
      <c r="BN253" s="142" t="e">
        <f aca="false">P253*$D253</f>
        <v>#VALUE!</v>
      </c>
      <c r="BO253" s="142" t="e">
        <f aca="false">Q253*$D253</f>
        <v>#VALUE!</v>
      </c>
      <c r="BP253" s="142" t="n">
        <f aca="false">R253*$D253</f>
        <v>0</v>
      </c>
      <c r="BQ253" s="142" t="n">
        <f aca="false">S253*$D253</f>
        <v>0</v>
      </c>
      <c r="BR253" s="142" t="e">
        <f aca="false">U253*$D253</f>
        <v>#VALUE!</v>
      </c>
      <c r="BS253" s="142" t="e">
        <f aca="false">AA253*$D253</f>
        <v>#VALUE!</v>
      </c>
      <c r="BT253" s="142" t="n">
        <f aca="false">AI253*$D253</f>
        <v>0</v>
      </c>
      <c r="BU253" s="142" t="e">
        <f aca="false">AK253*D253</f>
        <v>#VALUE!</v>
      </c>
    </row>
    <row r="254" customFormat="false" ht="12.75" hidden="false" customHeight="false" outlineLevel="0" collapsed="false">
      <c r="A254" s="144" t="n">
        <f aca="false">EDATE(A253,1)</f>
        <v>45566</v>
      </c>
      <c r="B254" s="145" t="n">
        <f aca="false">Inputs!$B$8</f>
        <v>50000</v>
      </c>
      <c r="C254" s="146" t="n">
        <f aca="false">IF(AZ254=0,0,IF(AND(AZ254=1,$H$3=1),B254*AU254,IF($H$3=2,B254,"N/A")))</f>
        <v>0</v>
      </c>
      <c r="D254" s="146" t="n">
        <f aca="false">C254*AY254</f>
        <v>0</v>
      </c>
      <c r="E254" s="147" t="n">
        <f aca="false">VLOOKUP($A254,[1]!CurveTable,MATCH($E$4,[1]!CurveType,0))</f>
        <v>5.857</v>
      </c>
      <c r="F254" s="148" t="n">
        <f aca="false">E254-Inputs!$B$16</f>
        <v>5.912</v>
      </c>
      <c r="G254" s="149" t="n">
        <f aca="false">F254</f>
        <v>5.912</v>
      </c>
      <c r="H254" s="147" t="str">
        <f aca="false">VLOOKUP($A254,[1]!CurveTable,MATCH($H$4,[1]!CurveType,0))</f>
        <v/>
      </c>
      <c r="I254" s="148" t="e">
        <f aca="false">H254+Inputs!$B$22</f>
        <v>#VALUE!</v>
      </c>
      <c r="J254" s="150" t="e">
        <f aca="false">I254</f>
        <v>#VALUE!</v>
      </c>
      <c r="K254" s="147" t="str">
        <f aca="false">VLOOKUP($A254,[1]!CurveTable,MATCH($K$4,[1]!CurveType,0))</f>
        <v/>
      </c>
      <c r="L254" s="148" t="n">
        <v>0</v>
      </c>
      <c r="M254" s="151" t="n">
        <f aca="false">L254</f>
        <v>0</v>
      </c>
      <c r="N254" s="147" t="str">
        <f aca="false">VLOOKUP($A254,[1]!CurveTable,MATCH($N$4,[1]!CurveType,0))</f>
        <v/>
      </c>
      <c r="O254" s="148" t="e">
        <f aca="false">N254+Inputs!$E$22</f>
        <v>#VALUE!</v>
      </c>
      <c r="P254" s="151" t="e">
        <f aca="false">O254</f>
        <v>#VALUE!</v>
      </c>
      <c r="Q254" s="147" t="str">
        <f aca="false">VLOOKUP($A254,[1]!CurveTable,MATCH($Q$4,[1]!CurveType,0))</f>
        <v/>
      </c>
      <c r="R254" s="148" t="n">
        <v>0</v>
      </c>
      <c r="S254" s="151" t="n">
        <f aca="false">R254</f>
        <v>0</v>
      </c>
      <c r="T254" s="152"/>
      <c r="U254" s="153" t="e">
        <f aca="false">G254+J254</f>
        <v>#VALUE!</v>
      </c>
      <c r="V254" s="154"/>
      <c r="W254" s="155" t="n">
        <f aca="false">VLOOKUP($A254,[1]!CurveTable,MATCH($W$4,[1]!CurveType,0))+$W$9</f>
        <v>0.17</v>
      </c>
      <c r="X254" s="155" t="n">
        <f aca="false">VLOOKUP($A254,[1]!CurveTable,MATCH($X$4,[1]!CurveType,0))+$X$9</f>
        <v>0.175</v>
      </c>
      <c r="Y254" s="139" t="n">
        <f aca="false">SQRT((X254^2*($A254-$C$3)+W254^2*(DAY(EOMONTH(A254,0))/2))/$AN254)</f>
        <v>0.164472729570523</v>
      </c>
      <c r="Z254" s="152"/>
      <c r="AA254" s="153" t="e">
        <f aca="false">G254+P254+S254</f>
        <v>#VALUE!</v>
      </c>
      <c r="AB254" s="154"/>
      <c r="AC254" s="155" t="n">
        <f aca="false">VLOOKUP($A254,[1]!CurveTable,MATCH($AC$4,[1]!CurveType,0))+$AC$9</f>
        <v>0.17</v>
      </c>
      <c r="AD254" s="155" t="n">
        <f aca="false">VLOOKUP($A254,[1]!CurveTable,MATCH($AD$4,[1]!CurveType,0))+$AD$9</f>
        <v>0.175</v>
      </c>
      <c r="AE254" s="139" t="n">
        <f aca="false">SQRT((AD254^2*($A254-$C$3)+AC254^2*(DAY(EOMONTH(A254,0))/2))/$AN254)</f>
        <v>0.164472729570523</v>
      </c>
      <c r="AF254" s="152"/>
      <c r="AG254" s="156" t="n">
        <f aca="false">((Inputs!$F$20*(X254*AD254)*(A254-$C$3))+(Inputs!$F$19*W254*AC254*(DAY(EOMONTH(A254,0))/2)))/(AN254*Y254*AE254)</f>
        <v>0.75</v>
      </c>
      <c r="AH254" s="152"/>
      <c r="AI254" s="140" t="n">
        <f aca="false">Inputs!$B$15</f>
        <v>0.06</v>
      </c>
      <c r="AJ254" s="157"/>
      <c r="AK254" s="140" t="e">
        <f aca="false">IF((U254-AA254-AI254)&lt;0,0,(U254-AA254-AI254))</f>
        <v>#VALUE!</v>
      </c>
      <c r="AL254" s="157"/>
      <c r="AM254" s="158" t="n">
        <f aca="false">WORKDAY(EOMONTH(A254-1,-1),0)</f>
        <v>45535</v>
      </c>
      <c r="AN254" s="159" t="n">
        <f aca="false">AM254-$C$3</f>
        <v>-391</v>
      </c>
      <c r="AO254" s="159" t="n">
        <f aca="false">AO253</f>
        <v>1</v>
      </c>
      <c r="AP254" s="160"/>
      <c r="AQ254" s="161" t="e">
        <f aca="false">SPRDOPT(U254,AA254,AI254,AX254,X254,AD254,AG254,AN254,AO254,0)</f>
        <v>#NAME?</v>
      </c>
      <c r="AR254" s="162" t="e">
        <f aca="false">AQ254*C254</f>
        <v>#NAME?</v>
      </c>
      <c r="AS254" s="163" t="e">
        <f aca="false">AQ254-AK254</f>
        <v>#VALUE!</v>
      </c>
      <c r="AU254" s="112" t="n">
        <f aca="false">A255-A254</f>
        <v>31</v>
      </c>
      <c r="AV254" s="164" t="n">
        <f aca="false">CHOOSE(F$3,A255+24,A254+14)</f>
        <v>45580</v>
      </c>
      <c r="AW254" s="49" t="n">
        <f aca="false">AV254-C$3</f>
        <v>-346</v>
      </c>
      <c r="AX254" s="155" t="n">
        <f aca="false">VLOOKUP($A254,[1]!CurveTable,MATCH(AX$4,[1]!CurveType,0))</f>
        <v>0.0618591535641491</v>
      </c>
      <c r="AY254" s="165" t="n">
        <f aca="false">1/(1+CHOOSE(F$3,(AX255+(Inputs!$B$14/10000))/2,(AX254+(Inputs!$B$14/10000))/2))^(2*AW254/365.25)</f>
        <v>1.05940877637359</v>
      </c>
      <c r="AZ254" s="49" t="n">
        <f aca="false">IF(AND(mthbeg&lt;=A254,mthend&gt;=A254),1,0)</f>
        <v>0</v>
      </c>
      <c r="BA254" s="111" t="n">
        <f aca="false">AU254*AZ254</f>
        <v>0</v>
      </c>
      <c r="BC254" s="142" t="n">
        <f aca="false">E254*$D254</f>
        <v>0</v>
      </c>
      <c r="BD254" s="142" t="n">
        <f aca="false">F254*$D254</f>
        <v>0</v>
      </c>
      <c r="BE254" s="142" t="n">
        <f aca="false">G254*$D254</f>
        <v>0</v>
      </c>
      <c r="BF254" s="142" t="e">
        <f aca="false">H254*$D254</f>
        <v>#VALUE!</v>
      </c>
      <c r="BG254" s="142" t="e">
        <f aca="false">I254*$D254</f>
        <v>#VALUE!</v>
      </c>
      <c r="BH254" s="142" t="e">
        <f aca="false">J254*$D254</f>
        <v>#VALUE!</v>
      </c>
      <c r="BI254" s="142" t="e">
        <f aca="false">K254*$D254</f>
        <v>#VALUE!</v>
      </c>
      <c r="BJ254" s="142" t="n">
        <f aca="false">L254*$D254</f>
        <v>0</v>
      </c>
      <c r="BK254" s="142" t="n">
        <f aca="false">M254*$D254</f>
        <v>0</v>
      </c>
      <c r="BL254" s="142" t="e">
        <f aca="false">N254*$D254</f>
        <v>#VALUE!</v>
      </c>
      <c r="BM254" s="142" t="e">
        <f aca="false">O254*$D254</f>
        <v>#VALUE!</v>
      </c>
      <c r="BN254" s="142" t="e">
        <f aca="false">P254*$D254</f>
        <v>#VALUE!</v>
      </c>
      <c r="BO254" s="142" t="e">
        <f aca="false">Q254*$D254</f>
        <v>#VALUE!</v>
      </c>
      <c r="BP254" s="142" t="n">
        <f aca="false">R254*$D254</f>
        <v>0</v>
      </c>
      <c r="BQ254" s="142" t="n">
        <f aca="false">S254*$D254</f>
        <v>0</v>
      </c>
      <c r="BR254" s="142" t="e">
        <f aca="false">U254*$D254</f>
        <v>#VALUE!</v>
      </c>
      <c r="BS254" s="142" t="e">
        <f aca="false">AA254*$D254</f>
        <v>#VALUE!</v>
      </c>
      <c r="BT254" s="142" t="n">
        <f aca="false">AI254*$D254</f>
        <v>0</v>
      </c>
      <c r="BU254" s="142" t="e">
        <f aca="false">AK254*D254</f>
        <v>#VALUE!</v>
      </c>
    </row>
    <row r="255" customFormat="false" ht="12.75" hidden="false" customHeight="false" outlineLevel="0" collapsed="false">
      <c r="A255" s="144" t="n">
        <f aca="false">EDATE(A254,1)</f>
        <v>45597</v>
      </c>
      <c r="B255" s="145" t="n">
        <f aca="false">Inputs!$B$8</f>
        <v>50000</v>
      </c>
      <c r="C255" s="146" t="n">
        <f aca="false">IF(AZ255=0,0,IF(AND(AZ255=1,$H$3=1),B255*AU255,IF($H$3=2,B255,"N/A")))</f>
        <v>0</v>
      </c>
      <c r="D255" s="146" t="n">
        <f aca="false">C255*AY255</f>
        <v>0</v>
      </c>
      <c r="E255" s="147" t="n">
        <f aca="false">VLOOKUP($A255,[1]!CurveTable,MATCH($E$4,[1]!CurveType,0))</f>
        <v>6.005</v>
      </c>
      <c r="F255" s="148" t="n">
        <f aca="false">E255-Inputs!$B$16</f>
        <v>6.06</v>
      </c>
      <c r="G255" s="149" t="n">
        <f aca="false">F255</f>
        <v>6.06</v>
      </c>
      <c r="H255" s="147" t="str">
        <f aca="false">VLOOKUP($A255,[1]!CurveTable,MATCH($H$4,[1]!CurveType,0))</f>
        <v/>
      </c>
      <c r="I255" s="148" t="e">
        <f aca="false">H255+Inputs!$B$22</f>
        <v>#VALUE!</v>
      </c>
      <c r="J255" s="150" t="e">
        <f aca="false">I255</f>
        <v>#VALUE!</v>
      </c>
      <c r="K255" s="147" t="str">
        <f aca="false">VLOOKUP($A255,[1]!CurveTable,MATCH($K$4,[1]!CurveType,0))</f>
        <v/>
      </c>
      <c r="L255" s="148" t="n">
        <v>0</v>
      </c>
      <c r="M255" s="151" t="n">
        <f aca="false">L255</f>
        <v>0</v>
      </c>
      <c r="N255" s="147" t="str">
        <f aca="false">VLOOKUP($A255,[1]!CurveTable,MATCH($N$4,[1]!CurveType,0))</f>
        <v/>
      </c>
      <c r="O255" s="148" t="e">
        <f aca="false">N255+Inputs!$E$22</f>
        <v>#VALUE!</v>
      </c>
      <c r="P255" s="151" t="e">
        <f aca="false">O255</f>
        <v>#VALUE!</v>
      </c>
      <c r="Q255" s="147" t="str">
        <f aca="false">VLOOKUP($A255,[1]!CurveTable,MATCH($Q$4,[1]!CurveType,0))</f>
        <v/>
      </c>
      <c r="R255" s="148" t="n">
        <v>0</v>
      </c>
      <c r="S255" s="151" t="n">
        <f aca="false">R255</f>
        <v>0</v>
      </c>
      <c r="T255" s="152"/>
      <c r="U255" s="153" t="e">
        <f aca="false">G255+J255</f>
        <v>#VALUE!</v>
      </c>
      <c r="V255" s="154"/>
      <c r="W255" s="155" t="n">
        <f aca="false">VLOOKUP($A255,[1]!CurveTable,MATCH($W$4,[1]!CurveType,0))+$W$9</f>
        <v>0.17</v>
      </c>
      <c r="X255" s="155" t="n">
        <f aca="false">VLOOKUP($A255,[1]!CurveTable,MATCH($X$4,[1]!CurveType,0))+$X$9</f>
        <v>0.175</v>
      </c>
      <c r="Y255" s="139" t="n">
        <f aca="false">SQRT((X255^2*($A255-$C$3)+W255^2*(DAY(EOMONTH(A255,0))/2))/$AN255)</f>
        <v>0.163430375189639</v>
      </c>
      <c r="Z255" s="152"/>
      <c r="AA255" s="153" t="e">
        <f aca="false">G255+P255+S255</f>
        <v>#VALUE!</v>
      </c>
      <c r="AB255" s="154"/>
      <c r="AC255" s="155" t="n">
        <f aca="false">VLOOKUP($A255,[1]!CurveTable,MATCH($AC$4,[1]!CurveType,0))+$AC$9</f>
        <v>0.17</v>
      </c>
      <c r="AD255" s="155" t="n">
        <f aca="false">VLOOKUP($A255,[1]!CurveTable,MATCH($AD$4,[1]!CurveType,0))+$AD$9</f>
        <v>0.175</v>
      </c>
      <c r="AE255" s="139" t="n">
        <f aca="false">SQRT((AD255^2*($A255-$C$3)+AC255^2*(DAY(EOMONTH(A255,0))/2))/$AN255)</f>
        <v>0.163430375189639</v>
      </c>
      <c r="AF255" s="152"/>
      <c r="AG255" s="156" t="n">
        <f aca="false">((Inputs!$F$20*(X255*AD255)*(A255-$C$3))+(Inputs!$F$19*W255*AC255*(DAY(EOMONTH(A255,0))/2)))/(AN255*Y255*AE255)</f>
        <v>0.75</v>
      </c>
      <c r="AH255" s="152"/>
      <c r="AI255" s="140" t="n">
        <f aca="false">Inputs!$B$15</f>
        <v>0.06</v>
      </c>
      <c r="AJ255" s="157"/>
      <c r="AK255" s="140" t="e">
        <f aca="false">IF((U255-AA255-AI255)&lt;0,0,(U255-AA255-AI255))</f>
        <v>#VALUE!</v>
      </c>
      <c r="AL255" s="157"/>
      <c r="AM255" s="158" t="n">
        <f aca="false">WORKDAY(EOMONTH(A255-1,-1),0)</f>
        <v>45565</v>
      </c>
      <c r="AN255" s="159" t="n">
        <f aca="false">AM255-$C$3</f>
        <v>-361</v>
      </c>
      <c r="AO255" s="159" t="n">
        <f aca="false">AO254</f>
        <v>1</v>
      </c>
      <c r="AP255" s="160"/>
      <c r="AQ255" s="161" t="e">
        <f aca="false">SPRDOPT(U255,AA255,AI255,AX255,X255,AD255,AG255,AN255,AO255,0)</f>
        <v>#NAME?</v>
      </c>
      <c r="AR255" s="162" t="e">
        <f aca="false">AQ255*C255</f>
        <v>#NAME?</v>
      </c>
      <c r="AS255" s="163" t="e">
        <f aca="false">AQ255-AK255</f>
        <v>#VALUE!</v>
      </c>
      <c r="AU255" s="112" t="n">
        <f aca="false">A256-A255</f>
        <v>30</v>
      </c>
      <c r="AV255" s="164" t="n">
        <f aca="false">CHOOSE(F$3,A256+24,A255+14)</f>
        <v>45611</v>
      </c>
      <c r="AW255" s="49" t="n">
        <f aca="false">AV255-C$3</f>
        <v>-315</v>
      </c>
      <c r="AX255" s="155" t="n">
        <f aca="false">VLOOKUP($A255,[1]!CurveTable,MATCH(AX$4,[1]!CurveType,0))</f>
        <v>0.0618625073796606</v>
      </c>
      <c r="AY255" s="165" t="n">
        <f aca="false">1/(1+CHOOSE(F$3,(AX256+(Inputs!$B$14/10000))/2,(AX255+(Inputs!$B$14/10000))/2))^(2*AW255/365.25)</f>
        <v>1.05394805137541</v>
      </c>
      <c r="AZ255" s="49" t="n">
        <f aca="false">IF(AND(mthbeg&lt;=A255,mthend&gt;=A255),1,0)</f>
        <v>0</v>
      </c>
      <c r="BA255" s="111" t="n">
        <f aca="false">AU255*AZ255</f>
        <v>0</v>
      </c>
      <c r="BC255" s="142" t="n">
        <f aca="false">E255*$D255</f>
        <v>0</v>
      </c>
      <c r="BD255" s="142" t="n">
        <f aca="false">F255*$D255</f>
        <v>0</v>
      </c>
      <c r="BE255" s="142" t="n">
        <f aca="false">G255*$D255</f>
        <v>0</v>
      </c>
      <c r="BF255" s="142" t="e">
        <f aca="false">H255*$D255</f>
        <v>#VALUE!</v>
      </c>
      <c r="BG255" s="142" t="e">
        <f aca="false">I255*$D255</f>
        <v>#VALUE!</v>
      </c>
      <c r="BH255" s="142" t="e">
        <f aca="false">J255*$D255</f>
        <v>#VALUE!</v>
      </c>
      <c r="BI255" s="142" t="e">
        <f aca="false">K255*$D255</f>
        <v>#VALUE!</v>
      </c>
      <c r="BJ255" s="142" t="n">
        <f aca="false">L255*$D255</f>
        <v>0</v>
      </c>
      <c r="BK255" s="142" t="n">
        <f aca="false">M255*$D255</f>
        <v>0</v>
      </c>
      <c r="BL255" s="142" t="e">
        <f aca="false">N255*$D255</f>
        <v>#VALUE!</v>
      </c>
      <c r="BM255" s="142" t="e">
        <f aca="false">O255*$D255</f>
        <v>#VALUE!</v>
      </c>
      <c r="BN255" s="142" t="e">
        <f aca="false">P255*$D255</f>
        <v>#VALUE!</v>
      </c>
      <c r="BO255" s="142" t="e">
        <f aca="false">Q255*$D255</f>
        <v>#VALUE!</v>
      </c>
      <c r="BP255" s="142" t="n">
        <f aca="false">R255*$D255</f>
        <v>0</v>
      </c>
      <c r="BQ255" s="142" t="n">
        <f aca="false">S255*$D255</f>
        <v>0</v>
      </c>
      <c r="BR255" s="142" t="e">
        <f aca="false">U255*$D255</f>
        <v>#VALUE!</v>
      </c>
      <c r="BS255" s="142" t="e">
        <f aca="false">AA255*$D255</f>
        <v>#VALUE!</v>
      </c>
      <c r="BT255" s="142" t="n">
        <f aca="false">AI255*$D255</f>
        <v>0</v>
      </c>
      <c r="BU255" s="142" t="e">
        <f aca="false">AK255*D255</f>
        <v>#VALUE!</v>
      </c>
    </row>
    <row r="256" customFormat="false" ht="12.75" hidden="false" customHeight="false" outlineLevel="0" collapsed="false">
      <c r="A256" s="144" t="n">
        <f aca="false">EDATE(A255,1)</f>
        <v>45627</v>
      </c>
      <c r="B256" s="145" t="n">
        <f aca="false">Inputs!$B$8</f>
        <v>50000</v>
      </c>
      <c r="C256" s="146" t="n">
        <f aca="false">IF(AZ256=0,0,IF(AND(AZ256=1,$H$3=1),B256*AU256,IF($H$3=2,B256,"N/A")))</f>
        <v>0</v>
      </c>
      <c r="D256" s="146" t="n">
        <f aca="false">C256*AY256</f>
        <v>0</v>
      </c>
      <c r="E256" s="147" t="n">
        <f aca="false">VLOOKUP($A256,[1]!CurveTable,MATCH($E$4,[1]!CurveType,0))</f>
        <v>6.157</v>
      </c>
      <c r="F256" s="148" t="n">
        <f aca="false">E256-Inputs!$B$16</f>
        <v>6.212</v>
      </c>
      <c r="G256" s="149" t="n">
        <f aca="false">F256</f>
        <v>6.212</v>
      </c>
      <c r="H256" s="147" t="str">
        <f aca="false">VLOOKUP($A256,[1]!CurveTable,MATCH($H$4,[1]!CurveType,0))</f>
        <v/>
      </c>
      <c r="I256" s="148" t="e">
        <f aca="false">H256+Inputs!$B$22</f>
        <v>#VALUE!</v>
      </c>
      <c r="J256" s="150" t="e">
        <f aca="false">I256</f>
        <v>#VALUE!</v>
      </c>
      <c r="K256" s="147" t="str">
        <f aca="false">VLOOKUP($A256,[1]!CurveTable,MATCH($K$4,[1]!CurveType,0))</f>
        <v/>
      </c>
      <c r="L256" s="148" t="n">
        <v>0</v>
      </c>
      <c r="M256" s="151" t="n">
        <f aca="false">L256</f>
        <v>0</v>
      </c>
      <c r="N256" s="147" t="str">
        <f aca="false">VLOOKUP($A256,[1]!CurveTable,MATCH($N$4,[1]!CurveType,0))</f>
        <v/>
      </c>
      <c r="O256" s="148" t="e">
        <f aca="false">N256+Inputs!$E$22</f>
        <v>#VALUE!</v>
      </c>
      <c r="P256" s="151" t="e">
        <f aca="false">O256</f>
        <v>#VALUE!</v>
      </c>
      <c r="Q256" s="147" t="str">
        <f aca="false">VLOOKUP($A256,[1]!CurveTable,MATCH($Q$4,[1]!CurveType,0))</f>
        <v/>
      </c>
      <c r="R256" s="148" t="n">
        <v>0</v>
      </c>
      <c r="S256" s="151" t="n">
        <f aca="false">R256</f>
        <v>0</v>
      </c>
      <c r="T256" s="152"/>
      <c r="U256" s="153" t="e">
        <f aca="false">G256+J256</f>
        <v>#VALUE!</v>
      </c>
      <c r="V256" s="154"/>
      <c r="W256" s="155" t="n">
        <f aca="false">VLOOKUP($A256,[1]!CurveTable,MATCH($W$4,[1]!CurveType,0))+$W$9</f>
        <v>0.17</v>
      </c>
      <c r="X256" s="155" t="n">
        <f aca="false">VLOOKUP($A256,[1]!CurveTable,MATCH($X$4,[1]!CurveType,0))+$X$9</f>
        <v>0.175</v>
      </c>
      <c r="Y256" s="139" t="n">
        <f aca="false">SQRT((X256^2*($A256-$C$3)+W256^2*(DAY(EOMONTH(A256,0))/2))/$AN256)</f>
        <v>0.162452090839674</v>
      </c>
      <c r="Z256" s="152"/>
      <c r="AA256" s="153" t="e">
        <f aca="false">G256+P256+S256</f>
        <v>#VALUE!</v>
      </c>
      <c r="AB256" s="154"/>
      <c r="AC256" s="155" t="n">
        <f aca="false">VLOOKUP($A256,[1]!CurveTable,MATCH($AC$4,[1]!CurveType,0))+$AC$9</f>
        <v>0.17</v>
      </c>
      <c r="AD256" s="155" t="n">
        <f aca="false">VLOOKUP($A256,[1]!CurveTable,MATCH($AD$4,[1]!CurveType,0))+$AD$9</f>
        <v>0.175</v>
      </c>
      <c r="AE256" s="139" t="n">
        <f aca="false">SQRT((AD256^2*($A256-$C$3)+AC256^2*(DAY(EOMONTH(A256,0))/2))/$AN256)</f>
        <v>0.162452090839674</v>
      </c>
      <c r="AF256" s="152"/>
      <c r="AG256" s="156" t="n">
        <f aca="false">((Inputs!$F$20*(X256*AD256)*(A256-$C$3))+(Inputs!$F$19*W256*AC256*(DAY(EOMONTH(A256,0))/2)))/(AN256*Y256*AE256)</f>
        <v>0.75</v>
      </c>
      <c r="AH256" s="152"/>
      <c r="AI256" s="140" t="n">
        <f aca="false">Inputs!$B$15</f>
        <v>0.06</v>
      </c>
      <c r="AJ256" s="157"/>
      <c r="AK256" s="140" t="e">
        <f aca="false">IF((U256-AA256-AI256)&lt;0,0,(U256-AA256-AI256))</f>
        <v>#VALUE!</v>
      </c>
      <c r="AL256" s="157"/>
      <c r="AM256" s="158" t="n">
        <f aca="false">WORKDAY(EOMONTH(A256-1,-1),0)</f>
        <v>45596</v>
      </c>
      <c r="AN256" s="159" t="n">
        <f aca="false">AM256-$C$3</f>
        <v>-330</v>
      </c>
      <c r="AO256" s="159" t="n">
        <f aca="false">AO255</f>
        <v>1</v>
      </c>
      <c r="AP256" s="160"/>
      <c r="AQ256" s="161" t="e">
        <f aca="false">SPRDOPT(U256,AA256,AI256,AX256,X256,AD256,AG256,AN256,AO256,0)</f>
        <v>#NAME?</v>
      </c>
      <c r="AR256" s="162" t="e">
        <f aca="false">AQ256*C256</f>
        <v>#NAME?</v>
      </c>
      <c r="AS256" s="163" t="e">
        <f aca="false">AQ256-AK256</f>
        <v>#VALUE!</v>
      </c>
      <c r="AU256" s="112" t="n">
        <f aca="false">A257-A256</f>
        <v>31</v>
      </c>
      <c r="AV256" s="164" t="n">
        <f aca="false">CHOOSE(F$3,A257+24,A256+14)</f>
        <v>45641</v>
      </c>
      <c r="AW256" s="49" t="n">
        <f aca="false">AV256-C$3</f>
        <v>-285</v>
      </c>
      <c r="AX256" s="155" t="n">
        <f aca="false">VLOOKUP($A256,[1]!CurveTable,MATCH(AX$4,[1]!CurveType,0))</f>
        <v>0.0618657530075781</v>
      </c>
      <c r="AY256" s="165" t="n">
        <f aca="false">1/(1+CHOOSE(F$3,(AX257+(Inputs!$B$14/10000))/2,(AX256+(Inputs!$B$14/10000))/2))^(2*AW256/365.25)</f>
        <v>1.0486897288907</v>
      </c>
      <c r="AZ256" s="49" t="n">
        <f aca="false">IF(AND(mthbeg&lt;=A256,mthend&gt;=A256),1,0)</f>
        <v>0</v>
      </c>
      <c r="BA256" s="111" t="n">
        <f aca="false">AU256*AZ256</f>
        <v>0</v>
      </c>
      <c r="BC256" s="142" t="n">
        <f aca="false">E256*$D256</f>
        <v>0</v>
      </c>
      <c r="BD256" s="142" t="n">
        <f aca="false">F256*$D256</f>
        <v>0</v>
      </c>
      <c r="BE256" s="142" t="n">
        <f aca="false">G256*$D256</f>
        <v>0</v>
      </c>
      <c r="BF256" s="142" t="e">
        <f aca="false">H256*$D256</f>
        <v>#VALUE!</v>
      </c>
      <c r="BG256" s="142" t="e">
        <f aca="false">I256*$D256</f>
        <v>#VALUE!</v>
      </c>
      <c r="BH256" s="142" t="e">
        <f aca="false">J256*$D256</f>
        <v>#VALUE!</v>
      </c>
      <c r="BI256" s="142" t="e">
        <f aca="false">K256*$D256</f>
        <v>#VALUE!</v>
      </c>
      <c r="BJ256" s="142" t="n">
        <f aca="false">L256*$D256</f>
        <v>0</v>
      </c>
      <c r="BK256" s="142" t="n">
        <f aca="false">M256*$D256</f>
        <v>0</v>
      </c>
      <c r="BL256" s="142" t="e">
        <f aca="false">N256*$D256</f>
        <v>#VALUE!</v>
      </c>
      <c r="BM256" s="142" t="e">
        <f aca="false">O256*$D256</f>
        <v>#VALUE!</v>
      </c>
      <c r="BN256" s="142" t="e">
        <f aca="false">P256*$D256</f>
        <v>#VALUE!</v>
      </c>
      <c r="BO256" s="142" t="e">
        <f aca="false">Q256*$D256</f>
        <v>#VALUE!</v>
      </c>
      <c r="BP256" s="142" t="n">
        <f aca="false">R256*$D256</f>
        <v>0</v>
      </c>
      <c r="BQ256" s="142" t="n">
        <f aca="false">S256*$D256</f>
        <v>0</v>
      </c>
      <c r="BR256" s="142" t="e">
        <f aca="false">U256*$D256</f>
        <v>#VALUE!</v>
      </c>
      <c r="BS256" s="142" t="e">
        <f aca="false">AA256*$D256</f>
        <v>#VALUE!</v>
      </c>
      <c r="BT256" s="142" t="n">
        <f aca="false">AI256*$D256</f>
        <v>0</v>
      </c>
      <c r="BU256" s="142" t="e">
        <f aca="false">AK256*D256</f>
        <v>#VALUE!</v>
      </c>
    </row>
    <row r="257" customFormat="false" ht="12.75" hidden="false" customHeight="false" outlineLevel="0" collapsed="false">
      <c r="A257" s="144" t="n">
        <f aca="false">EDATE(A256,1)</f>
        <v>45658</v>
      </c>
      <c r="B257" s="145"/>
      <c r="C257" s="146"/>
      <c r="D257" s="146"/>
      <c r="E257" s="147"/>
      <c r="F257" s="148"/>
      <c r="G257" s="149"/>
      <c r="H257" s="147"/>
      <c r="I257" s="148"/>
      <c r="J257" s="150"/>
      <c r="K257" s="147"/>
      <c r="L257" s="148"/>
      <c r="M257" s="151"/>
      <c r="N257" s="147"/>
      <c r="O257" s="148"/>
      <c r="P257" s="151"/>
      <c r="Q257" s="147"/>
      <c r="R257" s="148"/>
      <c r="S257" s="151"/>
      <c r="T257" s="152"/>
      <c r="U257" s="153"/>
      <c r="V257" s="154"/>
      <c r="W257" s="155"/>
      <c r="X257" s="155"/>
      <c r="Y257" s="139"/>
      <c r="Z257" s="152"/>
      <c r="AA257" s="153"/>
      <c r="AB257" s="154"/>
      <c r="AC257" s="155"/>
      <c r="AD257" s="155"/>
      <c r="AE257" s="139"/>
      <c r="AF257" s="152"/>
      <c r="AG257" s="156"/>
      <c r="AH257" s="152"/>
      <c r="AI257" s="140"/>
      <c r="AJ257" s="157"/>
      <c r="AK257" s="140"/>
      <c r="AL257" s="157"/>
      <c r="AM257" s="158"/>
      <c r="AN257" s="159"/>
      <c r="AO257" s="159"/>
      <c r="AP257" s="160"/>
      <c r="AQ257" s="161"/>
      <c r="AR257" s="162"/>
      <c r="AS257" s="163"/>
      <c r="AU257" s="112"/>
      <c r="AV257" s="164"/>
      <c r="AW257" s="49"/>
      <c r="AX257" s="155"/>
      <c r="AY257" s="165"/>
      <c r="AZ257" s="49"/>
      <c r="BA257" s="111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</row>
    <row r="258" customFormat="false" ht="12.75" hidden="false" customHeight="false" outlineLevel="0" collapsed="false">
      <c r="A258" s="144" t="n">
        <f aca="false">EDATE(A257,1)</f>
        <v>45689</v>
      </c>
      <c r="B258" s="145"/>
      <c r="C258" s="146"/>
      <c r="D258" s="146"/>
      <c r="E258" s="147"/>
      <c r="F258" s="148"/>
      <c r="G258" s="149"/>
      <c r="H258" s="147"/>
      <c r="I258" s="148"/>
      <c r="J258" s="150"/>
      <c r="K258" s="147"/>
      <c r="L258" s="148"/>
      <c r="M258" s="151"/>
      <c r="N258" s="147"/>
      <c r="O258" s="148"/>
      <c r="P258" s="151"/>
      <c r="Q258" s="147"/>
      <c r="R258" s="148"/>
      <c r="S258" s="151"/>
      <c r="T258" s="152"/>
      <c r="U258" s="153"/>
      <c r="V258" s="154"/>
      <c r="W258" s="155"/>
      <c r="X258" s="155"/>
      <c r="Y258" s="139"/>
      <c r="Z258" s="152"/>
      <c r="AA258" s="153"/>
      <c r="AB258" s="154"/>
      <c r="AC258" s="155"/>
      <c r="AD258" s="155"/>
      <c r="AE258" s="139"/>
      <c r="AF258" s="152"/>
      <c r="AG258" s="156"/>
      <c r="AH258" s="152"/>
      <c r="AI258" s="140"/>
      <c r="AJ258" s="157"/>
      <c r="AK258" s="140"/>
      <c r="AL258" s="157"/>
      <c r="AM258" s="158"/>
      <c r="AN258" s="159"/>
      <c r="AO258" s="159"/>
      <c r="AP258" s="160"/>
      <c r="AQ258" s="161"/>
      <c r="AR258" s="162"/>
      <c r="AS258" s="163"/>
      <c r="AU258" s="112"/>
      <c r="AV258" s="164"/>
      <c r="AW258" s="49"/>
      <c r="AX258" s="155"/>
      <c r="AY258" s="165"/>
      <c r="AZ258" s="49"/>
      <c r="BA258" s="111"/>
      <c r="BC258" s="142"/>
      <c r="BD258" s="142"/>
      <c r="BE258" s="142"/>
      <c r="BF258" s="142"/>
      <c r="BG258" s="142"/>
      <c r="BH258" s="142"/>
      <c r="BI258" s="142"/>
      <c r="BJ258" s="142"/>
      <c r="BK258" s="142"/>
      <c r="BL258" s="142"/>
      <c r="BM258" s="142"/>
      <c r="BN258" s="142"/>
      <c r="BO258" s="142"/>
      <c r="BP258" s="142"/>
      <c r="BQ258" s="142"/>
      <c r="BR258" s="142"/>
      <c r="BS258" s="142"/>
      <c r="BT258" s="142"/>
      <c r="BU258" s="142"/>
    </row>
    <row r="259" customFormat="false" ht="12.75" hidden="false" customHeight="false" outlineLevel="0" collapsed="false">
      <c r="A259" s="144" t="n">
        <f aca="false">EDATE(A258,1)</f>
        <v>45717</v>
      </c>
      <c r="B259" s="145"/>
      <c r="C259" s="146"/>
      <c r="D259" s="146"/>
      <c r="E259" s="147"/>
      <c r="F259" s="148"/>
      <c r="G259" s="149"/>
      <c r="H259" s="147"/>
      <c r="I259" s="148"/>
      <c r="J259" s="150"/>
      <c r="K259" s="147"/>
      <c r="L259" s="148"/>
      <c r="M259" s="151"/>
      <c r="N259" s="147"/>
      <c r="O259" s="148"/>
      <c r="P259" s="151"/>
      <c r="Q259" s="147"/>
      <c r="R259" s="148"/>
      <c r="S259" s="151"/>
      <c r="T259" s="152"/>
      <c r="U259" s="153"/>
      <c r="V259" s="154"/>
      <c r="W259" s="155"/>
      <c r="X259" s="155"/>
      <c r="Y259" s="139"/>
      <c r="Z259" s="152"/>
      <c r="AA259" s="153"/>
      <c r="AB259" s="154"/>
      <c r="AC259" s="155"/>
      <c r="AD259" s="155"/>
      <c r="AE259" s="139"/>
      <c r="AF259" s="152"/>
      <c r="AG259" s="156"/>
      <c r="AH259" s="152"/>
      <c r="AI259" s="140"/>
      <c r="AJ259" s="157"/>
      <c r="AK259" s="140"/>
      <c r="AL259" s="157"/>
      <c r="AM259" s="158"/>
      <c r="AN259" s="159"/>
      <c r="AO259" s="159"/>
      <c r="AP259" s="160"/>
      <c r="AQ259" s="161"/>
      <c r="AR259" s="162"/>
      <c r="AS259" s="163"/>
      <c r="AU259" s="112"/>
      <c r="AV259" s="164"/>
      <c r="AW259" s="49"/>
      <c r="AX259" s="155"/>
      <c r="AY259" s="165"/>
      <c r="AZ259" s="49"/>
      <c r="BA259" s="111"/>
      <c r="BC259" s="142"/>
      <c r="BD259" s="142"/>
      <c r="BE259" s="142"/>
      <c r="BF259" s="142"/>
      <c r="BG259" s="142"/>
      <c r="BH259" s="142"/>
      <c r="BI259" s="142"/>
      <c r="BJ259" s="142"/>
      <c r="BK259" s="142"/>
      <c r="BL259" s="142"/>
      <c r="BM259" s="142"/>
      <c r="BN259" s="142"/>
      <c r="BO259" s="142"/>
      <c r="BP259" s="142"/>
      <c r="BQ259" s="142"/>
      <c r="BR259" s="142"/>
      <c r="BS259" s="142"/>
      <c r="BT259" s="142"/>
      <c r="BU259" s="142"/>
    </row>
    <row r="260" customFormat="false" ht="12.75" hidden="false" customHeight="false" outlineLevel="0" collapsed="false">
      <c r="A260" s="144" t="n">
        <f aca="false">EDATE(A259,1)</f>
        <v>45748</v>
      </c>
      <c r="B260" s="145"/>
      <c r="C260" s="146"/>
      <c r="D260" s="146"/>
      <c r="E260" s="147"/>
      <c r="F260" s="148"/>
      <c r="G260" s="149"/>
      <c r="H260" s="147"/>
      <c r="I260" s="148"/>
      <c r="J260" s="150"/>
      <c r="K260" s="147"/>
      <c r="L260" s="148"/>
      <c r="M260" s="151"/>
      <c r="N260" s="147"/>
      <c r="O260" s="148"/>
      <c r="P260" s="151"/>
      <c r="Q260" s="147"/>
      <c r="R260" s="148"/>
      <c r="S260" s="151"/>
      <c r="T260" s="152"/>
      <c r="U260" s="153"/>
      <c r="V260" s="154"/>
      <c r="W260" s="155"/>
      <c r="X260" s="155"/>
      <c r="Y260" s="139"/>
      <c r="Z260" s="152"/>
      <c r="AA260" s="153"/>
      <c r="AB260" s="154"/>
      <c r="AC260" s="155"/>
      <c r="AD260" s="155"/>
      <c r="AE260" s="139"/>
      <c r="AF260" s="152"/>
      <c r="AG260" s="156"/>
      <c r="AH260" s="152"/>
      <c r="AI260" s="140"/>
      <c r="AJ260" s="157"/>
      <c r="AK260" s="140"/>
      <c r="AL260" s="157"/>
      <c r="AM260" s="158"/>
      <c r="AN260" s="159"/>
      <c r="AO260" s="159"/>
      <c r="AP260" s="160"/>
      <c r="AQ260" s="161"/>
      <c r="AR260" s="162"/>
      <c r="AS260" s="163"/>
      <c r="AU260" s="112"/>
      <c r="AV260" s="164"/>
      <c r="AW260" s="49"/>
      <c r="AX260" s="155"/>
      <c r="AY260" s="165"/>
      <c r="AZ260" s="49"/>
      <c r="BA260" s="111"/>
      <c r="BC260" s="142"/>
      <c r="BD260" s="142"/>
      <c r="BE260" s="142"/>
      <c r="BF260" s="142"/>
      <c r="BG260" s="142"/>
      <c r="BH260" s="142"/>
      <c r="BI260" s="142"/>
      <c r="BJ260" s="142"/>
      <c r="BK260" s="142"/>
      <c r="BL260" s="142"/>
      <c r="BM260" s="142"/>
      <c r="BN260" s="142"/>
      <c r="BO260" s="142"/>
      <c r="BP260" s="142"/>
      <c r="BQ260" s="142"/>
      <c r="BR260" s="142"/>
      <c r="BS260" s="142"/>
      <c r="BT260" s="142"/>
      <c r="BU260" s="142"/>
    </row>
    <row r="261" customFormat="false" ht="12.75" hidden="false" customHeight="false" outlineLevel="0" collapsed="false">
      <c r="A261" s="144" t="n">
        <f aca="false">EDATE(A260,1)</f>
        <v>45778</v>
      </c>
      <c r="B261" s="145"/>
      <c r="C261" s="146"/>
      <c r="D261" s="146"/>
      <c r="E261" s="147"/>
      <c r="F261" s="148"/>
      <c r="G261" s="149"/>
      <c r="H261" s="147"/>
      <c r="I261" s="148"/>
      <c r="J261" s="150"/>
      <c r="K261" s="147"/>
      <c r="L261" s="148"/>
      <c r="M261" s="151"/>
      <c r="N261" s="147"/>
      <c r="O261" s="148"/>
      <c r="P261" s="151"/>
      <c r="Q261" s="147"/>
      <c r="R261" s="148"/>
      <c r="S261" s="151"/>
      <c r="T261" s="152"/>
      <c r="U261" s="153"/>
      <c r="V261" s="154"/>
      <c r="W261" s="155"/>
      <c r="X261" s="155"/>
      <c r="Y261" s="139"/>
      <c r="Z261" s="152"/>
      <c r="AA261" s="153"/>
      <c r="AB261" s="154"/>
      <c r="AC261" s="155"/>
      <c r="AD261" s="155"/>
      <c r="AE261" s="139"/>
      <c r="AF261" s="152"/>
      <c r="AG261" s="156"/>
      <c r="AH261" s="152"/>
      <c r="AI261" s="140"/>
      <c r="AJ261" s="157"/>
      <c r="AK261" s="140"/>
      <c r="AL261" s="157"/>
      <c r="AM261" s="158"/>
      <c r="AN261" s="159"/>
      <c r="AO261" s="159"/>
      <c r="AP261" s="160"/>
      <c r="AQ261" s="161"/>
      <c r="AR261" s="162"/>
      <c r="AS261" s="163"/>
      <c r="AU261" s="112"/>
      <c r="AV261" s="164"/>
      <c r="AW261" s="49"/>
      <c r="AX261" s="155"/>
      <c r="AY261" s="165"/>
      <c r="AZ261" s="49"/>
      <c r="BA261" s="111"/>
      <c r="BC261" s="142"/>
      <c r="BD261" s="142"/>
      <c r="BE261" s="142"/>
      <c r="BF261" s="142"/>
      <c r="BG261" s="142"/>
      <c r="BH261" s="142"/>
      <c r="BI261" s="142"/>
      <c r="BJ261" s="142"/>
      <c r="BK261" s="142"/>
      <c r="BL261" s="142"/>
      <c r="BM261" s="142"/>
      <c r="BN261" s="142"/>
      <c r="BO261" s="142"/>
      <c r="BP261" s="142"/>
      <c r="BQ261" s="142"/>
      <c r="BR261" s="142"/>
      <c r="BS261" s="142"/>
      <c r="BT261" s="142"/>
      <c r="BU261" s="142"/>
    </row>
    <row r="262" customFormat="false" ht="12.75" hidden="false" customHeight="false" outlineLevel="0" collapsed="false">
      <c r="A262" s="144" t="n">
        <f aca="false">EDATE(A261,1)</f>
        <v>45809</v>
      </c>
      <c r="B262" s="145"/>
      <c r="C262" s="146"/>
      <c r="D262" s="146"/>
      <c r="E262" s="147"/>
      <c r="F262" s="148"/>
      <c r="G262" s="149"/>
      <c r="H262" s="147"/>
      <c r="I262" s="148"/>
      <c r="J262" s="150"/>
      <c r="K262" s="147"/>
      <c r="L262" s="148"/>
      <c r="M262" s="151"/>
      <c r="N262" s="147"/>
      <c r="O262" s="148"/>
      <c r="P262" s="151"/>
      <c r="Q262" s="147"/>
      <c r="R262" s="148"/>
      <c r="S262" s="151"/>
      <c r="T262" s="152"/>
      <c r="U262" s="153"/>
      <c r="V262" s="154"/>
      <c r="W262" s="155"/>
      <c r="X262" s="155"/>
      <c r="Y262" s="139"/>
      <c r="Z262" s="152"/>
      <c r="AA262" s="153"/>
      <c r="AB262" s="154"/>
      <c r="AC262" s="155"/>
      <c r="AD262" s="155"/>
      <c r="AE262" s="139"/>
      <c r="AF262" s="152"/>
      <c r="AG262" s="156"/>
      <c r="AH262" s="152"/>
      <c r="AI262" s="140"/>
      <c r="AJ262" s="157"/>
      <c r="AK262" s="140"/>
      <c r="AL262" s="157"/>
      <c r="AM262" s="158"/>
      <c r="AN262" s="159"/>
      <c r="AO262" s="159"/>
      <c r="AP262" s="160"/>
      <c r="AQ262" s="161"/>
      <c r="AR262" s="162"/>
      <c r="AS262" s="163"/>
      <c r="AU262" s="112"/>
      <c r="AV262" s="164"/>
      <c r="AW262" s="49"/>
      <c r="AX262" s="155"/>
      <c r="AY262" s="165"/>
      <c r="AZ262" s="49"/>
      <c r="BA262" s="111"/>
      <c r="BC262" s="142"/>
      <c r="BD262" s="142"/>
      <c r="BE262" s="142"/>
      <c r="BF262" s="142"/>
      <c r="BG262" s="142"/>
      <c r="BH262" s="142"/>
      <c r="BI262" s="142"/>
      <c r="BJ262" s="142"/>
      <c r="BK262" s="142"/>
      <c r="BL262" s="142"/>
      <c r="BM262" s="142"/>
      <c r="BN262" s="142"/>
      <c r="BO262" s="142"/>
      <c r="BP262" s="142"/>
      <c r="BQ262" s="142"/>
      <c r="BR262" s="142"/>
      <c r="BS262" s="142"/>
      <c r="BT262" s="142"/>
      <c r="BU262" s="142"/>
    </row>
    <row r="263" customFormat="false" ht="12.75" hidden="false" customHeight="false" outlineLevel="0" collapsed="false">
      <c r="A263" s="144" t="n">
        <f aca="false">EDATE(A262,1)</f>
        <v>45839</v>
      </c>
      <c r="B263" s="145"/>
      <c r="C263" s="146"/>
      <c r="D263" s="146"/>
      <c r="E263" s="147"/>
      <c r="F263" s="148"/>
      <c r="G263" s="149"/>
      <c r="H263" s="147"/>
      <c r="I263" s="148"/>
      <c r="J263" s="150"/>
      <c r="K263" s="147"/>
      <c r="L263" s="148"/>
      <c r="M263" s="151"/>
      <c r="N263" s="147"/>
      <c r="O263" s="148"/>
      <c r="P263" s="151"/>
      <c r="Q263" s="147"/>
      <c r="R263" s="148"/>
      <c r="S263" s="151"/>
      <c r="T263" s="152"/>
      <c r="U263" s="153"/>
      <c r="V263" s="154"/>
      <c r="W263" s="155"/>
      <c r="X263" s="155"/>
      <c r="Y263" s="139"/>
      <c r="Z263" s="152"/>
      <c r="AA263" s="153"/>
      <c r="AB263" s="154"/>
      <c r="AC263" s="155"/>
      <c r="AD263" s="155"/>
      <c r="AE263" s="139"/>
      <c r="AF263" s="152"/>
      <c r="AG263" s="156"/>
      <c r="AH263" s="152"/>
      <c r="AI263" s="140"/>
      <c r="AJ263" s="157"/>
      <c r="AK263" s="140"/>
      <c r="AL263" s="157"/>
      <c r="AM263" s="158"/>
      <c r="AN263" s="159"/>
      <c r="AO263" s="159"/>
      <c r="AP263" s="160"/>
      <c r="AQ263" s="161"/>
      <c r="AR263" s="162"/>
      <c r="AS263" s="163"/>
      <c r="AU263" s="112"/>
      <c r="AV263" s="164"/>
      <c r="AW263" s="49"/>
      <c r="AX263" s="155"/>
      <c r="AY263" s="165"/>
      <c r="AZ263" s="49"/>
      <c r="BA263" s="111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</row>
    <row r="264" customFormat="false" ht="12.75" hidden="false" customHeight="false" outlineLevel="0" collapsed="false">
      <c r="A264" s="144" t="n">
        <f aca="false">EDATE(A263,1)</f>
        <v>45870</v>
      </c>
      <c r="B264" s="145"/>
      <c r="C264" s="146"/>
      <c r="D264" s="146"/>
      <c r="E264" s="147"/>
      <c r="F264" s="148"/>
      <c r="G264" s="149"/>
      <c r="H264" s="147"/>
      <c r="I264" s="148"/>
      <c r="J264" s="150"/>
      <c r="K264" s="147"/>
      <c r="L264" s="148"/>
      <c r="M264" s="151"/>
      <c r="N264" s="147"/>
      <c r="O264" s="148"/>
      <c r="P264" s="151"/>
      <c r="Q264" s="147"/>
      <c r="R264" s="148"/>
      <c r="S264" s="151"/>
      <c r="T264" s="152"/>
      <c r="U264" s="153"/>
      <c r="V264" s="154"/>
      <c r="W264" s="155"/>
      <c r="X264" s="155"/>
      <c r="Y264" s="139"/>
      <c r="Z264" s="152"/>
      <c r="AA264" s="153"/>
      <c r="AB264" s="154"/>
      <c r="AC264" s="155"/>
      <c r="AD264" s="155"/>
      <c r="AE264" s="139"/>
      <c r="AF264" s="152"/>
      <c r="AG264" s="156"/>
      <c r="AH264" s="152"/>
      <c r="AI264" s="140"/>
      <c r="AJ264" s="157"/>
      <c r="AK264" s="140"/>
      <c r="AL264" s="157"/>
      <c r="AM264" s="158"/>
      <c r="AN264" s="159"/>
      <c r="AO264" s="159"/>
      <c r="AP264" s="160"/>
      <c r="AQ264" s="161"/>
      <c r="AR264" s="162"/>
      <c r="AS264" s="163"/>
      <c r="AU264" s="112"/>
      <c r="AV264" s="164"/>
      <c r="AW264" s="49"/>
      <c r="AX264" s="155"/>
      <c r="AY264" s="165"/>
      <c r="AZ264" s="49"/>
      <c r="BA264" s="111"/>
      <c r="BC264" s="142"/>
      <c r="BD264" s="142"/>
      <c r="BE264" s="142"/>
      <c r="BF264" s="142"/>
      <c r="BG264" s="142"/>
      <c r="BH264" s="142"/>
      <c r="BI264" s="142"/>
      <c r="BJ264" s="142"/>
      <c r="BK264" s="142"/>
      <c r="BL264" s="142"/>
      <c r="BM264" s="142"/>
      <c r="BN264" s="142"/>
      <c r="BO264" s="142"/>
      <c r="BP264" s="142"/>
      <c r="BQ264" s="142"/>
      <c r="BR264" s="142"/>
      <c r="BS264" s="142"/>
      <c r="BT264" s="142"/>
      <c r="BU264" s="142"/>
    </row>
    <row r="265" customFormat="false" ht="12.75" hidden="false" customHeight="false" outlineLevel="0" collapsed="false">
      <c r="A265" s="144" t="n">
        <f aca="false">EDATE(A264,1)</f>
        <v>45901</v>
      </c>
      <c r="B265" s="145"/>
      <c r="C265" s="146"/>
      <c r="D265" s="146"/>
      <c r="E265" s="147"/>
      <c r="F265" s="148"/>
      <c r="G265" s="149"/>
      <c r="H265" s="147"/>
      <c r="I265" s="148"/>
      <c r="J265" s="150"/>
      <c r="K265" s="147"/>
      <c r="L265" s="148"/>
      <c r="M265" s="151"/>
      <c r="N265" s="147"/>
      <c r="O265" s="148"/>
      <c r="P265" s="151"/>
      <c r="Q265" s="147"/>
      <c r="R265" s="148"/>
      <c r="S265" s="151"/>
      <c r="T265" s="152"/>
      <c r="U265" s="153"/>
      <c r="V265" s="154"/>
      <c r="W265" s="155"/>
      <c r="X265" s="155"/>
      <c r="Y265" s="139"/>
      <c r="Z265" s="152"/>
      <c r="AA265" s="153"/>
      <c r="AB265" s="154"/>
      <c r="AC265" s="155"/>
      <c r="AD265" s="155"/>
      <c r="AE265" s="139"/>
      <c r="AF265" s="152"/>
      <c r="AG265" s="156"/>
      <c r="AH265" s="152"/>
      <c r="AI265" s="140"/>
      <c r="AJ265" s="157"/>
      <c r="AK265" s="140"/>
      <c r="AL265" s="157"/>
      <c r="AM265" s="158"/>
      <c r="AN265" s="159"/>
      <c r="AO265" s="159"/>
      <c r="AP265" s="160"/>
      <c r="AQ265" s="161"/>
      <c r="AR265" s="162"/>
      <c r="AS265" s="163"/>
      <c r="AU265" s="112"/>
      <c r="AV265" s="164"/>
      <c r="AW265" s="49"/>
      <c r="AX265" s="155"/>
      <c r="AY265" s="165"/>
      <c r="AZ265" s="49"/>
      <c r="BA265" s="111"/>
      <c r="BC265" s="142"/>
      <c r="BD265" s="142"/>
      <c r="BE265" s="142"/>
      <c r="BF265" s="142"/>
      <c r="BG265" s="142"/>
      <c r="BH265" s="142"/>
      <c r="BI265" s="142"/>
      <c r="BJ265" s="142"/>
      <c r="BK265" s="142"/>
      <c r="BL265" s="142"/>
      <c r="BM265" s="142"/>
      <c r="BN265" s="142"/>
      <c r="BO265" s="142"/>
      <c r="BP265" s="142"/>
      <c r="BQ265" s="142"/>
      <c r="BR265" s="142"/>
      <c r="BS265" s="142"/>
      <c r="BT265" s="142"/>
      <c r="BU265" s="142"/>
    </row>
    <row r="266" customFormat="false" ht="12.75" hidden="false" customHeight="false" outlineLevel="0" collapsed="false">
      <c r="A266" s="144" t="n">
        <f aca="false">EDATE(A265,1)</f>
        <v>45931</v>
      </c>
      <c r="B266" s="145"/>
      <c r="C266" s="146"/>
      <c r="D266" s="146"/>
      <c r="E266" s="147"/>
      <c r="F266" s="148"/>
      <c r="G266" s="149"/>
      <c r="H266" s="147"/>
      <c r="I266" s="148"/>
      <c r="J266" s="150"/>
      <c r="K266" s="147"/>
      <c r="L266" s="148"/>
      <c r="M266" s="151"/>
      <c r="N266" s="147"/>
      <c r="O266" s="148"/>
      <c r="P266" s="151"/>
      <c r="Q266" s="147"/>
      <c r="R266" s="148"/>
      <c r="S266" s="151"/>
      <c r="T266" s="152"/>
      <c r="U266" s="153"/>
      <c r="V266" s="154"/>
      <c r="W266" s="155"/>
      <c r="X266" s="155"/>
      <c r="Y266" s="139"/>
      <c r="Z266" s="152"/>
      <c r="AA266" s="153"/>
      <c r="AB266" s="154"/>
      <c r="AC266" s="155"/>
      <c r="AD266" s="155"/>
      <c r="AE266" s="139"/>
      <c r="AF266" s="152"/>
      <c r="AG266" s="156"/>
      <c r="AH266" s="152"/>
      <c r="AI266" s="140"/>
      <c r="AJ266" s="157"/>
      <c r="AK266" s="140"/>
      <c r="AL266" s="157"/>
      <c r="AM266" s="158"/>
      <c r="AN266" s="159"/>
      <c r="AO266" s="159"/>
      <c r="AP266" s="160"/>
      <c r="AQ266" s="161"/>
      <c r="AR266" s="162"/>
      <c r="AS266" s="163"/>
      <c r="AU266" s="112"/>
      <c r="AV266" s="164"/>
      <c r="AW266" s="49"/>
      <c r="AX266" s="155"/>
      <c r="AY266" s="165"/>
      <c r="AZ266" s="49"/>
      <c r="BA266" s="111"/>
      <c r="BC266" s="142"/>
      <c r="BD266" s="142"/>
      <c r="BE266" s="142"/>
      <c r="BF266" s="142"/>
      <c r="BG266" s="142"/>
      <c r="BH266" s="142"/>
      <c r="BI266" s="142"/>
      <c r="BJ266" s="142"/>
      <c r="BK266" s="142"/>
      <c r="BL266" s="142"/>
      <c r="BM266" s="142"/>
      <c r="BN266" s="142"/>
      <c r="BO266" s="142"/>
      <c r="BP266" s="142"/>
      <c r="BQ266" s="142"/>
      <c r="BR266" s="142"/>
      <c r="BS266" s="142"/>
      <c r="BT266" s="142"/>
      <c r="BU266" s="142"/>
    </row>
    <row r="267" customFormat="false" ht="12.75" hidden="false" customHeight="false" outlineLevel="0" collapsed="false">
      <c r="A267" s="144" t="n">
        <f aca="false">EDATE(A266,1)</f>
        <v>45962</v>
      </c>
      <c r="B267" s="145"/>
      <c r="C267" s="146"/>
      <c r="D267" s="146"/>
      <c r="E267" s="147"/>
      <c r="F267" s="148"/>
      <c r="G267" s="149"/>
      <c r="H267" s="147"/>
      <c r="I267" s="148"/>
      <c r="J267" s="150"/>
      <c r="K267" s="147"/>
      <c r="L267" s="148"/>
      <c r="M267" s="151"/>
      <c r="N267" s="147"/>
      <c r="O267" s="148"/>
      <c r="P267" s="151"/>
      <c r="Q267" s="147"/>
      <c r="R267" s="148"/>
      <c r="S267" s="151"/>
      <c r="T267" s="152"/>
      <c r="U267" s="153"/>
      <c r="V267" s="154"/>
      <c r="W267" s="155"/>
      <c r="X267" s="155"/>
      <c r="Y267" s="139"/>
      <c r="Z267" s="152"/>
      <c r="AA267" s="153"/>
      <c r="AB267" s="154"/>
      <c r="AC267" s="155"/>
      <c r="AD267" s="155"/>
      <c r="AE267" s="139"/>
      <c r="AF267" s="152"/>
      <c r="AG267" s="156"/>
      <c r="AH267" s="152"/>
      <c r="AI267" s="140"/>
      <c r="AJ267" s="157"/>
      <c r="AK267" s="140"/>
      <c r="AL267" s="157"/>
      <c r="AM267" s="158"/>
      <c r="AN267" s="159"/>
      <c r="AO267" s="159"/>
      <c r="AP267" s="160"/>
      <c r="AQ267" s="161"/>
      <c r="AR267" s="162"/>
      <c r="AS267" s="163"/>
      <c r="AU267" s="112"/>
      <c r="AV267" s="164"/>
      <c r="AW267" s="49"/>
      <c r="AX267" s="155"/>
      <c r="AY267" s="165"/>
      <c r="AZ267" s="49"/>
      <c r="BA267" s="111"/>
      <c r="BC267" s="142"/>
      <c r="BD267" s="142"/>
      <c r="BE267" s="142"/>
      <c r="BF267" s="142"/>
      <c r="BG267" s="142"/>
      <c r="BH267" s="142"/>
      <c r="BI267" s="142"/>
      <c r="BJ267" s="142"/>
      <c r="BK267" s="142"/>
      <c r="BL267" s="142"/>
      <c r="BM267" s="142"/>
      <c r="BN267" s="142"/>
      <c r="BO267" s="142"/>
      <c r="BP267" s="142"/>
      <c r="BQ267" s="142"/>
      <c r="BR267" s="142"/>
      <c r="BS267" s="142"/>
      <c r="BT267" s="142"/>
      <c r="BU267" s="142"/>
    </row>
    <row r="268" customFormat="false" ht="12.75" hidden="false" customHeight="false" outlineLevel="0" collapsed="false">
      <c r="A268" s="144" t="n">
        <f aca="false">EDATE(A267,1)</f>
        <v>45992</v>
      </c>
      <c r="B268" s="145"/>
      <c r="C268" s="146"/>
      <c r="D268" s="146"/>
      <c r="E268" s="147"/>
      <c r="F268" s="148"/>
      <c r="G268" s="149"/>
      <c r="H268" s="147"/>
      <c r="I268" s="148"/>
      <c r="J268" s="150"/>
      <c r="K268" s="147"/>
      <c r="L268" s="148"/>
      <c r="M268" s="151"/>
      <c r="N268" s="147"/>
      <c r="O268" s="148"/>
      <c r="P268" s="151"/>
      <c r="Q268" s="147"/>
      <c r="R268" s="148"/>
      <c r="S268" s="151"/>
      <c r="T268" s="152"/>
      <c r="U268" s="153"/>
      <c r="V268" s="154"/>
      <c r="W268" s="155"/>
      <c r="X268" s="155"/>
      <c r="Y268" s="139"/>
      <c r="Z268" s="152"/>
      <c r="AA268" s="153"/>
      <c r="AB268" s="154"/>
      <c r="AC268" s="155"/>
      <c r="AD268" s="155"/>
      <c r="AE268" s="139"/>
      <c r="AF268" s="152"/>
      <c r="AG268" s="156"/>
      <c r="AH268" s="152"/>
      <c r="AI268" s="140"/>
      <c r="AJ268" s="157"/>
      <c r="AK268" s="140"/>
      <c r="AL268" s="157"/>
      <c r="AM268" s="158"/>
      <c r="AN268" s="159"/>
      <c r="AO268" s="159"/>
      <c r="AP268" s="160"/>
      <c r="AQ268" s="161"/>
      <c r="AR268" s="162"/>
      <c r="AS268" s="163"/>
      <c r="AU268" s="112"/>
      <c r="AV268" s="164"/>
      <c r="AW268" s="49"/>
      <c r="AX268" s="155"/>
      <c r="AY268" s="165"/>
      <c r="AZ268" s="49"/>
      <c r="BA268" s="111"/>
      <c r="BC268" s="142"/>
      <c r="BD268" s="142"/>
      <c r="BE268" s="142"/>
      <c r="BF268" s="142"/>
      <c r="BG268" s="142"/>
      <c r="BH268" s="142"/>
      <c r="BI268" s="142"/>
      <c r="BJ268" s="142"/>
      <c r="BK268" s="142"/>
      <c r="BL268" s="142"/>
      <c r="BM268" s="142"/>
      <c r="BN268" s="142"/>
      <c r="BO268" s="142"/>
      <c r="BP268" s="142"/>
      <c r="BQ268" s="142"/>
      <c r="BR268" s="142"/>
      <c r="BS268" s="142"/>
      <c r="BT268" s="142"/>
      <c r="BU268" s="142"/>
    </row>
    <row r="269" customFormat="false" ht="12.75" hidden="false" customHeight="false" outlineLevel="0" collapsed="false">
      <c r="A269" s="144" t="n">
        <f aca="false">EDATE(A268,1)</f>
        <v>46023</v>
      </c>
      <c r="B269" s="145"/>
      <c r="C269" s="146"/>
      <c r="D269" s="146"/>
      <c r="E269" s="147"/>
      <c r="F269" s="148"/>
      <c r="G269" s="149"/>
      <c r="H269" s="147"/>
      <c r="I269" s="148"/>
      <c r="J269" s="150"/>
      <c r="K269" s="147"/>
      <c r="L269" s="148"/>
      <c r="M269" s="151"/>
      <c r="N269" s="147"/>
      <c r="O269" s="148"/>
      <c r="P269" s="151"/>
      <c r="Q269" s="147"/>
      <c r="R269" s="148"/>
      <c r="S269" s="151"/>
      <c r="T269" s="152"/>
      <c r="U269" s="153"/>
      <c r="V269" s="154"/>
      <c r="W269" s="155"/>
      <c r="X269" s="155"/>
      <c r="Y269" s="139"/>
      <c r="Z269" s="152"/>
      <c r="AA269" s="153"/>
      <c r="AB269" s="154"/>
      <c r="AC269" s="155"/>
      <c r="AD269" s="155"/>
      <c r="AE269" s="139"/>
      <c r="AF269" s="152"/>
      <c r="AG269" s="156"/>
      <c r="AH269" s="152"/>
      <c r="AI269" s="140"/>
      <c r="AJ269" s="157"/>
      <c r="AK269" s="140"/>
      <c r="AL269" s="157"/>
      <c r="AM269" s="158"/>
      <c r="AN269" s="159"/>
      <c r="AO269" s="159"/>
      <c r="AP269" s="160"/>
      <c r="AQ269" s="161"/>
      <c r="AR269" s="162"/>
      <c r="AS269" s="163"/>
      <c r="AU269" s="112"/>
      <c r="AV269" s="164"/>
      <c r="AW269" s="49"/>
      <c r="AX269" s="155"/>
      <c r="AY269" s="165"/>
      <c r="AZ269" s="49"/>
      <c r="BA269" s="111"/>
      <c r="BC269" s="142"/>
      <c r="BD269" s="142"/>
      <c r="BE269" s="142"/>
      <c r="BF269" s="142"/>
      <c r="BG269" s="142"/>
      <c r="BH269" s="142"/>
      <c r="BI269" s="142"/>
      <c r="BJ269" s="142"/>
      <c r="BK269" s="142"/>
      <c r="BL269" s="142"/>
      <c r="BM269" s="142"/>
      <c r="BN269" s="142"/>
      <c r="BO269" s="142"/>
      <c r="BP269" s="142"/>
      <c r="BQ269" s="142"/>
      <c r="BR269" s="142"/>
      <c r="BS269" s="142"/>
      <c r="BT269" s="142"/>
      <c r="BU269" s="142"/>
    </row>
    <row r="270" customFormat="false" ht="12.75" hidden="false" customHeight="false" outlineLevel="0" collapsed="false">
      <c r="A270" s="144" t="n">
        <f aca="false">EDATE(A269,1)</f>
        <v>46054</v>
      </c>
      <c r="B270" s="145"/>
      <c r="C270" s="146"/>
      <c r="D270" s="146"/>
      <c r="E270" s="147"/>
      <c r="F270" s="148"/>
      <c r="G270" s="149"/>
      <c r="H270" s="147"/>
      <c r="I270" s="148"/>
      <c r="J270" s="150"/>
      <c r="K270" s="147"/>
      <c r="L270" s="148"/>
      <c r="M270" s="151"/>
      <c r="N270" s="147"/>
      <c r="O270" s="148"/>
      <c r="P270" s="151"/>
      <c r="Q270" s="147"/>
      <c r="R270" s="148"/>
      <c r="S270" s="151"/>
      <c r="T270" s="152"/>
      <c r="U270" s="153"/>
      <c r="V270" s="154"/>
      <c r="W270" s="155"/>
      <c r="X270" s="155"/>
      <c r="Y270" s="139"/>
      <c r="Z270" s="152"/>
      <c r="AA270" s="153"/>
      <c r="AB270" s="154"/>
      <c r="AC270" s="155"/>
      <c r="AD270" s="155"/>
      <c r="AE270" s="139"/>
      <c r="AF270" s="152"/>
      <c r="AG270" s="156"/>
      <c r="AH270" s="152"/>
      <c r="AI270" s="140"/>
      <c r="AJ270" s="157"/>
      <c r="AK270" s="140"/>
      <c r="AL270" s="157"/>
      <c r="AM270" s="158"/>
      <c r="AN270" s="159"/>
      <c r="AO270" s="159"/>
      <c r="AP270" s="160"/>
      <c r="AQ270" s="161"/>
      <c r="AR270" s="162"/>
      <c r="AS270" s="163"/>
      <c r="AU270" s="112"/>
      <c r="AV270" s="164"/>
      <c r="AW270" s="49"/>
      <c r="AX270" s="155"/>
      <c r="AY270" s="165"/>
      <c r="AZ270" s="49"/>
      <c r="BA270" s="111"/>
      <c r="BC270" s="142"/>
      <c r="BD270" s="142"/>
      <c r="BE270" s="142"/>
      <c r="BF270" s="142"/>
      <c r="BG270" s="142"/>
      <c r="BH270" s="142"/>
      <c r="BI270" s="142"/>
      <c r="BJ270" s="142"/>
      <c r="BK270" s="142"/>
      <c r="BL270" s="142"/>
      <c r="BM270" s="142"/>
      <c r="BN270" s="142"/>
      <c r="BO270" s="142"/>
      <c r="BP270" s="142"/>
      <c r="BQ270" s="142"/>
      <c r="BR270" s="142"/>
      <c r="BS270" s="142"/>
      <c r="BT270" s="142"/>
      <c r="BU270" s="142"/>
    </row>
    <row r="271" customFormat="false" ht="12.75" hidden="false" customHeight="false" outlineLevel="0" collapsed="false">
      <c r="A271" s="144" t="n">
        <f aca="false">EDATE(A270,1)</f>
        <v>46082</v>
      </c>
      <c r="B271" s="145"/>
      <c r="C271" s="146"/>
      <c r="D271" s="146"/>
      <c r="E271" s="147"/>
      <c r="F271" s="148"/>
      <c r="G271" s="149"/>
      <c r="H271" s="147"/>
      <c r="I271" s="148"/>
      <c r="J271" s="150"/>
      <c r="K271" s="147"/>
      <c r="L271" s="148"/>
      <c r="M271" s="151"/>
      <c r="N271" s="147"/>
      <c r="O271" s="148"/>
      <c r="P271" s="151"/>
      <c r="Q271" s="147"/>
      <c r="R271" s="148"/>
      <c r="S271" s="151"/>
      <c r="T271" s="152"/>
      <c r="U271" s="153"/>
      <c r="V271" s="154"/>
      <c r="W271" s="155"/>
      <c r="X271" s="155"/>
      <c r="Y271" s="139"/>
      <c r="Z271" s="152"/>
      <c r="AA271" s="153"/>
      <c r="AB271" s="154"/>
      <c r="AC271" s="155"/>
      <c r="AD271" s="155"/>
      <c r="AE271" s="139"/>
      <c r="AF271" s="152"/>
      <c r="AG271" s="156"/>
      <c r="AH271" s="152"/>
      <c r="AI271" s="140"/>
      <c r="AJ271" s="157"/>
      <c r="AK271" s="140"/>
      <c r="AL271" s="157"/>
      <c r="AM271" s="158"/>
      <c r="AN271" s="159"/>
      <c r="AO271" s="159"/>
      <c r="AP271" s="160"/>
      <c r="AQ271" s="161"/>
      <c r="AR271" s="162"/>
      <c r="AS271" s="163"/>
      <c r="AU271" s="112"/>
      <c r="AV271" s="164"/>
      <c r="AW271" s="49"/>
      <c r="AX271" s="155"/>
      <c r="AY271" s="165"/>
      <c r="AZ271" s="49"/>
      <c r="BA271" s="111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2"/>
      <c r="BN271" s="142"/>
      <c r="BO271" s="142"/>
      <c r="BP271" s="142"/>
      <c r="BQ271" s="142"/>
      <c r="BR271" s="142"/>
      <c r="BS271" s="142"/>
      <c r="BT271" s="142"/>
      <c r="BU271" s="142"/>
    </row>
    <row r="272" customFormat="false" ht="12.75" hidden="false" customHeight="false" outlineLevel="0" collapsed="false">
      <c r="A272" s="144" t="n">
        <f aca="false">EDATE(A271,1)</f>
        <v>46113</v>
      </c>
      <c r="B272" s="145"/>
      <c r="C272" s="146"/>
      <c r="D272" s="146"/>
      <c r="E272" s="147"/>
      <c r="F272" s="148"/>
      <c r="G272" s="149"/>
      <c r="H272" s="147"/>
      <c r="I272" s="148"/>
      <c r="J272" s="150"/>
      <c r="K272" s="147"/>
      <c r="L272" s="148"/>
      <c r="M272" s="151"/>
      <c r="N272" s="147"/>
      <c r="O272" s="148"/>
      <c r="P272" s="151"/>
      <c r="Q272" s="147"/>
      <c r="R272" s="148"/>
      <c r="S272" s="151"/>
      <c r="T272" s="152"/>
      <c r="U272" s="153"/>
      <c r="V272" s="154"/>
      <c r="W272" s="155"/>
      <c r="X272" s="155"/>
      <c r="Y272" s="139"/>
      <c r="Z272" s="152"/>
      <c r="AA272" s="153"/>
      <c r="AB272" s="154"/>
      <c r="AC272" s="155"/>
      <c r="AD272" s="155"/>
      <c r="AE272" s="139"/>
      <c r="AF272" s="152"/>
      <c r="AG272" s="156"/>
      <c r="AH272" s="152"/>
      <c r="AI272" s="140"/>
      <c r="AJ272" s="157"/>
      <c r="AK272" s="140"/>
      <c r="AL272" s="157"/>
      <c r="AM272" s="158"/>
      <c r="AN272" s="159"/>
      <c r="AO272" s="159"/>
      <c r="AP272" s="160"/>
      <c r="AQ272" s="161"/>
      <c r="AR272" s="162"/>
      <c r="AS272" s="163"/>
      <c r="AU272" s="112"/>
      <c r="AV272" s="164"/>
      <c r="AW272" s="49"/>
      <c r="AX272" s="155"/>
      <c r="AY272" s="165"/>
      <c r="AZ272" s="49"/>
      <c r="BA272" s="111"/>
      <c r="BC272" s="142"/>
      <c r="BD272" s="142"/>
      <c r="BE272" s="142"/>
      <c r="BF272" s="142"/>
      <c r="BG272" s="142"/>
      <c r="BH272" s="142"/>
      <c r="BI272" s="142"/>
      <c r="BJ272" s="142"/>
      <c r="BK272" s="142"/>
      <c r="BL272" s="142"/>
      <c r="BM272" s="142"/>
      <c r="BN272" s="142"/>
      <c r="BO272" s="142"/>
      <c r="BP272" s="142"/>
      <c r="BQ272" s="142"/>
      <c r="BR272" s="142"/>
      <c r="BS272" s="142"/>
      <c r="BT272" s="142"/>
      <c r="BU272" s="142"/>
    </row>
    <row r="273" customFormat="false" ht="12.75" hidden="false" customHeight="false" outlineLevel="0" collapsed="false">
      <c r="A273" s="144" t="n">
        <f aca="false">EDATE(A272,1)</f>
        <v>46143</v>
      </c>
      <c r="B273" s="145"/>
      <c r="C273" s="146"/>
      <c r="D273" s="146"/>
      <c r="E273" s="147"/>
      <c r="F273" s="148"/>
      <c r="G273" s="149"/>
      <c r="H273" s="147"/>
      <c r="I273" s="148"/>
      <c r="J273" s="150"/>
      <c r="K273" s="147"/>
      <c r="L273" s="148"/>
      <c r="M273" s="151"/>
      <c r="N273" s="147"/>
      <c r="O273" s="148"/>
      <c r="P273" s="151"/>
      <c r="Q273" s="147"/>
      <c r="R273" s="148"/>
      <c r="S273" s="151"/>
      <c r="T273" s="152"/>
      <c r="U273" s="153"/>
      <c r="V273" s="154"/>
      <c r="W273" s="155"/>
      <c r="X273" s="155"/>
      <c r="Y273" s="139"/>
      <c r="Z273" s="152"/>
      <c r="AA273" s="153"/>
      <c r="AB273" s="154"/>
      <c r="AC273" s="155"/>
      <c r="AD273" s="155"/>
      <c r="AE273" s="139"/>
      <c r="AF273" s="152"/>
      <c r="AG273" s="156"/>
      <c r="AH273" s="152"/>
      <c r="AI273" s="140"/>
      <c r="AJ273" s="157"/>
      <c r="AK273" s="140"/>
      <c r="AL273" s="157"/>
      <c r="AM273" s="158"/>
      <c r="AN273" s="159"/>
      <c r="AO273" s="159"/>
      <c r="AP273" s="160"/>
      <c r="AQ273" s="161"/>
      <c r="AR273" s="162"/>
      <c r="AS273" s="163"/>
      <c r="AU273" s="112"/>
      <c r="AV273" s="164"/>
      <c r="AW273" s="49"/>
      <c r="AX273" s="155"/>
      <c r="AY273" s="165"/>
      <c r="AZ273" s="49"/>
      <c r="BA273" s="111"/>
      <c r="BC273" s="142"/>
      <c r="BD273" s="142"/>
      <c r="BE273" s="142"/>
      <c r="BF273" s="142"/>
      <c r="BG273" s="142"/>
      <c r="BH273" s="142"/>
      <c r="BI273" s="142"/>
      <c r="BJ273" s="142"/>
      <c r="BK273" s="142"/>
      <c r="BL273" s="142"/>
      <c r="BM273" s="142"/>
      <c r="BN273" s="142"/>
      <c r="BO273" s="142"/>
      <c r="BP273" s="142"/>
      <c r="BQ273" s="142"/>
      <c r="BR273" s="142"/>
      <c r="BS273" s="142"/>
      <c r="BT273" s="142"/>
      <c r="BU273" s="142"/>
    </row>
    <row r="274" customFormat="false" ht="12.75" hidden="false" customHeight="false" outlineLevel="0" collapsed="false">
      <c r="A274" s="144" t="n">
        <f aca="false">EDATE(A273,1)</f>
        <v>46174</v>
      </c>
      <c r="B274" s="145"/>
      <c r="C274" s="146"/>
      <c r="D274" s="146"/>
      <c r="E274" s="147"/>
      <c r="F274" s="148"/>
      <c r="G274" s="149"/>
      <c r="H274" s="147"/>
      <c r="I274" s="148"/>
      <c r="J274" s="150"/>
      <c r="K274" s="147"/>
      <c r="L274" s="148"/>
      <c r="M274" s="151"/>
      <c r="N274" s="147"/>
      <c r="O274" s="148"/>
      <c r="P274" s="151"/>
      <c r="Q274" s="147"/>
      <c r="R274" s="148"/>
      <c r="S274" s="151"/>
      <c r="T274" s="152"/>
      <c r="U274" s="153"/>
      <c r="V274" s="154"/>
      <c r="W274" s="155"/>
      <c r="X274" s="155"/>
      <c r="Y274" s="139"/>
      <c r="Z274" s="152"/>
      <c r="AA274" s="153"/>
      <c r="AB274" s="154"/>
      <c r="AC274" s="155"/>
      <c r="AD274" s="155"/>
      <c r="AE274" s="139"/>
      <c r="AF274" s="152"/>
      <c r="AG274" s="156"/>
      <c r="AH274" s="152"/>
      <c r="AI274" s="140"/>
      <c r="AJ274" s="157"/>
      <c r="AK274" s="140"/>
      <c r="AL274" s="157"/>
      <c r="AM274" s="158"/>
      <c r="AN274" s="159"/>
      <c r="AO274" s="159"/>
      <c r="AP274" s="160"/>
      <c r="AQ274" s="161"/>
      <c r="AR274" s="162"/>
      <c r="AS274" s="163"/>
      <c r="AU274" s="112"/>
      <c r="AV274" s="164"/>
      <c r="AW274" s="49"/>
      <c r="AX274" s="155"/>
      <c r="AY274" s="165"/>
      <c r="AZ274" s="49"/>
      <c r="BA274" s="111"/>
      <c r="BC274" s="142"/>
      <c r="BD274" s="142"/>
      <c r="BE274" s="142"/>
      <c r="BF274" s="142"/>
      <c r="BG274" s="142"/>
      <c r="BH274" s="142"/>
      <c r="BI274" s="142"/>
      <c r="BJ274" s="142"/>
      <c r="BK274" s="142"/>
      <c r="BL274" s="142"/>
      <c r="BM274" s="142"/>
      <c r="BN274" s="142"/>
      <c r="BO274" s="142"/>
      <c r="BP274" s="142"/>
      <c r="BQ274" s="142"/>
      <c r="BR274" s="142"/>
      <c r="BS274" s="142"/>
      <c r="BT274" s="142"/>
      <c r="BU274" s="142"/>
    </row>
    <row r="275" customFormat="false" ht="12.75" hidden="false" customHeight="false" outlineLevel="0" collapsed="false">
      <c r="A275" s="144" t="n">
        <f aca="false">EDATE(A274,1)</f>
        <v>46204</v>
      </c>
      <c r="B275" s="145"/>
      <c r="C275" s="146"/>
      <c r="D275" s="146"/>
      <c r="E275" s="147"/>
      <c r="F275" s="148"/>
      <c r="G275" s="149"/>
      <c r="H275" s="147"/>
      <c r="I275" s="148"/>
      <c r="J275" s="150"/>
      <c r="K275" s="147"/>
      <c r="L275" s="148"/>
      <c r="M275" s="151"/>
      <c r="N275" s="147"/>
      <c r="O275" s="148"/>
      <c r="P275" s="151"/>
      <c r="Q275" s="147"/>
      <c r="R275" s="148"/>
      <c r="S275" s="151"/>
      <c r="T275" s="152"/>
      <c r="U275" s="153"/>
      <c r="V275" s="154"/>
      <c r="W275" s="155"/>
      <c r="X275" s="155"/>
      <c r="Y275" s="139"/>
      <c r="Z275" s="152"/>
      <c r="AA275" s="153"/>
      <c r="AB275" s="154"/>
      <c r="AC275" s="155"/>
      <c r="AD275" s="155"/>
      <c r="AE275" s="139"/>
      <c r="AF275" s="152"/>
      <c r="AG275" s="156"/>
      <c r="AH275" s="152"/>
      <c r="AI275" s="140"/>
      <c r="AJ275" s="157"/>
      <c r="AK275" s="140"/>
      <c r="AL275" s="157"/>
      <c r="AM275" s="158"/>
      <c r="AN275" s="159"/>
      <c r="AO275" s="159"/>
      <c r="AP275" s="160"/>
      <c r="AQ275" s="161"/>
      <c r="AR275" s="162"/>
      <c r="AS275" s="163"/>
      <c r="AU275" s="112"/>
      <c r="AV275" s="164"/>
      <c r="AW275" s="49"/>
      <c r="AX275" s="155"/>
      <c r="AY275" s="165"/>
      <c r="AZ275" s="49"/>
      <c r="BA275" s="111"/>
      <c r="BC275" s="142"/>
      <c r="BD275" s="142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142"/>
      <c r="BP275" s="142"/>
      <c r="BQ275" s="142"/>
      <c r="BR275" s="142"/>
      <c r="BS275" s="142"/>
      <c r="BT275" s="142"/>
      <c r="BU275" s="142"/>
    </row>
    <row r="276" customFormat="false" ht="12.75" hidden="false" customHeight="false" outlineLevel="0" collapsed="false">
      <c r="A276" s="144" t="n">
        <f aca="false">EDATE(A275,1)</f>
        <v>46235</v>
      </c>
      <c r="B276" s="145"/>
      <c r="C276" s="146"/>
      <c r="D276" s="146"/>
      <c r="E276" s="147"/>
      <c r="F276" s="148"/>
      <c r="G276" s="149"/>
      <c r="H276" s="147"/>
      <c r="I276" s="148"/>
      <c r="J276" s="150"/>
      <c r="K276" s="147"/>
      <c r="L276" s="148"/>
      <c r="M276" s="151"/>
      <c r="N276" s="147"/>
      <c r="O276" s="148"/>
      <c r="P276" s="151"/>
      <c r="Q276" s="147"/>
      <c r="R276" s="148"/>
      <c r="S276" s="151"/>
      <c r="T276" s="152"/>
      <c r="U276" s="153"/>
      <c r="V276" s="154"/>
      <c r="W276" s="155"/>
      <c r="X276" s="155"/>
      <c r="Y276" s="139"/>
      <c r="Z276" s="152"/>
      <c r="AA276" s="153"/>
      <c r="AB276" s="154"/>
      <c r="AC276" s="155"/>
      <c r="AD276" s="155"/>
      <c r="AE276" s="139"/>
      <c r="AF276" s="152"/>
      <c r="AG276" s="156"/>
      <c r="AH276" s="152"/>
      <c r="AI276" s="140"/>
      <c r="AJ276" s="157"/>
      <c r="AK276" s="140"/>
      <c r="AL276" s="157"/>
      <c r="AM276" s="158"/>
      <c r="AN276" s="159"/>
      <c r="AO276" s="159"/>
      <c r="AP276" s="160"/>
      <c r="AQ276" s="161"/>
      <c r="AR276" s="162"/>
      <c r="AS276" s="163"/>
      <c r="AU276" s="112"/>
      <c r="AV276" s="164"/>
      <c r="AW276" s="49"/>
      <c r="AX276" s="155"/>
      <c r="AY276" s="165"/>
      <c r="AZ276" s="49"/>
      <c r="BA276" s="111"/>
      <c r="BC276" s="142"/>
      <c r="BD276" s="142"/>
      <c r="BE276" s="142"/>
      <c r="BF276" s="142"/>
      <c r="BG276" s="142"/>
      <c r="BH276" s="142"/>
      <c r="BI276" s="142"/>
      <c r="BJ276" s="142"/>
      <c r="BK276" s="142"/>
      <c r="BL276" s="142"/>
      <c r="BM276" s="142"/>
      <c r="BN276" s="142"/>
      <c r="BO276" s="142"/>
      <c r="BP276" s="142"/>
      <c r="BQ276" s="142"/>
      <c r="BR276" s="142"/>
      <c r="BS276" s="142"/>
      <c r="BT276" s="142"/>
      <c r="BU276" s="142"/>
    </row>
    <row r="277" customFormat="false" ht="12.75" hidden="false" customHeight="false" outlineLevel="0" collapsed="false">
      <c r="A277" s="144" t="n">
        <f aca="false">EDATE(A276,1)</f>
        <v>46266</v>
      </c>
      <c r="B277" s="145"/>
      <c r="C277" s="146"/>
      <c r="D277" s="146"/>
      <c r="E277" s="147"/>
      <c r="F277" s="148"/>
      <c r="G277" s="149"/>
      <c r="H277" s="147"/>
      <c r="I277" s="148"/>
      <c r="J277" s="150"/>
      <c r="K277" s="147"/>
      <c r="L277" s="148"/>
      <c r="M277" s="151"/>
      <c r="N277" s="147"/>
      <c r="O277" s="148"/>
      <c r="P277" s="151"/>
      <c r="Q277" s="147"/>
      <c r="R277" s="148"/>
      <c r="S277" s="151"/>
      <c r="T277" s="152"/>
      <c r="U277" s="153"/>
      <c r="V277" s="154"/>
      <c r="W277" s="155"/>
      <c r="X277" s="155"/>
      <c r="Y277" s="139"/>
      <c r="Z277" s="152"/>
      <c r="AA277" s="153"/>
      <c r="AB277" s="154"/>
      <c r="AC277" s="155"/>
      <c r="AD277" s="155"/>
      <c r="AE277" s="139"/>
      <c r="AF277" s="152"/>
      <c r="AG277" s="156"/>
      <c r="AH277" s="152"/>
      <c r="AI277" s="140"/>
      <c r="AJ277" s="157"/>
      <c r="AK277" s="140"/>
      <c r="AL277" s="157"/>
      <c r="AM277" s="158"/>
      <c r="AN277" s="159"/>
      <c r="AO277" s="159"/>
      <c r="AP277" s="160"/>
      <c r="AQ277" s="161"/>
      <c r="AR277" s="162"/>
      <c r="AS277" s="163"/>
      <c r="AU277" s="112"/>
      <c r="AV277" s="164"/>
      <c r="AW277" s="49"/>
      <c r="AX277" s="155"/>
      <c r="AY277" s="165"/>
      <c r="AZ277" s="49"/>
      <c r="BA277" s="111"/>
      <c r="BC277" s="142"/>
      <c r="BD277" s="142"/>
      <c r="BE277" s="142"/>
      <c r="BF277" s="142"/>
      <c r="BG277" s="142"/>
      <c r="BH277" s="142"/>
      <c r="BI277" s="142"/>
      <c r="BJ277" s="142"/>
      <c r="BK277" s="142"/>
      <c r="BL277" s="142"/>
      <c r="BM277" s="142"/>
      <c r="BN277" s="142"/>
      <c r="BO277" s="142"/>
      <c r="BP277" s="142"/>
      <c r="BQ277" s="142"/>
      <c r="BR277" s="142"/>
      <c r="BS277" s="142"/>
      <c r="BT277" s="142"/>
      <c r="BU277" s="142"/>
    </row>
    <row r="278" customFormat="false" ht="12.75" hidden="false" customHeight="false" outlineLevel="0" collapsed="false">
      <c r="A278" s="144" t="n">
        <f aca="false">EDATE(A277,1)</f>
        <v>46296</v>
      </c>
      <c r="B278" s="145"/>
      <c r="C278" s="146"/>
      <c r="D278" s="146"/>
      <c r="E278" s="147"/>
      <c r="F278" s="148"/>
      <c r="G278" s="149"/>
      <c r="H278" s="147"/>
      <c r="I278" s="148"/>
      <c r="J278" s="150"/>
      <c r="K278" s="147"/>
      <c r="L278" s="148"/>
      <c r="M278" s="151"/>
      <c r="N278" s="147"/>
      <c r="O278" s="148"/>
      <c r="P278" s="151"/>
      <c r="Q278" s="147"/>
      <c r="R278" s="148"/>
      <c r="S278" s="151"/>
      <c r="T278" s="152"/>
      <c r="U278" s="153"/>
      <c r="V278" s="154"/>
      <c r="W278" s="155"/>
      <c r="X278" s="155"/>
      <c r="Y278" s="139"/>
      <c r="Z278" s="152"/>
      <c r="AA278" s="153"/>
      <c r="AB278" s="154"/>
      <c r="AC278" s="155"/>
      <c r="AD278" s="155"/>
      <c r="AE278" s="139"/>
      <c r="AF278" s="152"/>
      <c r="AG278" s="156"/>
      <c r="AH278" s="152"/>
      <c r="AI278" s="140"/>
      <c r="AJ278" s="157"/>
      <c r="AK278" s="140"/>
      <c r="AL278" s="157"/>
      <c r="AM278" s="158"/>
      <c r="AN278" s="159"/>
      <c r="AO278" s="159"/>
      <c r="AP278" s="160"/>
      <c r="AQ278" s="161"/>
      <c r="AR278" s="162"/>
      <c r="AS278" s="163"/>
      <c r="AU278" s="112"/>
      <c r="AV278" s="164"/>
      <c r="AW278" s="49"/>
      <c r="AX278" s="155"/>
      <c r="AY278" s="165"/>
      <c r="AZ278" s="49"/>
      <c r="BA278" s="111"/>
      <c r="BC278" s="142"/>
      <c r="BD278" s="142"/>
      <c r="BE278" s="142"/>
      <c r="BF278" s="142"/>
      <c r="BG278" s="142"/>
      <c r="BH278" s="142"/>
      <c r="BI278" s="142"/>
      <c r="BJ278" s="142"/>
      <c r="BK278" s="142"/>
      <c r="BL278" s="142"/>
      <c r="BM278" s="142"/>
      <c r="BN278" s="142"/>
      <c r="BO278" s="142"/>
      <c r="BP278" s="142"/>
      <c r="BQ278" s="142"/>
      <c r="BR278" s="142"/>
      <c r="BS278" s="142"/>
      <c r="BT278" s="142"/>
      <c r="BU278" s="142"/>
    </row>
    <row r="279" customFormat="false" ht="12.75" hidden="false" customHeight="false" outlineLevel="0" collapsed="false">
      <c r="A279" s="144" t="n">
        <f aca="false">EDATE(A278,1)</f>
        <v>46327</v>
      </c>
      <c r="B279" s="145"/>
      <c r="C279" s="146"/>
      <c r="D279" s="146"/>
      <c r="E279" s="147"/>
      <c r="F279" s="148"/>
      <c r="G279" s="149"/>
      <c r="H279" s="147"/>
      <c r="I279" s="148"/>
      <c r="J279" s="150"/>
      <c r="K279" s="147"/>
      <c r="L279" s="148"/>
      <c r="M279" s="151"/>
      <c r="N279" s="147"/>
      <c r="O279" s="148"/>
      <c r="P279" s="151"/>
      <c r="Q279" s="147"/>
      <c r="R279" s="148"/>
      <c r="S279" s="151"/>
      <c r="T279" s="152"/>
      <c r="U279" s="153"/>
      <c r="V279" s="154"/>
      <c r="W279" s="155"/>
      <c r="X279" s="155"/>
      <c r="Y279" s="139"/>
      <c r="Z279" s="152"/>
      <c r="AA279" s="153"/>
      <c r="AB279" s="154"/>
      <c r="AC279" s="155"/>
      <c r="AD279" s="155"/>
      <c r="AE279" s="139"/>
      <c r="AF279" s="152"/>
      <c r="AG279" s="156"/>
      <c r="AH279" s="152"/>
      <c r="AI279" s="140"/>
      <c r="AJ279" s="157"/>
      <c r="AK279" s="140"/>
      <c r="AL279" s="157"/>
      <c r="AM279" s="158"/>
      <c r="AN279" s="159"/>
      <c r="AO279" s="159"/>
      <c r="AP279" s="160"/>
      <c r="AQ279" s="161"/>
      <c r="AR279" s="162"/>
      <c r="AS279" s="163"/>
      <c r="AU279" s="112"/>
      <c r="AV279" s="164"/>
      <c r="AW279" s="49"/>
      <c r="AX279" s="155"/>
      <c r="AY279" s="165"/>
      <c r="AZ279" s="49"/>
      <c r="BA279" s="111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2"/>
      <c r="BN279" s="142"/>
      <c r="BO279" s="142"/>
      <c r="BP279" s="142"/>
      <c r="BQ279" s="142"/>
      <c r="BR279" s="142"/>
      <c r="BS279" s="142"/>
      <c r="BT279" s="142"/>
      <c r="BU279" s="142"/>
    </row>
    <row r="280" customFormat="false" ht="13.5" hidden="false" customHeight="false" outlineLevel="0" collapsed="false">
      <c r="A280" s="144" t="n">
        <f aca="false">EDATE(A279,1)</f>
        <v>46357</v>
      </c>
      <c r="B280" s="145"/>
      <c r="C280" s="146"/>
      <c r="D280" s="146"/>
      <c r="E280" s="147"/>
      <c r="F280" s="148"/>
      <c r="G280" s="149"/>
      <c r="H280" s="147"/>
      <c r="I280" s="148"/>
      <c r="J280" s="150"/>
      <c r="K280" s="147"/>
      <c r="L280" s="148"/>
      <c r="M280" s="151"/>
      <c r="N280" s="147"/>
      <c r="O280" s="148"/>
      <c r="P280" s="151"/>
      <c r="Q280" s="147"/>
      <c r="R280" s="148"/>
      <c r="S280" s="151"/>
      <c r="T280" s="152"/>
      <c r="U280" s="153"/>
      <c r="V280" s="166"/>
      <c r="W280" s="155"/>
      <c r="X280" s="155"/>
      <c r="Y280" s="167"/>
      <c r="Z280" s="152"/>
      <c r="AA280" s="168"/>
      <c r="AB280" s="166"/>
      <c r="AC280" s="155"/>
      <c r="AD280" s="155"/>
      <c r="AE280" s="167"/>
      <c r="AF280" s="152"/>
      <c r="AG280" s="156"/>
      <c r="AH280" s="152"/>
      <c r="AI280" s="140"/>
      <c r="AJ280" s="157"/>
      <c r="AK280" s="140"/>
      <c r="AL280" s="157"/>
      <c r="AM280" s="158"/>
      <c r="AN280" s="159"/>
      <c r="AO280" s="159"/>
      <c r="AP280" s="160"/>
      <c r="AQ280" s="161"/>
      <c r="AR280" s="162"/>
      <c r="AS280" s="169"/>
      <c r="AU280" s="170"/>
      <c r="AV280" s="60"/>
      <c r="AW280" s="171"/>
      <c r="AX280" s="155"/>
      <c r="AY280" s="172"/>
      <c r="AZ280" s="171"/>
      <c r="BA280" s="173"/>
      <c r="BC280" s="142"/>
      <c r="BD280" s="142"/>
      <c r="BE280" s="142"/>
      <c r="BF280" s="142"/>
      <c r="BG280" s="142"/>
      <c r="BH280" s="142"/>
      <c r="BI280" s="142"/>
      <c r="BJ280" s="142"/>
      <c r="BK280" s="142"/>
      <c r="BL280" s="142"/>
      <c r="BM280" s="142"/>
      <c r="BN280" s="142"/>
      <c r="BO280" s="142"/>
      <c r="BP280" s="142"/>
      <c r="BQ280" s="142"/>
      <c r="BR280" s="142"/>
      <c r="BS280" s="142"/>
      <c r="BT280" s="142"/>
      <c r="BU280" s="142"/>
    </row>
    <row r="281" customFormat="false" ht="12.75" hidden="false" customHeight="false" outlineLevel="0" collapsed="false">
      <c r="A281" s="144" t="n">
        <f aca="false">EDATE(A280,1)</f>
        <v>46388</v>
      </c>
      <c r="B281" s="145"/>
      <c r="C281" s="146"/>
      <c r="D281" s="146"/>
      <c r="E281" s="147"/>
      <c r="F281" s="148"/>
      <c r="G281" s="149"/>
      <c r="H281" s="147"/>
      <c r="I281" s="148"/>
      <c r="J281" s="150"/>
      <c r="K281" s="147"/>
      <c r="L281" s="148"/>
      <c r="M281" s="151"/>
      <c r="N281" s="147"/>
      <c r="O281" s="148"/>
      <c r="P281" s="151"/>
      <c r="Q281" s="147"/>
      <c r="R281" s="148"/>
      <c r="S281" s="151"/>
      <c r="T281" s="152"/>
      <c r="U281" s="151"/>
      <c r="V281" s="152"/>
      <c r="W281" s="147"/>
      <c r="X281" s="147"/>
      <c r="Y281" s="147"/>
      <c r="Z281" s="152"/>
      <c r="AA281" s="151"/>
      <c r="AB281" s="152"/>
      <c r="AC281" s="147"/>
      <c r="AD281" s="147"/>
      <c r="AE281" s="147"/>
      <c r="AF281" s="152"/>
      <c r="AG281" s="156"/>
      <c r="AH281" s="152"/>
      <c r="AI281" s="140"/>
      <c r="AJ281" s="157"/>
      <c r="AK281" s="140"/>
      <c r="AL281" s="157"/>
      <c r="AM281" s="158"/>
      <c r="AN281" s="159"/>
      <c r="AO281" s="159"/>
      <c r="AP281" s="160"/>
      <c r="AQ281" s="174"/>
      <c r="AR281" s="162"/>
      <c r="AS281" s="162"/>
      <c r="AV281" s="175"/>
      <c r="AW281" s="43"/>
      <c r="AX281" s="155" t="n">
        <f aca="false">VLOOKUP($A281,[1]!CurveTable,MATCH(AX$4,[1]!CurveType,0))</f>
        <v>0.0619480837702642</v>
      </c>
      <c r="AY281" s="176"/>
      <c r="AZ281" s="43"/>
      <c r="BA281" s="43"/>
      <c r="BC281" s="142"/>
      <c r="BD281" s="142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142"/>
      <c r="BP281" s="142"/>
      <c r="BQ281" s="142"/>
      <c r="BR281" s="142"/>
      <c r="BS281" s="142"/>
      <c r="BT281" s="142"/>
      <c r="BU281" s="142"/>
    </row>
    <row r="282" customFormat="false" ht="12.75" hidden="false" customHeight="false" outlineLevel="0" collapsed="false">
      <c r="E282" s="147"/>
      <c r="W282" s="147"/>
      <c r="Y282" s="147"/>
      <c r="AC282" s="147"/>
      <c r="AE282" s="147"/>
      <c r="AI282" s="140"/>
      <c r="AK282" s="140"/>
      <c r="AM282" s="177"/>
      <c r="AN282" s="177"/>
      <c r="AO282" s="177"/>
      <c r="AP282" s="177"/>
      <c r="AQ282" s="177"/>
    </row>
    <row r="283" customFormat="false" ht="12.75" hidden="false" customHeight="false" outlineLevel="0" collapsed="false">
      <c r="E283" s="147"/>
      <c r="W283" s="147"/>
      <c r="Y283" s="147"/>
      <c r="AC283" s="147"/>
      <c r="AE283" s="147"/>
      <c r="AI283" s="140"/>
      <c r="AK283" s="140"/>
      <c r="AM283" s="177"/>
      <c r="AN283" s="177"/>
      <c r="AO283" s="177"/>
      <c r="AP283" s="177"/>
      <c r="AQ283" s="177"/>
    </row>
    <row r="284" customFormat="false" ht="12.75" hidden="false" customHeight="false" outlineLevel="0" collapsed="false">
      <c r="E284" s="147"/>
      <c r="W284" s="147"/>
      <c r="Y284" s="147"/>
      <c r="AC284" s="147"/>
      <c r="AE284" s="147"/>
      <c r="AI284" s="140"/>
      <c r="AK284" s="140"/>
      <c r="AM284" s="177"/>
      <c r="AN284" s="177"/>
      <c r="AO284" s="177"/>
      <c r="AP284" s="177"/>
      <c r="AQ284" s="177"/>
    </row>
    <row r="285" customFormat="false" ht="12.75" hidden="false" customHeight="false" outlineLevel="0" collapsed="false">
      <c r="E285" s="147"/>
      <c r="W285" s="147"/>
      <c r="Y285" s="147"/>
      <c r="AC285" s="147"/>
      <c r="AE285" s="147"/>
      <c r="AI285" s="140"/>
      <c r="AK285" s="140"/>
      <c r="AM285" s="177"/>
      <c r="AN285" s="177"/>
      <c r="AO285" s="177"/>
      <c r="AP285" s="177"/>
      <c r="AQ285" s="177"/>
    </row>
    <row r="286" customFormat="false" ht="12.75" hidden="false" customHeight="false" outlineLevel="0" collapsed="false">
      <c r="E286" s="147"/>
      <c r="W286" s="147"/>
      <c r="Y286" s="147"/>
      <c r="AC286" s="147"/>
      <c r="AE286" s="147"/>
      <c r="AI286" s="140"/>
      <c r="AK286" s="140"/>
      <c r="AM286" s="177"/>
      <c r="AN286" s="177"/>
      <c r="AO286" s="177"/>
      <c r="AP286" s="177"/>
      <c r="AQ286" s="177"/>
    </row>
    <row r="287" customFormat="false" ht="12.75" hidden="false" customHeight="false" outlineLevel="0" collapsed="false">
      <c r="E287" s="147"/>
      <c r="W287" s="147"/>
      <c r="Y287" s="147"/>
      <c r="AC287" s="147"/>
      <c r="AE287" s="147"/>
      <c r="AI287" s="140"/>
      <c r="AK287" s="140"/>
      <c r="AM287" s="177"/>
      <c r="AN287" s="177"/>
      <c r="AO287" s="177"/>
      <c r="AP287" s="177"/>
      <c r="AQ287" s="177"/>
    </row>
    <row r="288" customFormat="false" ht="12.75" hidden="false" customHeight="false" outlineLevel="0" collapsed="false">
      <c r="E288" s="147"/>
      <c r="W288" s="147"/>
      <c r="Y288" s="147"/>
      <c r="AC288" s="147"/>
      <c r="AE288" s="147"/>
      <c r="AI288" s="140"/>
      <c r="AK288" s="140"/>
      <c r="AM288" s="177"/>
      <c r="AN288" s="177"/>
      <c r="AO288" s="177"/>
      <c r="AP288" s="177"/>
      <c r="AQ288" s="177"/>
    </row>
    <row r="289" customFormat="false" ht="12.75" hidden="false" customHeight="false" outlineLevel="0" collapsed="false">
      <c r="E289" s="147"/>
      <c r="W289" s="147"/>
      <c r="Y289" s="147"/>
      <c r="AC289" s="147"/>
      <c r="AE289" s="147"/>
      <c r="AI289" s="140"/>
      <c r="AK289" s="140"/>
      <c r="AM289" s="177"/>
      <c r="AN289" s="177"/>
      <c r="AO289" s="177"/>
      <c r="AP289" s="177"/>
      <c r="AQ289" s="177"/>
    </row>
    <row r="290" customFormat="false" ht="12.75" hidden="false" customHeight="false" outlineLevel="0" collapsed="false">
      <c r="E290" s="147"/>
      <c r="W290" s="147"/>
      <c r="Y290" s="147"/>
      <c r="AC290" s="147"/>
      <c r="AE290" s="147"/>
      <c r="AI290" s="140"/>
      <c r="AK290" s="140"/>
      <c r="AM290" s="177"/>
      <c r="AN290" s="177"/>
      <c r="AO290" s="177"/>
      <c r="AP290" s="177"/>
      <c r="AQ290" s="177"/>
    </row>
    <row r="291" customFormat="false" ht="12.75" hidden="false" customHeight="false" outlineLevel="0" collapsed="false">
      <c r="E291" s="147"/>
      <c r="W291" s="147"/>
      <c r="Y291" s="147"/>
      <c r="AC291" s="147"/>
      <c r="AE291" s="147"/>
      <c r="AI291" s="140"/>
      <c r="AK291" s="140"/>
      <c r="AM291" s="177"/>
      <c r="AN291" s="177"/>
      <c r="AO291" s="177"/>
      <c r="AP291" s="177"/>
      <c r="AQ291" s="177"/>
    </row>
    <row r="292" customFormat="false" ht="12.75" hidden="false" customHeight="false" outlineLevel="0" collapsed="false">
      <c r="E292" s="147"/>
      <c r="W292" s="147"/>
      <c r="Y292" s="147"/>
      <c r="AC292" s="147"/>
      <c r="AE292" s="147"/>
      <c r="AI292" s="140"/>
      <c r="AK292" s="140"/>
      <c r="AM292" s="177"/>
      <c r="AN292" s="177"/>
      <c r="AO292" s="177"/>
      <c r="AP292" s="177"/>
      <c r="AQ292" s="177"/>
    </row>
    <row r="293" customFormat="false" ht="12.75" hidden="false" customHeight="false" outlineLevel="0" collapsed="false">
      <c r="E293" s="147"/>
      <c r="W293" s="147"/>
      <c r="Y293" s="147"/>
      <c r="AC293" s="147"/>
      <c r="AE293" s="147"/>
      <c r="AI293" s="140"/>
      <c r="AK293" s="140"/>
      <c r="AM293" s="177"/>
      <c r="AN293" s="177"/>
      <c r="AO293" s="177"/>
      <c r="AP293" s="177"/>
      <c r="AQ293" s="177"/>
    </row>
    <row r="294" customFormat="false" ht="12.75" hidden="false" customHeight="false" outlineLevel="0" collapsed="false">
      <c r="E294" s="147"/>
      <c r="W294" s="147"/>
      <c r="Y294" s="147"/>
      <c r="AC294" s="147"/>
      <c r="AE294" s="147"/>
      <c r="AI294" s="140"/>
      <c r="AK294" s="140"/>
      <c r="AM294" s="177"/>
      <c r="AN294" s="177"/>
      <c r="AO294" s="177"/>
      <c r="AP294" s="177"/>
      <c r="AQ294" s="177"/>
    </row>
    <row r="295" customFormat="false" ht="12.75" hidden="false" customHeight="false" outlineLevel="0" collapsed="false">
      <c r="E295" s="147"/>
      <c r="W295" s="147"/>
      <c r="Y295" s="147"/>
      <c r="AC295" s="147"/>
      <c r="AE295" s="147"/>
      <c r="AI295" s="140"/>
      <c r="AK295" s="140"/>
      <c r="AM295" s="177"/>
      <c r="AN295" s="177"/>
      <c r="AO295" s="177"/>
      <c r="AP295" s="177"/>
      <c r="AQ295" s="177"/>
    </row>
    <row r="296" customFormat="false" ht="12.75" hidden="false" customHeight="false" outlineLevel="0" collapsed="false">
      <c r="E296" s="147"/>
      <c r="W296" s="147"/>
      <c r="Y296" s="147"/>
      <c r="AC296" s="147"/>
      <c r="AE296" s="147"/>
      <c r="AI296" s="140"/>
      <c r="AK296" s="140"/>
      <c r="AM296" s="177"/>
      <c r="AN296" s="177"/>
      <c r="AO296" s="177"/>
      <c r="AP296" s="177"/>
      <c r="AQ296" s="177"/>
    </row>
    <row r="297" customFormat="false" ht="12.75" hidden="false" customHeight="false" outlineLevel="0" collapsed="false">
      <c r="E297" s="147"/>
      <c r="W297" s="147"/>
      <c r="Y297" s="147"/>
      <c r="AC297" s="147"/>
      <c r="AE297" s="147"/>
      <c r="AI297" s="140"/>
      <c r="AK297" s="140"/>
      <c r="AM297" s="177"/>
      <c r="AN297" s="177"/>
      <c r="AO297" s="177"/>
      <c r="AP297" s="177"/>
      <c r="AQ297" s="177"/>
    </row>
    <row r="298" customFormat="false" ht="12.75" hidden="false" customHeight="false" outlineLevel="0" collapsed="false">
      <c r="E298" s="147"/>
      <c r="W298" s="147"/>
      <c r="Y298" s="147"/>
      <c r="AC298" s="147"/>
      <c r="AE298" s="147"/>
      <c r="AI298" s="140"/>
      <c r="AK298" s="140"/>
      <c r="AM298" s="177"/>
      <c r="AN298" s="177"/>
      <c r="AO298" s="177"/>
      <c r="AP298" s="177"/>
      <c r="AQ298" s="177"/>
    </row>
    <row r="299" customFormat="false" ht="12.75" hidden="false" customHeight="false" outlineLevel="0" collapsed="false">
      <c r="E299" s="147"/>
      <c r="W299" s="147"/>
      <c r="Y299" s="147"/>
      <c r="AC299" s="147"/>
      <c r="AE299" s="147"/>
      <c r="AI299" s="140"/>
      <c r="AK299" s="140"/>
      <c r="AM299" s="177"/>
      <c r="AN299" s="177"/>
      <c r="AO299" s="177"/>
      <c r="AP299" s="177"/>
      <c r="AQ299" s="177"/>
    </row>
    <row r="300" customFormat="false" ht="12.75" hidden="false" customHeight="false" outlineLevel="0" collapsed="false">
      <c r="E300" s="147"/>
      <c r="W300" s="147"/>
      <c r="Y300" s="147"/>
      <c r="AC300" s="147"/>
      <c r="AE300" s="147"/>
      <c r="AI300" s="140"/>
      <c r="AK300" s="140"/>
      <c r="AM300" s="177"/>
      <c r="AN300" s="177"/>
      <c r="AO300" s="177"/>
      <c r="AP300" s="177"/>
      <c r="AQ300" s="177"/>
    </row>
    <row r="301" customFormat="false" ht="12.75" hidden="false" customHeight="false" outlineLevel="0" collapsed="false">
      <c r="E301" s="147"/>
      <c r="W301" s="147"/>
      <c r="Y301" s="147"/>
      <c r="AC301" s="147"/>
      <c r="AE301" s="147"/>
      <c r="AI301" s="140"/>
      <c r="AK301" s="140"/>
      <c r="AM301" s="177"/>
      <c r="AN301" s="177"/>
      <c r="AO301" s="177"/>
      <c r="AP301" s="177"/>
      <c r="AQ301" s="177"/>
    </row>
    <row r="302" customFormat="false" ht="12.75" hidden="false" customHeight="false" outlineLevel="0" collapsed="false">
      <c r="E302" s="147"/>
      <c r="W302" s="147"/>
      <c r="Y302" s="147"/>
      <c r="AC302" s="147"/>
      <c r="AE302" s="147"/>
      <c r="AI302" s="140"/>
      <c r="AK302" s="140"/>
      <c r="AM302" s="177"/>
      <c r="AN302" s="177"/>
      <c r="AO302" s="177"/>
      <c r="AP302" s="177"/>
      <c r="AQ302" s="177"/>
    </row>
    <row r="303" customFormat="false" ht="12.75" hidden="false" customHeight="false" outlineLevel="0" collapsed="false">
      <c r="E303" s="147"/>
      <c r="W303" s="147"/>
      <c r="Y303" s="147"/>
      <c r="AC303" s="147"/>
      <c r="AE303" s="147"/>
      <c r="AI303" s="140"/>
      <c r="AK303" s="140"/>
      <c r="AM303" s="177"/>
      <c r="AN303" s="177"/>
      <c r="AO303" s="177"/>
      <c r="AP303" s="177"/>
      <c r="AQ303" s="177"/>
    </row>
    <row r="304" customFormat="false" ht="12.75" hidden="false" customHeight="false" outlineLevel="0" collapsed="false">
      <c r="E304" s="147"/>
      <c r="W304" s="147"/>
      <c r="Y304" s="147"/>
      <c r="AC304" s="147"/>
      <c r="AE304" s="147"/>
      <c r="AI304" s="140"/>
      <c r="AM304" s="177"/>
      <c r="AN304" s="177"/>
      <c r="AO304" s="177"/>
      <c r="AP304" s="177"/>
      <c r="AQ304" s="177"/>
    </row>
    <row r="305" customFormat="false" ht="12.75" hidden="false" customHeight="false" outlineLevel="0" collapsed="false">
      <c r="E305" s="147"/>
      <c r="W305" s="147"/>
      <c r="Y305" s="147"/>
      <c r="AC305" s="147"/>
      <c r="AE305" s="147"/>
      <c r="AI305" s="140"/>
      <c r="AM305" s="177"/>
      <c r="AN305" s="177"/>
      <c r="AO305" s="177"/>
      <c r="AP305" s="177"/>
      <c r="AQ305" s="177"/>
    </row>
    <row r="306" customFormat="false" ht="12.75" hidden="false" customHeight="false" outlineLevel="0" collapsed="false">
      <c r="E306" s="147"/>
      <c r="W306" s="147"/>
      <c r="Y306" s="147"/>
      <c r="AC306" s="147"/>
      <c r="AE306" s="147"/>
      <c r="AI306" s="140"/>
      <c r="AM306" s="177"/>
      <c r="AN306" s="177"/>
      <c r="AO306" s="177"/>
      <c r="AP306" s="177"/>
      <c r="AQ306" s="177"/>
    </row>
    <row r="307" customFormat="false" ht="12.75" hidden="false" customHeight="false" outlineLevel="0" collapsed="false">
      <c r="E307" s="147"/>
      <c r="W307" s="147"/>
      <c r="Y307" s="147"/>
      <c r="AC307" s="147"/>
      <c r="AE307" s="147"/>
      <c r="AM307" s="177"/>
      <c r="AN307" s="177"/>
      <c r="AO307" s="177"/>
      <c r="AP307" s="177"/>
      <c r="AQ307" s="177"/>
    </row>
    <row r="308" customFormat="false" ht="12.75" hidden="false" customHeight="false" outlineLevel="0" collapsed="false">
      <c r="E308" s="147"/>
      <c r="W308" s="147"/>
      <c r="Y308" s="147"/>
      <c r="AC308" s="147"/>
      <c r="AE308" s="147"/>
      <c r="AM308" s="177"/>
      <c r="AN308" s="177"/>
      <c r="AO308" s="177"/>
      <c r="AP308" s="177"/>
      <c r="AQ308" s="177"/>
    </row>
    <row r="309" customFormat="false" ht="12.75" hidden="false" customHeight="false" outlineLevel="0" collapsed="false">
      <c r="E309" s="147"/>
      <c r="W309" s="147"/>
      <c r="Y309" s="147"/>
      <c r="AC309" s="147"/>
      <c r="AE309" s="147"/>
      <c r="AM309" s="177"/>
      <c r="AN309" s="177"/>
      <c r="AO309" s="177"/>
      <c r="AP309" s="177"/>
      <c r="AQ309" s="177"/>
    </row>
    <row r="310" customFormat="false" ht="12.75" hidden="false" customHeight="false" outlineLevel="0" collapsed="false">
      <c r="E310" s="147"/>
      <c r="W310" s="147"/>
      <c r="Y310" s="147"/>
      <c r="AC310" s="147"/>
      <c r="AE310" s="147"/>
      <c r="AM310" s="177"/>
      <c r="AN310" s="177"/>
      <c r="AO310" s="177"/>
      <c r="AP310" s="177"/>
      <c r="AQ310" s="177"/>
    </row>
    <row r="311" customFormat="false" ht="12.75" hidden="false" customHeight="false" outlineLevel="0" collapsed="false">
      <c r="E311" s="147"/>
      <c r="W311" s="147"/>
      <c r="Y311" s="147"/>
      <c r="AC311" s="147"/>
      <c r="AE311" s="147"/>
      <c r="AM311" s="177"/>
      <c r="AN311" s="177"/>
      <c r="AO311" s="177"/>
      <c r="AP311" s="177"/>
      <c r="AQ311" s="177"/>
    </row>
    <row r="312" customFormat="false" ht="12.75" hidden="false" customHeight="false" outlineLevel="0" collapsed="false">
      <c r="E312" s="147"/>
      <c r="W312" s="147"/>
      <c r="Y312" s="147"/>
      <c r="AC312" s="147"/>
      <c r="AE312" s="147"/>
      <c r="AM312" s="177"/>
      <c r="AN312" s="177"/>
      <c r="AO312" s="177"/>
      <c r="AP312" s="177"/>
      <c r="AQ312" s="177"/>
    </row>
    <row r="313" customFormat="false" ht="12.75" hidden="false" customHeight="false" outlineLevel="0" collapsed="false">
      <c r="E313" s="147"/>
      <c r="W313" s="147"/>
      <c r="Y313" s="147"/>
      <c r="AC313" s="147"/>
      <c r="AE313" s="147"/>
      <c r="AM313" s="178"/>
      <c r="AN313" s="178"/>
      <c r="AO313" s="178"/>
      <c r="AP313" s="178"/>
      <c r="AQ313" s="178"/>
    </row>
    <row r="314" customFormat="false" ht="12.75" hidden="false" customHeight="false" outlineLevel="0" collapsed="false">
      <c r="E314" s="147"/>
      <c r="W314" s="147"/>
      <c r="Y314" s="147"/>
      <c r="AC314" s="147"/>
      <c r="AE314" s="147"/>
      <c r="AM314" s="178"/>
      <c r="AN314" s="178"/>
      <c r="AO314" s="178"/>
      <c r="AP314" s="178"/>
      <c r="AQ314" s="178"/>
    </row>
    <row r="315" customFormat="false" ht="12.75" hidden="false" customHeight="false" outlineLevel="0" collapsed="false">
      <c r="E315" s="147"/>
      <c r="W315" s="147"/>
      <c r="Y315" s="147"/>
      <c r="AC315" s="147"/>
      <c r="AE315" s="147"/>
      <c r="AM315" s="178"/>
      <c r="AN315" s="178"/>
      <c r="AO315" s="178"/>
      <c r="AP315" s="178"/>
      <c r="AQ315" s="178"/>
    </row>
    <row r="316" customFormat="false" ht="12.75" hidden="false" customHeight="false" outlineLevel="0" collapsed="false">
      <c r="E316" s="147"/>
      <c r="W316" s="147"/>
      <c r="Y316" s="147"/>
      <c r="AC316" s="147"/>
      <c r="AE316" s="147"/>
      <c r="AM316" s="178"/>
      <c r="AN316" s="178"/>
      <c r="AO316" s="178"/>
      <c r="AP316" s="178"/>
      <c r="AQ316" s="178"/>
    </row>
    <row r="317" customFormat="false" ht="12.75" hidden="false" customHeight="false" outlineLevel="0" collapsed="false">
      <c r="E317" s="147"/>
      <c r="W317" s="147"/>
      <c r="Y317" s="147"/>
      <c r="AC317" s="147"/>
      <c r="AE317" s="147"/>
      <c r="AM317" s="178"/>
      <c r="AN317" s="178"/>
      <c r="AO317" s="178"/>
      <c r="AP317" s="178"/>
      <c r="AQ317" s="178"/>
    </row>
    <row r="318" customFormat="false" ht="12.75" hidden="false" customHeight="false" outlineLevel="0" collapsed="false">
      <c r="E318" s="147"/>
      <c r="W318" s="147"/>
      <c r="Y318" s="147"/>
      <c r="AC318" s="147"/>
      <c r="AE318" s="147"/>
      <c r="AM318" s="178"/>
      <c r="AN318" s="178"/>
      <c r="AO318" s="178"/>
      <c r="AP318" s="178"/>
      <c r="AQ318" s="178"/>
    </row>
    <row r="319" customFormat="false" ht="12.75" hidden="false" customHeight="false" outlineLevel="0" collapsed="false">
      <c r="E319" s="147"/>
      <c r="W319" s="147"/>
      <c r="Y319" s="147"/>
      <c r="AC319" s="147"/>
      <c r="AE319" s="147"/>
      <c r="AM319" s="178"/>
      <c r="AN319" s="178"/>
      <c r="AO319" s="178"/>
      <c r="AP319" s="178"/>
      <c r="AQ319" s="178"/>
    </row>
    <row r="320" customFormat="false" ht="12.75" hidden="false" customHeight="false" outlineLevel="0" collapsed="false">
      <c r="E320" s="147"/>
      <c r="W320" s="147"/>
      <c r="Y320" s="147"/>
      <c r="AC320" s="147"/>
      <c r="AE320" s="147"/>
      <c r="AM320" s="178"/>
      <c r="AN320" s="178"/>
      <c r="AO320" s="178"/>
      <c r="AP320" s="178"/>
      <c r="AQ320" s="178"/>
    </row>
    <row r="321" customFormat="false" ht="12.75" hidden="false" customHeight="false" outlineLevel="0" collapsed="false">
      <c r="E321" s="147"/>
      <c r="W321" s="147"/>
      <c r="Y321" s="147"/>
      <c r="AC321" s="147"/>
      <c r="AE321" s="147"/>
      <c r="AM321" s="178"/>
      <c r="AN321" s="178"/>
      <c r="AO321" s="178"/>
      <c r="AP321" s="178"/>
      <c r="AQ321" s="178"/>
    </row>
    <row r="322" customFormat="false" ht="12.75" hidden="false" customHeight="false" outlineLevel="0" collapsed="false">
      <c r="E322" s="147"/>
      <c r="W322" s="147"/>
      <c r="Y322" s="147"/>
      <c r="AC322" s="147"/>
      <c r="AE322" s="147"/>
      <c r="AM322" s="178"/>
      <c r="AN322" s="178"/>
      <c r="AO322" s="178"/>
      <c r="AP322" s="178"/>
      <c r="AQ322" s="178"/>
    </row>
    <row r="323" customFormat="false" ht="12.75" hidden="false" customHeight="false" outlineLevel="0" collapsed="false">
      <c r="E323" s="147"/>
      <c r="W323" s="147"/>
      <c r="Y323" s="147"/>
      <c r="AC323" s="147"/>
      <c r="AE323" s="147"/>
      <c r="AM323" s="178"/>
      <c r="AN323" s="178"/>
      <c r="AO323" s="178"/>
      <c r="AP323" s="178"/>
      <c r="AQ323" s="178"/>
    </row>
    <row r="324" customFormat="false" ht="12.75" hidden="false" customHeight="false" outlineLevel="0" collapsed="false">
      <c r="E324" s="147"/>
      <c r="W324" s="147"/>
      <c r="Y324" s="147"/>
      <c r="AC324" s="147"/>
      <c r="AE324" s="147"/>
      <c r="AM324" s="178"/>
      <c r="AN324" s="178"/>
      <c r="AO324" s="178"/>
      <c r="AP324" s="178"/>
      <c r="AQ324" s="178"/>
    </row>
    <row r="325" customFormat="false" ht="12.75" hidden="false" customHeight="false" outlineLevel="0" collapsed="false">
      <c r="E325" s="147"/>
      <c r="W325" s="147"/>
      <c r="Y325" s="147"/>
      <c r="AC325" s="147"/>
      <c r="AE325" s="147"/>
      <c r="AM325" s="178"/>
      <c r="AN325" s="178"/>
      <c r="AO325" s="178"/>
      <c r="AP325" s="178"/>
      <c r="AQ325" s="178"/>
    </row>
    <row r="326" customFormat="false" ht="12.75" hidden="false" customHeight="false" outlineLevel="0" collapsed="false">
      <c r="E326" s="147"/>
      <c r="W326" s="147"/>
      <c r="Y326" s="147"/>
      <c r="AC326" s="147"/>
      <c r="AE326" s="147"/>
      <c r="AM326" s="178"/>
      <c r="AN326" s="178"/>
      <c r="AO326" s="178"/>
      <c r="AP326" s="178"/>
      <c r="AQ326" s="178"/>
    </row>
    <row r="327" customFormat="false" ht="12.75" hidden="false" customHeight="false" outlineLevel="0" collapsed="false">
      <c r="E327" s="147"/>
      <c r="W327" s="147"/>
      <c r="Y327" s="147"/>
      <c r="AC327" s="147"/>
      <c r="AE327" s="147"/>
      <c r="AM327" s="178"/>
      <c r="AN327" s="178"/>
      <c r="AO327" s="178"/>
      <c r="AP327" s="178"/>
      <c r="AQ327" s="178"/>
    </row>
    <row r="328" customFormat="false" ht="12.75" hidden="false" customHeight="false" outlineLevel="0" collapsed="false">
      <c r="E328" s="147"/>
      <c r="W328" s="147"/>
      <c r="Y328" s="147"/>
      <c r="AC328" s="147"/>
      <c r="AE328" s="147"/>
      <c r="AM328" s="178"/>
      <c r="AN328" s="178"/>
      <c r="AO328" s="178"/>
      <c r="AP328" s="178"/>
      <c r="AQ328" s="178"/>
    </row>
    <row r="329" customFormat="false" ht="12.75" hidden="false" customHeight="false" outlineLevel="0" collapsed="false">
      <c r="E329" s="147"/>
      <c r="W329" s="147"/>
      <c r="Y329" s="147"/>
      <c r="AC329" s="147"/>
      <c r="AE329" s="147"/>
      <c r="AM329" s="178"/>
      <c r="AN329" s="178"/>
      <c r="AO329" s="178"/>
      <c r="AP329" s="178"/>
      <c r="AQ329" s="178"/>
    </row>
    <row r="330" customFormat="false" ht="12.75" hidden="false" customHeight="false" outlineLevel="0" collapsed="false">
      <c r="E330" s="147"/>
      <c r="W330" s="147"/>
      <c r="Y330" s="147"/>
      <c r="AC330" s="147"/>
      <c r="AE330" s="147"/>
      <c r="AM330" s="178"/>
      <c r="AN330" s="178"/>
      <c r="AO330" s="178"/>
      <c r="AP330" s="178"/>
      <c r="AQ330" s="178"/>
    </row>
    <row r="331" customFormat="false" ht="12.75" hidden="false" customHeight="false" outlineLevel="0" collapsed="false">
      <c r="E331" s="147"/>
      <c r="W331" s="147"/>
      <c r="Y331" s="147"/>
      <c r="AC331" s="147"/>
      <c r="AE331" s="147"/>
      <c r="AM331" s="178"/>
      <c r="AN331" s="178"/>
      <c r="AO331" s="178"/>
      <c r="AP331" s="178"/>
      <c r="AQ331" s="178"/>
    </row>
    <row r="332" customFormat="false" ht="12.75" hidden="false" customHeight="false" outlineLevel="0" collapsed="false">
      <c r="E332" s="147"/>
      <c r="W332" s="147"/>
      <c r="Y332" s="147"/>
      <c r="AC332" s="147"/>
      <c r="AE332" s="147"/>
      <c r="AM332" s="178"/>
      <c r="AN332" s="178"/>
      <c r="AO332" s="178"/>
      <c r="AP332" s="178"/>
      <c r="AQ332" s="178"/>
    </row>
    <row r="333" customFormat="false" ht="12.75" hidden="false" customHeight="false" outlineLevel="0" collapsed="false">
      <c r="E333" s="147"/>
      <c r="W333" s="147"/>
      <c r="Y333" s="147"/>
      <c r="AC333" s="147"/>
      <c r="AE333" s="147"/>
      <c r="AM333" s="178"/>
      <c r="AN333" s="178"/>
      <c r="AO333" s="178"/>
      <c r="AP333" s="178"/>
      <c r="AQ333" s="178"/>
    </row>
    <row r="334" customFormat="false" ht="12.75" hidden="false" customHeight="false" outlineLevel="0" collapsed="false">
      <c r="E334" s="147"/>
      <c r="W334" s="147"/>
      <c r="Y334" s="147"/>
      <c r="AC334" s="147"/>
      <c r="AE334" s="147"/>
      <c r="AM334" s="178"/>
      <c r="AN334" s="178"/>
      <c r="AO334" s="178"/>
      <c r="AP334" s="178"/>
      <c r="AQ334" s="178"/>
    </row>
    <row r="335" customFormat="false" ht="12.75" hidden="false" customHeight="false" outlineLevel="0" collapsed="false">
      <c r="E335" s="147"/>
      <c r="W335" s="147"/>
      <c r="Y335" s="147"/>
      <c r="AC335" s="147"/>
      <c r="AE335" s="147"/>
      <c r="AM335" s="178"/>
      <c r="AN335" s="178"/>
      <c r="AO335" s="178"/>
      <c r="AP335" s="178"/>
      <c r="AQ335" s="178"/>
    </row>
    <row r="336" customFormat="false" ht="12.75" hidden="false" customHeight="false" outlineLevel="0" collapsed="false">
      <c r="E336" s="147"/>
      <c r="W336" s="147"/>
      <c r="Y336" s="147"/>
      <c r="AC336" s="147"/>
      <c r="AE336" s="147"/>
      <c r="AM336" s="178"/>
      <c r="AN336" s="178"/>
      <c r="AO336" s="178"/>
      <c r="AP336" s="178"/>
      <c r="AQ336" s="178"/>
    </row>
    <row r="337" customFormat="false" ht="12.75" hidden="false" customHeight="false" outlineLevel="0" collapsed="false">
      <c r="E337" s="147"/>
      <c r="W337" s="147"/>
      <c r="Y337" s="147"/>
      <c r="AC337" s="147"/>
      <c r="AE337" s="147"/>
      <c r="AM337" s="178"/>
      <c r="AN337" s="178"/>
      <c r="AO337" s="178"/>
      <c r="AP337" s="178"/>
      <c r="AQ337" s="178"/>
    </row>
    <row r="338" customFormat="false" ht="12.75" hidden="false" customHeight="false" outlineLevel="0" collapsed="false">
      <c r="E338" s="147"/>
      <c r="W338" s="147"/>
      <c r="Y338" s="147"/>
      <c r="AC338" s="147"/>
      <c r="AE338" s="147"/>
      <c r="AM338" s="178"/>
      <c r="AN338" s="178"/>
      <c r="AO338" s="178"/>
      <c r="AP338" s="178"/>
      <c r="AQ338" s="178"/>
    </row>
    <row r="339" customFormat="false" ht="12.75" hidden="false" customHeight="false" outlineLevel="0" collapsed="false">
      <c r="E339" s="147"/>
      <c r="W339" s="147"/>
      <c r="Y339" s="147"/>
      <c r="AC339" s="147"/>
      <c r="AE339" s="147"/>
      <c r="AM339" s="178"/>
      <c r="AN339" s="178"/>
      <c r="AO339" s="178"/>
      <c r="AP339" s="178"/>
      <c r="AQ339" s="178"/>
    </row>
    <row r="340" customFormat="false" ht="12.75" hidden="false" customHeight="false" outlineLevel="0" collapsed="false">
      <c r="E340" s="147"/>
      <c r="W340" s="147"/>
      <c r="Y340" s="147"/>
      <c r="AC340" s="147"/>
      <c r="AE340" s="147"/>
      <c r="AM340" s="178"/>
      <c r="AN340" s="178"/>
      <c r="AO340" s="178"/>
      <c r="AP340" s="178"/>
      <c r="AQ340" s="178"/>
    </row>
    <row r="341" customFormat="false" ht="12.75" hidden="false" customHeight="false" outlineLevel="0" collapsed="false">
      <c r="E341" s="147"/>
      <c r="W341" s="147"/>
      <c r="Y341" s="147"/>
      <c r="AC341" s="147"/>
      <c r="AE341" s="147"/>
      <c r="AM341" s="178"/>
      <c r="AN341" s="178"/>
      <c r="AO341" s="178"/>
      <c r="AP341" s="178"/>
      <c r="AQ341" s="178"/>
    </row>
    <row r="342" customFormat="false" ht="12.75" hidden="false" customHeight="false" outlineLevel="0" collapsed="false">
      <c r="E342" s="147"/>
      <c r="W342" s="147"/>
      <c r="Y342" s="147"/>
      <c r="AC342" s="147"/>
      <c r="AE342" s="147"/>
      <c r="AM342" s="178"/>
      <c r="AN342" s="178"/>
      <c r="AO342" s="178"/>
      <c r="AP342" s="178"/>
      <c r="AQ342" s="178"/>
    </row>
    <row r="343" customFormat="false" ht="12.75" hidden="false" customHeight="false" outlineLevel="0" collapsed="false">
      <c r="E343" s="147"/>
      <c r="W343" s="147"/>
      <c r="Y343" s="147"/>
      <c r="AC343" s="147"/>
      <c r="AE343" s="147"/>
      <c r="AM343" s="178"/>
      <c r="AN343" s="178"/>
      <c r="AO343" s="178"/>
      <c r="AP343" s="178"/>
      <c r="AQ343" s="178"/>
    </row>
    <row r="344" customFormat="false" ht="12.75" hidden="false" customHeight="false" outlineLevel="0" collapsed="false">
      <c r="E344" s="147"/>
      <c r="W344" s="147"/>
      <c r="Y344" s="147"/>
      <c r="AC344" s="147"/>
      <c r="AE344" s="147"/>
      <c r="AM344" s="178"/>
      <c r="AN344" s="178"/>
      <c r="AO344" s="178"/>
      <c r="AP344" s="178"/>
      <c r="AQ344" s="178"/>
    </row>
    <row r="345" customFormat="false" ht="12.75" hidden="false" customHeight="false" outlineLevel="0" collapsed="false">
      <c r="E345" s="147"/>
      <c r="W345" s="147"/>
      <c r="Y345" s="147"/>
      <c r="AC345" s="147"/>
      <c r="AE345" s="147"/>
      <c r="AM345" s="178"/>
      <c r="AN345" s="178"/>
      <c r="AO345" s="178"/>
      <c r="AP345" s="178"/>
      <c r="AQ345" s="178"/>
    </row>
    <row r="346" customFormat="false" ht="12.75" hidden="false" customHeight="false" outlineLevel="0" collapsed="false">
      <c r="E346" s="147"/>
      <c r="W346" s="147"/>
      <c r="Y346" s="147"/>
      <c r="AC346" s="147"/>
      <c r="AE346" s="147"/>
      <c r="AM346" s="178"/>
      <c r="AN346" s="178"/>
      <c r="AO346" s="178"/>
      <c r="AP346" s="178"/>
      <c r="AQ346" s="178"/>
    </row>
    <row r="347" customFormat="false" ht="12.75" hidden="false" customHeight="false" outlineLevel="0" collapsed="false">
      <c r="E347" s="147"/>
      <c r="W347" s="147"/>
      <c r="Y347" s="147"/>
      <c r="AC347" s="147"/>
      <c r="AE347" s="147"/>
      <c r="AM347" s="178"/>
      <c r="AN347" s="178"/>
      <c r="AO347" s="178"/>
      <c r="AP347" s="178"/>
      <c r="AQ347" s="178"/>
    </row>
    <row r="348" customFormat="false" ht="12.75" hidden="false" customHeight="false" outlineLevel="0" collapsed="false">
      <c r="E348" s="147"/>
      <c r="W348" s="147"/>
      <c r="Y348" s="147"/>
      <c r="AC348" s="147"/>
      <c r="AE348" s="147"/>
      <c r="AM348" s="178"/>
      <c r="AN348" s="178"/>
      <c r="AO348" s="178"/>
      <c r="AP348" s="178"/>
      <c r="AQ348" s="178"/>
    </row>
    <row r="349" customFormat="false" ht="12.75" hidden="false" customHeight="false" outlineLevel="0" collapsed="false">
      <c r="E349" s="147"/>
      <c r="W349" s="147"/>
      <c r="Y349" s="147"/>
      <c r="AC349" s="147"/>
      <c r="AE349" s="147"/>
      <c r="AM349" s="178"/>
      <c r="AN349" s="178"/>
      <c r="AO349" s="178"/>
      <c r="AP349" s="178"/>
      <c r="AQ349" s="178"/>
    </row>
    <row r="350" customFormat="false" ht="12.75" hidden="false" customHeight="false" outlineLevel="0" collapsed="false">
      <c r="E350" s="147"/>
      <c r="W350" s="147"/>
      <c r="Y350" s="147"/>
      <c r="AC350" s="147"/>
      <c r="AE350" s="147"/>
      <c r="AM350" s="178"/>
      <c r="AN350" s="178"/>
      <c r="AO350" s="178"/>
      <c r="AP350" s="178"/>
      <c r="AQ350" s="178"/>
    </row>
    <row r="351" customFormat="false" ht="12.75" hidden="false" customHeight="false" outlineLevel="0" collapsed="false">
      <c r="E351" s="147"/>
      <c r="W351" s="147"/>
      <c r="Y351" s="147"/>
      <c r="AC351" s="147"/>
      <c r="AE351" s="147"/>
      <c r="AM351" s="178"/>
      <c r="AN351" s="178"/>
      <c r="AO351" s="178"/>
      <c r="AP351" s="178"/>
      <c r="AQ351" s="178"/>
    </row>
    <row r="352" customFormat="false" ht="12.75" hidden="false" customHeight="false" outlineLevel="0" collapsed="false">
      <c r="E352" s="147"/>
      <c r="W352" s="147"/>
      <c r="Y352" s="147"/>
      <c r="AC352" s="147"/>
      <c r="AE352" s="147"/>
      <c r="AM352" s="178"/>
      <c r="AN352" s="178"/>
      <c r="AO352" s="178"/>
      <c r="AP352" s="178"/>
      <c r="AQ352" s="178"/>
    </row>
    <row r="353" customFormat="false" ht="12.75" hidden="false" customHeight="false" outlineLevel="0" collapsed="false">
      <c r="E353" s="147"/>
      <c r="W353" s="147"/>
      <c r="Y353" s="147"/>
      <c r="AC353" s="147"/>
      <c r="AE353" s="147"/>
      <c r="AM353" s="178"/>
      <c r="AN353" s="178"/>
      <c r="AO353" s="178"/>
      <c r="AP353" s="178"/>
      <c r="AQ353" s="178"/>
    </row>
    <row r="354" customFormat="false" ht="12.75" hidden="false" customHeight="false" outlineLevel="0" collapsed="false">
      <c r="E354" s="147"/>
      <c r="W354" s="147"/>
      <c r="Y354" s="147"/>
      <c r="AC354" s="147"/>
      <c r="AE354" s="147"/>
      <c r="AM354" s="178"/>
      <c r="AN354" s="178"/>
      <c r="AO354" s="178"/>
      <c r="AP354" s="178"/>
      <c r="AQ354" s="178"/>
    </row>
    <row r="355" customFormat="false" ht="12.75" hidden="false" customHeight="false" outlineLevel="0" collapsed="false">
      <c r="E355" s="147"/>
      <c r="W355" s="147"/>
      <c r="Y355" s="147"/>
      <c r="AC355" s="147"/>
      <c r="AE355" s="147"/>
      <c r="AM355" s="178"/>
      <c r="AN355" s="178"/>
      <c r="AO355" s="178"/>
      <c r="AP355" s="178"/>
      <c r="AQ355" s="178"/>
    </row>
    <row r="356" customFormat="false" ht="12.75" hidden="false" customHeight="false" outlineLevel="0" collapsed="false">
      <c r="E356" s="147"/>
      <c r="W356" s="147"/>
      <c r="Y356" s="147"/>
      <c r="AC356" s="147"/>
      <c r="AE356" s="147"/>
      <c r="AM356" s="178"/>
      <c r="AN356" s="178"/>
      <c r="AO356" s="178"/>
      <c r="AP356" s="178"/>
      <c r="AQ356" s="178"/>
    </row>
    <row r="357" customFormat="false" ht="12.75" hidden="false" customHeight="false" outlineLevel="0" collapsed="false">
      <c r="E357" s="147"/>
      <c r="W357" s="147"/>
      <c r="Y357" s="147"/>
      <c r="AC357" s="147"/>
      <c r="AE357" s="147"/>
      <c r="AM357" s="178"/>
      <c r="AN357" s="178"/>
      <c r="AO357" s="178"/>
      <c r="AP357" s="178"/>
      <c r="AQ357" s="178"/>
    </row>
    <row r="358" customFormat="false" ht="12.75" hidden="false" customHeight="false" outlineLevel="0" collapsed="false">
      <c r="E358" s="147"/>
      <c r="W358" s="147"/>
      <c r="Y358" s="147"/>
      <c r="AC358" s="147"/>
      <c r="AE358" s="147"/>
      <c r="AM358" s="178"/>
      <c r="AN358" s="178"/>
      <c r="AO358" s="178"/>
      <c r="AP358" s="178"/>
      <c r="AQ358" s="178"/>
    </row>
    <row r="359" customFormat="false" ht="12.75" hidden="false" customHeight="false" outlineLevel="0" collapsed="false">
      <c r="E359" s="147"/>
      <c r="W359" s="147"/>
      <c r="Y359" s="147"/>
      <c r="AC359" s="147"/>
      <c r="AE359" s="147"/>
      <c r="AM359" s="178"/>
      <c r="AN359" s="178"/>
      <c r="AO359" s="178"/>
      <c r="AP359" s="178"/>
      <c r="AQ359" s="178"/>
    </row>
    <row r="360" customFormat="false" ht="12.75" hidden="false" customHeight="false" outlineLevel="0" collapsed="false">
      <c r="E360" s="147"/>
      <c r="W360" s="147"/>
      <c r="Y360" s="147"/>
      <c r="AC360" s="147"/>
      <c r="AE360" s="147"/>
      <c r="AM360" s="178"/>
      <c r="AN360" s="178"/>
      <c r="AO360" s="178"/>
      <c r="AP360" s="178"/>
      <c r="AQ360" s="178"/>
    </row>
    <row r="361" customFormat="false" ht="12.75" hidden="false" customHeight="false" outlineLevel="0" collapsed="false">
      <c r="E361" s="147"/>
      <c r="W361" s="147"/>
      <c r="Y361" s="147"/>
      <c r="AC361" s="147"/>
      <c r="AE361" s="147"/>
      <c r="AM361" s="178"/>
      <c r="AN361" s="178"/>
      <c r="AO361" s="178"/>
      <c r="AP361" s="178"/>
      <c r="AQ361" s="178"/>
    </row>
    <row r="362" customFormat="false" ht="12.75" hidden="false" customHeight="false" outlineLevel="0" collapsed="false">
      <c r="E362" s="147"/>
      <c r="W362" s="147"/>
      <c r="Y362" s="147"/>
      <c r="AC362" s="147"/>
      <c r="AE362" s="147"/>
      <c r="AM362" s="178"/>
      <c r="AN362" s="178"/>
      <c r="AO362" s="178"/>
      <c r="AP362" s="178"/>
      <c r="AQ362" s="178"/>
    </row>
    <row r="363" customFormat="false" ht="12.75" hidden="false" customHeight="false" outlineLevel="0" collapsed="false">
      <c r="E363" s="147"/>
      <c r="W363" s="147"/>
      <c r="Y363" s="147"/>
      <c r="AC363" s="147"/>
      <c r="AE363" s="147"/>
      <c r="AM363" s="178"/>
      <c r="AN363" s="178"/>
      <c r="AO363" s="178"/>
      <c r="AP363" s="178"/>
      <c r="AQ363" s="178"/>
    </row>
    <row r="364" customFormat="false" ht="12.75" hidden="false" customHeight="false" outlineLevel="0" collapsed="false">
      <c r="E364" s="147"/>
      <c r="W364" s="147"/>
      <c r="Y364" s="147"/>
      <c r="AC364" s="147"/>
      <c r="AE364" s="147"/>
      <c r="AM364" s="178"/>
      <c r="AN364" s="178"/>
      <c r="AO364" s="178"/>
      <c r="AP364" s="178"/>
      <c r="AQ364" s="178"/>
    </row>
    <row r="365" customFormat="false" ht="12.75" hidden="false" customHeight="false" outlineLevel="0" collapsed="false">
      <c r="E365" s="147"/>
      <c r="W365" s="147"/>
      <c r="Y365" s="147"/>
      <c r="AC365" s="147"/>
      <c r="AE365" s="147"/>
      <c r="AM365" s="178"/>
      <c r="AN365" s="178"/>
      <c r="AO365" s="178"/>
      <c r="AP365" s="178"/>
      <c r="AQ365" s="178"/>
    </row>
    <row r="366" customFormat="false" ht="12.75" hidden="false" customHeight="false" outlineLevel="0" collapsed="false">
      <c r="E366" s="147"/>
      <c r="W366" s="147"/>
      <c r="Y366" s="147"/>
      <c r="AC366" s="147"/>
      <c r="AE366" s="147"/>
      <c r="AM366" s="178"/>
      <c r="AN366" s="178"/>
      <c r="AO366" s="178"/>
      <c r="AP366" s="178"/>
      <c r="AQ366" s="178"/>
    </row>
    <row r="367" customFormat="false" ht="12.75" hidden="false" customHeight="false" outlineLevel="0" collapsed="false">
      <c r="E367" s="147"/>
      <c r="W367" s="147"/>
      <c r="Y367" s="147"/>
      <c r="AC367" s="147"/>
      <c r="AE367" s="147"/>
      <c r="AM367" s="178"/>
      <c r="AN367" s="178"/>
      <c r="AO367" s="178"/>
      <c r="AP367" s="178"/>
      <c r="AQ367" s="178"/>
    </row>
    <row r="368" customFormat="false" ht="12.75" hidden="false" customHeight="false" outlineLevel="0" collapsed="false">
      <c r="E368" s="147"/>
      <c r="W368" s="147"/>
      <c r="Y368" s="147"/>
      <c r="AC368" s="147"/>
      <c r="AE368" s="147"/>
      <c r="AM368" s="178"/>
      <c r="AN368" s="178"/>
      <c r="AO368" s="178"/>
      <c r="AP368" s="178"/>
      <c r="AQ368" s="178"/>
    </row>
    <row r="369" customFormat="false" ht="12.75" hidden="false" customHeight="false" outlineLevel="0" collapsed="false">
      <c r="E369" s="147"/>
      <c r="W369" s="147"/>
      <c r="Y369" s="147"/>
      <c r="AC369" s="147"/>
      <c r="AE369" s="147"/>
      <c r="AM369" s="178"/>
      <c r="AN369" s="178"/>
      <c r="AO369" s="178"/>
      <c r="AP369" s="178"/>
      <c r="AQ369" s="178"/>
    </row>
    <row r="370" customFormat="false" ht="12.75" hidden="false" customHeight="false" outlineLevel="0" collapsed="false">
      <c r="E370" s="147"/>
      <c r="W370" s="147"/>
      <c r="Y370" s="147"/>
      <c r="AC370" s="147"/>
      <c r="AE370" s="147"/>
      <c r="AM370" s="178"/>
      <c r="AN370" s="178"/>
      <c r="AO370" s="178"/>
      <c r="AP370" s="178"/>
      <c r="AQ370" s="178"/>
    </row>
    <row r="371" customFormat="false" ht="12.75" hidden="false" customHeight="false" outlineLevel="0" collapsed="false">
      <c r="E371" s="147"/>
      <c r="W371" s="147"/>
      <c r="Y371" s="147"/>
      <c r="AC371" s="147"/>
      <c r="AE371" s="147"/>
      <c r="AM371" s="178"/>
      <c r="AN371" s="178"/>
      <c r="AO371" s="178"/>
      <c r="AP371" s="178"/>
      <c r="AQ371" s="178"/>
    </row>
    <row r="372" customFormat="false" ht="12.75" hidden="false" customHeight="false" outlineLevel="0" collapsed="false">
      <c r="E372" s="147"/>
      <c r="W372" s="147"/>
      <c r="Y372" s="147"/>
      <c r="AC372" s="147"/>
      <c r="AE372" s="147"/>
      <c r="AM372" s="178"/>
      <c r="AN372" s="178"/>
      <c r="AO372" s="178"/>
      <c r="AP372" s="178"/>
      <c r="AQ372" s="178"/>
    </row>
    <row r="373" customFormat="false" ht="12.75" hidden="false" customHeight="false" outlineLevel="0" collapsed="false">
      <c r="E373" s="147"/>
      <c r="W373" s="147"/>
      <c r="Y373" s="147"/>
      <c r="AC373" s="147"/>
      <c r="AE373" s="147"/>
      <c r="AM373" s="178"/>
      <c r="AN373" s="178"/>
      <c r="AO373" s="178"/>
      <c r="AP373" s="178"/>
      <c r="AQ373" s="178"/>
    </row>
    <row r="374" customFormat="false" ht="12.75" hidden="false" customHeight="false" outlineLevel="0" collapsed="false">
      <c r="E374" s="147"/>
      <c r="W374" s="147"/>
      <c r="Y374" s="147"/>
      <c r="AC374" s="147"/>
      <c r="AE374" s="147"/>
      <c r="AM374" s="178"/>
      <c r="AN374" s="178"/>
      <c r="AO374" s="178"/>
      <c r="AP374" s="178"/>
      <c r="AQ374" s="178"/>
    </row>
    <row r="375" customFormat="false" ht="12.75" hidden="false" customHeight="false" outlineLevel="0" collapsed="false">
      <c r="E375" s="147"/>
      <c r="W375" s="147"/>
      <c r="Y375" s="147"/>
      <c r="AC375" s="147"/>
      <c r="AE375" s="147"/>
      <c r="AM375" s="178"/>
      <c r="AN375" s="178"/>
      <c r="AO375" s="178"/>
      <c r="AP375" s="178"/>
      <c r="AQ375" s="178"/>
    </row>
    <row r="376" customFormat="false" ht="12.75" hidden="false" customHeight="false" outlineLevel="0" collapsed="false">
      <c r="E376" s="147"/>
      <c r="W376" s="147"/>
      <c r="Y376" s="147"/>
      <c r="AC376" s="147"/>
      <c r="AE376" s="147"/>
      <c r="AM376" s="178"/>
      <c r="AN376" s="178"/>
      <c r="AO376" s="178"/>
      <c r="AP376" s="178"/>
      <c r="AQ376" s="178"/>
    </row>
    <row r="377" customFormat="false" ht="12.75" hidden="false" customHeight="false" outlineLevel="0" collapsed="false">
      <c r="E377" s="147"/>
      <c r="W377" s="147"/>
      <c r="Y377" s="147"/>
      <c r="AC377" s="147"/>
      <c r="AE377" s="147"/>
      <c r="AM377" s="178"/>
      <c r="AN377" s="178"/>
      <c r="AO377" s="178"/>
      <c r="AP377" s="178"/>
      <c r="AQ377" s="178"/>
    </row>
    <row r="378" customFormat="false" ht="12.75" hidden="false" customHeight="false" outlineLevel="0" collapsed="false">
      <c r="E378" s="147"/>
      <c r="W378" s="147"/>
      <c r="Y378" s="147"/>
      <c r="AC378" s="147"/>
      <c r="AE378" s="147"/>
      <c r="AM378" s="178"/>
      <c r="AN378" s="178"/>
      <c r="AO378" s="178"/>
      <c r="AP378" s="178"/>
      <c r="AQ378" s="178"/>
    </row>
    <row r="379" customFormat="false" ht="12.75" hidden="false" customHeight="false" outlineLevel="0" collapsed="false">
      <c r="E379" s="147"/>
      <c r="W379" s="147"/>
      <c r="Y379" s="147"/>
      <c r="AC379" s="147"/>
      <c r="AE379" s="147"/>
      <c r="AM379" s="178"/>
      <c r="AN379" s="178"/>
      <c r="AO379" s="178"/>
      <c r="AP379" s="178"/>
      <c r="AQ379" s="178"/>
    </row>
    <row r="380" customFormat="false" ht="12.75" hidden="false" customHeight="false" outlineLevel="0" collapsed="false">
      <c r="E380" s="147"/>
      <c r="W380" s="147"/>
      <c r="Y380" s="147"/>
      <c r="AC380" s="147"/>
      <c r="AE380" s="147"/>
      <c r="AM380" s="178"/>
      <c r="AN380" s="178"/>
      <c r="AO380" s="178"/>
      <c r="AP380" s="178"/>
      <c r="AQ380" s="178"/>
    </row>
    <row r="381" customFormat="false" ht="12.75" hidden="false" customHeight="false" outlineLevel="0" collapsed="false">
      <c r="W381" s="42"/>
      <c r="Y381" s="42"/>
      <c r="AC381" s="42"/>
      <c r="AE381" s="42"/>
      <c r="AM381" s="178"/>
      <c r="AN381" s="178"/>
      <c r="AO381" s="178"/>
      <c r="AP381" s="178"/>
      <c r="AQ381" s="178"/>
    </row>
    <row r="382" customFormat="false" ht="12.75" hidden="false" customHeight="false" outlineLevel="0" collapsed="false">
      <c r="AM382" s="178"/>
      <c r="AN382" s="178"/>
      <c r="AO382" s="178"/>
      <c r="AP382" s="178"/>
      <c r="AQ382" s="178"/>
    </row>
    <row r="383" customFormat="false" ht="12.75" hidden="false" customHeight="false" outlineLevel="0" collapsed="false">
      <c r="AM383" s="178"/>
      <c r="AN383" s="178"/>
      <c r="AO383" s="178"/>
      <c r="AP383" s="178"/>
      <c r="AQ383" s="178"/>
    </row>
    <row r="384" customFormat="false" ht="12.75" hidden="false" customHeight="false" outlineLevel="0" collapsed="false">
      <c r="AM384" s="178"/>
      <c r="AN384" s="178"/>
      <c r="AO384" s="178"/>
      <c r="AP384" s="178"/>
      <c r="AQ384" s="178"/>
    </row>
    <row r="385" customFormat="false" ht="12.75" hidden="false" customHeight="false" outlineLevel="0" collapsed="false">
      <c r="AM385" s="178"/>
      <c r="AN385" s="178"/>
      <c r="AO385" s="178"/>
      <c r="AP385" s="178"/>
      <c r="AQ385" s="178"/>
    </row>
    <row r="386" customFormat="false" ht="12.75" hidden="false" customHeight="false" outlineLevel="0" collapsed="false">
      <c r="AM386" s="178"/>
      <c r="AN386" s="178"/>
      <c r="AO386" s="178"/>
      <c r="AP386" s="178"/>
      <c r="AQ386" s="178"/>
    </row>
    <row r="387" customFormat="false" ht="12.75" hidden="false" customHeight="false" outlineLevel="0" collapsed="false">
      <c r="AM387" s="178"/>
      <c r="AN387" s="178"/>
      <c r="AO387" s="178"/>
      <c r="AP387" s="178"/>
      <c r="AQ387" s="178"/>
    </row>
    <row r="388" customFormat="false" ht="12.75" hidden="false" customHeight="false" outlineLevel="0" collapsed="false">
      <c r="AM388" s="178"/>
      <c r="AN388" s="178"/>
      <c r="AO388" s="178"/>
      <c r="AP388" s="178"/>
      <c r="AQ388" s="178"/>
    </row>
    <row r="389" customFormat="false" ht="12.75" hidden="false" customHeight="false" outlineLevel="0" collapsed="false">
      <c r="AM389" s="178"/>
      <c r="AN389" s="178"/>
      <c r="AO389" s="178"/>
      <c r="AP389" s="178"/>
      <c r="AQ389" s="178"/>
    </row>
    <row r="390" customFormat="false" ht="12.75" hidden="false" customHeight="false" outlineLevel="0" collapsed="false">
      <c r="AM390" s="178"/>
      <c r="AN390" s="178"/>
      <c r="AO390" s="178"/>
      <c r="AP390" s="178"/>
      <c r="AQ390" s="178"/>
    </row>
    <row r="391" customFormat="false" ht="12.75" hidden="false" customHeight="false" outlineLevel="0" collapsed="false">
      <c r="AM391" s="178"/>
      <c r="AN391" s="178"/>
      <c r="AO391" s="178"/>
      <c r="AP391" s="178"/>
      <c r="AQ391" s="178"/>
    </row>
    <row r="392" customFormat="false" ht="12.75" hidden="false" customHeight="false" outlineLevel="0" collapsed="false">
      <c r="AM392" s="178"/>
      <c r="AN392" s="178"/>
      <c r="AO392" s="178"/>
      <c r="AP392" s="178"/>
      <c r="AQ392" s="178"/>
    </row>
    <row r="393" customFormat="false" ht="12.75" hidden="false" customHeight="false" outlineLevel="0" collapsed="false">
      <c r="AM393" s="178"/>
      <c r="AN393" s="178"/>
      <c r="AO393" s="178"/>
      <c r="AP393" s="178"/>
      <c r="AQ393" s="178"/>
    </row>
    <row r="394" customFormat="false" ht="12.75" hidden="false" customHeight="false" outlineLevel="0" collapsed="false">
      <c r="AM394" s="178"/>
      <c r="AN394" s="178"/>
      <c r="AO394" s="178"/>
      <c r="AP394" s="178"/>
      <c r="AQ394" s="178"/>
    </row>
    <row r="395" customFormat="false" ht="12.75" hidden="false" customHeight="false" outlineLevel="0" collapsed="false">
      <c r="AM395" s="178"/>
      <c r="AN395" s="178"/>
      <c r="AO395" s="178"/>
      <c r="AP395" s="178"/>
      <c r="AQ395" s="178"/>
    </row>
    <row r="396" customFormat="false" ht="12.75" hidden="false" customHeight="false" outlineLevel="0" collapsed="false">
      <c r="AM396" s="178"/>
      <c r="AN396" s="178"/>
      <c r="AO396" s="178"/>
      <c r="AP396" s="178"/>
      <c r="AQ396" s="178"/>
    </row>
    <row r="397" customFormat="false" ht="12.75" hidden="false" customHeight="false" outlineLevel="0" collapsed="false">
      <c r="AM397" s="178"/>
      <c r="AN397" s="178"/>
      <c r="AO397" s="178"/>
      <c r="AP397" s="178"/>
      <c r="AQ397" s="178"/>
    </row>
    <row r="398" customFormat="false" ht="12.75" hidden="false" customHeight="false" outlineLevel="0" collapsed="false">
      <c r="AM398" s="178"/>
      <c r="AN398" s="178"/>
      <c r="AO398" s="178"/>
      <c r="AP398" s="178"/>
      <c r="AQ398" s="178"/>
    </row>
    <row r="399" customFormat="false" ht="12.75" hidden="false" customHeight="false" outlineLevel="0" collapsed="false">
      <c r="AM399" s="178"/>
      <c r="AN399" s="178"/>
      <c r="AO399" s="178"/>
      <c r="AP399" s="178"/>
      <c r="AQ399" s="178"/>
    </row>
    <row r="400" customFormat="false" ht="12.75" hidden="false" customHeight="false" outlineLevel="0" collapsed="false">
      <c r="AM400" s="178"/>
      <c r="AN400" s="178"/>
      <c r="AO400" s="178"/>
      <c r="AP400" s="178"/>
      <c r="AQ400" s="178"/>
    </row>
    <row r="401" customFormat="false" ht="12.75" hidden="false" customHeight="false" outlineLevel="0" collapsed="false">
      <c r="AM401" s="178"/>
      <c r="AN401" s="178"/>
      <c r="AO401" s="178"/>
      <c r="AP401" s="178"/>
      <c r="AQ401" s="178"/>
    </row>
    <row r="402" customFormat="false" ht="12.75" hidden="false" customHeight="false" outlineLevel="0" collapsed="false">
      <c r="AM402" s="178"/>
      <c r="AN402" s="178"/>
      <c r="AO402" s="178"/>
      <c r="AP402" s="178"/>
      <c r="AQ402" s="178"/>
    </row>
    <row r="403" customFormat="false" ht="12.75" hidden="false" customHeight="false" outlineLevel="0" collapsed="false">
      <c r="AM403" s="178"/>
      <c r="AN403" s="178"/>
      <c r="AO403" s="178"/>
      <c r="AP403" s="178"/>
      <c r="AQ403" s="178"/>
    </row>
    <row r="404" customFormat="false" ht="12.75" hidden="false" customHeight="false" outlineLevel="0" collapsed="false">
      <c r="AM404" s="178"/>
      <c r="AN404" s="178"/>
      <c r="AO404" s="178"/>
      <c r="AP404" s="178"/>
      <c r="AQ404" s="178"/>
    </row>
    <row r="405" customFormat="false" ht="12.75" hidden="false" customHeight="false" outlineLevel="0" collapsed="false">
      <c r="AM405" s="178"/>
      <c r="AN405" s="178"/>
      <c r="AO405" s="178"/>
      <c r="AP405" s="178"/>
      <c r="AQ405" s="178"/>
    </row>
    <row r="406" customFormat="false" ht="12.75" hidden="false" customHeight="false" outlineLevel="0" collapsed="false">
      <c r="AM406" s="178"/>
      <c r="AN406" s="178"/>
      <c r="AO406" s="178"/>
      <c r="AP406" s="178"/>
      <c r="AQ406" s="178"/>
    </row>
    <row r="407" customFormat="false" ht="12.75" hidden="false" customHeight="false" outlineLevel="0" collapsed="false">
      <c r="AM407" s="178"/>
      <c r="AN407" s="178"/>
      <c r="AO407" s="178"/>
      <c r="AP407" s="178"/>
      <c r="AQ407" s="178"/>
    </row>
    <row r="408" customFormat="false" ht="12.75" hidden="false" customHeight="false" outlineLevel="0" collapsed="false">
      <c r="AM408" s="178"/>
      <c r="AN408" s="178"/>
      <c r="AO408" s="178"/>
      <c r="AP408" s="178"/>
      <c r="AQ408" s="178"/>
    </row>
    <row r="409" customFormat="false" ht="12.75" hidden="false" customHeight="false" outlineLevel="0" collapsed="false">
      <c r="AM409" s="178"/>
      <c r="AN409" s="178"/>
      <c r="AO409" s="178"/>
      <c r="AP409" s="178"/>
      <c r="AQ409" s="178"/>
    </row>
    <row r="410" customFormat="false" ht="12.75" hidden="false" customHeight="false" outlineLevel="0" collapsed="false">
      <c r="AM410" s="178"/>
      <c r="AN410" s="178"/>
      <c r="AO410" s="178"/>
      <c r="AP410" s="178"/>
      <c r="AQ410" s="178"/>
    </row>
    <row r="411" customFormat="false" ht="12.75" hidden="false" customHeight="false" outlineLevel="0" collapsed="false">
      <c r="AM411" s="178"/>
      <c r="AN411" s="178"/>
      <c r="AO411" s="178"/>
      <c r="AP411" s="178"/>
      <c r="AQ411" s="178"/>
    </row>
    <row r="412" customFormat="false" ht="12.75" hidden="false" customHeight="false" outlineLevel="0" collapsed="false">
      <c r="AM412" s="178"/>
      <c r="AN412" s="178"/>
      <c r="AO412" s="178"/>
      <c r="AP412" s="178"/>
      <c r="AQ412" s="178"/>
    </row>
    <row r="413" customFormat="false" ht="12.75" hidden="false" customHeight="false" outlineLevel="0" collapsed="false">
      <c r="AM413" s="178"/>
      <c r="AN413" s="178"/>
      <c r="AO413" s="178"/>
      <c r="AP413" s="178"/>
      <c r="AQ413" s="178"/>
    </row>
    <row r="414" customFormat="false" ht="12.75" hidden="false" customHeight="false" outlineLevel="0" collapsed="false">
      <c r="AM414" s="178"/>
      <c r="AN414" s="178"/>
      <c r="AO414" s="178"/>
      <c r="AP414" s="178"/>
      <c r="AQ414" s="178"/>
    </row>
    <row r="415" customFormat="false" ht="12.75" hidden="false" customHeight="false" outlineLevel="0" collapsed="false">
      <c r="AM415" s="178"/>
      <c r="AN415" s="178"/>
      <c r="AO415" s="178"/>
      <c r="AP415" s="178"/>
      <c r="AQ415" s="178"/>
    </row>
    <row r="416" customFormat="false" ht="12.75" hidden="false" customHeight="false" outlineLevel="0" collapsed="false">
      <c r="AM416" s="178"/>
      <c r="AN416" s="178"/>
      <c r="AO416" s="178"/>
      <c r="AP416" s="178"/>
      <c r="AQ416" s="178"/>
    </row>
    <row r="417" customFormat="false" ht="12.75" hidden="false" customHeight="false" outlineLevel="0" collapsed="false">
      <c r="AM417" s="178"/>
      <c r="AN417" s="178"/>
      <c r="AO417" s="178"/>
      <c r="AP417" s="178"/>
      <c r="AQ417" s="178"/>
    </row>
    <row r="418" customFormat="false" ht="12.75" hidden="false" customHeight="false" outlineLevel="0" collapsed="false">
      <c r="AM418" s="178"/>
      <c r="AN418" s="178"/>
      <c r="AO418" s="178"/>
      <c r="AP418" s="178"/>
      <c r="AQ418" s="178"/>
    </row>
    <row r="419" customFormat="false" ht="12.75" hidden="false" customHeight="false" outlineLevel="0" collapsed="false">
      <c r="AM419" s="178"/>
      <c r="AN419" s="178"/>
      <c r="AO419" s="178"/>
      <c r="AP419" s="178"/>
      <c r="AQ419" s="178"/>
    </row>
    <row r="420" customFormat="false" ht="12.75" hidden="false" customHeight="false" outlineLevel="0" collapsed="false">
      <c r="AM420" s="178"/>
      <c r="AN420" s="178"/>
      <c r="AO420" s="178"/>
      <c r="AP420" s="178"/>
      <c r="AQ420" s="178"/>
    </row>
    <row r="421" customFormat="false" ht="12.75" hidden="false" customHeight="false" outlineLevel="0" collapsed="false">
      <c r="AM421" s="178"/>
      <c r="AN421" s="178"/>
      <c r="AO421" s="178"/>
      <c r="AP421" s="178"/>
      <c r="AQ421" s="178"/>
    </row>
    <row r="422" customFormat="false" ht="12.75" hidden="false" customHeight="false" outlineLevel="0" collapsed="false">
      <c r="AM422" s="178"/>
      <c r="AN422" s="178"/>
      <c r="AO422" s="178"/>
      <c r="AP422" s="178"/>
      <c r="AQ422" s="178"/>
    </row>
    <row r="423" customFormat="false" ht="12.75" hidden="false" customHeight="false" outlineLevel="0" collapsed="false">
      <c r="AM423" s="178"/>
      <c r="AN423" s="178"/>
      <c r="AO423" s="178"/>
      <c r="AP423" s="178"/>
      <c r="AQ423" s="178"/>
    </row>
    <row r="424" customFormat="false" ht="12.75" hidden="false" customHeight="false" outlineLevel="0" collapsed="false">
      <c r="AM424" s="178"/>
      <c r="AN424" s="178"/>
      <c r="AO424" s="178"/>
      <c r="AP424" s="178"/>
      <c r="AQ424" s="178"/>
    </row>
    <row r="425" customFormat="false" ht="12.75" hidden="false" customHeight="false" outlineLevel="0" collapsed="false">
      <c r="AM425" s="178"/>
      <c r="AN425" s="178"/>
      <c r="AO425" s="178"/>
      <c r="AP425" s="178"/>
      <c r="AQ425" s="178"/>
    </row>
    <row r="426" customFormat="false" ht="12.75" hidden="false" customHeight="false" outlineLevel="0" collapsed="false">
      <c r="AM426" s="178"/>
      <c r="AN426" s="178"/>
      <c r="AO426" s="178"/>
      <c r="AP426" s="178"/>
      <c r="AQ426" s="178"/>
    </row>
    <row r="427" customFormat="false" ht="12.75" hidden="false" customHeight="false" outlineLevel="0" collapsed="false">
      <c r="AM427" s="178"/>
      <c r="AN427" s="178"/>
      <c r="AO427" s="178"/>
      <c r="AP427" s="178"/>
      <c r="AQ427" s="178"/>
    </row>
    <row r="428" customFormat="false" ht="12.75" hidden="false" customHeight="false" outlineLevel="0" collapsed="false">
      <c r="AM428" s="178"/>
      <c r="AN428" s="178"/>
      <c r="AO428" s="178"/>
      <c r="AP428" s="178"/>
      <c r="AQ428" s="178"/>
    </row>
    <row r="429" customFormat="false" ht="12.75" hidden="false" customHeight="false" outlineLevel="0" collapsed="false">
      <c r="AM429" s="178"/>
      <c r="AN429" s="178"/>
      <c r="AO429" s="178"/>
      <c r="AP429" s="178"/>
      <c r="AQ429" s="178"/>
    </row>
    <row r="430" customFormat="false" ht="12.75" hidden="false" customHeight="false" outlineLevel="0" collapsed="false">
      <c r="AM430" s="178"/>
      <c r="AN430" s="178"/>
      <c r="AO430" s="178"/>
      <c r="AP430" s="178"/>
      <c r="AQ430" s="178"/>
    </row>
    <row r="431" customFormat="false" ht="12.75" hidden="false" customHeight="false" outlineLevel="0" collapsed="false">
      <c r="AM431" s="178"/>
      <c r="AN431" s="178"/>
      <c r="AO431" s="178"/>
      <c r="AP431" s="178"/>
      <c r="AQ431" s="178"/>
    </row>
    <row r="432" customFormat="false" ht="12.75" hidden="false" customHeight="false" outlineLevel="0" collapsed="false">
      <c r="AM432" s="178"/>
      <c r="AN432" s="178"/>
      <c r="AO432" s="178"/>
      <c r="AP432" s="178"/>
      <c r="AQ432" s="178"/>
    </row>
    <row r="433" customFormat="false" ht="12.75" hidden="false" customHeight="false" outlineLevel="0" collapsed="false">
      <c r="AM433" s="178"/>
      <c r="AN433" s="178"/>
      <c r="AO433" s="178"/>
      <c r="AP433" s="178"/>
      <c r="AQ433" s="178"/>
    </row>
    <row r="434" customFormat="false" ht="12.75" hidden="false" customHeight="false" outlineLevel="0" collapsed="false">
      <c r="AM434" s="178"/>
      <c r="AN434" s="178"/>
      <c r="AO434" s="178"/>
      <c r="AP434" s="178"/>
      <c r="AQ434" s="178"/>
    </row>
    <row r="435" customFormat="false" ht="12.75" hidden="false" customHeight="false" outlineLevel="0" collapsed="false">
      <c r="AM435" s="178"/>
      <c r="AN435" s="178"/>
      <c r="AO435" s="178"/>
      <c r="AP435" s="178"/>
      <c r="AQ435" s="178"/>
    </row>
    <row r="436" customFormat="false" ht="12.75" hidden="false" customHeight="false" outlineLevel="0" collapsed="false">
      <c r="AM436" s="178"/>
      <c r="AN436" s="178"/>
      <c r="AO436" s="178"/>
      <c r="AP436" s="178"/>
      <c r="AQ436" s="178"/>
    </row>
    <row r="437" customFormat="false" ht="12.75" hidden="false" customHeight="false" outlineLevel="0" collapsed="false">
      <c r="AM437" s="178"/>
      <c r="AN437" s="178"/>
      <c r="AO437" s="178"/>
      <c r="AP437" s="178"/>
      <c r="AQ437" s="178"/>
    </row>
    <row r="438" customFormat="false" ht="12.75" hidden="false" customHeight="false" outlineLevel="0" collapsed="false">
      <c r="AM438" s="178"/>
      <c r="AN438" s="178"/>
      <c r="AO438" s="178"/>
      <c r="AP438" s="178"/>
      <c r="AQ438" s="178"/>
    </row>
    <row r="439" customFormat="false" ht="12.75" hidden="false" customHeight="false" outlineLevel="0" collapsed="false">
      <c r="AM439" s="178"/>
      <c r="AN439" s="178"/>
      <c r="AO439" s="178"/>
      <c r="AP439" s="178"/>
      <c r="AQ439" s="178"/>
    </row>
    <row r="440" customFormat="false" ht="12.75" hidden="false" customHeight="false" outlineLevel="0" collapsed="false">
      <c r="AM440" s="178"/>
      <c r="AN440" s="178"/>
      <c r="AO440" s="178"/>
      <c r="AP440" s="178"/>
      <c r="AQ440" s="178"/>
    </row>
    <row r="441" customFormat="false" ht="12.75" hidden="false" customHeight="false" outlineLevel="0" collapsed="false">
      <c r="AM441" s="178"/>
      <c r="AN441" s="178"/>
      <c r="AO441" s="178"/>
      <c r="AP441" s="178"/>
      <c r="AQ441" s="178"/>
    </row>
    <row r="442" customFormat="false" ht="12.75" hidden="false" customHeight="false" outlineLevel="0" collapsed="false">
      <c r="AM442" s="178"/>
      <c r="AN442" s="178"/>
      <c r="AO442" s="178"/>
      <c r="AP442" s="178"/>
      <c r="AQ442" s="178"/>
    </row>
    <row r="443" customFormat="false" ht="12.75" hidden="false" customHeight="false" outlineLevel="0" collapsed="false">
      <c r="AM443" s="178"/>
      <c r="AN443" s="178"/>
      <c r="AO443" s="178"/>
      <c r="AP443" s="178"/>
      <c r="AQ443" s="178"/>
    </row>
    <row r="444" customFormat="false" ht="12.75" hidden="false" customHeight="false" outlineLevel="0" collapsed="false">
      <c r="AM444" s="178"/>
      <c r="AN444" s="178"/>
      <c r="AO444" s="178"/>
      <c r="AP444" s="178"/>
      <c r="AQ444" s="178"/>
    </row>
    <row r="445" customFormat="false" ht="12.75" hidden="false" customHeight="false" outlineLevel="0" collapsed="false">
      <c r="AM445" s="178"/>
      <c r="AN445" s="178"/>
      <c r="AO445" s="178"/>
      <c r="AP445" s="178"/>
      <c r="AQ445" s="178"/>
    </row>
    <row r="446" customFormat="false" ht="12.75" hidden="false" customHeight="false" outlineLevel="0" collapsed="false">
      <c r="AM446" s="178"/>
      <c r="AN446" s="178"/>
      <c r="AO446" s="178"/>
      <c r="AP446" s="178"/>
      <c r="AQ446" s="178"/>
    </row>
    <row r="447" customFormat="false" ht="12.75" hidden="false" customHeight="false" outlineLevel="0" collapsed="false">
      <c r="AM447" s="178"/>
      <c r="AN447" s="178"/>
      <c r="AO447" s="178"/>
      <c r="AP447" s="178"/>
      <c r="AQ447" s="178"/>
    </row>
    <row r="448" customFormat="false" ht="12.75" hidden="false" customHeight="false" outlineLevel="0" collapsed="false">
      <c r="AM448" s="178"/>
      <c r="AN448" s="178"/>
      <c r="AO448" s="178"/>
      <c r="AP448" s="178"/>
      <c r="AQ448" s="178"/>
    </row>
    <row r="449" customFormat="false" ht="12.75" hidden="false" customHeight="false" outlineLevel="0" collapsed="false">
      <c r="AM449" s="178"/>
      <c r="AN449" s="178"/>
      <c r="AO449" s="178"/>
      <c r="AP449" s="178"/>
      <c r="AQ449" s="178"/>
    </row>
    <row r="450" customFormat="false" ht="12.75" hidden="false" customHeight="false" outlineLevel="0" collapsed="false">
      <c r="AM450" s="178"/>
      <c r="AN450" s="178"/>
      <c r="AO450" s="178"/>
      <c r="AP450" s="178"/>
      <c r="AQ450" s="178"/>
    </row>
    <row r="451" customFormat="false" ht="12.75" hidden="false" customHeight="false" outlineLevel="0" collapsed="false">
      <c r="AM451" s="178"/>
      <c r="AN451" s="178"/>
      <c r="AO451" s="178"/>
      <c r="AP451" s="178"/>
      <c r="AQ451" s="178"/>
    </row>
    <row r="452" customFormat="false" ht="12.75" hidden="false" customHeight="false" outlineLevel="0" collapsed="false">
      <c r="AM452" s="178"/>
      <c r="AN452" s="178"/>
      <c r="AO452" s="178"/>
      <c r="AP452" s="178"/>
      <c r="AQ452" s="178"/>
    </row>
    <row r="453" customFormat="false" ht="12.75" hidden="false" customHeight="false" outlineLevel="0" collapsed="false">
      <c r="AM453" s="178"/>
      <c r="AN453" s="178"/>
      <c r="AO453" s="178"/>
      <c r="AP453" s="178"/>
      <c r="AQ453" s="178"/>
    </row>
    <row r="454" customFormat="false" ht="12.75" hidden="false" customHeight="false" outlineLevel="0" collapsed="false">
      <c r="AM454" s="178"/>
      <c r="AN454" s="178"/>
      <c r="AO454" s="178"/>
      <c r="AP454" s="178"/>
      <c r="AQ454" s="178"/>
    </row>
    <row r="455" customFormat="false" ht="12.75" hidden="false" customHeight="false" outlineLevel="0" collapsed="false">
      <c r="AM455" s="178"/>
      <c r="AN455" s="178"/>
      <c r="AO455" s="178"/>
      <c r="AP455" s="178"/>
      <c r="AQ455" s="178"/>
    </row>
    <row r="456" customFormat="false" ht="12.75" hidden="false" customHeight="false" outlineLevel="0" collapsed="false">
      <c r="AM456" s="178"/>
      <c r="AN456" s="178"/>
      <c r="AO456" s="178"/>
      <c r="AP456" s="178"/>
      <c r="AQ456" s="178"/>
    </row>
    <row r="457" customFormat="false" ht="12.75" hidden="false" customHeight="false" outlineLevel="0" collapsed="false">
      <c r="AM457" s="178"/>
      <c r="AN457" s="178"/>
      <c r="AO457" s="178"/>
      <c r="AP457" s="178"/>
      <c r="AQ457" s="178"/>
    </row>
    <row r="458" customFormat="false" ht="12.75" hidden="false" customHeight="false" outlineLevel="0" collapsed="false">
      <c r="AM458" s="178"/>
      <c r="AN458" s="178"/>
      <c r="AO458" s="178"/>
      <c r="AP458" s="178"/>
      <c r="AQ458" s="178"/>
    </row>
    <row r="459" customFormat="false" ht="12.75" hidden="false" customHeight="false" outlineLevel="0" collapsed="false">
      <c r="AM459" s="178"/>
      <c r="AN459" s="178"/>
      <c r="AO459" s="178"/>
      <c r="AP459" s="178"/>
      <c r="AQ459" s="178"/>
    </row>
    <row r="460" customFormat="false" ht="12.75" hidden="false" customHeight="false" outlineLevel="0" collapsed="false">
      <c r="AM460" s="178"/>
      <c r="AN460" s="178"/>
      <c r="AO460" s="178"/>
      <c r="AP460" s="178"/>
      <c r="AQ460" s="178"/>
    </row>
    <row r="461" customFormat="false" ht="12.75" hidden="false" customHeight="false" outlineLevel="0" collapsed="false">
      <c r="AM461" s="178"/>
      <c r="AN461" s="178"/>
      <c r="AO461" s="178"/>
      <c r="AP461" s="178"/>
      <c r="AQ461" s="178"/>
    </row>
    <row r="462" customFormat="false" ht="12.75" hidden="false" customHeight="false" outlineLevel="0" collapsed="false">
      <c r="AM462" s="178"/>
      <c r="AN462" s="178"/>
      <c r="AO462" s="178"/>
      <c r="AP462" s="178"/>
      <c r="AQ462" s="178"/>
    </row>
    <row r="463" customFormat="false" ht="12.75" hidden="false" customHeight="false" outlineLevel="0" collapsed="false">
      <c r="AM463" s="178"/>
      <c r="AN463" s="178"/>
      <c r="AO463" s="178"/>
      <c r="AP463" s="178"/>
      <c r="AQ463" s="178"/>
    </row>
    <row r="464" customFormat="false" ht="12.75" hidden="false" customHeight="false" outlineLevel="0" collapsed="false">
      <c r="AM464" s="178"/>
      <c r="AN464" s="178"/>
      <c r="AO464" s="178"/>
      <c r="AP464" s="178"/>
      <c r="AQ464" s="178"/>
    </row>
    <row r="465" customFormat="false" ht="12.75" hidden="false" customHeight="false" outlineLevel="0" collapsed="false">
      <c r="AM465" s="178"/>
      <c r="AN465" s="178"/>
      <c r="AO465" s="178"/>
      <c r="AP465" s="178"/>
      <c r="AQ465" s="178"/>
    </row>
    <row r="466" customFormat="false" ht="12.75" hidden="false" customHeight="false" outlineLevel="0" collapsed="false">
      <c r="AM466" s="178"/>
      <c r="AN466" s="178"/>
      <c r="AO466" s="178"/>
      <c r="AP466" s="178"/>
      <c r="AQ466" s="178"/>
    </row>
    <row r="467" customFormat="false" ht="12.75" hidden="false" customHeight="false" outlineLevel="0" collapsed="false">
      <c r="AM467" s="178"/>
      <c r="AN467" s="178"/>
      <c r="AO467" s="178"/>
      <c r="AP467" s="178"/>
      <c r="AQ467" s="178"/>
    </row>
    <row r="468" customFormat="false" ht="12.75" hidden="false" customHeight="false" outlineLevel="0" collapsed="false">
      <c r="AM468" s="178"/>
      <c r="AN468" s="178"/>
      <c r="AO468" s="178"/>
      <c r="AP468" s="178"/>
      <c r="AQ468" s="178"/>
    </row>
    <row r="469" customFormat="false" ht="12.75" hidden="false" customHeight="false" outlineLevel="0" collapsed="false">
      <c r="AM469" s="178"/>
      <c r="AN469" s="178"/>
      <c r="AO469" s="178"/>
      <c r="AP469" s="178"/>
      <c r="AQ469" s="178"/>
    </row>
    <row r="470" customFormat="false" ht="12.75" hidden="false" customHeight="false" outlineLevel="0" collapsed="false">
      <c r="AM470" s="178"/>
      <c r="AN470" s="178"/>
      <c r="AO470" s="178"/>
      <c r="AP470" s="178"/>
      <c r="AQ470" s="178"/>
    </row>
    <row r="471" customFormat="false" ht="12.75" hidden="false" customHeight="false" outlineLevel="0" collapsed="false">
      <c r="AM471" s="178"/>
      <c r="AN471" s="178"/>
      <c r="AO471" s="178"/>
      <c r="AP471" s="178"/>
      <c r="AQ471" s="178"/>
    </row>
    <row r="472" customFormat="false" ht="12.75" hidden="false" customHeight="false" outlineLevel="0" collapsed="false">
      <c r="AM472" s="178"/>
      <c r="AN472" s="178"/>
      <c r="AO472" s="178"/>
      <c r="AP472" s="178"/>
      <c r="AQ472" s="178"/>
    </row>
    <row r="473" customFormat="false" ht="12.75" hidden="false" customHeight="false" outlineLevel="0" collapsed="false">
      <c r="AM473" s="178"/>
      <c r="AN473" s="178"/>
      <c r="AO473" s="178"/>
      <c r="AP473" s="178"/>
      <c r="AQ473" s="178"/>
    </row>
    <row r="474" customFormat="false" ht="12.75" hidden="false" customHeight="false" outlineLevel="0" collapsed="false">
      <c r="AM474" s="178"/>
      <c r="AN474" s="178"/>
      <c r="AO474" s="178"/>
      <c r="AP474" s="178"/>
      <c r="AQ474" s="178"/>
    </row>
    <row r="475" customFormat="false" ht="12.75" hidden="false" customHeight="false" outlineLevel="0" collapsed="false">
      <c r="AM475" s="178"/>
      <c r="AN475" s="178"/>
      <c r="AO475" s="178"/>
      <c r="AP475" s="178"/>
      <c r="AQ475" s="178"/>
    </row>
    <row r="476" customFormat="false" ht="12.75" hidden="false" customHeight="false" outlineLevel="0" collapsed="false">
      <c r="AM476" s="178"/>
      <c r="AN476" s="178"/>
      <c r="AO476" s="178"/>
      <c r="AP476" s="178"/>
      <c r="AQ476" s="178"/>
    </row>
    <row r="477" customFormat="false" ht="12.75" hidden="false" customHeight="false" outlineLevel="0" collapsed="false">
      <c r="AM477" s="178"/>
      <c r="AN477" s="178"/>
      <c r="AO477" s="178"/>
      <c r="AP477" s="178"/>
      <c r="AQ477" s="178"/>
    </row>
    <row r="478" customFormat="false" ht="12.75" hidden="false" customHeight="false" outlineLevel="0" collapsed="false">
      <c r="AM478" s="178"/>
      <c r="AN478" s="178"/>
      <c r="AO478" s="178"/>
      <c r="AP478" s="178"/>
      <c r="AQ478" s="178"/>
    </row>
    <row r="479" customFormat="false" ht="12.75" hidden="false" customHeight="false" outlineLevel="0" collapsed="false">
      <c r="AM479" s="178"/>
      <c r="AN479" s="178"/>
      <c r="AO479" s="178"/>
      <c r="AP479" s="178"/>
      <c r="AQ479" s="178"/>
    </row>
    <row r="480" customFormat="false" ht="12.75" hidden="false" customHeight="false" outlineLevel="0" collapsed="false">
      <c r="AM480" s="178"/>
      <c r="AN480" s="178"/>
      <c r="AO480" s="178"/>
      <c r="AP480" s="178"/>
      <c r="AQ480" s="178"/>
    </row>
    <row r="481" customFormat="false" ht="12.75" hidden="false" customHeight="false" outlineLevel="0" collapsed="false">
      <c r="AM481" s="178"/>
      <c r="AN481" s="178"/>
      <c r="AO481" s="178"/>
      <c r="AP481" s="178"/>
      <c r="AQ481" s="178"/>
    </row>
    <row r="482" customFormat="false" ht="12.75" hidden="false" customHeight="false" outlineLevel="0" collapsed="false">
      <c r="AM482" s="178"/>
      <c r="AN482" s="178"/>
      <c r="AO482" s="178"/>
      <c r="AP482" s="178"/>
      <c r="AQ482" s="178"/>
    </row>
    <row r="483" customFormat="false" ht="12.75" hidden="false" customHeight="false" outlineLevel="0" collapsed="false">
      <c r="AM483" s="178"/>
      <c r="AN483" s="178"/>
      <c r="AO483" s="178"/>
      <c r="AP483" s="178"/>
      <c r="AQ483" s="178"/>
    </row>
    <row r="484" customFormat="false" ht="12.75" hidden="false" customHeight="false" outlineLevel="0" collapsed="false">
      <c r="AM484" s="178"/>
      <c r="AN484" s="178"/>
      <c r="AO484" s="178"/>
      <c r="AP484" s="178"/>
      <c r="AQ484" s="178"/>
    </row>
    <row r="485" customFormat="false" ht="12.75" hidden="false" customHeight="false" outlineLevel="0" collapsed="false">
      <c r="AM485" s="178"/>
      <c r="AN485" s="178"/>
      <c r="AO485" s="178"/>
      <c r="AP485" s="178"/>
      <c r="AQ485" s="178"/>
    </row>
    <row r="486" customFormat="false" ht="12.75" hidden="false" customHeight="false" outlineLevel="0" collapsed="false">
      <c r="AM486" s="178"/>
      <c r="AN486" s="178"/>
      <c r="AO486" s="178"/>
      <c r="AP486" s="178"/>
      <c r="AQ486" s="178"/>
    </row>
    <row r="487" customFormat="false" ht="12.75" hidden="false" customHeight="false" outlineLevel="0" collapsed="false">
      <c r="AM487" s="178"/>
      <c r="AN487" s="178"/>
      <c r="AO487" s="178"/>
      <c r="AP487" s="178"/>
      <c r="AQ487" s="178"/>
    </row>
    <row r="488" customFormat="false" ht="12.75" hidden="false" customHeight="false" outlineLevel="0" collapsed="false">
      <c r="AM488" s="178"/>
      <c r="AN488" s="178"/>
      <c r="AO488" s="178"/>
      <c r="AP488" s="178"/>
      <c r="AQ488" s="178"/>
    </row>
    <row r="489" customFormat="false" ht="12.75" hidden="false" customHeight="false" outlineLevel="0" collapsed="false">
      <c r="AM489" s="178"/>
      <c r="AN489" s="178"/>
      <c r="AO489" s="178"/>
      <c r="AP489" s="178"/>
      <c r="AQ489" s="178"/>
    </row>
    <row r="490" customFormat="false" ht="12.75" hidden="false" customHeight="false" outlineLevel="0" collapsed="false">
      <c r="AM490" s="178"/>
      <c r="AN490" s="178"/>
      <c r="AO490" s="178"/>
      <c r="AP490" s="178"/>
      <c r="AQ490" s="178"/>
    </row>
    <row r="491" customFormat="false" ht="12.75" hidden="false" customHeight="false" outlineLevel="0" collapsed="false">
      <c r="AM491" s="178"/>
      <c r="AN491" s="178"/>
      <c r="AO491" s="178"/>
      <c r="AP491" s="178"/>
      <c r="AQ491" s="178"/>
    </row>
    <row r="492" customFormat="false" ht="12.75" hidden="false" customHeight="false" outlineLevel="0" collapsed="false">
      <c r="AM492" s="178"/>
      <c r="AN492" s="178"/>
      <c r="AO492" s="178"/>
      <c r="AP492" s="178"/>
      <c r="AQ492" s="178"/>
    </row>
    <row r="493" customFormat="false" ht="12.75" hidden="false" customHeight="false" outlineLevel="0" collapsed="false">
      <c r="AM493" s="178"/>
      <c r="AN493" s="178"/>
      <c r="AO493" s="178"/>
      <c r="AP493" s="178"/>
      <c r="AQ493" s="178"/>
    </row>
    <row r="494" customFormat="false" ht="12.75" hidden="false" customHeight="false" outlineLevel="0" collapsed="false">
      <c r="AM494" s="178"/>
      <c r="AN494" s="178"/>
      <c r="AO494" s="178"/>
      <c r="AP494" s="178"/>
      <c r="AQ494" s="178"/>
    </row>
    <row r="495" customFormat="false" ht="12.75" hidden="false" customHeight="false" outlineLevel="0" collapsed="false">
      <c r="AM495" s="178"/>
      <c r="AN495" s="178"/>
      <c r="AO495" s="178"/>
      <c r="AP495" s="178"/>
      <c r="AQ495" s="178"/>
    </row>
    <row r="496" customFormat="false" ht="12.75" hidden="false" customHeight="false" outlineLevel="0" collapsed="false">
      <c r="AM496" s="178"/>
      <c r="AN496" s="178"/>
      <c r="AO496" s="178"/>
      <c r="AP496" s="178"/>
      <c r="AQ496" s="178"/>
    </row>
    <row r="497" customFormat="false" ht="12.75" hidden="false" customHeight="false" outlineLevel="0" collapsed="false">
      <c r="AM497" s="178"/>
      <c r="AN497" s="178"/>
      <c r="AO497" s="178"/>
      <c r="AP497" s="178"/>
      <c r="AQ497" s="178"/>
    </row>
    <row r="498" customFormat="false" ht="12.75" hidden="false" customHeight="false" outlineLevel="0" collapsed="false">
      <c r="AM498" s="178"/>
      <c r="AN498" s="178"/>
      <c r="AO498" s="178"/>
      <c r="AP498" s="178"/>
      <c r="AQ498" s="178"/>
    </row>
    <row r="499" customFormat="false" ht="12.75" hidden="false" customHeight="false" outlineLevel="0" collapsed="false">
      <c r="AM499" s="178"/>
      <c r="AN499" s="178"/>
      <c r="AO499" s="178"/>
      <c r="AP499" s="178"/>
      <c r="AQ499" s="178"/>
    </row>
    <row r="500" customFormat="false" ht="12.75" hidden="false" customHeight="false" outlineLevel="0" collapsed="false">
      <c r="AM500" s="178"/>
      <c r="AN500" s="178"/>
      <c r="AO500" s="178"/>
      <c r="AP500" s="178"/>
      <c r="AQ500" s="178"/>
    </row>
    <row r="501" customFormat="false" ht="12.75" hidden="false" customHeight="false" outlineLevel="0" collapsed="false">
      <c r="AM501" s="178"/>
      <c r="AN501" s="178"/>
      <c r="AO501" s="178"/>
      <c r="AP501" s="178"/>
      <c r="AQ501" s="178"/>
    </row>
    <row r="502" customFormat="false" ht="12.75" hidden="false" customHeight="false" outlineLevel="0" collapsed="false">
      <c r="AM502" s="178"/>
      <c r="AN502" s="178"/>
      <c r="AO502" s="178"/>
      <c r="AP502" s="178"/>
      <c r="AQ502" s="178"/>
    </row>
    <row r="503" customFormat="false" ht="12.75" hidden="false" customHeight="false" outlineLevel="0" collapsed="false">
      <c r="AM503" s="178"/>
      <c r="AN503" s="178"/>
      <c r="AO503" s="178"/>
      <c r="AP503" s="178"/>
      <c r="AQ503" s="178"/>
    </row>
    <row r="504" customFormat="false" ht="12.75" hidden="false" customHeight="false" outlineLevel="0" collapsed="false">
      <c r="AM504" s="178"/>
      <c r="AN504" s="178"/>
      <c r="AO504" s="178"/>
      <c r="AP504" s="178"/>
      <c r="AQ504" s="178"/>
    </row>
    <row r="505" customFormat="false" ht="12.75" hidden="false" customHeight="false" outlineLevel="0" collapsed="false">
      <c r="AM505" s="178"/>
      <c r="AN505" s="178"/>
      <c r="AO505" s="178"/>
      <c r="AP505" s="178"/>
      <c r="AQ505" s="178"/>
    </row>
    <row r="506" customFormat="false" ht="12.75" hidden="false" customHeight="false" outlineLevel="0" collapsed="false">
      <c r="AM506" s="178"/>
      <c r="AN506" s="178"/>
      <c r="AO506" s="178"/>
      <c r="AP506" s="178"/>
      <c r="AQ506" s="178"/>
    </row>
    <row r="507" customFormat="false" ht="12.75" hidden="false" customHeight="false" outlineLevel="0" collapsed="false">
      <c r="AM507" s="178"/>
      <c r="AN507" s="178"/>
      <c r="AO507" s="178"/>
      <c r="AP507" s="178"/>
      <c r="AQ507" s="178"/>
    </row>
    <row r="508" customFormat="false" ht="12.75" hidden="false" customHeight="false" outlineLevel="0" collapsed="false">
      <c r="AM508" s="178"/>
      <c r="AN508" s="178"/>
      <c r="AO508" s="178"/>
      <c r="AP508" s="178"/>
      <c r="AQ508" s="178"/>
    </row>
    <row r="509" customFormat="false" ht="12.75" hidden="false" customHeight="false" outlineLevel="0" collapsed="false">
      <c r="AM509" s="178"/>
      <c r="AN509" s="178"/>
      <c r="AO509" s="178"/>
      <c r="AP509" s="178"/>
      <c r="AQ509" s="178"/>
    </row>
    <row r="510" customFormat="false" ht="12.75" hidden="false" customHeight="false" outlineLevel="0" collapsed="false">
      <c r="AM510" s="178"/>
      <c r="AN510" s="178"/>
      <c r="AO510" s="178"/>
      <c r="AP510" s="178"/>
      <c r="AQ510" s="178"/>
    </row>
    <row r="511" customFormat="false" ht="12.75" hidden="false" customHeight="false" outlineLevel="0" collapsed="false">
      <c r="AM511" s="178"/>
      <c r="AN511" s="178"/>
      <c r="AO511" s="178"/>
      <c r="AP511" s="178"/>
      <c r="AQ511" s="178"/>
    </row>
    <row r="512" customFormat="false" ht="12.75" hidden="false" customHeight="false" outlineLevel="0" collapsed="false">
      <c r="AM512" s="178"/>
      <c r="AN512" s="178"/>
      <c r="AO512" s="178"/>
      <c r="AP512" s="178"/>
      <c r="AQ512" s="178"/>
    </row>
    <row r="513" customFormat="false" ht="12.75" hidden="false" customHeight="false" outlineLevel="0" collapsed="false">
      <c r="AM513" s="178"/>
      <c r="AN513" s="178"/>
      <c r="AO513" s="178"/>
      <c r="AP513" s="178"/>
      <c r="AQ513" s="178"/>
    </row>
    <row r="514" customFormat="false" ht="12.75" hidden="false" customHeight="false" outlineLevel="0" collapsed="false">
      <c r="AM514" s="178"/>
      <c r="AN514" s="178"/>
      <c r="AO514" s="178"/>
      <c r="AP514" s="178"/>
      <c r="AQ514" s="178"/>
    </row>
    <row r="515" customFormat="false" ht="12.75" hidden="false" customHeight="false" outlineLevel="0" collapsed="false">
      <c r="AM515" s="178"/>
      <c r="AN515" s="178"/>
      <c r="AO515" s="178"/>
      <c r="AP515" s="178"/>
      <c r="AQ515" s="178"/>
    </row>
    <row r="516" customFormat="false" ht="12.75" hidden="false" customHeight="false" outlineLevel="0" collapsed="false">
      <c r="AM516" s="178"/>
      <c r="AN516" s="178"/>
      <c r="AO516" s="178"/>
      <c r="AP516" s="178"/>
      <c r="AQ516" s="178"/>
    </row>
    <row r="517" customFormat="false" ht="12.75" hidden="false" customHeight="false" outlineLevel="0" collapsed="false">
      <c r="AM517" s="178"/>
      <c r="AN517" s="178"/>
      <c r="AO517" s="178"/>
      <c r="AP517" s="178"/>
      <c r="AQ517" s="178"/>
    </row>
    <row r="518" customFormat="false" ht="12.75" hidden="false" customHeight="false" outlineLevel="0" collapsed="false">
      <c r="AM518" s="178"/>
      <c r="AN518" s="178"/>
      <c r="AO518" s="178"/>
      <c r="AP518" s="178"/>
      <c r="AQ518" s="178"/>
    </row>
    <row r="519" customFormat="false" ht="12.75" hidden="false" customHeight="false" outlineLevel="0" collapsed="false">
      <c r="AM519" s="178"/>
      <c r="AN519" s="178"/>
      <c r="AO519" s="178"/>
      <c r="AP519" s="178"/>
      <c r="AQ519" s="178"/>
    </row>
    <row r="520" customFormat="false" ht="12.75" hidden="false" customHeight="false" outlineLevel="0" collapsed="false">
      <c r="AM520" s="178"/>
      <c r="AN520" s="178"/>
      <c r="AO520" s="178"/>
      <c r="AP520" s="178"/>
      <c r="AQ520" s="178"/>
    </row>
    <row r="521" customFormat="false" ht="12.75" hidden="false" customHeight="false" outlineLevel="0" collapsed="false">
      <c r="AM521" s="178"/>
      <c r="AN521" s="178"/>
      <c r="AO521" s="178"/>
      <c r="AP521" s="178"/>
      <c r="AQ521" s="178"/>
    </row>
    <row r="522" customFormat="false" ht="12.75" hidden="false" customHeight="false" outlineLevel="0" collapsed="false">
      <c r="AM522" s="178"/>
      <c r="AN522" s="178"/>
      <c r="AO522" s="178"/>
      <c r="AP522" s="178"/>
      <c r="AQ522" s="178"/>
    </row>
    <row r="523" customFormat="false" ht="12.75" hidden="false" customHeight="false" outlineLevel="0" collapsed="false">
      <c r="AM523" s="178"/>
      <c r="AN523" s="178"/>
      <c r="AO523" s="178"/>
      <c r="AP523" s="178"/>
      <c r="AQ523" s="178"/>
    </row>
    <row r="524" customFormat="false" ht="12.75" hidden="false" customHeight="false" outlineLevel="0" collapsed="false">
      <c r="AM524" s="178"/>
      <c r="AN524" s="178"/>
      <c r="AO524" s="178"/>
      <c r="AP524" s="178"/>
      <c r="AQ524" s="178"/>
    </row>
    <row r="525" customFormat="false" ht="12.75" hidden="false" customHeight="false" outlineLevel="0" collapsed="false">
      <c r="AM525" s="178"/>
      <c r="AN525" s="178"/>
      <c r="AO525" s="178"/>
      <c r="AP525" s="178"/>
      <c r="AQ525" s="178"/>
    </row>
    <row r="526" customFormat="false" ht="12.75" hidden="false" customHeight="false" outlineLevel="0" collapsed="false">
      <c r="AM526" s="178"/>
      <c r="AN526" s="178"/>
      <c r="AO526" s="178"/>
      <c r="AP526" s="178"/>
      <c r="AQ526" s="178"/>
    </row>
    <row r="527" customFormat="false" ht="12.75" hidden="false" customHeight="false" outlineLevel="0" collapsed="false">
      <c r="AM527" s="178"/>
      <c r="AN527" s="178"/>
      <c r="AO527" s="178"/>
      <c r="AP527" s="178"/>
      <c r="AQ527" s="178"/>
    </row>
    <row r="528" customFormat="false" ht="12.75" hidden="false" customHeight="false" outlineLevel="0" collapsed="false">
      <c r="AM528" s="178"/>
      <c r="AN528" s="178"/>
      <c r="AO528" s="178"/>
      <c r="AP528" s="178"/>
      <c r="AQ528" s="178"/>
    </row>
    <row r="529" customFormat="false" ht="12.75" hidden="false" customHeight="false" outlineLevel="0" collapsed="false">
      <c r="AM529" s="178"/>
      <c r="AN529" s="178"/>
      <c r="AO529" s="178"/>
      <c r="AP529" s="178"/>
      <c r="AQ529" s="178"/>
    </row>
    <row r="530" customFormat="false" ht="12.75" hidden="false" customHeight="false" outlineLevel="0" collapsed="false">
      <c r="AM530" s="178"/>
      <c r="AN530" s="178"/>
      <c r="AO530" s="178"/>
      <c r="AP530" s="178"/>
      <c r="AQ530" s="178"/>
    </row>
    <row r="531" customFormat="false" ht="12.75" hidden="false" customHeight="false" outlineLevel="0" collapsed="false">
      <c r="AM531" s="178"/>
      <c r="AN531" s="178"/>
      <c r="AO531" s="178"/>
      <c r="AP531" s="178"/>
      <c r="AQ531" s="178"/>
    </row>
    <row r="532" customFormat="false" ht="12.75" hidden="false" customHeight="false" outlineLevel="0" collapsed="false">
      <c r="AM532" s="178"/>
      <c r="AN532" s="178"/>
      <c r="AO532" s="178"/>
      <c r="AP532" s="178"/>
      <c r="AQ532" s="178"/>
    </row>
    <row r="533" customFormat="false" ht="12.75" hidden="false" customHeight="false" outlineLevel="0" collapsed="false">
      <c r="AM533" s="178"/>
      <c r="AN533" s="178"/>
      <c r="AO533" s="178"/>
      <c r="AP533" s="178"/>
      <c r="AQ533" s="178"/>
    </row>
    <row r="534" customFormat="false" ht="12.75" hidden="false" customHeight="false" outlineLevel="0" collapsed="false">
      <c r="AM534" s="178"/>
      <c r="AN534" s="178"/>
      <c r="AO534" s="178"/>
      <c r="AP534" s="178"/>
      <c r="AQ534" s="178"/>
    </row>
    <row r="535" customFormat="false" ht="12.75" hidden="false" customHeight="false" outlineLevel="0" collapsed="false">
      <c r="AM535" s="178"/>
      <c r="AN535" s="178"/>
      <c r="AO535" s="178"/>
      <c r="AP535" s="178"/>
      <c r="AQ535" s="178"/>
    </row>
    <row r="536" customFormat="false" ht="12.75" hidden="false" customHeight="false" outlineLevel="0" collapsed="false">
      <c r="AM536" s="178"/>
      <c r="AN536" s="178"/>
      <c r="AO536" s="178"/>
      <c r="AP536" s="178"/>
      <c r="AQ536" s="178"/>
    </row>
    <row r="537" customFormat="false" ht="12.75" hidden="false" customHeight="false" outlineLevel="0" collapsed="false">
      <c r="AM537" s="178"/>
      <c r="AN537" s="178"/>
      <c r="AO537" s="178"/>
      <c r="AP537" s="178"/>
      <c r="AQ537" s="178"/>
    </row>
    <row r="538" customFormat="false" ht="12.75" hidden="false" customHeight="false" outlineLevel="0" collapsed="false">
      <c r="AM538" s="178"/>
      <c r="AN538" s="178"/>
      <c r="AO538" s="178"/>
      <c r="AP538" s="178"/>
      <c r="AQ538" s="178"/>
    </row>
    <row r="539" customFormat="false" ht="12.75" hidden="false" customHeight="false" outlineLevel="0" collapsed="false">
      <c r="AM539" s="178"/>
      <c r="AN539" s="178"/>
      <c r="AO539" s="178"/>
      <c r="AP539" s="178"/>
      <c r="AQ539" s="178"/>
    </row>
    <row r="540" customFormat="false" ht="12.75" hidden="false" customHeight="false" outlineLevel="0" collapsed="false">
      <c r="AM540" s="178"/>
      <c r="AN540" s="178"/>
      <c r="AO540" s="178"/>
      <c r="AP540" s="178"/>
      <c r="AQ540" s="178"/>
    </row>
    <row r="541" customFormat="false" ht="12.75" hidden="false" customHeight="false" outlineLevel="0" collapsed="false">
      <c r="AM541" s="178"/>
      <c r="AN541" s="178"/>
      <c r="AO541" s="178"/>
      <c r="AP541" s="178"/>
      <c r="AQ541" s="178"/>
    </row>
    <row r="542" customFormat="false" ht="12.75" hidden="false" customHeight="false" outlineLevel="0" collapsed="false">
      <c r="AM542" s="178"/>
      <c r="AN542" s="178"/>
      <c r="AO542" s="178"/>
      <c r="AP542" s="178"/>
      <c r="AQ542" s="178"/>
    </row>
    <row r="543" customFormat="false" ht="12.75" hidden="false" customHeight="false" outlineLevel="0" collapsed="false">
      <c r="AM543" s="178"/>
      <c r="AN543" s="178"/>
      <c r="AO543" s="178"/>
      <c r="AP543" s="178"/>
      <c r="AQ543" s="178"/>
    </row>
    <row r="544" customFormat="false" ht="12.75" hidden="false" customHeight="false" outlineLevel="0" collapsed="false">
      <c r="AM544" s="178"/>
      <c r="AN544" s="178"/>
      <c r="AO544" s="178"/>
      <c r="AP544" s="178"/>
      <c r="AQ544" s="178"/>
    </row>
    <row r="545" customFormat="false" ht="12.75" hidden="false" customHeight="false" outlineLevel="0" collapsed="false">
      <c r="AM545" s="178"/>
      <c r="AN545" s="178"/>
      <c r="AO545" s="178"/>
      <c r="AP545" s="178"/>
      <c r="AQ545" s="178"/>
    </row>
    <row r="546" customFormat="false" ht="12.75" hidden="false" customHeight="false" outlineLevel="0" collapsed="false">
      <c r="AM546" s="178"/>
      <c r="AN546" s="178"/>
      <c r="AO546" s="178"/>
      <c r="AP546" s="178"/>
      <c r="AQ546" s="178"/>
    </row>
    <row r="547" customFormat="false" ht="12.75" hidden="false" customHeight="false" outlineLevel="0" collapsed="false">
      <c r="AM547" s="178"/>
      <c r="AN547" s="178"/>
      <c r="AO547" s="178"/>
      <c r="AP547" s="178"/>
      <c r="AQ547" s="178"/>
    </row>
    <row r="548" customFormat="false" ht="12.75" hidden="false" customHeight="false" outlineLevel="0" collapsed="false">
      <c r="AM548" s="178"/>
      <c r="AN548" s="178"/>
      <c r="AO548" s="178"/>
      <c r="AP548" s="178"/>
      <c r="AQ548" s="178"/>
    </row>
    <row r="549" customFormat="false" ht="12.75" hidden="false" customHeight="false" outlineLevel="0" collapsed="false">
      <c r="AM549" s="178"/>
      <c r="AN549" s="178"/>
      <c r="AO549" s="178"/>
      <c r="AP549" s="178"/>
      <c r="AQ549" s="178"/>
    </row>
    <row r="550" customFormat="false" ht="12.75" hidden="false" customHeight="false" outlineLevel="0" collapsed="false">
      <c r="AM550" s="178"/>
      <c r="AN550" s="178"/>
      <c r="AO550" s="178"/>
      <c r="AP550" s="178"/>
      <c r="AQ550" s="178"/>
    </row>
    <row r="551" customFormat="false" ht="12.75" hidden="false" customHeight="false" outlineLevel="0" collapsed="false">
      <c r="AM551" s="178"/>
      <c r="AN551" s="178"/>
      <c r="AO551" s="178"/>
      <c r="AP551" s="178"/>
      <c r="AQ551" s="178"/>
    </row>
    <row r="552" customFormat="false" ht="12.75" hidden="false" customHeight="false" outlineLevel="0" collapsed="false">
      <c r="AM552" s="178"/>
      <c r="AN552" s="178"/>
      <c r="AO552" s="178"/>
      <c r="AP552" s="178"/>
      <c r="AQ552" s="178"/>
    </row>
    <row r="553" customFormat="false" ht="12.75" hidden="false" customHeight="false" outlineLevel="0" collapsed="false">
      <c r="AM553" s="178"/>
      <c r="AN553" s="178"/>
      <c r="AO553" s="178"/>
      <c r="AP553" s="178"/>
      <c r="AQ553" s="178"/>
    </row>
    <row r="554" customFormat="false" ht="12.75" hidden="false" customHeight="false" outlineLevel="0" collapsed="false">
      <c r="AM554" s="178"/>
      <c r="AN554" s="178"/>
      <c r="AO554" s="178"/>
      <c r="AP554" s="178"/>
      <c r="AQ554" s="178"/>
    </row>
    <row r="555" customFormat="false" ht="12.75" hidden="false" customHeight="false" outlineLevel="0" collapsed="false">
      <c r="AM555" s="178"/>
      <c r="AN555" s="178"/>
      <c r="AO555" s="178"/>
      <c r="AP555" s="178"/>
      <c r="AQ555" s="178"/>
    </row>
    <row r="556" customFormat="false" ht="12.75" hidden="false" customHeight="false" outlineLevel="0" collapsed="false">
      <c r="AM556" s="178"/>
      <c r="AN556" s="178"/>
      <c r="AO556" s="178"/>
      <c r="AP556" s="178"/>
      <c r="AQ556" s="178"/>
    </row>
    <row r="557" customFormat="false" ht="12.75" hidden="false" customHeight="false" outlineLevel="0" collapsed="false">
      <c r="AM557" s="178"/>
      <c r="AN557" s="178"/>
      <c r="AO557" s="178"/>
      <c r="AP557" s="178"/>
      <c r="AQ557" s="178"/>
    </row>
    <row r="558" customFormat="false" ht="12.75" hidden="false" customHeight="false" outlineLevel="0" collapsed="false">
      <c r="AM558" s="178"/>
      <c r="AN558" s="178"/>
      <c r="AO558" s="178"/>
      <c r="AP558" s="178"/>
      <c r="AQ558" s="178"/>
    </row>
    <row r="559" customFormat="false" ht="12.75" hidden="false" customHeight="false" outlineLevel="0" collapsed="false">
      <c r="AM559" s="178"/>
      <c r="AN559" s="178"/>
      <c r="AO559" s="178"/>
      <c r="AP559" s="178"/>
      <c r="AQ559" s="178"/>
    </row>
    <row r="560" customFormat="false" ht="12.75" hidden="false" customHeight="false" outlineLevel="0" collapsed="false">
      <c r="AM560" s="178"/>
      <c r="AN560" s="178"/>
      <c r="AO560" s="178"/>
      <c r="AP560" s="178"/>
      <c r="AQ560" s="178"/>
    </row>
    <row r="561" customFormat="false" ht="12.75" hidden="false" customHeight="false" outlineLevel="0" collapsed="false">
      <c r="AM561" s="178"/>
      <c r="AN561" s="178"/>
      <c r="AO561" s="178"/>
      <c r="AP561" s="178"/>
      <c r="AQ561" s="178"/>
    </row>
    <row r="562" customFormat="false" ht="12.75" hidden="false" customHeight="false" outlineLevel="0" collapsed="false">
      <c r="AM562" s="178"/>
      <c r="AN562" s="178"/>
      <c r="AO562" s="178"/>
      <c r="AP562" s="178"/>
      <c r="AQ562" s="178"/>
    </row>
    <row r="563" customFormat="false" ht="12.75" hidden="false" customHeight="false" outlineLevel="0" collapsed="false">
      <c r="AM563" s="178"/>
      <c r="AN563" s="178"/>
      <c r="AO563" s="178"/>
      <c r="AP563" s="178"/>
      <c r="AQ563" s="178"/>
    </row>
    <row r="564" customFormat="false" ht="12.75" hidden="false" customHeight="false" outlineLevel="0" collapsed="false">
      <c r="AM564" s="178"/>
      <c r="AN564" s="178"/>
      <c r="AO564" s="178"/>
      <c r="AP564" s="178"/>
      <c r="AQ564" s="178"/>
    </row>
    <row r="565" customFormat="false" ht="12.75" hidden="false" customHeight="false" outlineLevel="0" collapsed="false">
      <c r="AM565" s="178"/>
      <c r="AN565" s="178"/>
      <c r="AO565" s="178"/>
      <c r="AP565" s="178"/>
      <c r="AQ565" s="178"/>
    </row>
    <row r="566" customFormat="false" ht="12.75" hidden="false" customHeight="false" outlineLevel="0" collapsed="false">
      <c r="AM566" s="178"/>
      <c r="AN566" s="178"/>
      <c r="AO566" s="178"/>
      <c r="AP566" s="178"/>
      <c r="AQ566" s="178"/>
    </row>
    <row r="567" customFormat="false" ht="12.75" hidden="false" customHeight="false" outlineLevel="0" collapsed="false">
      <c r="AM567" s="178"/>
      <c r="AN567" s="178"/>
      <c r="AO567" s="178"/>
      <c r="AP567" s="178"/>
      <c r="AQ567" s="178"/>
    </row>
    <row r="568" customFormat="false" ht="12.75" hidden="false" customHeight="false" outlineLevel="0" collapsed="false">
      <c r="AM568" s="178"/>
      <c r="AN568" s="178"/>
      <c r="AO568" s="178"/>
      <c r="AP568" s="178"/>
      <c r="AQ568" s="178"/>
    </row>
    <row r="569" customFormat="false" ht="12.75" hidden="false" customHeight="false" outlineLevel="0" collapsed="false">
      <c r="AM569" s="178"/>
      <c r="AN569" s="178"/>
      <c r="AO569" s="178"/>
      <c r="AP569" s="178"/>
      <c r="AQ569" s="178"/>
    </row>
    <row r="570" customFormat="false" ht="12.75" hidden="false" customHeight="false" outlineLevel="0" collapsed="false">
      <c r="AM570" s="178"/>
      <c r="AN570" s="178"/>
      <c r="AO570" s="178"/>
      <c r="AP570" s="178"/>
      <c r="AQ570" s="178"/>
    </row>
    <row r="571" customFormat="false" ht="12.75" hidden="false" customHeight="false" outlineLevel="0" collapsed="false">
      <c r="AM571" s="178"/>
      <c r="AN571" s="178"/>
      <c r="AO571" s="178"/>
      <c r="AP571" s="178"/>
      <c r="AQ571" s="178"/>
    </row>
    <row r="572" customFormat="false" ht="12.75" hidden="false" customHeight="false" outlineLevel="0" collapsed="false">
      <c r="AM572" s="178"/>
      <c r="AN572" s="178"/>
      <c r="AO572" s="178"/>
      <c r="AP572" s="178"/>
      <c r="AQ572" s="178"/>
    </row>
    <row r="573" customFormat="false" ht="12.75" hidden="false" customHeight="false" outlineLevel="0" collapsed="false">
      <c r="AM573" s="178"/>
      <c r="AN573" s="178"/>
      <c r="AO573" s="178"/>
      <c r="AP573" s="178"/>
      <c r="AQ573" s="178"/>
    </row>
    <row r="574" customFormat="false" ht="12.75" hidden="false" customHeight="false" outlineLevel="0" collapsed="false">
      <c r="AM574" s="178"/>
      <c r="AN574" s="178"/>
      <c r="AO574" s="178"/>
      <c r="AP574" s="178"/>
      <c r="AQ574" s="178"/>
    </row>
    <row r="575" customFormat="false" ht="12.75" hidden="false" customHeight="false" outlineLevel="0" collapsed="false">
      <c r="AM575" s="178"/>
      <c r="AN575" s="178"/>
      <c r="AO575" s="178"/>
      <c r="AP575" s="178"/>
      <c r="AQ575" s="178"/>
    </row>
    <row r="576" customFormat="false" ht="12.75" hidden="false" customHeight="false" outlineLevel="0" collapsed="false">
      <c r="AM576" s="178"/>
      <c r="AN576" s="178"/>
      <c r="AO576" s="178"/>
      <c r="AP576" s="178"/>
      <c r="AQ576" s="178"/>
    </row>
    <row r="577" customFormat="false" ht="12.75" hidden="false" customHeight="false" outlineLevel="0" collapsed="false">
      <c r="AM577" s="178"/>
      <c r="AN577" s="178"/>
      <c r="AO577" s="178"/>
      <c r="AP577" s="178"/>
      <c r="AQ577" s="178"/>
    </row>
    <row r="578" customFormat="false" ht="12.75" hidden="false" customHeight="false" outlineLevel="0" collapsed="false">
      <c r="AM578" s="178"/>
      <c r="AN578" s="178"/>
      <c r="AO578" s="178"/>
      <c r="AP578" s="178"/>
      <c r="AQ578" s="178"/>
    </row>
    <row r="579" customFormat="false" ht="12.75" hidden="false" customHeight="false" outlineLevel="0" collapsed="false">
      <c r="AM579" s="178"/>
      <c r="AN579" s="178"/>
      <c r="AO579" s="178"/>
      <c r="AP579" s="178"/>
      <c r="AQ579" s="178"/>
    </row>
    <row r="580" customFormat="false" ht="12.75" hidden="false" customHeight="false" outlineLevel="0" collapsed="false">
      <c r="AM580" s="178"/>
      <c r="AN580" s="178"/>
      <c r="AO580" s="178"/>
      <c r="AP580" s="178"/>
      <c r="AQ580" s="178"/>
    </row>
    <row r="581" customFormat="false" ht="12.75" hidden="false" customHeight="false" outlineLevel="0" collapsed="false">
      <c r="AM581" s="178"/>
      <c r="AN581" s="178"/>
      <c r="AO581" s="178"/>
      <c r="AP581" s="178"/>
      <c r="AQ581" s="178"/>
    </row>
    <row r="582" customFormat="false" ht="12.75" hidden="false" customHeight="false" outlineLevel="0" collapsed="false">
      <c r="AM582" s="178"/>
      <c r="AN582" s="178"/>
      <c r="AO582" s="178"/>
      <c r="AP582" s="178"/>
      <c r="AQ582" s="178"/>
    </row>
    <row r="583" customFormat="false" ht="12.75" hidden="false" customHeight="false" outlineLevel="0" collapsed="false">
      <c r="AM583" s="178"/>
      <c r="AN583" s="178"/>
      <c r="AO583" s="178"/>
      <c r="AP583" s="178"/>
      <c r="AQ583" s="178"/>
    </row>
    <row r="584" customFormat="false" ht="12.75" hidden="false" customHeight="false" outlineLevel="0" collapsed="false">
      <c r="AM584" s="178"/>
      <c r="AN584" s="178"/>
      <c r="AO584" s="178"/>
      <c r="AP584" s="178"/>
      <c r="AQ584" s="178"/>
    </row>
    <row r="585" customFormat="false" ht="12.75" hidden="false" customHeight="false" outlineLevel="0" collapsed="false">
      <c r="AM585" s="178"/>
      <c r="AN585" s="178"/>
      <c r="AO585" s="178"/>
      <c r="AP585" s="178"/>
      <c r="AQ585" s="178"/>
    </row>
    <row r="586" customFormat="false" ht="12.75" hidden="false" customHeight="false" outlineLevel="0" collapsed="false">
      <c r="AM586" s="178"/>
      <c r="AN586" s="178"/>
      <c r="AO586" s="178"/>
      <c r="AP586" s="178"/>
      <c r="AQ586" s="178"/>
    </row>
    <row r="587" customFormat="false" ht="12.75" hidden="false" customHeight="false" outlineLevel="0" collapsed="false">
      <c r="AM587" s="178"/>
      <c r="AN587" s="178"/>
      <c r="AO587" s="178"/>
      <c r="AP587" s="178"/>
      <c r="AQ587" s="178"/>
    </row>
    <row r="588" customFormat="false" ht="12.75" hidden="false" customHeight="false" outlineLevel="0" collapsed="false">
      <c r="AM588" s="178"/>
      <c r="AN588" s="178"/>
      <c r="AO588" s="178"/>
      <c r="AP588" s="178"/>
      <c r="AQ588" s="178"/>
    </row>
    <row r="589" customFormat="false" ht="12.75" hidden="false" customHeight="false" outlineLevel="0" collapsed="false">
      <c r="AM589" s="178"/>
      <c r="AN589" s="178"/>
      <c r="AO589" s="178"/>
      <c r="AP589" s="178"/>
      <c r="AQ589" s="178"/>
    </row>
    <row r="590" customFormat="false" ht="12.75" hidden="false" customHeight="false" outlineLevel="0" collapsed="false">
      <c r="AM590" s="178"/>
      <c r="AN590" s="178"/>
      <c r="AO590" s="178"/>
      <c r="AP590" s="178"/>
      <c r="AQ590" s="178"/>
    </row>
    <row r="591" customFormat="false" ht="12.75" hidden="false" customHeight="false" outlineLevel="0" collapsed="false">
      <c r="AM591" s="178"/>
      <c r="AN591" s="178"/>
      <c r="AO591" s="178"/>
      <c r="AP591" s="178"/>
      <c r="AQ591" s="178"/>
    </row>
    <row r="592" customFormat="false" ht="12.75" hidden="false" customHeight="false" outlineLevel="0" collapsed="false">
      <c r="AM592" s="178"/>
      <c r="AN592" s="178"/>
      <c r="AO592" s="178"/>
      <c r="AP592" s="178"/>
      <c r="AQ592" s="178"/>
    </row>
    <row r="593" customFormat="false" ht="12.75" hidden="false" customHeight="false" outlineLevel="0" collapsed="false">
      <c r="AM593" s="178"/>
      <c r="AN593" s="178"/>
      <c r="AO593" s="178"/>
      <c r="AP593" s="178"/>
      <c r="AQ593" s="178"/>
    </row>
    <row r="594" customFormat="false" ht="12.75" hidden="false" customHeight="false" outlineLevel="0" collapsed="false">
      <c r="AM594" s="178"/>
      <c r="AN594" s="178"/>
      <c r="AO594" s="178"/>
      <c r="AP594" s="178"/>
      <c r="AQ594" s="178"/>
    </row>
    <row r="595" customFormat="false" ht="12.75" hidden="false" customHeight="false" outlineLevel="0" collapsed="false">
      <c r="AM595" s="178"/>
      <c r="AN595" s="178"/>
      <c r="AO595" s="178"/>
      <c r="AP595" s="178"/>
      <c r="AQ595" s="178"/>
    </row>
    <row r="596" customFormat="false" ht="12.75" hidden="false" customHeight="false" outlineLevel="0" collapsed="false">
      <c r="AM596" s="178"/>
      <c r="AN596" s="178"/>
      <c r="AO596" s="178"/>
      <c r="AP596" s="178"/>
      <c r="AQ596" s="178"/>
    </row>
    <row r="597" customFormat="false" ht="12.75" hidden="false" customHeight="false" outlineLevel="0" collapsed="false">
      <c r="AM597" s="178"/>
      <c r="AN597" s="178"/>
      <c r="AO597" s="178"/>
      <c r="AP597" s="178"/>
      <c r="AQ597" s="178"/>
    </row>
    <row r="598" customFormat="false" ht="12.75" hidden="false" customHeight="false" outlineLevel="0" collapsed="false">
      <c r="AM598" s="178"/>
      <c r="AN598" s="178"/>
      <c r="AO598" s="178"/>
      <c r="AP598" s="178"/>
      <c r="AQ598" s="178"/>
    </row>
    <row r="599" customFormat="false" ht="12.75" hidden="false" customHeight="false" outlineLevel="0" collapsed="false">
      <c r="AM599" s="178"/>
      <c r="AN599" s="178"/>
      <c r="AO599" s="178"/>
      <c r="AP599" s="178"/>
      <c r="AQ599" s="178"/>
    </row>
    <row r="600" customFormat="false" ht="12.75" hidden="false" customHeight="false" outlineLevel="0" collapsed="false">
      <c r="AM600" s="178"/>
      <c r="AN600" s="178"/>
      <c r="AO600" s="178"/>
      <c r="AP600" s="178"/>
      <c r="AQ600" s="178"/>
    </row>
    <row r="601" customFormat="false" ht="12.75" hidden="false" customHeight="false" outlineLevel="0" collapsed="false">
      <c r="AM601" s="178"/>
      <c r="AN601" s="178"/>
      <c r="AO601" s="178"/>
      <c r="AP601" s="178"/>
      <c r="AQ601" s="178"/>
    </row>
    <row r="602" customFormat="false" ht="12.75" hidden="false" customHeight="false" outlineLevel="0" collapsed="false">
      <c r="AM602" s="178"/>
      <c r="AN602" s="178"/>
      <c r="AO602" s="178"/>
      <c r="AP602" s="178"/>
      <c r="AQ602" s="178"/>
    </row>
    <row r="603" customFormat="false" ht="12.75" hidden="false" customHeight="false" outlineLevel="0" collapsed="false">
      <c r="AM603" s="178"/>
      <c r="AN603" s="178"/>
      <c r="AO603" s="178"/>
      <c r="AP603" s="178"/>
      <c r="AQ603" s="178"/>
    </row>
    <row r="604" customFormat="false" ht="12.75" hidden="false" customHeight="false" outlineLevel="0" collapsed="false">
      <c r="AM604" s="178"/>
      <c r="AN604" s="178"/>
      <c r="AO604" s="178"/>
      <c r="AP604" s="178"/>
      <c r="AQ604" s="178"/>
    </row>
    <row r="605" customFormat="false" ht="12.75" hidden="false" customHeight="false" outlineLevel="0" collapsed="false">
      <c r="AM605" s="178"/>
      <c r="AN605" s="178"/>
      <c r="AO605" s="178"/>
      <c r="AP605" s="178"/>
      <c r="AQ605" s="178"/>
    </row>
    <row r="606" customFormat="false" ht="12.75" hidden="false" customHeight="false" outlineLevel="0" collapsed="false">
      <c r="AM606" s="178"/>
      <c r="AN606" s="178"/>
      <c r="AO606" s="178"/>
      <c r="AP606" s="178"/>
      <c r="AQ606" s="178"/>
    </row>
    <row r="607" customFormat="false" ht="12.75" hidden="false" customHeight="false" outlineLevel="0" collapsed="false">
      <c r="AM607" s="178"/>
      <c r="AN607" s="178"/>
      <c r="AO607" s="178"/>
      <c r="AP607" s="178"/>
      <c r="AQ607" s="178"/>
    </row>
    <row r="608" customFormat="false" ht="12.75" hidden="false" customHeight="false" outlineLevel="0" collapsed="false">
      <c r="AM608" s="178"/>
      <c r="AN608" s="178"/>
      <c r="AO608" s="178"/>
      <c r="AP608" s="178"/>
      <c r="AQ608" s="178"/>
    </row>
    <row r="609" customFormat="false" ht="12.75" hidden="false" customHeight="false" outlineLevel="0" collapsed="false">
      <c r="AM609" s="178"/>
      <c r="AN609" s="178"/>
      <c r="AO609" s="178"/>
      <c r="AP609" s="178"/>
      <c r="AQ609" s="178"/>
    </row>
    <row r="610" customFormat="false" ht="12.75" hidden="false" customHeight="false" outlineLevel="0" collapsed="false">
      <c r="AM610" s="178"/>
      <c r="AN610" s="178"/>
      <c r="AO610" s="178"/>
      <c r="AP610" s="178"/>
      <c r="AQ610" s="178"/>
    </row>
    <row r="611" customFormat="false" ht="12.75" hidden="false" customHeight="false" outlineLevel="0" collapsed="false">
      <c r="AM611" s="178"/>
      <c r="AN611" s="178"/>
      <c r="AO611" s="178"/>
      <c r="AP611" s="178"/>
      <c r="AQ611" s="178"/>
    </row>
    <row r="612" customFormat="false" ht="12.75" hidden="false" customHeight="false" outlineLevel="0" collapsed="false">
      <c r="AM612" s="178"/>
      <c r="AN612" s="178"/>
      <c r="AO612" s="178"/>
      <c r="AP612" s="178"/>
      <c r="AQ612" s="178"/>
    </row>
    <row r="613" customFormat="false" ht="12.75" hidden="false" customHeight="false" outlineLevel="0" collapsed="false">
      <c r="AM613" s="178"/>
      <c r="AN613" s="178"/>
      <c r="AO613" s="178"/>
      <c r="AP613" s="178"/>
      <c r="AQ613" s="178"/>
    </row>
    <row r="614" customFormat="false" ht="12.75" hidden="false" customHeight="false" outlineLevel="0" collapsed="false">
      <c r="AM614" s="178"/>
      <c r="AN614" s="178"/>
      <c r="AO614" s="178"/>
      <c r="AP614" s="178"/>
      <c r="AQ614" s="178"/>
    </row>
    <row r="615" customFormat="false" ht="12.75" hidden="false" customHeight="false" outlineLevel="0" collapsed="false">
      <c r="AM615" s="178"/>
      <c r="AN615" s="178"/>
      <c r="AO615" s="178"/>
      <c r="AP615" s="178"/>
      <c r="AQ615" s="178"/>
    </row>
    <row r="616" customFormat="false" ht="12.75" hidden="false" customHeight="false" outlineLevel="0" collapsed="false">
      <c r="AM616" s="178"/>
      <c r="AN616" s="178"/>
      <c r="AO616" s="178"/>
      <c r="AP616" s="178"/>
      <c r="AQ616" s="178"/>
    </row>
    <row r="617" customFormat="false" ht="12.75" hidden="false" customHeight="false" outlineLevel="0" collapsed="false">
      <c r="AM617" s="178"/>
      <c r="AN617" s="178"/>
      <c r="AO617" s="178"/>
      <c r="AP617" s="178"/>
      <c r="AQ617" s="178"/>
    </row>
    <row r="618" customFormat="false" ht="12.75" hidden="false" customHeight="false" outlineLevel="0" collapsed="false">
      <c r="AM618" s="178"/>
      <c r="AN618" s="178"/>
      <c r="AO618" s="178"/>
      <c r="AP618" s="178"/>
      <c r="AQ618" s="178"/>
    </row>
    <row r="619" customFormat="false" ht="12.75" hidden="false" customHeight="false" outlineLevel="0" collapsed="false">
      <c r="AM619" s="178"/>
      <c r="AN619" s="178"/>
      <c r="AO619" s="178"/>
      <c r="AP619" s="178"/>
      <c r="AQ619" s="178"/>
    </row>
    <row r="620" customFormat="false" ht="12.75" hidden="false" customHeight="false" outlineLevel="0" collapsed="false">
      <c r="AM620" s="178"/>
      <c r="AN620" s="178"/>
      <c r="AO620" s="178"/>
      <c r="AP620" s="178"/>
      <c r="AQ620" s="178"/>
    </row>
    <row r="621" customFormat="false" ht="12.75" hidden="false" customHeight="false" outlineLevel="0" collapsed="false">
      <c r="AM621" s="178"/>
      <c r="AN621" s="178"/>
      <c r="AO621" s="178"/>
      <c r="AP621" s="178"/>
      <c r="AQ621" s="178"/>
    </row>
    <row r="622" customFormat="false" ht="12.75" hidden="false" customHeight="false" outlineLevel="0" collapsed="false">
      <c r="AM622" s="178"/>
      <c r="AN622" s="178"/>
      <c r="AO622" s="178"/>
      <c r="AP622" s="178"/>
      <c r="AQ622" s="178"/>
    </row>
    <row r="623" customFormat="false" ht="12.75" hidden="false" customHeight="false" outlineLevel="0" collapsed="false">
      <c r="AM623" s="178"/>
      <c r="AN623" s="178"/>
      <c r="AO623" s="178"/>
      <c r="AP623" s="178"/>
      <c r="AQ623" s="178"/>
    </row>
    <row r="624" customFormat="false" ht="12.75" hidden="false" customHeight="false" outlineLevel="0" collapsed="false">
      <c r="AM624" s="178"/>
      <c r="AN624" s="178"/>
      <c r="AO624" s="178"/>
      <c r="AP624" s="178"/>
      <c r="AQ624" s="178"/>
    </row>
    <row r="625" customFormat="false" ht="12.75" hidden="false" customHeight="false" outlineLevel="0" collapsed="false">
      <c r="AM625" s="178"/>
      <c r="AN625" s="178"/>
      <c r="AO625" s="178"/>
      <c r="AP625" s="178"/>
      <c r="AQ625" s="178"/>
    </row>
    <row r="626" customFormat="false" ht="12.75" hidden="false" customHeight="false" outlineLevel="0" collapsed="false">
      <c r="AM626" s="178"/>
      <c r="AN626" s="178"/>
      <c r="AO626" s="178"/>
      <c r="AP626" s="178"/>
      <c r="AQ626" s="178"/>
    </row>
    <row r="627" customFormat="false" ht="12.75" hidden="false" customHeight="false" outlineLevel="0" collapsed="false">
      <c r="AM627" s="178"/>
      <c r="AN627" s="178"/>
      <c r="AO627" s="178"/>
      <c r="AP627" s="178"/>
      <c r="AQ627" s="178"/>
    </row>
    <row r="628" customFormat="false" ht="12.75" hidden="false" customHeight="false" outlineLevel="0" collapsed="false">
      <c r="AM628" s="178"/>
      <c r="AN628" s="178"/>
      <c r="AO628" s="178"/>
      <c r="AP628" s="178"/>
      <c r="AQ628" s="178"/>
    </row>
    <row r="629" customFormat="false" ht="12.75" hidden="false" customHeight="false" outlineLevel="0" collapsed="false">
      <c r="AM629" s="178"/>
      <c r="AN629" s="178"/>
      <c r="AO629" s="178"/>
      <c r="AP629" s="178"/>
      <c r="AQ629" s="178"/>
    </row>
    <row r="630" customFormat="false" ht="12.75" hidden="false" customHeight="false" outlineLevel="0" collapsed="false">
      <c r="AM630" s="178"/>
      <c r="AN630" s="178"/>
      <c r="AO630" s="178"/>
      <c r="AP630" s="178"/>
      <c r="AQ630" s="178"/>
    </row>
    <row r="631" customFormat="false" ht="12.75" hidden="false" customHeight="false" outlineLevel="0" collapsed="false">
      <c r="AM631" s="178"/>
      <c r="AN631" s="178"/>
      <c r="AO631" s="178"/>
      <c r="AP631" s="178"/>
      <c r="AQ631" s="178"/>
    </row>
    <row r="632" customFormat="false" ht="12.75" hidden="false" customHeight="false" outlineLevel="0" collapsed="false">
      <c r="AM632" s="178"/>
      <c r="AN632" s="178"/>
      <c r="AO632" s="178"/>
      <c r="AP632" s="178"/>
      <c r="AQ632" s="178"/>
    </row>
  </sheetData>
  <mergeCells count="2">
    <mergeCell ref="U3:Y3"/>
    <mergeCell ref="AA3:AE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Eric Boyt</cp:lastModifiedBy>
  <cp:lastPrinted>2001-10-29T19:04:56Z</cp:lastPrinted>
  <dcterms:modified xsi:type="dcterms:W3CDTF">2001-10-29T19:11:35Z</dcterms:modified>
  <cp:revision>0</cp:revision>
  <dc:subject/>
  <dc:title/>
</cp:coreProperties>
</file>