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2.xml.rels" ContentType="application/vnd.openxmlformats-package.relationships+xml"/>
  <Override PartName="/xl/worksheets/_rels/sheet4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_rels/externalLink18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34.xml.rels" ContentType="application/vnd.openxmlformats-package.relationships+xml"/>
  <Override PartName="/xl/externalLinks/_rels/externalLink29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31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3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33.xml.rels" ContentType="application/vnd.openxmlformats-package.relationships+xml"/>
  <Override PartName="/xl/externalLinks/_rels/externalLink30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vmlDrawing1.vml" ContentType="application/vnd.openxmlformats-officedocument.vmlDrawing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JORS" sheetId="1" state="visible" r:id="rId3"/>
    <sheet name="US INTEGRATEDS" sheetId="2" state="visible" r:id="rId4"/>
    <sheet name="INTERNATIONAL INTEGRATEDS" sheetId="3" state="visible" r:id="rId5"/>
    <sheet name="GAS PIPELINES" sheetId="4" state="visible" r:id="rId6"/>
    <sheet name="REFINING" sheetId="5" state="visible" r:id="rId7"/>
    <sheet name="RETAIL &amp; LUBES" sheetId="6" state="visible" r:id="rId8"/>
    <sheet name="LARGE E&amp;P" sheetId="7" state="visible" r:id="rId9"/>
    <sheet name="MID E&amp;P" sheetId="8" state="visible" r:id="rId10"/>
    <sheet name="SMALL E&amp;P" sheetId="9" state="visible" r:id="rId11"/>
    <sheet name="EUROPEAN E&amp;P" sheetId="10" state="visible" r:id="rId12"/>
    <sheet name="MLP" sheetId="11" state="visible" r:id="rId13"/>
    <sheet name="__FDSCACHE__" sheetId="12" state="hidden" r:id="rId14"/>
    <sheet name="OILFIELD SERVICES" sheetId="13" state="visible" r:id="rId15"/>
    <sheet name="EUROPEAN OILFIELD SERVICES" sheetId="14" state="visible" r:id="rId16"/>
    <sheet name="OFFSHORE OILFIELD SERVICES" sheetId="15" state="visible" r:id="rId17"/>
    <sheet name="LAND DRILLING" sheetId="16" state="visible" r:id="rId18"/>
    <sheet name="CANANDIAN" sheetId="17" state="visible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function="false" hidden="false" localSheetId="16" name="_xlnm.Print_Area" vbProcedure="false">CANANDIAN!$A$1:$X$61</definedName>
    <definedName function="false" hidden="false" localSheetId="9" name="_xlnm.Print_Area" vbProcedure="false">'EUROPEAN E&amp;P'!$A$2:$Z$37</definedName>
    <definedName function="false" hidden="false" localSheetId="13" name="_xlnm.Print_Area" vbProcedure="false">'EUROPEAN OILFIELD SERVICES'!$B$2:$V$49</definedName>
    <definedName function="false" hidden="false" localSheetId="3" name="_xlnm.Print_Area" vbProcedure="false">'GAS PIPELINES'!$A$1:$Z$48</definedName>
    <definedName function="false" hidden="false" localSheetId="2" name="_xlnm.Print_Area" vbProcedure="false">'INTERNATIONAL INTEGRATEDS'!$A$2:$Z$47</definedName>
    <definedName function="false" hidden="false" localSheetId="15" name="_xlnm.Print_Area" vbProcedure="false">'LAND DRILLING'!$A$1:$Z$50</definedName>
    <definedName function="false" hidden="false" localSheetId="6" name="_xlnm.Print_Area" vbProcedure="false">'LARGE E&amp;P'!$A$1:$Z$50</definedName>
    <definedName function="false" hidden="false" localSheetId="0" name="_xlnm.Print_Area" vbProcedure="false">MAJORS!$A$1:$Z$48</definedName>
    <definedName function="false" hidden="false" localSheetId="7" name="_xlnm.Print_Area" vbProcedure="false">'MID E&amp;P'!$A$1:$Z$65</definedName>
    <definedName function="false" hidden="false" localSheetId="10" name="_xlnm.Print_Area" vbProcedure="false">MLP!$A$1:$AA$48</definedName>
    <definedName function="false" hidden="false" localSheetId="14" name="_xlnm.Print_Area" vbProcedure="false">'OFFSHORE OILFIELD SERVICES'!$A$1:$Z$46</definedName>
    <definedName function="false" hidden="false" localSheetId="12" name="_xlnm.Print_Area" vbProcedure="false">'OILFIELD SERVICES'!$A$1:$Z$71</definedName>
    <definedName function="false" hidden="false" localSheetId="4" name="_xlnm.Print_Area" vbProcedure="false">REFINING!$A$1:$Z$46</definedName>
    <definedName function="false" hidden="false" localSheetId="5" name="_xlnm.Print_Area" vbProcedure="false">'RETAIL &amp; LUBES'!$A$1:$Z$48</definedName>
    <definedName function="false" hidden="false" localSheetId="8" name="_xlnm.Print_Area" vbProcedure="false">'SMALL E&amp;P'!$A$1:$Z$79</definedName>
    <definedName function="false" hidden="false" localSheetId="1" name="_xlnm.Print_Area" vbProcedure="false">'US INTEGRATEDS'!$A$1:$W$46</definedName>
    <definedName function="false" hidden="false" name="Adjusted_Market_Value" vbProcedure="false">'[4]'!$A$24:$O$24</definedName>
    <definedName function="false" hidden="false" name="After_Tax_SEC_PV_10" vbProcedure="false">'[4]'!$B$145:$O$145</definedName>
    <definedName function="false" hidden="false" name="AMV___1997E_EBITDAX" vbProcedure="false">'[4]'!$A$28:$O$28</definedName>
    <definedName function="false" hidden="false" name="AMV___1998E_EBITDAX" vbProcedure="false">'[4]'!$A$27:$O$27</definedName>
    <definedName function="false" hidden="false" name="AMV___After_Tax_SEC_10_Value" vbProcedure="false">'[4]'!$A$42:$N$42</definedName>
    <definedName function="false" hidden="false" name="AMV___LTM_EBITDAX" vbProcedure="false">'[4]'!$A$29:$N$29</definedName>
    <definedName function="false" hidden="false" name="AMV___Proved_BOE" vbProcedure="false">'[4]'!$A$43:$AQ$43</definedName>
    <definedName function="false" hidden="false" name="AMV____Net_PP_E" vbProcedure="false">'[4]'!$B$44:$AR$44</definedName>
    <definedName function="false" hidden="false" name="AQP" vbProcedure="false">'[4]'!$D$7:$D$350</definedName>
    <definedName function="false" hidden="false" name="BRG" vbProcedure="false">'[4]'!$D$1:$D$1048576</definedName>
    <definedName function="false" hidden="false" name="cd_Start_year" vbProcedure="false">[3]cd_Data!$C$3</definedName>
    <definedName function="false" hidden="false" name="CEUS" vbProcedure="false">'[4]'!$J$7:$J$435</definedName>
    <definedName function="false" hidden="false" name="CG" vbProcedure="false">'[4]'!$E$7:$E$435</definedName>
    <definedName function="false" hidden="false" name="CGP" vbProcedure="false">'[4]'!$D$7:$D$435</definedName>
    <definedName function="false" hidden="false" name="CNG" vbProcedure="false">'[4]'!$F$7:$F$435</definedName>
    <definedName function="false" hidden="false" name="COG" vbProcedure="false">'[4]'!$E$7:$E$435</definedName>
    <definedName function="false" hidden="false" name="Common_Shareholders__Equity" vbProcedure="false">'[4]'!$A$96:$V$96</definedName>
    <definedName function="false" hidden="false" name="Company_Name" vbProcedure="false">'[4]'!$A$7:$O$7</definedName>
    <definedName function="false" hidden="false" name="Convertible_Debt" vbProcedure="false">'[4]'!$A$91:$V$91</definedName>
    <definedName function="false" hidden="false" name="currency" vbProcedure="false">'[4]'!$C$27</definedName>
    <definedName function="false" hidden="false" name="denomination" vbProcedure="false">'[4]'!$C$28</definedName>
    <definedName function="false" hidden="false" name="DGP" vbProcedure="false">'[4]'!$I$7:$I$350</definedName>
    <definedName function="false" hidden="false" name="Dividend_Yield" vbProcedure="false">'[4]'!$A$19:$O$19</definedName>
    <definedName function="false" hidden="false" name="E" vbProcedure="false">'[4]'!$F$1:$F$1048576</definedName>
    <definedName function="false" hidden="false" name="EEX" vbProcedure="false">'[4]'!$G$7:$G$435</definedName>
    <definedName function="false" hidden="false" name="ELF" vbProcedure="false">'[4]'!$E$1:$E$1048576</definedName>
    <definedName function="false" hidden="false" name="ENE" vbProcedure="false">'[4]'!$H$7:$H$435</definedName>
    <definedName function="false" hidden="false" name="EPG" vbProcedure="false">'[4]'!$G$7:$G$435</definedName>
    <definedName function="false" hidden="false" name="Exchange" vbProcedure="false">'[4]'!$A$11:$N$11</definedName>
    <definedName function="false" hidden="false" name="Fully_Diluted_Shares_Outstanding__Millions" vbProcedure="false">'[4]'!$A$16:$O$16</definedName>
    <definedName function="false" hidden="false" name="Gas_as_a___of_Total" vbProcedure="false">'[4]'!$B$129:$O$129</definedName>
    <definedName function="false" hidden="false" name="Indicated_Annual_Dividend" vbProcedure="false">'[4]'!$A$18:$V$18</definedName>
    <definedName function="false" hidden="false" name="IPPIF" vbProcedure="false">'[4]'!$M$7:$M$435</definedName>
    <definedName function="false" hidden="false" name="KNE" vbProcedure="false">'[4]'!$E$7:$E$350</definedName>
    <definedName function="false" hidden="false" name="Less__Cash_and_Equivalents" vbProcedure="false">'[4]'!$A$86:$CH$86</definedName>
    <definedName function="false" hidden="false" name="Long_Term_Debt" vbProcedure="false">'[4]'!$A$92:$V$92</definedName>
    <definedName function="false" hidden="false" name="LTM_Asset_Sales" vbProcedure="false">'[4]'!$A$346:$V$346</definedName>
    <definedName function="false" hidden="false" name="LTM_ATCF___LTM_Revenues" vbProcedure="false">'[4]'!$B$43:$AQ$43</definedName>
    <definedName function="false" hidden="false" name="LTM_Capex" vbProcedure="false">'[4]'!$A$338:$V$338</definedName>
    <definedName function="false" hidden="false" name="LTM_Capitalized_Interest" vbProcedure="false">'[4]'!$A$297:$AO$297</definedName>
    <definedName function="false" hidden="false" name="LTM_Cash_Flow" vbProcedure="false">'[4]'!$A$330:$V$330</definedName>
    <definedName function="false" hidden="false" name="LTM_Current_Income_Tax" vbProcedure="false">'[4]'!$A$297:$V$297</definedName>
    <definedName function="false" hidden="false" name="LTM_DD_A" vbProcedure="false">'[4]'!$A$249:$V$249</definedName>
    <definedName function="false" hidden="false" name="LTM_Deferred_Income_Tax" vbProcedure="false">'[4]'!$A$305:$V$305</definedName>
    <definedName function="false" hidden="false" name="LTM_EBIT" vbProcedure="false">'[4]'!$A$265:$V$265</definedName>
    <definedName function="false" hidden="false" name="LTM_EBITDAX" vbProcedure="false">'[4]'!$A$241:$V$241</definedName>
    <definedName function="false" hidden="false" name="LTM_Exploration_Expense" vbProcedure="false">'[4]'!$A$257:$V$257</definedName>
    <definedName function="false" hidden="false" name="LTM_High" vbProcedure="false">'[4]'!$A$14:$O$14</definedName>
    <definedName function="false" hidden="false" name="LTM_Interest_Expense" vbProcedure="false">'[4]'!$A$273:$V$273</definedName>
    <definedName function="false" hidden="false" name="LTM_Low" vbProcedure="false">'[4]'!$A$15:$O$15</definedName>
    <definedName function="false" hidden="false" name="LTM_Minority_Interest" vbProcedure="false">'[4]'!$A$289:$V$289</definedName>
    <definedName function="false" hidden="false" name="LTM_Net_Income" vbProcedure="false">'[4]'!$A$313:$V$313</definedName>
    <definedName function="false" hidden="false" name="LTM_Non_Cash_Items" vbProcedure="false">'[4]'!$A$322:$V$322</definedName>
    <definedName function="false" hidden="false" name="LTM_Other_Income" vbProcedure="false">'[4]'!$A$229:$HU$229</definedName>
    <definedName function="false" hidden="false" name="LTM_Revenue" vbProcedure="false">'[4]'!$A$233:$V$233</definedName>
    <definedName function="false" hidden="false" name="LTM_Weighted_Average_Shares_Outstanding" vbProcedure="false">'[4]'!$A$326:$BR$326</definedName>
    <definedName function="false" hidden="false" name="Market_Value" vbProcedure="false">'[4]'!$A$21:$O$21</definedName>
    <definedName function="false" hidden="false" name="Market_Value_1" vbProcedure="false">'[4]'!$A$21:$O$21</definedName>
    <definedName function="false" hidden="false" name="Market_Value_of_Reserves___After_Tax_SEC_10_Value" vbProcedure="false">'[4]'!$A$42:$O$42</definedName>
    <definedName function="false" hidden="false" name="Market_Value_of_Reserves___Proved_BOE" vbProcedure="false">'[4]'!$A$41:$V$41</definedName>
    <definedName function="false" hidden="false" name="Market_Value_of_Reserves___Proved_BOE_10" vbProcedure="false">'[4]'!$A$41:$O$41</definedName>
    <definedName function="false" hidden="false" name="Market_Value___Book_Value" vbProcedure="false">'[4]'!$A$39:$V$39</definedName>
    <definedName function="false" hidden="false" name="Market____Book_Value" vbProcedure="false">'[4]'!$A$39:$O$39</definedName>
    <definedName function="false" hidden="false" name="Minority_Interest" vbProcedure="false">'[4]'!$A$94:$V$94</definedName>
    <definedName function="false" hidden="false" name="MV___1997E_Cash_Flow" vbProcedure="false">'[4]'!$A$32:$O$32</definedName>
    <definedName function="false" hidden="false" name="MV___1997E_Net_Income" vbProcedure="false">'[4]'!$A$36:$O$36</definedName>
    <definedName function="false" hidden="false" name="MV___1998E_Cash_Flow" vbProcedure="false">'[4]'!$A$31:$O$31</definedName>
    <definedName function="false" hidden="false" name="MV___1998E_Net_Income" vbProcedure="false">'[4]'!$A$35:$O$35</definedName>
    <definedName function="false" hidden="false" name="MV___LTM_Cash_Flow" vbProcedure="false">'[4]'!$A$33:$N$33</definedName>
    <definedName function="false" hidden="false" name="MV___LTM_Net_Income" vbProcedure="false">'[4]'!$A$37:$N$37</definedName>
    <definedName function="false" hidden="false" name="NCA" vbProcedure="false">'[4]'!$N$7:$N$435</definedName>
    <definedName function="false" hidden="false" name="NESV" vbProcedure="false">'[4]'!$M$1:$M$1048576</definedName>
    <definedName function="false" hidden="false" name="Net_Total_Book_Capitalization" vbProcedure="false">'[4]'!$B$88:$CJ$88</definedName>
    <definedName function="false" hidden="false" name="NGL" vbProcedure="false">'[4]'!$F$7:$F$350</definedName>
    <definedName function="false" hidden="false" name="NHY" vbProcedure="false">'[4]'!$G$1:$G$1048576</definedName>
    <definedName function="false" hidden="false" name="NYH" vbProcedure="false">'[4]'!$G$1:$G$1048576</definedName>
    <definedName function="false" hidden="false" name="OMVAY" vbProcedure="false">'[4]'!$H$1:$H$1048576</definedName>
    <definedName function="false" hidden="false" name="PEL" vbProcedure="false">'[4]'!$I$7:$I$435</definedName>
    <definedName function="false" hidden="false" name="Preferred_Stock" vbProcedure="false">'[4]'!$A$95:$V$95</definedName>
    <definedName function="false" hidden="false" name="PTRFY" vbProcedure="false">'[4]'!$I$1:$I$1048576</definedName>
    <definedName function="false" hidden="false" name="REP" vbProcedure="false">'[4]'!$J$1:$J$1048576</definedName>
    <definedName function="false" hidden="false" name="res_switch" vbProcedure="false">'[4]'!$AH$12</definedName>
    <definedName function="false" hidden="false" name="Shares_Outstanding" vbProcedure="false">'[4]'!$A$16:$N$16</definedName>
    <definedName function="false" hidden="false" name="Share_Price" vbProcedure="false">'[4]'!$A$13:$O$13</definedName>
    <definedName function="false" hidden="false" name="Short_Term_Debt" vbProcedure="false">'[4]'!$A$90:$V$90</definedName>
    <definedName function="false" hidden="false" name="SNT" vbProcedure="false">'[4]'!$J$7:$J$435</definedName>
    <definedName function="false" hidden="false" name="SWN" vbProcedure="false">'[4]'!$I$7:$I$435</definedName>
    <definedName function="false" hidden="false" name="TAX_RATE" vbProcedure="false">'[4]'!$O$48</definedName>
    <definedName function="false" hidden="false" name="TEJ" vbProcedure="false">'[4]'!$G$7:$G$350</definedName>
    <definedName function="false" hidden="false" name="THX" vbProcedure="false">'[4]'!$H$7:$H$435</definedName>
    <definedName function="false" hidden="false" name="Ticker" vbProcedure="false">'[4]'!$A$8:$H$8</definedName>
    <definedName function="false" hidden="false" name="Ticker_Symbol" vbProcedure="false">'[4]'!$A$12:$O$12</definedName>
    <definedName function="false" hidden="false" name="TOT" vbProcedure="false">'[4]'!$K$1:$K$1048576</definedName>
    <definedName function="false" hidden="false" name="Total_Book_Capitalization" vbProcedure="false">'[4]'!$B$98:$V$98</definedName>
    <definedName function="false" hidden="false" name="Total_Debt___Total_Book_Capitalization" vbProcedure="false">'[4]'!$B$54:$N$54</definedName>
    <definedName function="false" hidden="false" name="Total_Debt___Total_Market_Capitalization" vbProcedure="false">'[4]'!$B$55:$N$55</definedName>
    <definedName function="false" hidden="false" name="Total__MMboe__Reserves" vbProcedure="false">'[4]'!$B$128:$O$128</definedName>
    <definedName function="false" hidden="false" name="Total__MMboe___Year__Production" vbProcedure="false">'[4]'!$B$136:$N$136</definedName>
    <definedName function="false" hidden="false" name="TPC" vbProcedure="false">'[4]'!$H$7:$H$350</definedName>
    <definedName function="false" hidden="false" name="TRP" vbProcedure="false">'[4]'!$O$7:$O$435</definedName>
    <definedName function="false" hidden="false" name="type" vbProcedure="false">'[4]'!$C$26</definedName>
    <definedName function="false" hidden="false" name="USD" vbProcedure="false">'[4]'!$AH$16</definedName>
    <definedName function="false" hidden="false" name="WE" vbProcedure="false">'[4]'!$K$7:$K$435</definedName>
    <definedName function="false" hidden="false" name="WGR" vbProcedure="false">'[4]'!$J$7:$J$350</definedName>
    <definedName function="false" hidden="false" name="WMB" vbProcedure="false">'[4]'!$L$7:$L$435</definedName>
    <definedName function="false" hidden="false" name="wrn_Wacc_" vbProcedure="false">{"Area1",#N/A,FALSE,"OREWACC";"Area2",#N/A,FALSE,"OREWACC"}</definedName>
    <definedName function="false" hidden="false" name="yc_Cash_flow_per_share" vbProcedure="false">'[5]Neste Oy'!$C$37:$M$37</definedName>
    <definedName function="false" hidden="false" name="yc_Depreciation_etc" vbProcedure="false">[3]yc_Formula!$C$43:$R$43</definedName>
    <definedName function="false" hidden="false" name="yc_Exploration_expense" vbProcedure="false">[3]yc_Formula!$C$61:$R$61</definedName>
    <definedName function="false" hidden="false" name="YPF" vbProcedure="false">'[4]'!$L$1:$L$1048576</definedName>
    <definedName function="false" hidden="false" name="_1900_Minority_Interest" vbProcedure="false">'[4]'!$A$290:$V$290</definedName>
    <definedName function="false" hidden="false" name="_1995_Asset_Sales" vbProcedure="false">'[4]'!$A$347:$V$347</definedName>
    <definedName function="false" hidden="false" name="_1995_Capex" vbProcedure="false">'[4]'!$A$339:$V$339</definedName>
    <definedName function="false" hidden="false" name="_1995_Capitalized_Interest" vbProcedure="false">'[4]'!$A$298:$AP$298</definedName>
    <definedName function="false" hidden="false" name="_1995_Cash_Flow" vbProcedure="false">'[4]'!$A$331:$V$331</definedName>
    <definedName function="false" hidden="false" name="_1995_Current_Income_Tax" vbProcedure="false">'[4]'!$A$298:$V$298</definedName>
    <definedName function="false" hidden="false" name="_1995_DD_A" vbProcedure="false">'[4]'!$A$250:$V$250</definedName>
    <definedName function="false" hidden="false" name="_1995_Deferred_Income_Tax" vbProcedure="false">'[4]'!$A$306:$V$306</definedName>
    <definedName function="false" hidden="false" name="_1995_EBIT" vbProcedure="false">'[4]'!$A$266:$V$266</definedName>
    <definedName function="false" hidden="false" name="_1995_EBITDAX" vbProcedure="false">'[4]'!$A$242:$V$242</definedName>
    <definedName function="false" hidden="false" name="_1995_Exploration_Expense" vbProcedure="false">'[4]'!$A$258:$V$258</definedName>
    <definedName function="false" hidden="false" name="_1995_Interest_Expense" vbProcedure="false">'[4]'!$A$274:$V$274</definedName>
    <definedName function="false" hidden="false" name="_1995_Net_Income" vbProcedure="false">'[4]'!$A$314:$V$314</definedName>
    <definedName function="false" hidden="false" name="_1995_Other_Income" vbProcedure="false">'[4]'!$A$230:$HV$230</definedName>
    <definedName function="false" hidden="false" name="_1995_Other_Non_Cash_Items" vbProcedure="false">'[4]'!$A$323:$V$323</definedName>
    <definedName function="false" hidden="false" name="_1995_Revenue" vbProcedure="false">'[4]'!$A$234:$V$234</definedName>
    <definedName function="false" hidden="false" name="_1995_Weighted_Average_Shares_Outstanding" vbProcedure="false">'[4]'!$A$327:$BS$327</definedName>
    <definedName function="false" hidden="false" name="_1997E_Asset_Sales" vbProcedure="false">'[4]'!$A$345:$V$345</definedName>
    <definedName function="false" hidden="false" name="_1997E_Capex" vbProcedure="false">'[4]'!$A$337:$V$337</definedName>
    <definedName function="false" hidden="false" name="_1997E_Capitalized_Interest" vbProcedure="false">'[4]'!$A$296:$AN$296</definedName>
    <definedName function="false" hidden="false" name="_1997E_Cash_Flow" vbProcedure="false">'[4]'!$A$329:$V$329</definedName>
    <definedName function="false" hidden="false" name="_1997E_Current_Income_Tax" vbProcedure="false">'[4]'!$A$296:$V$296</definedName>
    <definedName function="false" hidden="false" name="_1997E_DD_A" vbProcedure="false">'[4]'!$A$248:$V$248</definedName>
    <definedName function="false" hidden="false" name="_1997E_Deferred_Income_Tax" vbProcedure="false">'[4]'!$A$304:$V$304</definedName>
    <definedName function="false" hidden="false" name="_1997E_EBIT" vbProcedure="false">'[4]'!$A$264:$V$264</definedName>
    <definedName function="false" hidden="false" name="_1997E_EBITDAX" vbProcedure="false">'[4]'!$A$240:$V$240</definedName>
    <definedName function="false" hidden="false" name="_1997E_Exploration_Expense" vbProcedure="false">'[4]'!$A$256:$V$256</definedName>
    <definedName function="false" hidden="false" name="_1997E_Interest_Expense" vbProcedure="false">'[4]'!$A$272:$V$272</definedName>
    <definedName function="false" hidden="false" name="_1997E_Minority_Interest" vbProcedure="false">'[4]'!$A$288:$V$288</definedName>
    <definedName function="false" hidden="false" name="_1997E_Net_Income" vbProcedure="false">'[4]'!$A$312:$V$312</definedName>
    <definedName function="false" hidden="false" name="_1997E_Other_Income" vbProcedure="false">'[4]'!$A$228:$HT$228</definedName>
    <definedName function="false" hidden="false" name="_1997E_Other_Non_Cash_Items" vbProcedure="false">'[4]'!$A$321:$V$321</definedName>
    <definedName function="false" hidden="false" name="_1997E_Revenue" vbProcedure="false">'[4]'!$A$232:$V$232</definedName>
    <definedName function="false" hidden="false" name="_1997E_Weighted_Average_Shares_Outstanding" vbProcedure="false">'[4]'!$A$325:$BQ$325</definedName>
    <definedName function="false" hidden="false" name="_1998E_Asset_Sales" vbProcedure="false">'[4]'!$A$344:$V$344</definedName>
    <definedName function="false" hidden="false" name="_1998E_Capex" vbProcedure="false">'[4]'!$A$336:$V$336</definedName>
    <definedName function="false" hidden="false" name="_1998E_Capitalized_Interest" vbProcedure="false">'[4]'!$A$295:$AM$295</definedName>
    <definedName function="false" hidden="false" name="_1998E_Cash_Flow" vbProcedure="false">'[4]'!$A$328:$V$328</definedName>
    <definedName function="false" hidden="false" name="_1998E_Current_Income_Tax" vbProcedure="false">'[4]'!$A$295:$V$295</definedName>
    <definedName function="false" hidden="false" name="_1998E_DD_A" vbProcedure="false">'[4]'!$A$247:$V$247</definedName>
    <definedName function="false" hidden="false" name="_1998E_Deferred_Income_Tax" vbProcedure="false">'[4]'!$A$303:$V$303</definedName>
    <definedName function="false" hidden="false" name="_1998E_EBIT" vbProcedure="false">'[4]'!$A$263:$V$263</definedName>
    <definedName function="false" hidden="false" name="_1998E_EBITDAX" vbProcedure="false">'[4]'!$A$239:$V$239</definedName>
    <definedName function="false" hidden="false" name="_1998E_Exploration_Expense" vbProcedure="false">'[4]'!$A$255:$V$255</definedName>
    <definedName function="false" hidden="false" name="_1998E_Interest_Expense" vbProcedure="false">'[4]'!$A$271:$V$271</definedName>
    <definedName function="false" hidden="false" name="_1998E_Minority_Interest" vbProcedure="false">'[4]'!$A$287:$V$287</definedName>
    <definedName function="false" hidden="false" name="_1998E_Net_Income" vbProcedure="false">'[4]'!$A$311:$V$311</definedName>
    <definedName function="false" hidden="false" name="_1998E_Other_Income" vbProcedure="false">'[4]'!$A$227:$HS$227</definedName>
    <definedName function="false" hidden="false" name="_1998E_Other_Non_Cash_Items" vbProcedure="false">'[4]'!$A$320:$V$320</definedName>
    <definedName function="false" hidden="false" name="_1998E_Revenue" vbProcedure="false">'[4]'!$A$231:$V$231</definedName>
    <definedName function="false" hidden="false" name="_1998E_Weighted_Average_Shares_Outstanding" vbProcedure="false">'[4]'!$A$324:$BP$324</definedName>
    <definedName function="false" hidden="false" name="_1999E_Asset_Sales" vbProcedure="false">'[4]'!$A$328:$BT$328</definedName>
    <definedName function="false" hidden="false" name="_1999E_Capex" vbProcedure="false">'[4]'!$A$320:$BL$320</definedName>
    <definedName function="false" hidden="false" name="_1999E_Capitalized_Interest" vbProcedure="false">'[4]'!$A$296:$AN$296</definedName>
    <definedName function="false" hidden="false" name="_1999E_Cash_Flow" vbProcedure="false">'[4]'!$A$312:$BD$312</definedName>
    <definedName function="false" hidden="false" name="_1999E_Current_Income_Tax" vbProcedure="false">'[4]'!$A$273:$Q$273</definedName>
    <definedName function="false" hidden="false" name="_1999E_DD_A" vbProcedure="false">'[4]'!$A$223:$HO$223</definedName>
    <definedName function="false" hidden="false" name="_1999E_Deferred_Income_Tax" vbProcedure="false">'[4]'!$A$281:$Y$281</definedName>
    <definedName function="false" hidden="false" name="_1999E_EBIT" vbProcedure="false">'[4]'!$A$239:$IE$239</definedName>
    <definedName function="false" hidden="false" name="_1999E_EBITDAX" vbProcedure="false">'[4]'!$A$215:$HG$215</definedName>
    <definedName function="false" hidden="false" name="_1999E_Exploration_Expense" vbProcedure="false">'[4]'!$A$231:$HW$231</definedName>
    <definedName function="false" hidden="false" name="_1999E_Interest_Expense" vbProcedure="false">'[4]'!$A$247:$IM$247</definedName>
    <definedName function="false" hidden="false" name="_1999E_Minority_Interest" vbProcedure="false">'[4]'!$A$265:$I$265</definedName>
    <definedName function="false" hidden="false" name="_1999E_Net_Income" vbProcedure="false">'[4]'!$A$287:$AE$287</definedName>
    <definedName function="false" hidden="false" name="_1999E_Other_Income" vbProcedure="false">'[4]'!$A$255:$IU$255</definedName>
    <definedName function="false" hidden="false" name="_1999E_Other_Non_Cash_Items" vbProcedure="false">'[4]'!$A$304:$AV$304</definedName>
    <definedName function="false" hidden="false" name="_1999E_Revenue" vbProcedure="false">'[4]'!$A$207:$GY$207</definedName>
    <definedName function="false" hidden="false" name="_1999E_Weighted_Average_Shares_Outstanding" vbProcedure="false">'[4]'!$A$337:$CC$337</definedName>
    <definedName function="false" hidden="false" name="_2000E_Asset_Sales" vbProcedure="false">'[4]'!$A$327:$BS$327</definedName>
    <definedName function="false" hidden="false" name="_2000E_Capex" vbProcedure="false">'[4]'!$A$319:$BK$319</definedName>
    <definedName function="false" hidden="false" name="_2000E_Capitalized_Interest" vbProcedure="false">'[4]'!$A$295:$AM$295</definedName>
    <definedName function="false" hidden="false" name="_2000E_Cash_Flow" vbProcedure="false">'[4]'!$A$311:$BC$311</definedName>
    <definedName function="false" hidden="false" name="_2000E_Current_Income_Tax" vbProcedure="false">'[4]'!$A$272:$P$272</definedName>
    <definedName function="false" hidden="false" name="_2000E_DD_A" vbProcedure="false">'[4]'!$A$222:$HN$222</definedName>
    <definedName function="false" hidden="false" name="_2000E_Deferred_Income_Tax" vbProcedure="false">'[4]'!$A$280:$X$280</definedName>
    <definedName function="false" hidden="false" name="_2000E_EBIT" vbProcedure="false">'[4]'!$A$238:$ID$238</definedName>
    <definedName function="false" hidden="false" name="_2000E_EBITDAX" vbProcedure="false">'[4]'!$A$214:$HF$214</definedName>
    <definedName function="false" hidden="false" name="_2000E_Exploration_Expense" vbProcedure="false">'[4]'!$A$230:$HV$230</definedName>
    <definedName function="false" hidden="false" name="_2000E_Interest_Expense" vbProcedure="false">'[4]'!$A$246:$IL$246</definedName>
    <definedName function="false" hidden="false" name="_2000E_Minority_Interest" vbProcedure="false">'[4]'!$A$264:$H$264</definedName>
    <definedName function="false" hidden="false" name="_2000E_Net_Income" vbProcedure="false">'[4]'!$A$286:$AD$286</definedName>
    <definedName function="false" hidden="false" name="_2000E_Other_Income" vbProcedure="false">'[4]'!$A$254:$IT$254</definedName>
    <definedName function="false" hidden="false" name="_2000E_Other_Non_Cash_Items" vbProcedure="false">'[4]'!$A$303:$AU$303</definedName>
    <definedName function="false" hidden="false" name="_2000E_Revenue" vbProcedure="false">'[4]'!$A$206:$GX$206</definedName>
    <definedName function="false" hidden="false" name="_2000E_Weighted_Average_Shares_Outstanding" vbProcedure="false">'[4]'!$A$336:$CB$336</definedName>
    <definedName function="false" hidden="false" name="_9_30_95_Asset_Sales" vbProcedure="false">'[4]'!$A$349:$V$349</definedName>
    <definedName function="false" hidden="false" name="_9_30_95_Capex" vbProcedure="false">'[4]'!$A$341:$V$341</definedName>
    <definedName function="false" hidden="false" name="_9_30_95_Capitalized_Interest" vbProcedure="false">'[4]'!$A$300:$AR$300</definedName>
    <definedName function="false" hidden="false" name="_9_30_95_Cash_Flow" vbProcedure="false">'[4]'!$A$333:$V$333</definedName>
    <definedName function="false" hidden="false" name="_9_30_95_Current_Income_Tax" vbProcedure="false">'[4]'!$A$300:$V$300</definedName>
    <definedName function="false" hidden="false" name="_9_30_95_DD_A" vbProcedure="false">'[4]'!$A$252:$V$252</definedName>
    <definedName function="false" hidden="false" name="_9_30_95_Deferred_Income_Tax" vbProcedure="false">'[4]'!$A$308:$V$308</definedName>
    <definedName function="false" hidden="false" name="_9_30_95_EBIT" vbProcedure="false">'[4]'!$A$268:$V$268</definedName>
    <definedName function="false" hidden="false" name="_9_30_95_EBITDAX" vbProcedure="false">'[4]'!$A$244:$V$244</definedName>
    <definedName function="false" hidden="false" name="_9_30_95_Exploration_Expense" vbProcedure="false">'[4]'!$A$260:$V$260</definedName>
    <definedName function="false" hidden="false" name="_9_30_95_Interest_Expense" vbProcedure="false">'[4]'!$A$276:$V$276</definedName>
    <definedName function="false" hidden="false" name="_9_30_95_Minority_Interest" vbProcedure="false">'[4]'!$A$292:$V$292</definedName>
    <definedName function="false" hidden="false" name="_9_30_95_Net_Income" vbProcedure="false">'[4]'!$A$316:$V$316</definedName>
    <definedName function="false" hidden="false" name="_9_30_95_Other_Income" vbProcedure="false">'[4]'!$A$232:$HX$232</definedName>
    <definedName function="false" hidden="false" name="_9_30_95_Other_Non_Cash_Items" vbProcedure="false">'[4]'!$A$325:$V$325</definedName>
    <definedName function="false" hidden="false" name="_9_30_95_Revenue" vbProcedure="false">'[4]'!$A$236:$V$236</definedName>
    <definedName function="false" hidden="false" name="_9_30_95_Weighted_Average_Shares_Outstanding" vbProcedure="false">'[4]'!$A$329:$BU$329</definedName>
    <definedName function="false" hidden="false" name="_9_30_96_Asset_Sales" vbProcedure="false">'[4]'!$A$348:$V$348</definedName>
    <definedName function="false" hidden="false" name="_9_30_96_Capex" vbProcedure="false">'[4]'!$A$340:$V$340</definedName>
    <definedName function="false" hidden="false" name="_9_30_96_Capitalized_Interest" vbProcedure="false">'[4]'!$A$299:$AQ$299</definedName>
    <definedName function="false" hidden="false" name="_9_30_96_Cash_Flow" vbProcedure="false">'[4]'!$A$332:$V$332</definedName>
    <definedName function="false" hidden="false" name="_9_30_96_Current_Income_Tax" vbProcedure="false">'[4]'!$A$299:$V$299</definedName>
    <definedName function="false" hidden="false" name="_9_30_96_DD_A" vbProcedure="false">'[4]'!$A$251:$V$251</definedName>
    <definedName function="false" hidden="false" name="_9_30_96_Deferred_Income_Tax" vbProcedure="false">'[4]'!$A$307:$V$307</definedName>
    <definedName function="false" hidden="false" name="_9_30_96_EBIT" vbProcedure="false">'[4]'!$A$267:$V$267</definedName>
    <definedName function="false" hidden="false" name="_9_30_96_EBITDAX" vbProcedure="false">'[4]'!$A$243:$V$243</definedName>
    <definedName function="false" hidden="false" name="_9_30_96_Exploration_Expense" vbProcedure="false">'[4]'!$A$259:$V$259</definedName>
    <definedName function="false" hidden="false" name="_9_30_96_Interest_Expense" vbProcedure="false">'[4]'!$A$275:$V$275</definedName>
    <definedName function="false" hidden="false" name="_9_30_96_Minority_Interest" vbProcedure="false">'[4]'!$A$291:$V$291</definedName>
    <definedName function="false" hidden="false" name="_9_30_96_Net_Income" vbProcedure="false">'[4]'!$A$315:$V$315</definedName>
    <definedName function="false" hidden="false" name="_9_30_96_Other_Income" vbProcedure="false">'[4]'!$A$231:$HW$231</definedName>
    <definedName function="false" hidden="false" name="_9_30_96_Other_Non_Cash_Items" vbProcedure="false">'[4]'!$A$324:$V$324</definedName>
    <definedName function="false" hidden="false" name="_9_30_96_Revenue" vbProcedure="false">'[4]'!$A$235:$V$235</definedName>
    <definedName function="false" hidden="false" name="_9_30_96_Weighted_Average_Shares_Outstanding" vbProcedure="false">'[4]'!$A$328:$BT$328</definedName>
    <definedName function="true" hidden="false" name="FDS" vbProcedure="true"/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J13" authorId="0">
      <text>
        <r>
          <rPr>
            <b val="true"/>
            <sz val="8"/>
            <color rgb="FF000000"/>
            <rFont val="Tahoma"/>
            <family val="0"/>
          </rPr>
          <t xml:space="preserve">A Chaudhry:
</t>
        </r>
        <r>
          <rPr>
            <sz val="8"/>
            <color rgb="FF000000"/>
            <rFont val="Tahoma"/>
            <family val="0"/>
          </rPr>
          <t xml:space="preserve">No research for Holly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17</xdr:colOff>
                <xdr:row>11</xdr:row>
                <xdr:rowOff>8</xdr:rowOff>
              </xdr:from>
              <xdr:to>
                <xdr:col>13</xdr:col>
                <xdr:colOff>21</xdr:colOff>
                <xdr:row>15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<sst xmlns="http://schemas.openxmlformats.org/spreadsheetml/2006/main" count="4424" uniqueCount="705">
  <si>
    <t xml:space="preserve">MAJORS COMPARABLE COMPANY ANALYSIS</t>
  </si>
  <si>
    <t xml:space="preserve">Summary Financial Data and Valuation Analysis</t>
  </si>
  <si>
    <t xml:space="preserve">(In Millions, Except Per Share Amounts and Multiples, Unless Otherwise Indicated)</t>
  </si>
  <si>
    <t xml:space="preserve">Share prices as of</t>
  </si>
  <si>
    <t xml:space="preserve">Adjusted</t>
  </si>
  <si>
    <t xml:space="preserve">Reserves</t>
  </si>
  <si>
    <t xml:space="preserve">SEC 10</t>
  </si>
  <si>
    <t xml:space="preserve">Diluted</t>
  </si>
  <si>
    <t xml:space="preserve">Date</t>
  </si>
  <si>
    <t xml:space="preserve">Share</t>
  </si>
  <si>
    <t xml:space="preserve">52 Week</t>
  </si>
  <si>
    <t xml:space="preserve">Market</t>
  </si>
  <si>
    <t xml:space="preserve">Mkt. Val./Net Income</t>
  </si>
  <si>
    <t xml:space="preserve">Mkt. Val./Cash Flow</t>
  </si>
  <si>
    <t xml:space="preserve">AMV/EBITDAX</t>
  </si>
  <si>
    <t xml:space="preserve">Debt/</t>
  </si>
  <si>
    <t xml:space="preserve">Mkt. Val./</t>
  </si>
  <si>
    <t xml:space="preserve">Current</t>
  </si>
  <si>
    <t xml:space="preserve">Total</t>
  </si>
  <si>
    <t xml:space="preserve">Res. AMV/</t>
  </si>
  <si>
    <t xml:space="preserve">AMV/</t>
  </si>
  <si>
    <t xml:space="preserve">Shares</t>
  </si>
  <si>
    <t xml:space="preserve">Company</t>
  </si>
  <si>
    <t xml:space="preserve">Ticker</t>
  </si>
  <si>
    <t xml:space="preserve">Check</t>
  </si>
  <si>
    <t xml:space="preserve">Price</t>
  </si>
  <si>
    <t xml:space="preserve">High</t>
  </si>
  <si>
    <t xml:space="preserve">Low</t>
  </si>
  <si>
    <t xml:space="preserve">Value</t>
  </si>
  <si>
    <t xml:space="preserve">2000A</t>
  </si>
  <si>
    <t xml:space="preserve">2001E</t>
  </si>
  <si>
    <t xml:space="preserve">2002E</t>
  </si>
  <si>
    <t xml:space="preserve">Book Cap.</t>
  </si>
  <si>
    <t xml:space="preserve">Book Val.</t>
  </si>
  <si>
    <t xml:space="preserve">Div. Yield</t>
  </si>
  <si>
    <t xml:space="preserve">MM BOE</t>
  </si>
  <si>
    <t xml:space="preserve">% Gas</t>
  </si>
  <si>
    <t xml:space="preserve">BOE</t>
  </si>
  <si>
    <t xml:space="preserve">$MM</t>
  </si>
  <si>
    <t xml:space="preserve">Outstanding</t>
  </si>
  <si>
    <t xml:space="preserve">_</t>
  </si>
  <si>
    <t xml:space="preserve">BP Amoco plc</t>
  </si>
  <si>
    <t xml:space="preserve">BP</t>
  </si>
  <si>
    <t xml:space="preserve">Chevron Corporation</t>
  </si>
  <si>
    <t xml:space="preserve">CHV</t>
  </si>
  <si>
    <t xml:space="preserve">Exxon Mobil Corporation</t>
  </si>
  <si>
    <t xml:space="preserve">XOM</t>
  </si>
  <si>
    <t xml:space="preserve">Texaco Inc.</t>
  </si>
  <si>
    <t xml:space="preserve">TX</t>
  </si>
  <si>
    <t xml:space="preserve">Royal Dutch/Shell Group of Companies</t>
  </si>
  <si>
    <t xml:space="preserve">RD/SC</t>
  </si>
  <si>
    <t xml:space="preserve">NA</t>
  </si>
  <si>
    <t xml:space="preserve">RD</t>
  </si>
  <si>
    <t xml:space="preserve">SC</t>
  </si>
  <si>
    <t xml:space="preserve">TOTAL Fina Elf SA(1)</t>
  </si>
  <si>
    <t xml:space="preserve">TOT</t>
  </si>
  <si>
    <t xml:space="preserve">Average</t>
  </si>
  <si>
    <t xml:space="preserve">Median</t>
  </si>
  <si>
    <t xml:space="preserve">R&amp;M Operations (excluding chemical operations)</t>
  </si>
  <si>
    <t xml:space="preserve">Contact</t>
  </si>
  <si>
    <t xml:space="preserve"> Equity Research</t>
  </si>
  <si>
    <t xml:space="preserve">Debt Ratings</t>
  </si>
  <si>
    <t xml:space="preserve">Price Performance</t>
  </si>
  <si>
    <t xml:space="preserve">E&amp;P Operations</t>
  </si>
  <si>
    <t xml:space="preserve">Includes only majority-owned US &amp; EU assets</t>
  </si>
  <si>
    <t xml:space="preserve">Analyst/</t>
  </si>
  <si>
    <t xml:space="preserve">Recom-</t>
  </si>
  <si>
    <t xml:space="preserve">S&amp;P/</t>
  </si>
  <si>
    <t xml:space="preserve">3-Yr</t>
  </si>
  <si>
    <t xml:space="preserve">3-Yr F&amp;D</t>
  </si>
  <si>
    <t xml:space="preserve">Reservoir</t>
  </si>
  <si>
    <t xml:space="preserve">#</t>
  </si>
  <si>
    <t xml:space="preserve">Total Cap.</t>
  </si>
  <si>
    <t xml:space="preserve">Wtd. Avg.</t>
  </si>
  <si>
    <t xml:space="preserve"># Service</t>
  </si>
  <si>
    <t xml:space="preserve"># Directly</t>
  </si>
  <si>
    <t xml:space="preserve">Name</t>
  </si>
  <si>
    <t xml:space="preserve">Telephone</t>
  </si>
  <si>
    <t xml:space="preserve">Firm</t>
  </si>
  <si>
    <t xml:space="preserve">mendation</t>
  </si>
  <si>
    <t xml:space="preserve">Updated</t>
  </si>
  <si>
    <t xml:space="preserve">Moody's</t>
  </si>
  <si>
    <t xml:space="preserve">LTM</t>
  </si>
  <si>
    <t xml:space="preserve">YTD</t>
  </si>
  <si>
    <t xml:space="preserve"> Res. Repl.</t>
  </si>
  <si>
    <t xml:space="preserve">R/P </t>
  </si>
  <si>
    <t xml:space="preserve">($/Bbl)</t>
  </si>
  <si>
    <t xml:space="preserve">Engineer</t>
  </si>
  <si>
    <t xml:space="preserve">Refineries</t>
  </si>
  <si>
    <t xml:space="preserve">(MBD)</t>
  </si>
  <si>
    <t xml:space="preserve">Complexity</t>
  </si>
  <si>
    <t xml:space="preserve">Stations</t>
  </si>
  <si>
    <t xml:space="preserve">Supplied</t>
  </si>
  <si>
    <t xml:space="preserve">D. Barnosky</t>
  </si>
  <si>
    <t xml:space="preserve">212-325-1230</t>
  </si>
  <si>
    <t xml:space="preserve">Flannery/CSFB</t>
  </si>
  <si>
    <t xml:space="preserve">Hold</t>
  </si>
  <si>
    <t xml:space="preserve">AA+/Aa1</t>
  </si>
  <si>
    <t xml:space="preserve">In-house</t>
  </si>
  <si>
    <t xml:space="preserve">Buy</t>
  </si>
  <si>
    <t xml:space="preserve">AA/Aa2</t>
  </si>
  <si>
    <t xml:space="preserve">Chevron Corporation PF for Texaco</t>
  </si>
  <si>
    <t xml:space="preserve">AAA/Aaa</t>
  </si>
  <si>
    <t xml:space="preserve">A+/A1</t>
  </si>
  <si>
    <t xml:space="preserve">Notes:</t>
  </si>
  <si>
    <t xml:space="preserve">(1)   Have not released an interim statement.  Numbers are based on 12/31/2000 filing.</t>
  </si>
  <si>
    <t xml:space="preserve">US INTEGRATEDS COMPARABLE COMPANY ANALYSIS</t>
  </si>
  <si>
    <t xml:space="preserve">Debt / </t>
  </si>
  <si>
    <t xml:space="preserve">Amerada Hess Corporation</t>
  </si>
  <si>
    <t xml:space="preserve">AHC</t>
  </si>
  <si>
    <t xml:space="preserve">Max Multiple</t>
  </si>
  <si>
    <t xml:space="preserve">Conoco Inc</t>
  </si>
  <si>
    <t xml:space="preserve">COC.A/COC.B</t>
  </si>
  <si>
    <t xml:space="preserve">USX-Marathon Group</t>
  </si>
  <si>
    <t xml:space="preserve">MRO</t>
  </si>
  <si>
    <t xml:space="preserve">Murphy Oil Corporation</t>
  </si>
  <si>
    <t xml:space="preserve">MUR</t>
  </si>
  <si>
    <t xml:space="preserve">Occidental Petroleum Corporation</t>
  </si>
  <si>
    <t xml:space="preserve">OXY</t>
  </si>
  <si>
    <t xml:space="preserve">Phillips Petroleum Company</t>
  </si>
  <si>
    <t xml:space="preserve">P</t>
  </si>
  <si>
    <t xml:space="preserve">R. Gulcan</t>
  </si>
  <si>
    <t xml:space="preserve">212-325-3405</t>
  </si>
  <si>
    <t xml:space="preserve">CSFB</t>
  </si>
  <si>
    <t xml:space="preserve">Baa1/BBB+</t>
  </si>
  <si>
    <t xml:space="preserve">A3/A-</t>
  </si>
  <si>
    <t xml:space="preserve">Baa1/BBB</t>
  </si>
  <si>
    <t xml:space="preserve">Dain Rauscher Wessels</t>
  </si>
  <si>
    <t xml:space="preserve">Strong Buy</t>
  </si>
  <si>
    <t xml:space="preserve">Salomon SB</t>
  </si>
  <si>
    <t xml:space="preserve">Neutral</t>
  </si>
  <si>
    <t xml:space="preserve">Baa3/BBB-</t>
  </si>
  <si>
    <t xml:space="preserve">Baa2/BBB</t>
  </si>
  <si>
    <t xml:space="preserve">(1) Share price weighted average price of A and B Shares.</t>
  </si>
  <si>
    <t xml:space="preserve">(2) USX-Marathon rating is the rating for USX Corporation.</t>
  </si>
  <si>
    <t xml:space="preserve">(3) Phillips pro forma for Tosco Acquisiton.</t>
  </si>
  <si>
    <t xml:space="preserve">Note:  Conoco is pro forma for Gulf Canada; Phillips is pro forma for Tosco</t>
  </si>
  <si>
    <t xml:space="preserve">B12</t>
  </si>
  <si>
    <t xml:space="preserve">f305</t>
  </si>
  <si>
    <t xml:space="preserve">g305</t>
  </si>
  <si>
    <t xml:space="preserve">h305</t>
  </si>
  <si>
    <t xml:space="preserve">i305</t>
  </si>
  <si>
    <t xml:space="preserve">j305</t>
  </si>
  <si>
    <t xml:space="preserve">n12</t>
  </si>
  <si>
    <t xml:space="preserve">k305</t>
  </si>
  <si>
    <t xml:space="preserve">l305</t>
  </si>
  <si>
    <t xml:space="preserve">m305</t>
  </si>
  <si>
    <t xml:space="preserve">n305</t>
  </si>
  <si>
    <t xml:space="preserve">o305</t>
  </si>
  <si>
    <t xml:space="preserve">p305</t>
  </si>
  <si>
    <t xml:space="preserve">j132</t>
  </si>
  <si>
    <t xml:space="preserve">q305</t>
  </si>
  <si>
    <t xml:space="preserve">r305</t>
  </si>
  <si>
    <t xml:space="preserve">s305</t>
  </si>
  <si>
    <t xml:space="preserve">t305</t>
  </si>
  <si>
    <t xml:space="preserve">u305</t>
  </si>
  <si>
    <t xml:space="preserve">v305</t>
  </si>
  <si>
    <t xml:space="preserve">w305</t>
  </si>
  <si>
    <t xml:space="preserve">x305</t>
  </si>
  <si>
    <t xml:space="preserve">INTERNATIONAL INTEGRATEDS COMPARABLE COMPANY ANALYSIS</t>
  </si>
  <si>
    <t xml:space="preserve">Market Value/Net Income</t>
  </si>
  <si>
    <t xml:space="preserve">Market Value/Cashflow</t>
  </si>
  <si>
    <t xml:space="preserve">MV</t>
  </si>
  <si>
    <t xml:space="preserve">AMV</t>
  </si>
  <si>
    <t xml:space="preserve">EXC</t>
  </si>
  <si>
    <t xml:space="preserve">ENI</t>
  </si>
  <si>
    <t xml:space="preserve">ENI.MI</t>
  </si>
  <si>
    <t xml:space="preserve">LUKOIL HLDGS</t>
  </si>
  <si>
    <t xml:space="preserve">LKOH.RTS</t>
  </si>
  <si>
    <t xml:space="preserve">NM</t>
  </si>
  <si>
    <t xml:space="preserve">MOL MAGYAR OLAJ-ES GAZIPARI</t>
  </si>
  <si>
    <t xml:space="preserve">MOLB.BU</t>
  </si>
  <si>
    <t xml:space="preserve">NORSK HYDRO AS</t>
  </si>
  <si>
    <t xml:space="preserve">NHY.OL</t>
  </si>
  <si>
    <t xml:space="preserve">OMV AG</t>
  </si>
  <si>
    <t xml:space="preserve">OMVV.VI</t>
  </si>
  <si>
    <t xml:space="preserve">PEREZ COMPANC SA</t>
  </si>
  <si>
    <t xml:space="preserve">PC.N</t>
  </si>
  <si>
    <t xml:space="preserve">PETROL BRASILEIROS</t>
  </si>
  <si>
    <t xml:space="preserve">PETR3.SA</t>
  </si>
  <si>
    <t xml:space="preserve">REPSOL YPF SA</t>
  </si>
  <si>
    <t xml:space="preserve">REP.MC</t>
  </si>
  <si>
    <t xml:space="preserve">u10</t>
  </si>
  <si>
    <t xml:space="preserve">u11</t>
  </si>
  <si>
    <t xml:space="preserve">y15</t>
  </si>
  <si>
    <t xml:space="preserve">f113</t>
  </si>
  <si>
    <t xml:space="preserve">y305</t>
  </si>
  <si>
    <t xml:space="preserve">z305</t>
  </si>
  <si>
    <t xml:space="preserve">k286</t>
  </si>
  <si>
    <t xml:space="preserve">q263</t>
  </si>
  <si>
    <t xml:space="preserve">k288</t>
  </si>
  <si>
    <t xml:space="preserve">Preparer</t>
  </si>
  <si>
    <t xml:space="preserve">Analyst</t>
  </si>
  <si>
    <t xml:space="preserve">J-E. Back</t>
  </si>
  <si>
    <t xml:space="preserve">44-20-7883-7456</t>
  </si>
  <si>
    <t xml:space="preserve">Arnfield</t>
  </si>
  <si>
    <t xml:space="preserve">Aa3</t>
  </si>
  <si>
    <t xml:space="preserve">Mitroshin</t>
  </si>
  <si>
    <t xml:space="preserve">Ba2</t>
  </si>
  <si>
    <t xml:space="preserve">Jakab</t>
  </si>
  <si>
    <t xml:space="preserve">A2</t>
  </si>
  <si>
    <t xml:space="preserve">Santos</t>
  </si>
  <si>
    <t xml:space="preserve">B1</t>
  </si>
  <si>
    <t xml:space="preserve">Baa1</t>
  </si>
  <si>
    <t xml:space="preserve">Mol Magyar downgraded to a Hold on 14June 2001</t>
  </si>
  <si>
    <t xml:space="preserve">Petrobras and Perez Companc not updated for latest oil price forecast</t>
  </si>
  <si>
    <t xml:space="preserve">GAS PIPELINES COMPARABLE COMPANY ANALYSIS</t>
  </si>
  <si>
    <t xml:space="preserve">`</t>
  </si>
  <si>
    <t xml:space="preserve">Dynegy Inc.</t>
  </si>
  <si>
    <t xml:space="preserve">DYN</t>
  </si>
  <si>
    <t xml:space="preserve">Enbridge</t>
  </si>
  <si>
    <t xml:space="preserve">*ENB</t>
  </si>
  <si>
    <t xml:space="preserve">Enron Corp.</t>
  </si>
  <si>
    <t xml:space="preserve">ENE</t>
  </si>
  <si>
    <t xml:space="preserve">El Paso Corporation</t>
  </si>
  <si>
    <t xml:space="preserve">EPG</t>
  </si>
  <si>
    <t xml:space="preserve">Kinder Morgan, Inc.</t>
  </si>
  <si>
    <t xml:space="preserve">KMI</t>
  </si>
  <si>
    <t xml:space="preserve">Western Gas Resources, Inc.</t>
  </si>
  <si>
    <t xml:space="preserve">WGR</t>
  </si>
  <si>
    <t xml:space="preserve">The Williams Companies, Inc.</t>
  </si>
  <si>
    <t xml:space="preserve">WMB</t>
  </si>
  <si>
    <t xml:space="preserve">TransCanada PipeLines</t>
  </si>
  <si>
    <t xml:space="preserve">*TRP</t>
  </si>
  <si>
    <t xml:space="preserve">Westcoast Energy</t>
  </si>
  <si>
    <t xml:space="preserve">*W</t>
  </si>
  <si>
    <t xml:space="preserve">W. Byers</t>
  </si>
  <si>
    <t xml:space="preserve">713-652-6010 </t>
  </si>
  <si>
    <t xml:space="preserve">BBB/Baa3</t>
  </si>
  <si>
    <t xml:space="preserve">T. Greenberg</t>
  </si>
  <si>
    <t xml:space="preserve">416-352-4518 </t>
  </si>
  <si>
    <t xml:space="preserve">IBES</t>
  </si>
  <si>
    <t xml:space="preserve">N/A</t>
  </si>
  <si>
    <t xml:space="preserve">A/ -</t>
  </si>
  <si>
    <t xml:space="preserve">BBB+/Baa1</t>
  </si>
  <si>
    <t xml:space="preserve">BBB/Baa2</t>
  </si>
  <si>
    <t xml:space="preserve">DWR</t>
  </si>
  <si>
    <t xml:space="preserve">NR/Ba2</t>
  </si>
  <si>
    <t xml:space="preserve">BBB-/Baa2</t>
  </si>
  <si>
    <t xml:space="preserve">A-/A2</t>
  </si>
  <si>
    <t xml:space="preserve">- / A-</t>
  </si>
  <si>
    <t xml:space="preserve">(1)</t>
  </si>
  <si>
    <t xml:space="preserve">(2)</t>
  </si>
  <si>
    <t xml:space="preserve">(3)</t>
  </si>
  <si>
    <t xml:space="preserve">(4)</t>
  </si>
  <si>
    <t xml:space="preserve">(5)</t>
  </si>
  <si>
    <t xml:space="preserve">(6)</t>
  </si>
  <si>
    <t xml:space="preserve">REFINING COMPARABLE COMPANY ANALYSIS</t>
  </si>
  <si>
    <t xml:space="preserve">Ashland Inc.</t>
  </si>
  <si>
    <t xml:space="preserve">ASH</t>
  </si>
  <si>
    <t xml:space="preserve">Giant Industries</t>
  </si>
  <si>
    <t xml:space="preserve">GI</t>
  </si>
  <si>
    <t xml:space="preserve">Holly Corp.</t>
  </si>
  <si>
    <t xml:space="preserve">HOC</t>
  </si>
  <si>
    <t xml:space="preserve">Sunoco Inc.</t>
  </si>
  <si>
    <t xml:space="preserve">SUN</t>
  </si>
  <si>
    <t xml:space="preserve">Tosco Corporation</t>
  </si>
  <si>
    <t xml:space="preserve">TOS</t>
  </si>
  <si>
    <t xml:space="preserve">Valero Energy Corporation</t>
  </si>
  <si>
    <t xml:space="preserve">VLO</t>
  </si>
  <si>
    <t xml:space="preserve">Ultramar Diamond Shamrock Corp.</t>
  </si>
  <si>
    <t xml:space="preserve">UDS</t>
  </si>
  <si>
    <t xml:space="preserve">Tesoro Petroleum</t>
  </si>
  <si>
    <t xml:space="preserve">TSO</t>
  </si>
  <si>
    <t xml:space="preserve">S. Ren</t>
  </si>
  <si>
    <t xml:space="preserve">212-325-6428</t>
  </si>
  <si>
    <t xml:space="preserve">None</t>
  </si>
  <si>
    <t xml:space="preserve">NR</t>
  </si>
  <si>
    <t xml:space="preserve">BB / B1</t>
  </si>
  <si>
    <t xml:space="preserve">NR / NR</t>
  </si>
  <si>
    <t xml:space="preserve">BBB-/Baa3</t>
  </si>
  <si>
    <t xml:space="preserve">J. McNulty/CSFB</t>
  </si>
  <si>
    <t xml:space="preserve">Ba3/BB+</t>
  </si>
  <si>
    <t xml:space="preserve">RETAIL AND LUBES COMPARABLE COMPANY ANALYSIS</t>
  </si>
  <si>
    <r>
      <rPr>
        <sz val="10"/>
        <color rgb="FF000000"/>
        <rFont val="Arial"/>
        <family val="2"/>
      </rPr>
      <t xml:space="preserve">R&amp;M Operations (excluding chemical operations)</t>
    </r>
    <r>
      <rPr>
        <vertAlign val="superscript"/>
        <sz val="7.5"/>
        <color rgb="FF000000"/>
        <rFont val="Arial"/>
        <family val="2"/>
      </rPr>
      <t xml:space="preserve">(3)</t>
    </r>
  </si>
  <si>
    <t xml:space="preserve">D. Kobzev</t>
  </si>
  <si>
    <t xml:space="preserve">212-325-0911</t>
  </si>
  <si>
    <t xml:space="preserve">LARGE INDEPENDENT E&amp;P COMPARABLE COMPANY ANALYSIS</t>
  </si>
  <si>
    <t xml:space="preserve">Apache Corp.</t>
  </si>
  <si>
    <t xml:space="preserve">APA</t>
  </si>
  <si>
    <t xml:space="preserve">Anadarko Petroleum Corp.</t>
  </si>
  <si>
    <t xml:space="preserve">APC</t>
  </si>
  <si>
    <t xml:space="preserve">Burlington Resources Inc.</t>
  </si>
  <si>
    <t xml:space="preserve">BR</t>
  </si>
  <si>
    <t xml:space="preserve">Devon Energy Corp.</t>
  </si>
  <si>
    <t xml:space="preserve">DVN</t>
  </si>
  <si>
    <t xml:space="preserve">EOG Resources</t>
  </si>
  <si>
    <t xml:space="preserve">EOG</t>
  </si>
  <si>
    <t xml:space="preserve">Kerr-McGee Corp.</t>
  </si>
  <si>
    <t xml:space="preserve">KMG</t>
  </si>
  <si>
    <t xml:space="preserve">UNOCAL</t>
  </si>
  <si>
    <t xml:space="preserve">UCL</t>
  </si>
  <si>
    <t xml:space="preserve">R. Connally</t>
  </si>
  <si>
    <t xml:space="preserve">713-652-6001</t>
  </si>
  <si>
    <t xml:space="preserve">SB</t>
  </si>
  <si>
    <t xml:space="preserve">RS</t>
  </si>
  <si>
    <t xml:space="preserve">B</t>
  </si>
  <si>
    <t xml:space="preserve">NR/A-</t>
  </si>
  <si>
    <t xml:space="preserve">AMH Group</t>
  </si>
  <si>
    <t xml:space="preserve">D&amp;M (review)</t>
  </si>
  <si>
    <t xml:space="preserve">MID INDEPENDENT E&amp;P COMPARABLE COMPANY ANALYSIS</t>
  </si>
  <si>
    <t xml:space="preserve">Chesapeake Energy Corp</t>
  </si>
  <si>
    <t xml:space="preserve">CHK</t>
  </si>
  <si>
    <t xml:space="preserve">XTO Energy Inc</t>
  </si>
  <si>
    <t xml:space="preserve">XTO</t>
  </si>
  <si>
    <t xml:space="preserve">Forest Oil Corp</t>
  </si>
  <si>
    <t xml:space="preserve">FST</t>
  </si>
  <si>
    <t xml:space="preserve">Louis Dreyfus Natural Gas Corp</t>
  </si>
  <si>
    <t xml:space="preserve">LD</t>
  </si>
  <si>
    <t xml:space="preserve">Mitchell Energy  (1)</t>
  </si>
  <si>
    <t xml:space="preserve">MND</t>
  </si>
  <si>
    <t xml:space="preserve">Newfield Exploration Co</t>
  </si>
  <si>
    <t xml:space="preserve">NFX</t>
  </si>
  <si>
    <t xml:space="preserve">Noble Affiliates</t>
  </si>
  <si>
    <t xml:space="preserve">NBL</t>
  </si>
  <si>
    <t xml:space="preserve">Ocean Energy</t>
  </si>
  <si>
    <t xml:space="preserve">OEI</t>
  </si>
  <si>
    <t xml:space="preserve">Pioneer Natural Resources Co</t>
  </si>
  <si>
    <t xml:space="preserve">PXD</t>
  </si>
  <si>
    <t xml:space="preserve">Pogo Producing  (2)</t>
  </si>
  <si>
    <t xml:space="preserve">PPP</t>
  </si>
  <si>
    <t xml:space="preserve">Stone Energy Corp</t>
  </si>
  <si>
    <t xml:space="preserve">SGY</t>
  </si>
  <si>
    <t xml:space="preserve">Tom Brown, Inc.  (3)</t>
  </si>
  <si>
    <t xml:space="preserve">TMBR</t>
  </si>
  <si>
    <t xml:space="preserve">Triton Energy  (4)</t>
  </si>
  <si>
    <t xml:space="preserve">OIL</t>
  </si>
  <si>
    <t xml:space="preserve">Vintage Petroleum, Inc.  (5)</t>
  </si>
  <si>
    <t xml:space="preserve">vpi</t>
  </si>
  <si>
    <t xml:space="preserve">C. Thomson</t>
  </si>
  <si>
    <t xml:space="preserve">212-325-1639</t>
  </si>
  <si>
    <t xml:space="preserve">B+/B2</t>
  </si>
  <si>
    <t xml:space="preserve">Williamson</t>
  </si>
  <si>
    <t xml:space="preserve">SSB</t>
  </si>
  <si>
    <t xml:space="preserve">BB/Ba3</t>
  </si>
  <si>
    <t xml:space="preserve">Miller and Lents</t>
  </si>
  <si>
    <t xml:space="preserve">Ryder Scott</t>
  </si>
  <si>
    <t xml:space="preserve">A. Bourlinov</t>
  </si>
  <si>
    <t xml:space="preserve">212-538-7158</t>
  </si>
  <si>
    <t xml:space="preserve">BB+/Ba2</t>
  </si>
  <si>
    <t xml:space="preserve">In House</t>
  </si>
  <si>
    <t xml:space="preserve">RS, NSA, McD&amp;A</t>
  </si>
  <si>
    <t xml:space="preserve">BB+/Ba1</t>
  </si>
  <si>
    <t xml:space="preserve">BB+ / Ba2</t>
  </si>
  <si>
    <t xml:space="preserve">BB-/B1</t>
  </si>
  <si>
    <t xml:space="preserve">DRW</t>
  </si>
  <si>
    <t xml:space="preserve">Triton Energy (4)</t>
  </si>
  <si>
    <t xml:space="preserve">BB- /Ba3</t>
  </si>
  <si>
    <t xml:space="preserve">D&amp;M</t>
  </si>
  <si>
    <t xml:space="preserve">Netherland, Sewell</t>
  </si>
  <si>
    <t xml:space="preserve">(1)  Includes reserves committed to Company-owned gas processing plants.</t>
  </si>
  <si>
    <t xml:space="preserve">(2)  Pro-forma the NORIC acquisition.</t>
  </si>
  <si>
    <t xml:space="preserve">(3)  Pro-forma the Stellarton acquisition.</t>
  </si>
  <si>
    <t xml:space="preserve">(4)   Includes reserves transferred to the JV since 1998, accounted for on the equity method.  On July 10 2001, Amerada Hess agreed to acquire Triton Energy for $3.2 billion.</t>
  </si>
  <si>
    <t xml:space="preserve">(5)  Pro-forma the Genesis acquisition.</t>
  </si>
  <si>
    <t xml:space="preserve">SMALL INDEPENDENT E&amp;P COMPARABLE COMPANY ANALYSIS</t>
  </si>
  <si>
    <t xml:space="preserve">Belco Oil &amp; Gas Corp.</t>
  </si>
  <si>
    <t xml:space="preserve">BOG</t>
  </si>
  <si>
    <t xml:space="preserve">Cabot Oil &amp; Gas Corporation</t>
  </si>
  <si>
    <t xml:space="preserve">COG</t>
  </si>
  <si>
    <t xml:space="preserve">Callon Petroleum</t>
  </si>
  <si>
    <t xml:space="preserve">CPE</t>
  </si>
  <si>
    <t xml:space="preserve">Chieftain International, Inc.</t>
  </si>
  <si>
    <t xml:space="preserve">CID</t>
  </si>
  <si>
    <t xml:space="preserve">Comstock Resources, Inc.</t>
  </si>
  <si>
    <t xml:space="preserve">CRK</t>
  </si>
  <si>
    <t xml:space="preserve">Denbury Resources Inc.</t>
  </si>
  <si>
    <t xml:space="preserve">DNR</t>
  </si>
  <si>
    <t xml:space="preserve">EEX</t>
  </si>
  <si>
    <t xml:space="preserve">Energy Partners, LTD.</t>
  </si>
  <si>
    <t xml:space="preserve">EPL</t>
  </si>
  <si>
    <t xml:space="preserve">Evergreen Resources, Inc.</t>
  </si>
  <si>
    <t xml:space="preserve">EVG</t>
  </si>
  <si>
    <t xml:space="preserve">Houston Exploration</t>
  </si>
  <si>
    <t xml:space="preserve">THX</t>
  </si>
  <si>
    <t xml:space="preserve">HS Resources, Inc.</t>
  </si>
  <si>
    <t xml:space="preserve">HSE</t>
  </si>
  <si>
    <t xml:space="preserve">The Meridian Resource Corporation</t>
  </si>
  <si>
    <t xml:space="preserve">TMR</t>
  </si>
  <si>
    <t xml:space="preserve">Magnum Hunter Resources Inc.</t>
  </si>
  <si>
    <t xml:space="preserve">MHR</t>
  </si>
  <si>
    <t xml:space="preserve">Nuevo Energy Co</t>
  </si>
  <si>
    <t xml:space="preserve">NEV</t>
  </si>
  <si>
    <t xml:space="preserve">Patina Oil &amp; Gas Corp</t>
  </si>
  <si>
    <t xml:space="preserve">POG</t>
  </si>
  <si>
    <t xml:space="preserve">Plains Resources Inc.</t>
  </si>
  <si>
    <t xml:space="preserve">PLX</t>
  </si>
  <si>
    <t xml:space="preserve">Prize Energy Corp</t>
  </si>
  <si>
    <t xml:space="preserve">PRZ</t>
  </si>
  <si>
    <t xml:space="preserve">Pure Resources Inc.</t>
  </si>
  <si>
    <t xml:space="preserve">PRS</t>
  </si>
  <si>
    <t xml:space="preserve">Range Resources Corporation</t>
  </si>
  <si>
    <t xml:space="preserve">RRC</t>
  </si>
  <si>
    <t xml:space="preserve">Spinnaker Exploration Company</t>
  </si>
  <si>
    <t xml:space="preserve">SKE</t>
  </si>
  <si>
    <t xml:space="preserve">St Mary Land &amp; Exploration Company</t>
  </si>
  <si>
    <t xml:space="preserve">MARY</t>
  </si>
  <si>
    <t xml:space="preserve">Swift Energy Company</t>
  </si>
  <si>
    <t xml:space="preserve">SFY</t>
  </si>
  <si>
    <t xml:space="preserve">Westport Resources</t>
  </si>
  <si>
    <t xml:space="preserve">WRC</t>
  </si>
  <si>
    <t xml:space="preserve">J. Ball</t>
  </si>
  <si>
    <t xml:space="preserve">713-652-6026 </t>
  </si>
  <si>
    <t xml:space="preserve">Dain Rauscher</t>
  </si>
  <si>
    <t xml:space="preserve">Buy </t>
  </si>
  <si>
    <t xml:space="preserve">BB- / Ba2</t>
  </si>
  <si>
    <t xml:space="preserve">Miller and Lents, LTD.</t>
  </si>
  <si>
    <t xml:space="preserve">Outperform</t>
  </si>
  <si>
    <t xml:space="preserve">NA / NA</t>
  </si>
  <si>
    <t xml:space="preserve">713-652-6001 </t>
  </si>
  <si>
    <t xml:space="preserve">RJA</t>
  </si>
  <si>
    <t xml:space="preserve">B/B2</t>
  </si>
  <si>
    <t xml:space="preserve">DeGolyer&amp;MacNaughton</t>
  </si>
  <si>
    <t xml:space="preserve">Dain</t>
  </si>
  <si>
    <t xml:space="preserve">NR/NR</t>
  </si>
  <si>
    <t xml:space="preserve">B. Jinks</t>
  </si>
  <si>
    <t xml:space="preserve">713-652-6042</t>
  </si>
  <si>
    <t xml:space="preserve">Fahnstock &amp; Co., Inc.</t>
  </si>
  <si>
    <t xml:space="preserve">B+ / B1</t>
  </si>
  <si>
    <t xml:space="preserve">Buy - Spec.</t>
  </si>
  <si>
    <t xml:space="preserve">DeGoyer and MacNaughton</t>
  </si>
  <si>
    <t xml:space="preserve">Dain Rauscher wessels</t>
  </si>
  <si>
    <t xml:space="preserve">Netherland, Sewell &amp; Associates</t>
  </si>
  <si>
    <t xml:space="preserve">BB-/Ba3</t>
  </si>
  <si>
    <t xml:space="preserve">Independent consultants</t>
  </si>
  <si>
    <t xml:space="preserve">MSDW</t>
  </si>
  <si>
    <t xml:space="preserve">BB / Ba2</t>
  </si>
  <si>
    <t xml:space="preserve">Netherland &amp; Sewell</t>
  </si>
  <si>
    <t xml:space="preserve">T. J. Smith and Company, Inc.</t>
  </si>
  <si>
    <t xml:space="preserve">C. Van Os</t>
  </si>
  <si>
    <t xml:space="preserve">713-652-6076 </t>
  </si>
  <si>
    <t xml:space="preserve">Raymond James</t>
  </si>
  <si>
    <t xml:space="preserve">B+/B1</t>
  </si>
  <si>
    <t xml:space="preserve">B-/B2</t>
  </si>
  <si>
    <t xml:space="preserve">HJ Gruy, NSA &amp; RS</t>
  </si>
  <si>
    <t xml:space="preserve">First Call</t>
  </si>
  <si>
    <t xml:space="preserve">H.J. Gruy and Associates / DeGolyer and MacNaughton / Wright and Company</t>
  </si>
  <si>
    <t xml:space="preserve">Pace</t>
  </si>
  <si>
    <t xml:space="preserve">Buy-Aggressive</t>
  </si>
  <si>
    <t xml:space="preserve">BB- / Ba3</t>
  </si>
  <si>
    <t xml:space="preserve">H. J. Gruy and Associates, Inc.</t>
  </si>
  <si>
    <t xml:space="preserve">EUROPEAN E&amp;P COMPARABLE COMPANY ANALYSIS</t>
  </si>
  <si>
    <t xml:space="preserve">BG GROUP</t>
  </si>
  <si>
    <t xml:space="preserve">BG</t>
  </si>
  <si>
    <t xml:space="preserve">ENTERPRISE OIL</t>
  </si>
  <si>
    <t xml:space="preserve">ETP</t>
  </si>
  <si>
    <t xml:space="preserve">CAIRN ENERGY</t>
  </si>
  <si>
    <t xml:space="preserve">CNE</t>
  </si>
  <si>
    <t xml:space="preserve">PREMIER OIL</t>
  </si>
  <si>
    <t xml:space="preserve">PMO</t>
  </si>
  <si>
    <t xml:space="preserve">E. Didier</t>
  </si>
  <si>
    <t xml:space="preserve">44-20-7883-7412</t>
  </si>
  <si>
    <t xml:space="preserve">Dudlyke</t>
  </si>
  <si>
    <t xml:space="preserve">AA/NA</t>
  </si>
  <si>
    <t xml:space="preserve">MLP COMPARABLE COMPANY ANALYSIS</t>
  </si>
  <si>
    <t xml:space="preserve">Yield</t>
  </si>
  <si>
    <t xml:space="preserve">Return</t>
  </si>
  <si>
    <t xml:space="preserve">Buckeye Partners, LP</t>
  </si>
  <si>
    <t xml:space="preserve">BPL</t>
  </si>
  <si>
    <t xml:space="preserve">Eott Energy Partners, L.P.</t>
  </si>
  <si>
    <t xml:space="preserve">EOT</t>
  </si>
  <si>
    <t xml:space="preserve">Enterprise Products Partners, L.P.</t>
  </si>
  <si>
    <t xml:space="preserve">EPD</t>
  </si>
  <si>
    <t xml:space="preserve">El Paso Energy Partners, L.P.</t>
  </si>
  <si>
    <t xml:space="preserve">EPN</t>
  </si>
  <si>
    <t xml:space="preserve">Genesis Energy L.P.</t>
  </si>
  <si>
    <t xml:space="preserve">GEL</t>
  </si>
  <si>
    <t xml:space="preserve">Kinder Morgan Energy Partners</t>
  </si>
  <si>
    <t xml:space="preserve">KMP</t>
  </si>
  <si>
    <t xml:space="preserve">Kaneb Pipeline Partners, L.P.</t>
  </si>
  <si>
    <t xml:space="preserve">KPP</t>
  </si>
  <si>
    <t xml:space="preserve">Plains Energy All-American L.P.</t>
  </si>
  <si>
    <t xml:space="preserve">PAA</t>
  </si>
  <si>
    <t xml:space="preserve">Teppco Partners, L.P.</t>
  </si>
  <si>
    <t xml:space="preserve">TPP</t>
  </si>
  <si>
    <t xml:space="preserve">T. Hayes</t>
  </si>
  <si>
    <t xml:space="preserve">212-538-1728</t>
  </si>
  <si>
    <t xml:space="preserve">Merrill Lynch</t>
  </si>
  <si>
    <t xml:space="preserve">NR / (p)Baa2</t>
  </si>
  <si>
    <t xml:space="preserve">Buy Aggress</t>
  </si>
  <si>
    <t xml:space="preserve">BB / NR</t>
  </si>
  <si>
    <t xml:space="preserve">BBB / NR</t>
  </si>
  <si>
    <t xml:space="preserve">BB+ / NR</t>
  </si>
  <si>
    <t xml:space="preserve">UBS Warburg</t>
  </si>
  <si>
    <t xml:space="preserve">Lehman Brothers</t>
  </si>
  <si>
    <t xml:space="preserve">A- / Baa1</t>
  </si>
  <si>
    <t xml:space="preserve">Salomon Smith Barney</t>
  </si>
  <si>
    <t xml:space="preserve">OILFIELD SERVICES COMPARABLE COMPANY ANALYSIS</t>
  </si>
  <si>
    <r>
      <rPr>
        <sz val="10"/>
        <color rgb="FF000000"/>
        <rFont val="Arial"/>
        <family val="2"/>
      </rPr>
      <t xml:space="preserve">LTM</t>
    </r>
    <r>
      <rPr>
        <vertAlign val="superscript"/>
        <sz val="7.5"/>
        <color rgb="FF000000"/>
        <rFont val="Arial"/>
        <family val="2"/>
      </rPr>
      <t xml:space="preserve">(1)</t>
    </r>
  </si>
  <si>
    <t xml:space="preserve">W. Weathers</t>
  </si>
  <si>
    <t xml:space="preserve">713-652-6009</t>
  </si>
  <si>
    <t xml:space="preserve">B. Jukes</t>
  </si>
  <si>
    <t xml:space="preserve">713-652-6020</t>
  </si>
  <si>
    <t xml:space="preserve">(1) Hydril Company and W-H Energy Services, Inc. made an Initial Public Offering (IPO) on 9/27/00 and 10/16/00, respectively.</t>
  </si>
  <si>
    <t xml:space="preserve">b13</t>
  </si>
  <si>
    <t xml:space="preserve">f12</t>
  </si>
  <si>
    <t xml:space="preserve">g12</t>
  </si>
  <si>
    <t xml:space="preserve">h12</t>
  </si>
  <si>
    <t xml:space="preserve">j122</t>
  </si>
  <si>
    <t xml:space="preserve">j124</t>
  </si>
  <si>
    <t xml:space="preserve">q126</t>
  </si>
  <si>
    <t xml:space="preserve">q125</t>
  </si>
  <si>
    <t xml:space="preserve">q122</t>
  </si>
  <si>
    <t xml:space="preserve">q121</t>
  </si>
  <si>
    <t xml:space="preserve">q118</t>
  </si>
  <si>
    <t xml:space="preserve">q117</t>
  </si>
  <si>
    <t xml:space="preserve">q128</t>
  </si>
  <si>
    <t xml:space="preserve">i12</t>
  </si>
  <si>
    <t xml:space="preserve">j121</t>
  </si>
  <si>
    <t xml:space="preserve">EUROPEAN OIL FIELD SERVICE COMPARABLE COMPANY ANALYSIS</t>
  </si>
  <si>
    <t xml:space="preserve">Aker</t>
  </si>
  <si>
    <t xml:space="preserve">AKER MARITIME ASA</t>
  </si>
  <si>
    <t xml:space="preserve">Bouygues</t>
  </si>
  <si>
    <t xml:space="preserve">BOUYGUES OFFSHORE</t>
  </si>
  <si>
    <t xml:space="preserve">506918</t>
  </si>
  <si>
    <t xml:space="preserve">Coflexip</t>
  </si>
  <si>
    <t xml:space="preserve">COFLEXIP</t>
  </si>
  <si>
    <t xml:space="preserve">418174</t>
  </si>
  <si>
    <t xml:space="preserve">DSND</t>
  </si>
  <si>
    <t xml:space="preserve">DSND SUBSEA ASA</t>
  </si>
  <si>
    <t xml:space="preserve">523206</t>
  </si>
  <si>
    <t xml:space="preserve">Expro</t>
  </si>
  <si>
    <t xml:space="preserve">EXPRO INTL GRP</t>
  </si>
  <si>
    <t xml:space="preserve">031193</t>
  </si>
  <si>
    <t xml:space="preserve">Fred</t>
  </si>
  <si>
    <t xml:space="preserve">FRED OLSEN ENERGY</t>
  </si>
  <si>
    <t xml:space="preserve">534410</t>
  </si>
  <si>
    <t xml:space="preserve">Fugro</t>
  </si>
  <si>
    <t xml:space="preserve">FUGRO NV</t>
  </si>
  <si>
    <t xml:space="preserve">433289</t>
  </si>
  <si>
    <t xml:space="preserve">Geophysics</t>
  </si>
  <si>
    <t xml:space="preserve">CIE GEN GEOPHYSIQU</t>
  </si>
  <si>
    <t xml:space="preserve">421539</t>
  </si>
  <si>
    <t xml:space="preserve">IHC</t>
  </si>
  <si>
    <t xml:space="preserve">IHC CALAND NV</t>
  </si>
  <si>
    <t xml:space="preserve">444115</t>
  </si>
  <si>
    <t xml:space="preserve">Kvaerner</t>
  </si>
  <si>
    <t xml:space="preserve">KVAERNER AS</t>
  </si>
  <si>
    <t xml:space="preserve">450202</t>
  </si>
  <si>
    <t xml:space="preserve">Saipem</t>
  </si>
  <si>
    <t xml:space="preserve">SAIPEM</t>
  </si>
  <si>
    <t xml:space="preserve">476876</t>
  </si>
  <si>
    <t xml:space="preserve">Stolt</t>
  </si>
  <si>
    <t xml:space="preserve">STOLT OFFSHORE S A  -ADR</t>
  </si>
  <si>
    <t xml:space="preserve">sosa</t>
  </si>
  <si>
    <t xml:space="preserve">f114</t>
  </si>
  <si>
    <t xml:space="preserve">Nikolaj Larsen </t>
  </si>
  <si>
    <t xml:space="preserve">44-20-7883-7427</t>
  </si>
  <si>
    <t xml:space="preserve">D. Dudlyke</t>
  </si>
  <si>
    <t xml:space="preserve">none</t>
  </si>
  <si>
    <t xml:space="preserve">Ba3</t>
  </si>
  <si>
    <t xml:space="preserve">K. Gevert</t>
  </si>
  <si>
    <t xml:space="preserve">OFFSHORE OILFIELD SERVICES COMPARABLE COMPANY ANALYSIS</t>
  </si>
  <si>
    <t xml:space="preserve">Coflexip Stena Offshore</t>
  </si>
  <si>
    <t xml:space="preserve">CXIPY</t>
  </si>
  <si>
    <t xml:space="preserve">Global Industries Ltd.</t>
  </si>
  <si>
    <t xml:space="preserve">GLBL</t>
  </si>
  <si>
    <t xml:space="preserve">McDermott International</t>
  </si>
  <si>
    <t xml:space="preserve">MDR</t>
  </si>
  <si>
    <t xml:space="preserve">Petroleum Geo-Services ASA</t>
  </si>
  <si>
    <t xml:space="preserve">PGO</t>
  </si>
  <si>
    <t xml:space="preserve">Seacor Smit Inc.</t>
  </si>
  <si>
    <t xml:space="preserve">CKH</t>
  </si>
  <si>
    <t xml:space="preserve">Tidewater Inc.</t>
  </si>
  <si>
    <t xml:space="preserve">TDW </t>
  </si>
  <si>
    <t xml:space="preserve">Trico Marine Services Inc.</t>
  </si>
  <si>
    <t xml:space="preserve">TMAR</t>
  </si>
  <si>
    <t xml:space="preserve">Veritas DGC Inc.</t>
  </si>
  <si>
    <t xml:space="preserve">VTS</t>
  </si>
  <si>
    <t xml:space="preserve">R. Bayless</t>
  </si>
  <si>
    <t xml:space="preserve">713-652-6022 </t>
  </si>
  <si>
    <t xml:space="preserve">NR/BBB+</t>
  </si>
  <si>
    <t xml:space="preserve">B/NR</t>
  </si>
  <si>
    <t xml:space="preserve">Baa3/BBB</t>
  </si>
  <si>
    <t xml:space="preserve">B1/B+</t>
  </si>
  <si>
    <t xml:space="preserve">LAND DRILLER COMPARABLE COMPANY ANALYSIS</t>
  </si>
  <si>
    <t xml:space="preserve">Akita Drilling</t>
  </si>
  <si>
    <t xml:space="preserve">*AKT.A</t>
  </si>
  <si>
    <t xml:space="preserve">Ensign Resource Service Group</t>
  </si>
  <si>
    <t xml:space="preserve">*ESI</t>
  </si>
  <si>
    <t xml:space="preserve">Grey Wolf Inc.</t>
  </si>
  <si>
    <t xml:space="preserve">GW</t>
  </si>
  <si>
    <t xml:space="preserve">Helmerick &amp; Payne</t>
  </si>
  <si>
    <t xml:space="preserve">HP</t>
  </si>
  <si>
    <t xml:space="preserve">Nabors Industries Inc.</t>
  </si>
  <si>
    <t xml:space="preserve">NBR</t>
  </si>
  <si>
    <t xml:space="preserve">Precision Drilling</t>
  </si>
  <si>
    <t xml:space="preserve">*PD</t>
  </si>
  <si>
    <t xml:space="preserve">Parker Drilling</t>
  </si>
  <si>
    <t xml:space="preserve">PKD</t>
  </si>
  <si>
    <t xml:space="preserve">Patterson - UTI Energy </t>
  </si>
  <si>
    <t xml:space="preserve">PTEN</t>
  </si>
  <si>
    <t xml:space="preserve">Unit Corporation</t>
  </si>
  <si>
    <t xml:space="preserve">UNT</t>
  </si>
  <si>
    <t xml:space="preserve">Mobile Offshore Drilling Rigs</t>
  </si>
  <si>
    <t xml:space="preserve">Land Rigs (1)</t>
  </si>
  <si>
    <t xml:space="preserve">Barges</t>
  </si>
  <si>
    <t xml:space="preserve">Tenders</t>
  </si>
  <si>
    <t xml:space="preserve">Platforms</t>
  </si>
  <si>
    <t xml:space="preserve">Jack-ups</t>
  </si>
  <si>
    <t xml:space="preserve">Submers.</t>
  </si>
  <si>
    <t xml:space="preserve">Semi-Subs</t>
  </si>
  <si>
    <t xml:space="preserve">Drillships</t>
  </si>
  <si>
    <t xml:space="preserve">TOTAL</t>
  </si>
  <si>
    <t xml:space="preserve">U.S.</t>
  </si>
  <si>
    <t xml:space="preserve">Int'l</t>
  </si>
  <si>
    <t xml:space="preserve">B. Shughart</t>
  </si>
  <si>
    <t xml:space="preserve">713-652-6011</t>
  </si>
  <si>
    <t xml:space="preserve">CIBC</t>
  </si>
  <si>
    <t xml:space="preserve">A-/A3</t>
  </si>
  <si>
    <t xml:space="preserve">Dain </t>
  </si>
  <si>
    <t xml:space="preserve">CANADIAN OIL AND GAS COMPARABLE COMPANY ANALYSIS</t>
  </si>
  <si>
    <t xml:space="preserve">($CDN In Millions, Except Per Share Amounts and Multiples, Unless Otherwise Indicated)</t>
  </si>
  <si>
    <t xml:space="preserve">D9</t>
  </si>
  <si>
    <t xml:space="preserve">j123</t>
  </si>
  <si>
    <t xml:space="preserve">h46</t>
  </si>
  <si>
    <t xml:space="preserve">p46</t>
  </si>
  <si>
    <t xml:space="preserve">q46</t>
  </si>
  <si>
    <t xml:space="preserve">h52</t>
  </si>
  <si>
    <t xml:space="preserve">p52</t>
  </si>
  <si>
    <t xml:space="preserve">q52</t>
  </si>
  <si>
    <t xml:space="preserve">h28</t>
  </si>
  <si>
    <t xml:space="preserve">p28</t>
  </si>
  <si>
    <t xml:space="preserve">q28</t>
  </si>
  <si>
    <t xml:space="preserve">i97</t>
  </si>
  <si>
    <t xml:space="preserve">q290</t>
  </si>
  <si>
    <t xml:space="preserve">Share Prices as of </t>
  </si>
  <si>
    <t xml:space="preserve">Mkt. Val./ Net Income</t>
  </si>
  <si>
    <t xml:space="preserve">Mkt. Val./ Cash Flow</t>
  </si>
  <si>
    <t xml:space="preserve">Mkt. Value/</t>
  </si>
  <si>
    <t xml:space="preserve">Shares </t>
  </si>
  <si>
    <t xml:space="preserve">Book Value</t>
  </si>
  <si>
    <t xml:space="preserve">ALBERTA ENERGY COMPANY</t>
  </si>
  <si>
    <t xml:space="preserve">*AEC</t>
  </si>
  <si>
    <t xml:space="preserve">ANDERSON EXPLORATION</t>
  </si>
  <si>
    <t xml:space="preserve">*AXL</t>
  </si>
  <si>
    <t xml:space="preserve">BAYTEX ENERGY</t>
  </si>
  <si>
    <t xml:space="preserve">*BTE.A</t>
  </si>
  <si>
    <t xml:space="preserve">BONAVISTA PETROLEUM</t>
  </si>
  <si>
    <t xml:space="preserve">*BNP</t>
  </si>
  <si>
    <t xml:space="preserve">CANADIAN HUNTER EXPLORATION</t>
  </si>
  <si>
    <t xml:space="preserve">*HTR</t>
  </si>
  <si>
    <t xml:space="preserve">CANADIAN NATURAL RESOURCES</t>
  </si>
  <si>
    <t xml:space="preserve">*CNQ</t>
  </si>
  <si>
    <t xml:space="preserve">GULF CANADA RESOURCES</t>
  </si>
  <si>
    <t xml:space="preserve">*GOU</t>
  </si>
  <si>
    <t xml:space="preserve">HUSKY ENERGY</t>
  </si>
  <si>
    <t xml:space="preserve">*HSE</t>
  </si>
  <si>
    <t xml:space="preserve">IMPERIAL OIL</t>
  </si>
  <si>
    <t xml:space="preserve">*IMO</t>
  </si>
  <si>
    <t xml:space="preserve">NEXEN</t>
  </si>
  <si>
    <t xml:space="preserve">*NXY</t>
  </si>
  <si>
    <t xml:space="preserve">PANCANADIAN PETROLEUM</t>
  </si>
  <si>
    <t xml:space="preserve">*PCP</t>
  </si>
  <si>
    <t xml:space="preserve">PARAMOUNT RESOURCES</t>
  </si>
  <si>
    <t xml:space="preserve">*POU</t>
  </si>
  <si>
    <t xml:space="preserve">PENN WEST PETROLEUM</t>
  </si>
  <si>
    <t xml:space="preserve">*PWT</t>
  </si>
  <si>
    <t xml:space="preserve">PETRO-CANADA</t>
  </si>
  <si>
    <t xml:space="preserve">*PCA</t>
  </si>
  <si>
    <t xml:space="preserve">RIO ALTO EXPLORATION</t>
  </si>
  <si>
    <t xml:space="preserve">*RAX</t>
  </si>
  <si>
    <t xml:space="preserve">SHELL CANADA</t>
  </si>
  <si>
    <t xml:space="preserve">*SHC</t>
  </si>
  <si>
    <t xml:space="preserve">SUNCOR</t>
  </si>
  <si>
    <t xml:space="preserve">*SU</t>
  </si>
  <si>
    <t xml:space="preserve">TALISMAN ENERGY</t>
  </si>
  <si>
    <t xml:space="preserve">*TLM</t>
  </si>
  <si>
    <t xml:space="preserve">VERMILION RESOURCES</t>
  </si>
  <si>
    <t xml:space="preserve">*VRM</t>
  </si>
  <si>
    <t xml:space="preserve">Estimates from CSFB Equity Research, First Call</t>
  </si>
  <si>
    <t xml:space="preserve">Indirect Line</t>
  </si>
  <si>
    <t xml:space="preserve">v16</t>
  </si>
  <si>
    <t xml:space="preserve">V17</t>
  </si>
  <si>
    <t xml:space="preserve">w16</t>
  </si>
  <si>
    <t xml:space="preserve">Q263</t>
  </si>
  <si>
    <t xml:space="preserve">Tom Greenberg</t>
  </si>
  <si>
    <t xml:space="preserve">416-352-4518</t>
  </si>
  <si>
    <t xml:space="preserve">05/28/2001</t>
  </si>
  <si>
    <t xml:space="preserve">McDaniel, Gilbert Laustsen Jung, Ryder Scott</t>
  </si>
  <si>
    <t xml:space="preserve">BBB+/Baa2</t>
  </si>
  <si>
    <t xml:space="preserve">Internal Estimates, Gilbert Laustsen Jung</t>
  </si>
  <si>
    <t xml:space="preserve">FirstCall</t>
  </si>
  <si>
    <t xml:space="preserve">B+/Ba3</t>
  </si>
  <si>
    <t xml:space="preserve">Outtrim Szabo Associates</t>
  </si>
  <si>
    <t xml:space="preserve">McDaniel and Associates</t>
  </si>
  <si>
    <t xml:space="preserve">Sproule and Associates</t>
  </si>
  <si>
    <t xml:space="preserve">BBB+/NR</t>
  </si>
  <si>
    <t xml:space="preserve">Ryder Scott, Delgoyer and McNaughton Ltd.</t>
  </si>
  <si>
    <t xml:space="preserve">Ryder Scott, Internal</t>
  </si>
  <si>
    <t xml:space="preserve">A-1+/Aa1</t>
  </si>
  <si>
    <t xml:space="preserve">McDaniel, Ryder Scott, DeGolyer &amp; McNaughton</t>
  </si>
  <si>
    <t xml:space="preserve">Internal Estimates, Ryder Scott</t>
  </si>
  <si>
    <t xml:space="preserve">McDaniel &amp; Gilbert Lautsen Jung</t>
  </si>
  <si>
    <t xml:space="preserve">N/A / Aa2</t>
  </si>
  <si>
    <t xml:space="preserve">NRG Engineering</t>
  </si>
  <si>
    <t xml:space="preserve">A-1+/WR</t>
  </si>
  <si>
    <t xml:space="preserve">Internal Estimates</t>
  </si>
  <si>
    <t xml:space="preserve">Adams Pearson, Chapman Petroleum Engineering</t>
  </si>
  <si>
    <t xml:space="preserve">Notes</t>
  </si>
  <si>
    <t xml:space="preserve">1) Baytex Proforma for OGY and Triumph</t>
  </si>
  <si>
    <t xml:space="preserve">2) Talisman Proforma for Petromet</t>
  </si>
  <si>
    <t xml:space="preserve">Stock Price Performance</t>
  </si>
  <si>
    <t xml:space="preserve">LTM Change</t>
  </si>
  <si>
    <t xml:space="preserve">YTD Change</t>
  </si>
</sst>
</file>

<file path=xl/styles.xml><?xml version="1.0" encoding="utf-8"?>
<styleSheet xmlns="http://schemas.openxmlformats.org/spreadsheetml/2006/main">
  <numFmts count="39">
    <numFmt numFmtId="164" formatCode="General"/>
    <numFmt numFmtId="165" formatCode="[$-409]d\-mmm\-yy"/>
    <numFmt numFmtId="166" formatCode="_(\$* #,##0.00_);_(\$* \(#,##0.00\);_(\$* \-??_);_(@_)"/>
    <numFmt numFmtId="167" formatCode="\$#,##0.00_);&quot;($&quot;#,##0.00\)"/>
    <numFmt numFmtId="168" formatCode="\$#,##0_);&quot;($&quot;#,##0\)"/>
    <numFmt numFmtId="169" formatCode="#,##0.0\x_);\(#,##0.0&quot;x)&quot;"/>
    <numFmt numFmtId="170" formatCode="0%"/>
    <numFmt numFmtId="171" formatCode="0.0%"/>
    <numFmt numFmtId="172" formatCode="[$-409]#,##0_);\(#,##0\)"/>
    <numFmt numFmtId="173" formatCode="#,##0.0_);\(#,##0.0\)"/>
    <numFmt numFmtId="174" formatCode="_(* #,##0.00_);_(* \(#,##0.00\);_(* \-??_);_(@_)"/>
    <numFmt numFmtId="175" formatCode="0.0"/>
    <numFmt numFmtId="176" formatCode="\$#,##0.0_);&quot;($&quot;#,##0.0\)"/>
    <numFmt numFmtId="177" formatCode="\$#,##0.00;[RED]&quot;($&quot;#,##0.00\)"/>
    <numFmt numFmtId="178" formatCode="0.00"/>
    <numFmt numFmtId="179" formatCode="[$-409]m/d/yyyy"/>
    <numFmt numFmtId="180" formatCode="#,##0;[RED]\(#,##0\)"/>
    <numFmt numFmtId="181" formatCode="\$#,##0;[RED]&quot;($&quot;#,##0\)"/>
    <numFmt numFmtId="182" formatCode="0"/>
    <numFmt numFmtId="183" formatCode="[$-409]#,##0.00_);\(#,##0.00\)"/>
    <numFmt numFmtId="184" formatCode="#,##0.000_);\(#,##0.000\)"/>
    <numFmt numFmtId="185" formatCode="0.0\x"/>
    <numFmt numFmtId="186" formatCode="dd\-mmm\-yyyy"/>
    <numFmt numFmtId="187" formatCode="#,##0.0_);\(#,##0.0\);#,##0.0_);@_)"/>
    <numFmt numFmtId="188" formatCode="#,##0.0\x_);\(#,##0.0&quot;x)&quot;;#,##0.0\x_);@_)"/>
    <numFmt numFmtId="189" formatCode="0.0%_);\(0.0%\);0.0%_);@_)"/>
    <numFmt numFmtId="190" formatCode="mmm\-yyyy"/>
    <numFmt numFmtId="191" formatCode="[$$-2409]#,##0.0"/>
    <numFmt numFmtId="192" formatCode="_(* #,##0_);_(* \(#,##0\);_(* \-??_);_(@_)"/>
    <numFmt numFmtId="193" formatCode="0.0%;\(0.0%\)"/>
    <numFmt numFmtId="194" formatCode="[$$-409]#,##0.0"/>
    <numFmt numFmtId="195" formatCode="0_);\(0\);0_)"/>
    <numFmt numFmtId="196" formatCode="d\-mmm\-yyyy"/>
    <numFmt numFmtId="197" formatCode="mm/dd/yy"/>
    <numFmt numFmtId="198" formatCode="yyyy"/>
    <numFmt numFmtId="199" formatCode="\$#,##0.00"/>
    <numFmt numFmtId="200" formatCode="&quot;C$&quot;#,##0;[RED]&quot;($&quot;#,##0\)"/>
    <numFmt numFmtId="201" formatCode="\$#,##0"/>
    <numFmt numFmtId="202" formatCode="_(* #,##0.0_);_(* \(#,##0.0\);_(* \-??_);_(@_)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4"/>
      <name val="Arial"/>
      <family val="2"/>
    </font>
    <font>
      <b val="true"/>
      <sz val="12"/>
      <color rgb="FF000000"/>
      <name val="Arial"/>
      <family val="2"/>
    </font>
    <font>
      <b val="true"/>
      <i val="true"/>
      <sz val="10"/>
      <name val="Arial"/>
      <family val="2"/>
    </font>
    <font>
      <b val="true"/>
      <i val="true"/>
      <sz val="11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00FF"/>
      <name val="Arial"/>
      <family val="2"/>
    </font>
    <font>
      <sz val="10"/>
      <color rgb="FF000000"/>
      <name val="Arial"/>
      <family val="2"/>
    </font>
    <font>
      <u val="single"/>
      <sz val="10"/>
      <name val="Arial"/>
      <family val="2"/>
    </font>
    <font>
      <i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name val="Arial"/>
      <family val="2"/>
    </font>
    <font>
      <b val="true"/>
      <sz val="14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vertAlign val="superscript"/>
      <sz val="7.5"/>
      <color rgb="FF000000"/>
      <name val="Arial"/>
      <family val="2"/>
    </font>
    <font>
      <b val="true"/>
      <sz val="12"/>
      <name val="Arial"/>
      <family val="2"/>
    </font>
    <font>
      <u val="single"/>
      <sz val="7.5"/>
      <color rgb="FF0000FF"/>
      <name val="Arial"/>
      <family val="0"/>
    </font>
    <font>
      <i val="true"/>
      <sz val="8"/>
      <color rgb="FF000000"/>
      <name val="Arial"/>
      <family val="2"/>
    </font>
    <font>
      <i val="true"/>
      <sz val="10"/>
      <color rgb="FF000000"/>
      <name val="Arial"/>
      <family val="2"/>
    </font>
    <font>
      <sz val="10"/>
      <color rgb="FF000000"/>
      <name val="Times New Roman"/>
      <family val="1"/>
    </font>
    <font>
      <b val="true"/>
      <i val="true"/>
      <sz val="10"/>
      <color rgb="FF000000"/>
      <name val="Arial"/>
      <family val="0"/>
    </font>
    <font>
      <sz val="8"/>
      <color rgb="FF000000"/>
      <name val="Arial"/>
      <family val="2"/>
    </font>
    <font>
      <sz val="8"/>
      <color rgb="FF000000"/>
      <name val="Arial"/>
      <family val="0"/>
    </font>
    <font>
      <u val="single"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22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9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4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4" fillId="2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2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2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2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6" fontId="4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4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4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7" fontId="11" fillId="2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11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11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11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83" fontId="11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11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86" fontId="11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11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1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8" fontId="11" fillId="2" borderId="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11" fillId="2" borderId="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7" fontId="11" fillId="2" borderId="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1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1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8" fontId="11" fillId="2" borderId="3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11" fillId="2" borderId="3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7" fontId="11" fillId="2" borderId="3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1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9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9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1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1" fontId="11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8" fontId="11" fillId="2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11" fillId="2" borderId="1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1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8" fontId="11" fillId="2" borderId="1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11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6" fontId="11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1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2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11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11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2" fontId="11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11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11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4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2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4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4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11" fillId="2" borderId="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7" fontId="11" fillId="2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4" fontId="11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7" fontId="11" fillId="2" borderId="1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4" fontId="11" fillId="2" borderId="3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7" fontId="11" fillId="2" borderId="1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4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0" xfId="22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95" fontId="11" fillId="2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11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1" fillId="2" borderId="3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3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1" fillId="2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11" fillId="2" borderId="1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11" fillId="2" borderId="1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6" fontId="11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11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1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7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7" fontId="2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2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2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4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7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5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9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7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2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8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28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28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28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9" fontId="28" fillId="2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2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2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2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2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2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2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9" fontId="28" fillId="2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2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8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28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28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28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28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9" fontId="28" fillId="2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9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5" fontId="2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02" fontId="28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4" fontId="2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7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27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8" fillId="2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28" fillId="2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28" fillId="2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27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5" fillId="2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ASSIGN_C21" xfId="21"/>
    <cellStyle name="Normal_Output Weekly" xfId="22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externalLink" Target="externalLinks/externalLink1.xml"/><Relationship Id="rId21" Type="http://schemas.openxmlformats.org/officeDocument/2006/relationships/externalLink" Target="externalLinks/externalLink2.xml"/><Relationship Id="rId22" Type="http://schemas.openxmlformats.org/officeDocument/2006/relationships/externalLink" Target="externalLinks/externalLink3.xml"/><Relationship Id="rId23" Type="http://schemas.openxmlformats.org/officeDocument/2006/relationships/externalLink" Target="externalLinks/externalLink4.xml"/><Relationship Id="rId24" Type="http://schemas.openxmlformats.org/officeDocument/2006/relationships/externalLink" Target="externalLinks/externalLink5.xml"/><Relationship Id="rId25" Type="http://schemas.openxmlformats.org/officeDocument/2006/relationships/externalLink" Target="externalLinks/externalLink6.xml"/><Relationship Id="rId26" Type="http://schemas.openxmlformats.org/officeDocument/2006/relationships/externalLink" Target="externalLinks/externalLink7.xml"/><Relationship Id="rId27" Type="http://schemas.openxmlformats.org/officeDocument/2006/relationships/externalLink" Target="externalLinks/externalLink8.xml"/><Relationship Id="rId28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1.xml"/><Relationship Id="rId31" Type="http://schemas.openxmlformats.org/officeDocument/2006/relationships/externalLink" Target="externalLinks/externalLink12.xml"/><Relationship Id="rId32" Type="http://schemas.openxmlformats.org/officeDocument/2006/relationships/externalLink" Target="externalLinks/externalLink13.xml"/><Relationship Id="rId33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15.xml"/><Relationship Id="rId35" Type="http://schemas.openxmlformats.org/officeDocument/2006/relationships/externalLink" Target="externalLinks/externalLink16.xml"/><Relationship Id="rId36" Type="http://schemas.openxmlformats.org/officeDocument/2006/relationships/externalLink" Target="externalLinks/externalLink17.xml"/><Relationship Id="rId37" Type="http://schemas.openxmlformats.org/officeDocument/2006/relationships/externalLink" Target="externalLinks/externalLink18.xml"/><Relationship Id="rId38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20.xml"/><Relationship Id="rId40" Type="http://schemas.openxmlformats.org/officeDocument/2006/relationships/externalLink" Target="externalLinks/externalLink21.xml"/><Relationship Id="rId41" Type="http://schemas.openxmlformats.org/officeDocument/2006/relationships/externalLink" Target="externalLinks/externalLink22.xml"/><Relationship Id="rId42" Type="http://schemas.openxmlformats.org/officeDocument/2006/relationships/externalLink" Target="externalLinks/externalLink23.xml"/><Relationship Id="rId43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25.xml"/><Relationship Id="rId45" Type="http://schemas.openxmlformats.org/officeDocument/2006/relationships/externalLink" Target="externalLinks/externalLink26.xml"/><Relationship Id="rId46" Type="http://schemas.openxmlformats.org/officeDocument/2006/relationships/externalLink" Target="externalLinks/externalLink27.xml"/><Relationship Id="rId47" Type="http://schemas.openxmlformats.org/officeDocument/2006/relationships/externalLink" Target="externalLinks/externalLink28.xml"/><Relationship Id="rId48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30.xml"/><Relationship Id="rId50" Type="http://schemas.openxmlformats.org/officeDocument/2006/relationships/externalLink" Target="externalLinks/externalLink31.xml"/><Relationship Id="rId51" Type="http://schemas.openxmlformats.org/officeDocument/2006/relationships/externalLink" Target="externalLinks/externalLink32.xml"/><Relationship Id="rId52" Type="http://schemas.openxmlformats.org/officeDocument/2006/relationships/externalLink" Target="externalLinks/externalLink33.xml"/><Relationship Id="rId53" Type="http://schemas.openxmlformats.org/officeDocument/2006/relationships/externalLink" Target="externalLinks/externalLink34.xml"/><Relationship Id="rId5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10080</xdr:colOff>
      <xdr:row>18</xdr:row>
      <xdr:rowOff>0</xdr:rowOff>
    </xdr:from>
    <xdr:to>
      <xdr:col>22</xdr:col>
      <xdr:colOff>10800</xdr:colOff>
      <xdr:row>21</xdr:row>
      <xdr:rowOff>164520</xdr:rowOff>
    </xdr:to>
    <xdr:sp>
      <xdr:nvSpPr>
        <xdr:cNvPr id="0" name="Rectangle 25"/>
        <xdr:cNvSpPr/>
      </xdr:nvSpPr>
      <xdr:spPr>
        <a:xfrm>
          <a:off x="7425720" y="2930400"/>
          <a:ext cx="10290240" cy="658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0</xdr:colOff>
      <xdr:row>37</xdr:row>
      <xdr:rowOff>0</xdr:rowOff>
    </xdr:from>
    <xdr:to>
      <xdr:col>14</xdr:col>
      <xdr:colOff>664560</xdr:colOff>
      <xdr:row>40</xdr:row>
      <xdr:rowOff>164520</xdr:rowOff>
    </xdr:to>
    <xdr:sp>
      <xdr:nvSpPr>
        <xdr:cNvPr id="1" name="Rectangle 26"/>
        <xdr:cNvSpPr/>
      </xdr:nvSpPr>
      <xdr:spPr>
        <a:xfrm>
          <a:off x="10292760" y="5812920"/>
          <a:ext cx="260568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10080</xdr:colOff>
      <xdr:row>22</xdr:row>
      <xdr:rowOff>0</xdr:rowOff>
    </xdr:from>
    <xdr:to>
      <xdr:col>25</xdr:col>
      <xdr:colOff>11160</xdr:colOff>
      <xdr:row>25</xdr:row>
      <xdr:rowOff>164520</xdr:rowOff>
    </xdr:to>
    <xdr:sp>
      <xdr:nvSpPr>
        <xdr:cNvPr id="18" name="Rectangle 24"/>
        <xdr:cNvSpPr/>
      </xdr:nvSpPr>
      <xdr:spPr>
        <a:xfrm>
          <a:off x="7063200" y="3588480"/>
          <a:ext cx="997740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44</xdr:row>
      <xdr:rowOff>0</xdr:rowOff>
    </xdr:from>
    <xdr:to>
      <xdr:col>25</xdr:col>
      <xdr:colOff>720</xdr:colOff>
      <xdr:row>47</xdr:row>
      <xdr:rowOff>152280</xdr:rowOff>
    </xdr:to>
    <xdr:sp>
      <xdr:nvSpPr>
        <xdr:cNvPr id="19" name="Rectangle 25"/>
        <xdr:cNvSpPr/>
      </xdr:nvSpPr>
      <xdr:spPr>
        <a:xfrm>
          <a:off x="9647640" y="7007400"/>
          <a:ext cx="7382520" cy="6379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10080</xdr:colOff>
      <xdr:row>21</xdr:row>
      <xdr:rowOff>0</xdr:rowOff>
    </xdr:from>
    <xdr:to>
      <xdr:col>25</xdr:col>
      <xdr:colOff>11160</xdr:colOff>
      <xdr:row>24</xdr:row>
      <xdr:rowOff>152640</xdr:rowOff>
    </xdr:to>
    <xdr:sp>
      <xdr:nvSpPr>
        <xdr:cNvPr id="2" name="Rectangle 19"/>
        <xdr:cNvSpPr/>
      </xdr:nvSpPr>
      <xdr:spPr>
        <a:xfrm>
          <a:off x="7063200" y="3423960"/>
          <a:ext cx="9906840" cy="6458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17</xdr:col>
      <xdr:colOff>654480</xdr:colOff>
      <xdr:row>46</xdr:row>
      <xdr:rowOff>164520</xdr:rowOff>
    </xdr:to>
    <xdr:sp>
      <xdr:nvSpPr>
        <xdr:cNvPr id="3" name="Rectangle 20"/>
        <xdr:cNvSpPr/>
      </xdr:nvSpPr>
      <xdr:spPr>
        <a:xfrm>
          <a:off x="9647640" y="6807960"/>
          <a:ext cx="249480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10440</xdr:colOff>
      <xdr:row>20</xdr:row>
      <xdr:rowOff>0</xdr:rowOff>
    </xdr:from>
    <xdr:to>
      <xdr:col>25</xdr:col>
      <xdr:colOff>10800</xdr:colOff>
      <xdr:row>23</xdr:row>
      <xdr:rowOff>164160</xdr:rowOff>
    </xdr:to>
    <xdr:sp>
      <xdr:nvSpPr>
        <xdr:cNvPr id="4" name="Rectangle 33"/>
        <xdr:cNvSpPr/>
      </xdr:nvSpPr>
      <xdr:spPr>
        <a:xfrm>
          <a:off x="7204320" y="3256920"/>
          <a:ext cx="990648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17</xdr:col>
      <xdr:colOff>614520</xdr:colOff>
      <xdr:row>44</xdr:row>
      <xdr:rowOff>164520</xdr:rowOff>
    </xdr:to>
    <xdr:sp>
      <xdr:nvSpPr>
        <xdr:cNvPr id="5" name="Rectangle 34"/>
        <xdr:cNvSpPr/>
      </xdr:nvSpPr>
      <xdr:spPr>
        <a:xfrm>
          <a:off x="9788400" y="6450480"/>
          <a:ext cx="245484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10080</xdr:colOff>
      <xdr:row>22</xdr:row>
      <xdr:rowOff>0</xdr:rowOff>
    </xdr:from>
    <xdr:to>
      <xdr:col>25</xdr:col>
      <xdr:colOff>11160</xdr:colOff>
      <xdr:row>25</xdr:row>
      <xdr:rowOff>164520</xdr:rowOff>
    </xdr:to>
    <xdr:sp>
      <xdr:nvSpPr>
        <xdr:cNvPr id="6" name="Rectangle 23"/>
        <xdr:cNvSpPr/>
      </xdr:nvSpPr>
      <xdr:spPr>
        <a:xfrm>
          <a:off x="7063200" y="3567960"/>
          <a:ext cx="9906840" cy="658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18</xdr:col>
      <xdr:colOff>30960</xdr:colOff>
      <xdr:row>46</xdr:row>
      <xdr:rowOff>164520</xdr:rowOff>
    </xdr:to>
    <xdr:sp>
      <xdr:nvSpPr>
        <xdr:cNvPr id="7" name="Rectangle 24"/>
        <xdr:cNvSpPr/>
      </xdr:nvSpPr>
      <xdr:spPr>
        <a:xfrm>
          <a:off x="9647640" y="6765120"/>
          <a:ext cx="2554920" cy="658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10080</xdr:colOff>
      <xdr:row>19</xdr:row>
      <xdr:rowOff>0</xdr:rowOff>
    </xdr:from>
    <xdr:to>
      <xdr:col>25</xdr:col>
      <xdr:colOff>11160</xdr:colOff>
      <xdr:row>22</xdr:row>
      <xdr:rowOff>164520</xdr:rowOff>
    </xdr:to>
    <xdr:sp>
      <xdr:nvSpPr>
        <xdr:cNvPr id="8" name="Rectangle 23"/>
        <xdr:cNvSpPr/>
      </xdr:nvSpPr>
      <xdr:spPr>
        <a:xfrm>
          <a:off x="7063200" y="3094920"/>
          <a:ext cx="9906840" cy="658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18</xdr:col>
      <xdr:colOff>720</xdr:colOff>
      <xdr:row>42</xdr:row>
      <xdr:rowOff>164520</xdr:rowOff>
    </xdr:to>
    <xdr:sp>
      <xdr:nvSpPr>
        <xdr:cNvPr id="9" name="Rectangle 24"/>
        <xdr:cNvSpPr/>
      </xdr:nvSpPr>
      <xdr:spPr>
        <a:xfrm>
          <a:off x="9647640" y="6141600"/>
          <a:ext cx="2524680" cy="658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10080</xdr:colOff>
      <xdr:row>36</xdr:row>
      <xdr:rowOff>0</xdr:rowOff>
    </xdr:from>
    <xdr:to>
      <xdr:col>25</xdr:col>
      <xdr:colOff>11160</xdr:colOff>
      <xdr:row>39</xdr:row>
      <xdr:rowOff>164160</xdr:rowOff>
    </xdr:to>
    <xdr:sp>
      <xdr:nvSpPr>
        <xdr:cNvPr id="10" name="Rectangle 33"/>
        <xdr:cNvSpPr/>
      </xdr:nvSpPr>
      <xdr:spPr>
        <a:xfrm>
          <a:off x="7063200" y="5897880"/>
          <a:ext cx="1202148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73</xdr:row>
      <xdr:rowOff>0</xdr:rowOff>
    </xdr:from>
    <xdr:to>
      <xdr:col>18</xdr:col>
      <xdr:colOff>720</xdr:colOff>
      <xdr:row>76</xdr:row>
      <xdr:rowOff>164520</xdr:rowOff>
    </xdr:to>
    <xdr:sp>
      <xdr:nvSpPr>
        <xdr:cNvPr id="11" name="Rectangle 34"/>
        <xdr:cNvSpPr/>
      </xdr:nvSpPr>
      <xdr:spPr>
        <a:xfrm>
          <a:off x="10704960" y="11791800"/>
          <a:ext cx="3582000" cy="658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10080</xdr:colOff>
      <xdr:row>21</xdr:row>
      <xdr:rowOff>0</xdr:rowOff>
    </xdr:from>
    <xdr:to>
      <xdr:col>26</xdr:col>
      <xdr:colOff>181800</xdr:colOff>
      <xdr:row>24</xdr:row>
      <xdr:rowOff>164520</xdr:rowOff>
    </xdr:to>
    <xdr:sp>
      <xdr:nvSpPr>
        <xdr:cNvPr id="12" name="Rectangle 77"/>
        <xdr:cNvSpPr/>
      </xdr:nvSpPr>
      <xdr:spPr>
        <a:xfrm>
          <a:off x="7557840" y="3423960"/>
          <a:ext cx="1124460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43</xdr:row>
      <xdr:rowOff>0</xdr:rowOff>
    </xdr:from>
    <xdr:to>
      <xdr:col>19</xdr:col>
      <xdr:colOff>40680</xdr:colOff>
      <xdr:row>46</xdr:row>
      <xdr:rowOff>164520</xdr:rowOff>
    </xdr:to>
    <xdr:sp>
      <xdr:nvSpPr>
        <xdr:cNvPr id="13" name="Rectangle 78"/>
        <xdr:cNvSpPr/>
      </xdr:nvSpPr>
      <xdr:spPr>
        <a:xfrm>
          <a:off x="10323360" y="6799680"/>
          <a:ext cx="332928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10080</xdr:colOff>
      <xdr:row>32</xdr:row>
      <xdr:rowOff>0</xdr:rowOff>
    </xdr:from>
    <xdr:to>
      <xdr:col>25</xdr:col>
      <xdr:colOff>11160</xdr:colOff>
      <xdr:row>35</xdr:row>
      <xdr:rowOff>164520</xdr:rowOff>
    </xdr:to>
    <xdr:sp>
      <xdr:nvSpPr>
        <xdr:cNvPr id="14" name="Rectangle 8"/>
        <xdr:cNvSpPr/>
      </xdr:nvSpPr>
      <xdr:spPr>
        <a:xfrm>
          <a:off x="7063200" y="5240160"/>
          <a:ext cx="990684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65</xdr:row>
      <xdr:rowOff>0</xdr:rowOff>
    </xdr:from>
    <xdr:to>
      <xdr:col>17</xdr:col>
      <xdr:colOff>674280</xdr:colOff>
      <xdr:row>68</xdr:row>
      <xdr:rowOff>164520</xdr:rowOff>
    </xdr:to>
    <xdr:sp>
      <xdr:nvSpPr>
        <xdr:cNvPr id="15" name="Rectangle 9"/>
        <xdr:cNvSpPr/>
      </xdr:nvSpPr>
      <xdr:spPr>
        <a:xfrm>
          <a:off x="9647640" y="10443240"/>
          <a:ext cx="251460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10080</xdr:colOff>
      <xdr:row>20</xdr:row>
      <xdr:rowOff>0</xdr:rowOff>
    </xdr:from>
    <xdr:to>
      <xdr:col>25</xdr:col>
      <xdr:colOff>11160</xdr:colOff>
      <xdr:row>23</xdr:row>
      <xdr:rowOff>164160</xdr:rowOff>
    </xdr:to>
    <xdr:sp>
      <xdr:nvSpPr>
        <xdr:cNvPr id="16" name="Rectangle 24"/>
        <xdr:cNvSpPr/>
      </xdr:nvSpPr>
      <xdr:spPr>
        <a:xfrm>
          <a:off x="7576200" y="3237840"/>
          <a:ext cx="9906840" cy="657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41</xdr:row>
      <xdr:rowOff>0</xdr:rowOff>
    </xdr:from>
    <xdr:to>
      <xdr:col>18</xdr:col>
      <xdr:colOff>720</xdr:colOff>
      <xdr:row>44</xdr:row>
      <xdr:rowOff>164520</xdr:rowOff>
    </xdr:to>
    <xdr:sp>
      <xdr:nvSpPr>
        <xdr:cNvPr id="17" name="Rectangle 25"/>
        <xdr:cNvSpPr/>
      </xdr:nvSpPr>
      <xdr:spPr>
        <a:xfrm>
          <a:off x="10160640" y="6464880"/>
          <a:ext cx="2524680" cy="658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Book2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PTRY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UNI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WDFC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Summary%20Sheets/TSO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K:/COMPCO/Majors/9_30_2000/Majors2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BHI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BJS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CAM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Oil%20Field%20Services/Mid/3-31-01/CLB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Oil%20Field%20Services/Mid/3-31-01/EFX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9.11%20comps/Research%20Models/RepsolYPF-080399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Oil%20Field%20Services/Mid/3-31-01/GRP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HAL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HC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Oil%20Field%20Services/Mid/3-31-01/HYDL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Oil%20Field%20Services/Mid/3-31-01/IO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NOI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SLB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Summary.xls" TargetMode="External"/>
</Relationships>
</file>

<file path=xl/externalLinks/_rels/externalLink2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SII.xls" TargetMode="External"/>
</Relationships>
</file>

<file path=xl/externalLinks/_rels/externalLink2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Oil%20Field%20Services/Mid/3-31-01/SESI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9.11%20comps/Neste%20Oy.xls" TargetMode="External"/>
</Relationships>
</file>

<file path=xl/externalLinks/_rels/externalLink3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Oil%20Field%20Services/Mid/3-31-01/TEO.xls" TargetMode="External"/>
</Relationships>
</file>

<file path=xl/externalLinks/_rels/externalLink3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Oil%20Field%20Services/Mid/3-31-01/UCO.xls" TargetMode="External"/>
</Relationships>
</file>

<file path=xl/externalLinks/_rels/externalLink3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Oil%20Field%20Services/Mid/3-31-01/VRC.xls" TargetMode="External"/>
</Relationships>
</file>

<file path=xl/externalLinks/_rels/externalLink3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IBD%20Global%20Energy/Comps%20(DO%20NOT%20DELETE)/Compco/Oil%20and%20Gas/Oil%20Field%20Services/Mid/3-31-01/WHES.xls" TargetMode="External"/>
</Relationships>
</file>

<file path=xl/externalLinks/_rels/externalLink3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WF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OMPCO/Majors/9_30_2000/Majors2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CAS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DMC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Lubrizol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PZL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S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PTRY"/>
    </sheetNames>
    <sheetDataSet>
      <sheetData sheetId="0"/>
      <sheetData sheetId="1">
        <row r="9">
          <cell r="D9">
            <v>37099</v>
          </cell>
        </row>
        <row r="11">
          <cell r="U11" t="str">
            <v>NR</v>
          </cell>
        </row>
        <row r="16">
          <cell r="V16" t="str">
            <v>Merril Lynch</v>
          </cell>
        </row>
        <row r="28">
          <cell r="O28">
            <v>137.891999999999</v>
          </cell>
          <cell r="P28">
            <v>146.534342254735</v>
          </cell>
          <cell r="Q28">
            <v>154.548927818419</v>
          </cell>
        </row>
        <row r="46">
          <cell r="O46">
            <v>13.2278754974411</v>
          </cell>
        </row>
        <row r="52">
          <cell r="O52">
            <v>79.1568754974411</v>
          </cell>
        </row>
        <row r="56">
          <cell r="S56">
            <v>18.1503666423358</v>
          </cell>
        </row>
        <row r="58">
          <cell r="P58">
            <v>1</v>
          </cell>
          <cell r="Q58">
            <v>1.25</v>
          </cell>
        </row>
        <row r="59">
          <cell r="P59">
            <v>4.27</v>
          </cell>
          <cell r="Q59">
            <v>4.66</v>
          </cell>
        </row>
        <row r="97">
          <cell r="I97">
            <v>112.329</v>
          </cell>
        </row>
        <row r="113">
          <cell r="F113" t="str">
            <v>BB-/ B2</v>
          </cell>
        </row>
        <row r="114">
          <cell r="F114">
            <v>37012</v>
          </cell>
        </row>
        <row r="123">
          <cell r="J123">
            <v>603.58</v>
          </cell>
        </row>
        <row r="132">
          <cell r="J132">
            <v>0.849210269847961</v>
          </cell>
        </row>
        <row r="160">
          <cell r="E160">
            <v>1292</v>
          </cell>
        </row>
        <row r="282">
          <cell r="Q282" t="str">
            <v>_</v>
          </cell>
        </row>
        <row r="285">
          <cell r="Q285">
            <v>0</v>
          </cell>
        </row>
        <row r="305">
          <cell r="D305" t="str">
            <v>The Pantry, Inc.</v>
          </cell>
          <cell r="E305" t="str">
            <v>PTRY</v>
          </cell>
        </row>
        <row r="305">
          <cell r="S305">
            <v>0</v>
          </cell>
          <cell r="T305" t="str">
            <v>NA</v>
          </cell>
        </row>
        <row r="305">
          <cell r="V305">
            <v>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UNI"/>
    </sheetNames>
    <sheetDataSet>
      <sheetData sheetId="0"/>
      <sheetData sheetId="1">
        <row r="9">
          <cell r="D9">
            <v>37099</v>
          </cell>
        </row>
        <row r="11">
          <cell r="U11" t="str">
            <v>NR</v>
          </cell>
        </row>
        <row r="16">
          <cell r="V16" t="str">
            <v>No Research</v>
          </cell>
        </row>
        <row r="28">
          <cell r="Q28" t="e">
            <v>#VALUE!</v>
          </cell>
        </row>
        <row r="46">
          <cell r="O46">
            <v>0.0256639999999662</v>
          </cell>
        </row>
        <row r="52">
          <cell r="O52">
            <v>12.040122</v>
          </cell>
        </row>
        <row r="56">
          <cell r="S56">
            <v>7.060502</v>
          </cell>
        </row>
        <row r="58">
          <cell r="P58" t="e">
            <v>#VALUE!</v>
          </cell>
          <cell r="Q58" t="e">
            <v>#VALUE!</v>
          </cell>
        </row>
        <row r="59">
          <cell r="P59" t="e">
            <v>#VALUE!</v>
          </cell>
          <cell r="Q59" t="e">
            <v>#VALUE!</v>
          </cell>
        </row>
        <row r="97">
          <cell r="I97">
            <v>28.328464</v>
          </cell>
        </row>
        <row r="113">
          <cell r="F113" t="str">
            <v>NR / NR</v>
          </cell>
        </row>
        <row r="114">
          <cell r="F114">
            <v>37012</v>
          </cell>
        </row>
        <row r="123">
          <cell r="J123">
            <v>78.429081</v>
          </cell>
        </row>
        <row r="132">
          <cell r="J132">
            <v>0.743649042537436</v>
          </cell>
        </row>
        <row r="160">
          <cell r="E160">
            <v>238</v>
          </cell>
        </row>
        <row r="282">
          <cell r="Q282">
            <v>0</v>
          </cell>
        </row>
        <row r="285">
          <cell r="Q285">
            <v>103.80616</v>
          </cell>
        </row>
        <row r="305">
          <cell r="D305" t="str">
            <v>Uni-Marts Inc.</v>
          </cell>
          <cell r="E305" t="str">
            <v>UNI</v>
          </cell>
        </row>
        <row r="305">
          <cell r="S305">
            <v>0</v>
          </cell>
          <cell r="T305" t="str">
            <v>NA</v>
          </cell>
        </row>
        <row r="305">
          <cell r="V305">
            <v>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WD"/>
    </sheetNames>
    <sheetDataSet>
      <sheetData sheetId="0"/>
      <sheetData sheetId="1">
        <row r="9">
          <cell r="D9">
            <v>37099</v>
          </cell>
        </row>
        <row r="11">
          <cell r="U11" t="str">
            <v>NA</v>
          </cell>
        </row>
        <row r="13">
          <cell r="B13" t="str">
            <v>WDFC</v>
          </cell>
        </row>
        <row r="16">
          <cell r="V16" t="str">
            <v>No Research</v>
          </cell>
        </row>
        <row r="28">
          <cell r="Q28">
            <v>35.4750599862507</v>
          </cell>
        </row>
        <row r="46">
          <cell r="O46">
            <v>19.9590535135448</v>
          </cell>
        </row>
        <row r="52">
          <cell r="O52">
            <v>23.4610535135448</v>
          </cell>
        </row>
        <row r="56">
          <cell r="S56">
            <v>15.4404702295082</v>
          </cell>
        </row>
        <row r="58">
          <cell r="P58">
            <v>1.11</v>
          </cell>
          <cell r="Q58">
            <v>1.27</v>
          </cell>
        </row>
        <row r="59">
          <cell r="P59" t="e">
            <v>#VALUE!</v>
          </cell>
          <cell r="Q59" t="e">
            <v>#VALUE!</v>
          </cell>
        </row>
        <row r="97">
          <cell r="I97">
            <v>49.666</v>
          </cell>
        </row>
        <row r="113">
          <cell r="F113" t="str">
            <v>NA/NA</v>
          </cell>
        </row>
        <row r="114">
          <cell r="F114">
            <v>36985</v>
          </cell>
        </row>
        <row r="123">
          <cell r="J123">
            <v>9.772</v>
          </cell>
        </row>
        <row r="132">
          <cell r="J132">
            <v>0.202511320209384</v>
          </cell>
        </row>
        <row r="282">
          <cell r="Q282">
            <v>0</v>
          </cell>
        </row>
        <row r="285">
          <cell r="Q285">
            <v>4.819</v>
          </cell>
        </row>
        <row r="305">
          <cell r="D305" t="str">
            <v>WD-40 Co.</v>
          </cell>
        </row>
        <row r="305">
          <cell r="S305">
            <v>0</v>
          </cell>
          <cell r="T305" t="str">
            <v>NA</v>
          </cell>
        </row>
        <row r="305">
          <cell r="V305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TSO"/>
      <sheetName val="TSOI"/>
    </sheetNames>
    <sheetDataSet>
      <sheetData sheetId="0"/>
      <sheetData sheetId="1">
        <row r="28">
          <cell r="O28">
            <v>204.699999999999</v>
          </cell>
          <cell r="P28">
            <v>172.27243125</v>
          </cell>
        </row>
      </sheetData>
      <sheetData sheetId="2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output"/>
      <sheetName val="summary "/>
      <sheetName val="MAIN OUTPUT"/>
      <sheetName val="Word Setup Summary (2)"/>
      <sheetName val="WACC-ALL"/>
      <sheetName val="WACC-Super&amp;Intnl"/>
      <sheetName val="WACC-Intnl"/>
      <sheetName val="WACC-Super&amp;Intgrd"/>
      <sheetName val="WACC (2)"/>
      <sheetName val="Sheet1"/>
    </sheetNames>
    <sheetDataSet>
      <sheetData sheetId="0"/>
      <sheetData sheetId="1">
        <row r="16">
          <cell r="AK16">
            <v>37621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BHI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1070.7</v>
          </cell>
          <cell r="P28">
            <v>1320.2</v>
          </cell>
          <cell r="Q28">
            <v>1587</v>
          </cell>
        </row>
        <row r="46">
          <cell r="O46">
            <v>202.44</v>
          </cell>
        </row>
        <row r="52">
          <cell r="O52">
            <v>862.44</v>
          </cell>
        </row>
        <row r="56">
          <cell r="S56">
            <v>337.120242516027</v>
          </cell>
        </row>
        <row r="58">
          <cell r="P58">
            <v>1.25323887240356</v>
          </cell>
          <cell r="Q58">
            <v>1.74783185840708</v>
          </cell>
        </row>
        <row r="59">
          <cell r="P59">
            <v>2.93424777448071</v>
          </cell>
          <cell r="Q59">
            <v>3.50299410029498</v>
          </cell>
        </row>
        <row r="97">
          <cell r="I97">
            <v>3087.4</v>
          </cell>
        </row>
        <row r="113">
          <cell r="F113" t="str">
            <v>A2/A</v>
          </cell>
        </row>
        <row r="114">
          <cell r="F114">
            <v>37041</v>
          </cell>
        </row>
        <row r="123">
          <cell r="J123">
            <v>1999</v>
          </cell>
        </row>
        <row r="132">
          <cell r="J132">
            <v>0.397215876920674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1378.7</v>
          </cell>
        </row>
        <row r="286">
          <cell r="K286" t="str">
            <v>NA</v>
          </cell>
        </row>
        <row r="305">
          <cell r="D305" t="str">
            <v>Baker Hughes Incorporated</v>
          </cell>
          <cell r="E305" t="str">
            <v>BHI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BJS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437.74</v>
          </cell>
          <cell r="P28">
            <v>642.92</v>
          </cell>
          <cell r="Q28">
            <v>726</v>
          </cell>
        </row>
        <row r="46">
          <cell r="O46">
            <v>212.405</v>
          </cell>
        </row>
        <row r="52">
          <cell r="O52">
            <v>406.44</v>
          </cell>
        </row>
        <row r="56">
          <cell r="S56">
            <v>167.785017900826</v>
          </cell>
        </row>
        <row r="58">
          <cell r="P58">
            <v>2.04623627684964</v>
          </cell>
          <cell r="Q58">
            <v>2.35295857988166</v>
          </cell>
        </row>
        <row r="59">
          <cell r="P59">
            <v>2.67272792362768</v>
          </cell>
          <cell r="Q59">
            <v>3.04526627218935</v>
          </cell>
        </row>
        <row r="97">
          <cell r="I97">
            <v>1252.666</v>
          </cell>
        </row>
        <row r="113">
          <cell r="F113" t="str">
            <v>Baa2 / BBB+</v>
          </cell>
        </row>
        <row r="114">
          <cell r="F114">
            <v>37040</v>
          </cell>
        </row>
        <row r="123">
          <cell r="J123">
            <v>153.084</v>
          </cell>
        </row>
        <row r="132">
          <cell r="J132">
            <v>0.114176530238465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585.394</v>
          </cell>
        </row>
        <row r="286">
          <cell r="K286" t="str">
            <v>NA</v>
          </cell>
        </row>
        <row r="305">
          <cell r="D305" t="str">
            <v>BJ Services Company</v>
          </cell>
          <cell r="E305" t="str">
            <v>BJS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CAM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217.631</v>
          </cell>
          <cell r="P28">
            <v>264.2</v>
          </cell>
          <cell r="Q28">
            <v>348</v>
          </cell>
        </row>
        <row r="46">
          <cell r="O46">
            <v>81.66935</v>
          </cell>
        </row>
        <row r="52">
          <cell r="O52">
            <v>160.72935</v>
          </cell>
        </row>
        <row r="56">
          <cell r="S56">
            <v>54.2544157165354</v>
          </cell>
        </row>
        <row r="58">
          <cell r="P58">
            <v>2.12407155025554</v>
          </cell>
          <cell r="Q58">
            <v>3.06314754098361</v>
          </cell>
        </row>
        <row r="59">
          <cell r="P59">
            <v>3.44093696763203</v>
          </cell>
          <cell r="Q59">
            <v>4.41068852459017</v>
          </cell>
        </row>
        <row r="97">
          <cell r="I97">
            <v>842.4</v>
          </cell>
        </row>
        <row r="113">
          <cell r="F113" t="str">
            <v>Baa1/A-</v>
          </cell>
        </row>
        <row r="114">
          <cell r="F114">
            <v>37040</v>
          </cell>
        </row>
        <row r="123">
          <cell r="J123">
            <v>221.1</v>
          </cell>
        </row>
        <row r="132">
          <cell r="J132">
            <v>0.355717017208413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403.22</v>
          </cell>
        </row>
        <row r="286">
          <cell r="K286" t="str">
            <v>NA</v>
          </cell>
        </row>
        <row r="305">
          <cell r="D305" t="str">
            <v>Cooper Cameron Corporation</v>
          </cell>
          <cell r="E305" t="str">
            <v>CAM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CLB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59.8020000000001</v>
          </cell>
          <cell r="P28">
            <v>78.4</v>
          </cell>
          <cell r="Q28">
            <v>99.3</v>
          </cell>
        </row>
        <row r="46">
          <cell r="O46">
            <v>21.9719020403802</v>
          </cell>
        </row>
        <row r="52">
          <cell r="O52">
            <v>41.8049020403802</v>
          </cell>
        </row>
        <row r="56">
          <cell r="S56">
            <v>33.2539274878049</v>
          </cell>
        </row>
        <row r="58">
          <cell r="P58">
            <v>1.05373134328358</v>
          </cell>
          <cell r="Q58">
            <v>1.49852507374631</v>
          </cell>
        </row>
        <row r="59">
          <cell r="P59">
            <v>1.7134328358209</v>
          </cell>
          <cell r="Q59">
            <v>2.1858407079646</v>
          </cell>
        </row>
        <row r="97">
          <cell r="I97">
            <v>259.01</v>
          </cell>
        </row>
        <row r="113">
          <cell r="F113" t="str">
            <v>NR/NR</v>
          </cell>
        </row>
        <row r="114">
          <cell r="F114">
            <v>37035</v>
          </cell>
        </row>
        <row r="123">
          <cell r="J123">
            <v>68.263</v>
          </cell>
        </row>
        <row r="132">
          <cell r="J132">
            <v>0.234104911107199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0</v>
          </cell>
        </row>
        <row r="286">
          <cell r="K286" t="str">
            <v>NA</v>
          </cell>
        </row>
        <row r="305">
          <cell r="D305" t="str">
            <v>Core Laboratories N.V.</v>
          </cell>
          <cell r="E305" t="str">
            <v>CLB 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EFX"/>
    </sheetNames>
    <sheetDataSet>
      <sheetData sheetId="0"/>
      <sheetData sheetId="1">
        <row r="9">
          <cell r="D9">
            <v>37099</v>
          </cell>
        </row>
        <row r="11">
          <cell r="U11" t="str">
            <v>Buy</v>
          </cell>
        </row>
        <row r="12">
          <cell r="U12">
            <v>37011</v>
          </cell>
        </row>
        <row r="16">
          <cell r="V16" t="str">
            <v>CIBC World Markets</v>
          </cell>
        </row>
        <row r="28">
          <cell r="P28">
            <v>47.4000000000001</v>
          </cell>
          <cell r="Q28">
            <v>66.3</v>
          </cell>
        </row>
        <row r="46">
          <cell r="O46">
            <v>6.84859765190109</v>
          </cell>
        </row>
        <row r="52">
          <cell r="O52">
            <v>11.9257192259011</v>
          </cell>
        </row>
        <row r="56">
          <cell r="S56">
            <v>15.21583</v>
          </cell>
        </row>
        <row r="58">
          <cell r="P58">
            <v>1.46</v>
          </cell>
          <cell r="Q58">
            <v>2.38666666666667</v>
          </cell>
        </row>
        <row r="59">
          <cell r="P59">
            <v>1.98</v>
          </cell>
          <cell r="Q59">
            <v>2.92</v>
          </cell>
        </row>
        <row r="97">
          <cell r="I97">
            <v>68.0288551082</v>
          </cell>
        </row>
        <row r="113">
          <cell r="F113" t="str">
            <v>NR/NR</v>
          </cell>
        </row>
        <row r="114">
          <cell r="F114">
            <v>37035</v>
          </cell>
        </row>
        <row r="123">
          <cell r="J123">
            <v>19.73347124</v>
          </cell>
        </row>
        <row r="132">
          <cell r="J132">
            <v>0.224851278004035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0</v>
          </cell>
        </row>
        <row r="286">
          <cell r="K286" t="str">
            <v>NA</v>
          </cell>
        </row>
        <row r="305">
          <cell r="D305" t="str">
            <v>Enerflex Systems Ltd.</v>
          </cell>
          <cell r="E305" t="str">
            <v>*EFX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come Statement"/>
      <sheetName val="Income statement in Euro"/>
      <sheetName val="Cash Flow"/>
      <sheetName val="Balance Sheet"/>
      <sheetName val="Latin American Summary"/>
      <sheetName val="Summary stats"/>
      <sheetName val="Capex"/>
      <sheetName val="Depreciation"/>
      <sheetName val="Minorities &amp; Associates"/>
      <sheetName val="Divisional returns"/>
      <sheetName val="EVGIC"/>
      <sheetName val="Exceptional items"/>
      <sheetName val="Financial expenses"/>
      <sheetName val="E&amp;P"/>
      <sheetName val="O&amp;G Production"/>
      <sheetName val="S. America E&amp;P"/>
      <sheetName val="Gas"/>
      <sheetName val="R&amp;M"/>
      <sheetName val="Downstream stats"/>
      <sheetName val="Chemicals breakdown"/>
      <sheetName val="Reinvestment rate v returns ch"/>
      <sheetName val="Chart data"/>
      <sheetName val="Actual results"/>
      <sheetName val="Hardwired for Export"/>
      <sheetName val="New Markets"/>
      <sheetName val="Export sheet"/>
      <sheetName val="WACC, EVA valuation"/>
      <sheetName val="New Databox"/>
      <sheetName val="Lookup"/>
      <sheetName val="xx_Formula"/>
      <sheetName val="qc_Formula"/>
      <sheetName val="yc_Formula"/>
      <sheetName val="yd_Data"/>
      <sheetName val="qi_Data"/>
      <sheetName val="yi_Data"/>
      <sheetName val="qd_Data"/>
      <sheetName val="cd_Data"/>
      <sheetName val="cc_Data"/>
      <sheetName val="Error Codes"/>
      <sheetName val="Scratchpad"/>
      <sheetName val="Sheet_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GRP"/>
      <sheetName val="Thunder Options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88.5900000000001</v>
          </cell>
          <cell r="P28">
            <v>153.5</v>
          </cell>
          <cell r="Q28">
            <v>273.1</v>
          </cell>
        </row>
        <row r="46">
          <cell r="O46">
            <v>26.2380734979609</v>
          </cell>
        </row>
        <row r="52">
          <cell r="O52">
            <v>52.4410734979609</v>
          </cell>
        </row>
        <row r="56">
          <cell r="S56">
            <v>109.695750788563</v>
          </cell>
        </row>
        <row r="58">
          <cell r="P58">
            <v>0.521238938053098</v>
          </cell>
          <cell r="Q58">
            <v>1.23082511210762</v>
          </cell>
        </row>
        <row r="59">
          <cell r="P59">
            <v>0.839823008849558</v>
          </cell>
          <cell r="Q59">
            <v>1.55548878923767</v>
          </cell>
        </row>
        <row r="97">
          <cell r="I97">
            <v>408.552</v>
          </cell>
        </row>
        <row r="113">
          <cell r="F113" t="str">
            <v>BB-/Ba3</v>
          </cell>
        </row>
        <row r="114">
          <cell r="F114">
            <v>37035</v>
          </cell>
        </row>
        <row r="123">
          <cell r="J123">
            <v>264.343</v>
          </cell>
        </row>
        <row r="132">
          <cell r="J132">
            <v>0.398694200307678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0</v>
          </cell>
        </row>
        <row r="286">
          <cell r="K286" t="str">
            <v>NA</v>
          </cell>
        </row>
        <row r="305">
          <cell r="D305" t="str">
            <v>Grant Prideco, Inc.</v>
          </cell>
          <cell r="E305" t="str">
            <v>GRP</v>
          </cell>
        </row>
        <row r="305">
          <cell r="S305">
            <v>0</v>
          </cell>
          <cell r="T305" t="str">
            <v>NA</v>
          </cell>
        </row>
      </sheetData>
      <sheetData sheetId="2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HAL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1006</v>
          </cell>
          <cell r="P28">
            <v>1757</v>
          </cell>
          <cell r="Q28">
            <v>2267</v>
          </cell>
        </row>
        <row r="46">
          <cell r="O46">
            <v>189.8</v>
          </cell>
        </row>
        <row r="52">
          <cell r="O52">
            <v>484.8</v>
          </cell>
        </row>
        <row r="56">
          <cell r="S56">
            <v>432.847049111042</v>
          </cell>
        </row>
        <row r="58">
          <cell r="P58">
            <v>1.45084222737819</v>
          </cell>
          <cell r="Q58">
            <v>1.98878684807256</v>
          </cell>
        </row>
        <row r="59">
          <cell r="P59">
            <v>2.75246635730858</v>
          </cell>
          <cell r="Q59">
            <v>3.45590702947846</v>
          </cell>
        </row>
        <row r="97">
          <cell r="I97">
            <v>4006</v>
          </cell>
        </row>
        <row r="113">
          <cell r="F113" t="str">
            <v>A1 / A+</v>
          </cell>
        </row>
        <row r="114">
          <cell r="F114">
            <v>37040</v>
          </cell>
        </row>
        <row r="123">
          <cell r="J123">
            <v>1352</v>
          </cell>
        </row>
        <row r="132">
          <cell r="J132">
            <v>0.318059299191375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2410</v>
          </cell>
        </row>
        <row r="286">
          <cell r="K286" t="str">
            <v>NA</v>
          </cell>
        </row>
        <row r="305">
          <cell r="D305" t="str">
            <v>Halliburton Company</v>
          </cell>
          <cell r="E305" t="str">
            <v>HAL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HC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230.33</v>
          </cell>
          <cell r="P28">
            <v>312.5</v>
          </cell>
          <cell r="Q28">
            <v>395.5</v>
          </cell>
        </row>
        <row r="46">
          <cell r="O46">
            <v>64.5841799999999</v>
          </cell>
        </row>
        <row r="52">
          <cell r="O52">
            <v>160.16918</v>
          </cell>
        </row>
        <row r="56">
          <cell r="S56">
            <v>83.9764039702305</v>
          </cell>
        </row>
        <row r="58">
          <cell r="P58">
            <v>1.35243506988564</v>
          </cell>
          <cell r="Q58">
            <v>1.78257334993773</v>
          </cell>
        </row>
        <row r="59">
          <cell r="P59">
            <v>2.35624701397713</v>
          </cell>
          <cell r="Q59">
            <v>2.99054346201743</v>
          </cell>
        </row>
        <row r="97">
          <cell r="I97">
            <v>781.378</v>
          </cell>
        </row>
        <row r="113">
          <cell r="F113" t="str">
            <v>Ba2 / BB+</v>
          </cell>
        </row>
        <row r="114">
          <cell r="F114">
            <v>37040</v>
          </cell>
        </row>
        <row r="123">
          <cell r="J123">
            <v>1378.362</v>
          </cell>
        </row>
        <row r="132">
          <cell r="J132">
            <v>0.615953781378697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497.465</v>
          </cell>
        </row>
        <row r="286">
          <cell r="K286" t="str">
            <v>NA</v>
          </cell>
        </row>
        <row r="305">
          <cell r="D305" t="str">
            <v>Hanover Compressor Company</v>
          </cell>
          <cell r="E305" t="str">
            <v>HC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HYDL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25.876</v>
          </cell>
          <cell r="P28">
            <v>48</v>
          </cell>
          <cell r="Q28">
            <v>73.8</v>
          </cell>
        </row>
        <row r="46">
          <cell r="O46">
            <v>16.619</v>
          </cell>
        </row>
        <row r="52">
          <cell r="O52">
            <v>16.703</v>
          </cell>
        </row>
        <row r="56">
          <cell r="S56">
            <v>22.913008</v>
          </cell>
        </row>
        <row r="58">
          <cell r="P58">
            <v>1.04867256637168</v>
          </cell>
          <cell r="Q58">
            <v>1.62445414847161</v>
          </cell>
        </row>
        <row r="59">
          <cell r="P59">
            <v>1.47787610619469</v>
          </cell>
          <cell r="Q59">
            <v>2.20087336244541</v>
          </cell>
        </row>
        <row r="97">
          <cell r="I97">
            <v>138.22</v>
          </cell>
        </row>
        <row r="113">
          <cell r="F113" t="str">
            <v>NR/NR</v>
          </cell>
        </row>
        <row r="114">
          <cell r="F114">
            <v>37035</v>
          </cell>
        </row>
        <row r="123">
          <cell r="J123">
            <v>-4.188</v>
          </cell>
        </row>
        <row r="132">
          <cell r="J132">
            <v>0.305814344762469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0</v>
          </cell>
        </row>
        <row r="286">
          <cell r="K286" t="str">
            <v>NA</v>
          </cell>
        </row>
        <row r="305">
          <cell r="D305" t="str">
            <v>Hydril Company</v>
          </cell>
          <cell r="E305" t="str">
            <v>HYDL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IO"/>
    </sheetNames>
    <sheetDataSet>
      <sheetData sheetId="0"/>
      <sheetData sheetId="1">
        <row r="9">
          <cell r="D9">
            <v>37099</v>
          </cell>
        </row>
        <row r="11">
          <cell r="U11" t="str">
            <v>Buy</v>
          </cell>
        </row>
        <row r="12">
          <cell r="U12">
            <v>37013</v>
          </cell>
        </row>
        <row r="16">
          <cell r="V16" t="str">
            <v>SSB</v>
          </cell>
        </row>
        <row r="28">
          <cell r="O28">
            <v>-10.5253333333333</v>
          </cell>
          <cell r="P28">
            <v>31.8</v>
          </cell>
          <cell r="Q28">
            <v>58.6</v>
          </cell>
        </row>
        <row r="46">
          <cell r="O46">
            <v>-34.0660389083187</v>
          </cell>
        </row>
        <row r="52">
          <cell r="O52">
            <v>-14.1103722416521</v>
          </cell>
        </row>
        <row r="56">
          <cell r="S56">
            <v>51.5006478483411</v>
          </cell>
        </row>
        <row r="58">
          <cell r="P58">
            <v>0.043222003929273</v>
          </cell>
          <cell r="Q58">
            <v>0.343811394891945</v>
          </cell>
        </row>
        <row r="59">
          <cell r="P59">
            <v>0.546168958742633</v>
          </cell>
          <cell r="Q59">
            <v>0.905697445972495</v>
          </cell>
        </row>
        <row r="97">
          <cell r="I97">
            <v>324.955</v>
          </cell>
        </row>
        <row r="113">
          <cell r="F113" t="str">
            <v>NR/NR</v>
          </cell>
        </row>
        <row r="114">
          <cell r="F114">
            <v>37035</v>
          </cell>
        </row>
        <row r="123">
          <cell r="J123">
            <v>-11.059</v>
          </cell>
        </row>
        <row r="132">
          <cell r="J132">
            <v>0.0327164701574951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58.419</v>
          </cell>
        </row>
        <row r="286">
          <cell r="K286" t="str">
            <v>NA</v>
          </cell>
        </row>
        <row r="305">
          <cell r="D305" t="str">
            <v>Input/Output, Inc.</v>
          </cell>
          <cell r="E305" t="str">
            <v>IO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NOI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37098</v>
          </cell>
        </row>
        <row r="16">
          <cell r="V16" t="str">
            <v>MSDW / Slorer</v>
          </cell>
        </row>
        <row r="28">
          <cell r="O28">
            <v>135.353</v>
          </cell>
          <cell r="P28">
            <v>229.27000992896</v>
          </cell>
          <cell r="Q28">
            <v>314.962687571368</v>
          </cell>
        </row>
        <row r="46">
          <cell r="O46">
            <v>47.2003000000003</v>
          </cell>
        </row>
        <row r="52">
          <cell r="O52">
            <v>78.2943000000003</v>
          </cell>
        </row>
        <row r="56">
          <cell r="S56">
            <v>81.1284279551247</v>
          </cell>
        </row>
        <row r="58">
          <cell r="P58">
            <v>1.34</v>
          </cell>
          <cell r="Q58">
            <v>1.781667</v>
          </cell>
        </row>
        <row r="59">
          <cell r="P59">
            <v>1.89</v>
          </cell>
          <cell r="Q59">
            <v>2.775</v>
          </cell>
        </row>
        <row r="97">
          <cell r="I97">
            <v>782.77</v>
          </cell>
        </row>
        <row r="113">
          <cell r="F113" t="str">
            <v>Baa2 /BBB+</v>
          </cell>
        </row>
        <row r="114">
          <cell r="F114">
            <v>37040</v>
          </cell>
        </row>
        <row r="123">
          <cell r="J123">
            <v>236.88</v>
          </cell>
        </row>
        <row r="132">
          <cell r="J132">
            <v>0.277766193216942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0</v>
          </cell>
        </row>
        <row r="286">
          <cell r="K286" t="str">
            <v>NA</v>
          </cell>
        </row>
        <row r="305">
          <cell r="D305" t="str">
            <v>National-Oilwell, Inc.</v>
          </cell>
          <cell r="E305" t="str">
            <v>NOI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SLB"/>
    </sheetNames>
    <sheetDataSet>
      <sheetData sheetId="0"/>
      <sheetData sheetId="1">
        <row r="9">
          <cell r="D9">
            <v>37106</v>
          </cell>
        </row>
        <row r="11">
          <cell r="U11" t="str">
            <v>Hold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2112.13605926923</v>
          </cell>
          <cell r="P28">
            <v>2956</v>
          </cell>
          <cell r="Q28">
            <v>3758.5</v>
          </cell>
        </row>
        <row r="46">
          <cell r="O46">
            <v>404.911000000002</v>
          </cell>
        </row>
        <row r="52">
          <cell r="O52">
            <v>1781.29359496154</v>
          </cell>
        </row>
        <row r="56">
          <cell r="S56">
            <v>577.769160669493</v>
          </cell>
        </row>
        <row r="58">
          <cell r="P58">
            <v>1.57639579759863</v>
          </cell>
          <cell r="Q58">
            <v>2.14466137123746</v>
          </cell>
        </row>
        <row r="59">
          <cell r="P59">
            <v>4.08853173241852</v>
          </cell>
          <cell r="Q59">
            <v>4.92841973244147</v>
          </cell>
        </row>
        <row r="97">
          <cell r="I97">
            <v>8399.265</v>
          </cell>
        </row>
        <row r="113">
          <cell r="F113" t="str">
            <v>NR/NR</v>
          </cell>
        </row>
        <row r="114">
          <cell r="F114">
            <v>37064</v>
          </cell>
        </row>
        <row r="123">
          <cell r="J123">
            <v>7069.366</v>
          </cell>
        </row>
        <row r="132">
          <cell r="J132">
            <v>0.426781401762326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4394.514</v>
          </cell>
        </row>
        <row r="286">
          <cell r="K286" t="str">
            <v>NA</v>
          </cell>
        </row>
        <row r="305">
          <cell r="D305" t="str">
            <v>Schlumberger Limited</v>
          </cell>
          <cell r="E305" t="str">
            <v>SLB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output"/>
    </sheetNames>
    <sheetDataSet>
      <sheetData sheetId="0"/>
      <sheetData sheetId="1">
        <row r="13">
          <cell r="AI13">
            <v>50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SII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326.975</v>
          </cell>
          <cell r="P28">
            <v>455.1</v>
          </cell>
          <cell r="Q28">
            <v>568</v>
          </cell>
        </row>
        <row r="46">
          <cell r="O46">
            <v>92.4874199206733</v>
          </cell>
        </row>
        <row r="52">
          <cell r="O52">
            <v>227.804419920673</v>
          </cell>
        </row>
        <row r="56">
          <cell r="S56">
            <v>50.8539225424799</v>
          </cell>
        </row>
        <row r="58">
          <cell r="P58">
            <v>3.09939130434782</v>
          </cell>
          <cell r="Q58">
            <v>4.04876574803149</v>
          </cell>
        </row>
        <row r="59">
          <cell r="P59">
            <v>4.57567588932806</v>
          </cell>
          <cell r="Q59">
            <v>5.61766338582677</v>
          </cell>
        </row>
        <row r="113">
          <cell r="F113" t="str">
            <v>Baa1 / BBB+</v>
          </cell>
        </row>
        <row r="114">
          <cell r="F114">
            <v>37040</v>
          </cell>
        </row>
        <row r="123">
          <cell r="J123">
            <v>970.332</v>
          </cell>
        </row>
        <row r="132">
          <cell r="J132">
            <v>0.322533666222946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0</v>
          </cell>
        </row>
        <row r="286">
          <cell r="K286" t="str">
            <v>NA</v>
          </cell>
        </row>
        <row r="305">
          <cell r="D305" t="str">
            <v>Smith International, Inc.</v>
          </cell>
          <cell r="E305" t="str">
            <v>SII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SESI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O28">
            <v>83.7330000000001</v>
          </cell>
          <cell r="P28">
            <v>137.5</v>
          </cell>
          <cell r="Q28">
            <v>181.5</v>
          </cell>
        </row>
        <row r="46">
          <cell r="O46">
            <v>23.0974500000001</v>
          </cell>
        </row>
        <row r="52">
          <cell r="O52">
            <v>56.1094500000001</v>
          </cell>
        </row>
        <row r="56">
          <cell r="S56">
            <v>68.8918140462725</v>
          </cell>
        </row>
        <row r="58">
          <cell r="P58">
            <v>0.742857142857143</v>
          </cell>
          <cell r="Q58">
            <v>1</v>
          </cell>
        </row>
        <row r="59">
          <cell r="P59">
            <v>1.17857142857143</v>
          </cell>
          <cell r="Q59">
            <v>1.54225352112676</v>
          </cell>
        </row>
        <row r="97">
          <cell r="I97">
            <v>221.145</v>
          </cell>
        </row>
        <row r="113">
          <cell r="F113" t="str">
            <v>BB-/Ba1</v>
          </cell>
        </row>
        <row r="114">
          <cell r="F114">
            <v>37035</v>
          </cell>
        </row>
        <row r="123">
          <cell r="J123">
            <v>248.836</v>
          </cell>
        </row>
        <row r="132">
          <cell r="J132">
            <v>0.530966656839685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134.723</v>
          </cell>
        </row>
        <row r="286">
          <cell r="K286" t="str">
            <v>NA</v>
          </cell>
        </row>
        <row r="305">
          <cell r="D305" t="str">
            <v>Superior Energy Services, Inc.</v>
          </cell>
          <cell r="E305" t="str">
            <v>SESI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Neste Oy"/>
      <sheetName val="company"/>
    </sheetNames>
    <sheetDataSet>
      <sheetData sheetId="0"/>
      <sheetData sheetId="1"/>
      <sheetData sheetId="2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TEO"/>
    </sheetNames>
    <sheetDataSet>
      <sheetData sheetId="0"/>
      <sheetData sheetId="1">
        <row r="9">
          <cell r="D9">
            <v>37099</v>
          </cell>
        </row>
        <row r="11">
          <cell r="U11" t="str">
            <v>Buy</v>
          </cell>
        </row>
        <row r="12">
          <cell r="U12">
            <v>37025</v>
          </cell>
        </row>
        <row r="16">
          <cell r="V16" t="str">
            <v>CIBC World Markets</v>
          </cell>
        </row>
        <row r="28">
          <cell r="O28">
            <v>24.542</v>
          </cell>
          <cell r="P28">
            <v>58.3</v>
          </cell>
          <cell r="Q28">
            <v>69.3</v>
          </cell>
        </row>
        <row r="46">
          <cell r="O46">
            <v>8.53300000000002</v>
          </cell>
        </row>
        <row r="52">
          <cell r="O52">
            <v>19.658</v>
          </cell>
        </row>
        <row r="56">
          <cell r="S56">
            <v>32.7521437277868</v>
          </cell>
        </row>
        <row r="58">
          <cell r="P58">
            <v>0.659763313609468</v>
          </cell>
          <cell r="Q58">
            <v>0.919402985074627</v>
          </cell>
        </row>
        <row r="59">
          <cell r="P59">
            <v>1.10650887573965</v>
          </cell>
          <cell r="Q59">
            <v>1.40298507462687</v>
          </cell>
        </row>
        <row r="97">
          <cell r="I97">
            <v>188.453</v>
          </cell>
        </row>
        <row r="113">
          <cell r="F113" t="str">
            <v>NR/NR</v>
          </cell>
        </row>
        <row r="114">
          <cell r="F114">
            <v>37035</v>
          </cell>
        </row>
        <row r="123">
          <cell r="J123">
            <v>12.898</v>
          </cell>
        </row>
        <row r="132">
          <cell r="J132">
            <v>0.269355282696267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0</v>
          </cell>
        </row>
        <row r="286">
          <cell r="K286" t="str">
            <v>NA</v>
          </cell>
        </row>
        <row r="305">
          <cell r="D305" t="str">
            <v>Tesco Corporation</v>
          </cell>
          <cell r="E305" t="str">
            <v>*TEO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UCO"/>
      <sheetName val="UCO-Lease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Deutsche Bank</v>
          </cell>
        </row>
        <row r="28">
          <cell r="P28">
            <v>198.5</v>
          </cell>
          <cell r="Q28">
            <v>254.5</v>
          </cell>
        </row>
        <row r="56">
          <cell r="S56">
            <v>30.256493</v>
          </cell>
        </row>
        <row r="58">
          <cell r="P58">
            <v>1.45238095238095</v>
          </cell>
          <cell r="Q58">
            <v>2.14802631578948</v>
          </cell>
        </row>
        <row r="59">
          <cell r="P59">
            <v>3.39455782312925</v>
          </cell>
          <cell r="Q59">
            <v>4.36842105263158</v>
          </cell>
        </row>
        <row r="97">
          <cell r="I97">
            <v>652.574</v>
          </cell>
        </row>
        <row r="113">
          <cell r="F113" t="str">
            <v>B+/B1</v>
          </cell>
        </row>
        <row r="114">
          <cell r="F114">
            <v>37035</v>
          </cell>
        </row>
        <row r="123">
          <cell r="J123">
            <v>593.728009025</v>
          </cell>
        </row>
        <row r="132">
          <cell r="J132">
            <v>0.481500201162627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559.174</v>
          </cell>
        </row>
        <row r="286">
          <cell r="K286" t="str">
            <v>NA</v>
          </cell>
        </row>
        <row r="305">
          <cell r="D305" t="str">
            <v>Universal Compression, Inc.</v>
          </cell>
          <cell r="E305" t="str">
            <v>UCO</v>
          </cell>
        </row>
        <row r="305">
          <cell r="S305">
            <v>0</v>
          </cell>
          <cell r="T305" t="str">
            <v>NA</v>
          </cell>
        </row>
      </sheetData>
      <sheetData sheetId="2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VRC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G.Hall</v>
          </cell>
        </row>
        <row r="28">
          <cell r="P28">
            <v>245.7</v>
          </cell>
          <cell r="Q28">
            <v>332.5</v>
          </cell>
        </row>
        <row r="56">
          <cell r="S56">
            <v>96.8725074631711</v>
          </cell>
        </row>
        <row r="58">
          <cell r="P58">
            <v>1.02871794871795</v>
          </cell>
          <cell r="Q58">
            <v>1.5627004048583</v>
          </cell>
        </row>
        <row r="59">
          <cell r="P59">
            <v>1.69538461538462</v>
          </cell>
          <cell r="Q59">
            <v>2.25095951417004</v>
          </cell>
        </row>
        <row r="97">
          <cell r="I97">
            <v>760.238</v>
          </cell>
        </row>
        <row r="113">
          <cell r="F113" t="str">
            <v>BBB+/Baa2</v>
          </cell>
        </row>
        <row r="114">
          <cell r="F114">
            <v>37035</v>
          </cell>
        </row>
        <row r="123">
          <cell r="J123">
            <v>372.997</v>
          </cell>
        </row>
        <row r="132">
          <cell r="J132">
            <v>0.347773902822997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0</v>
          </cell>
        </row>
        <row r="286">
          <cell r="K286" t="str">
            <v>NA</v>
          </cell>
        </row>
        <row r="305">
          <cell r="D305" t="str">
            <v>Varco International, Inc.</v>
          </cell>
          <cell r="E305" t="str">
            <v>VRC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WHES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P28">
            <v>111.2</v>
          </cell>
          <cell r="Q28">
            <v>140.7</v>
          </cell>
        </row>
        <row r="56">
          <cell r="S56">
            <v>28.7184880314159</v>
          </cell>
        </row>
        <row r="58">
          <cell r="P58">
            <v>1.64726642335766</v>
          </cell>
          <cell r="Q58">
            <v>2.04466898954704</v>
          </cell>
        </row>
        <row r="59">
          <cell r="P59">
            <v>2.63996715328467</v>
          </cell>
          <cell r="Q59">
            <v>3.22933797909408</v>
          </cell>
        </row>
        <row r="97">
          <cell r="I97">
            <v>154.967</v>
          </cell>
        </row>
        <row r="113">
          <cell r="F113" t="str">
            <v>NR/NR</v>
          </cell>
        </row>
        <row r="114">
          <cell r="F114">
            <v>37035</v>
          </cell>
        </row>
        <row r="123">
          <cell r="J123">
            <v>89.043</v>
          </cell>
        </row>
        <row r="132">
          <cell r="J132">
            <v>0.445143434111969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0</v>
          </cell>
        </row>
        <row r="286">
          <cell r="K286" t="str">
            <v>NA</v>
          </cell>
        </row>
        <row r="305">
          <cell r="D305" t="str">
            <v>W-H Energy Services, Inc.</v>
          </cell>
          <cell r="E305" t="str">
            <v>WHES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WFT"/>
    </sheetNames>
    <sheetDataSet>
      <sheetData sheetId="0"/>
      <sheetData sheetId="1">
        <row r="9">
          <cell r="D9">
            <v>37106</v>
          </cell>
        </row>
        <row r="11">
          <cell r="U11" t="str">
            <v>Buy</v>
          </cell>
        </row>
        <row r="12">
          <cell r="U12">
            <v>37106</v>
          </cell>
        </row>
        <row r="16">
          <cell r="V16" t="str">
            <v>CSFB / G. Hall</v>
          </cell>
        </row>
        <row r="28">
          <cell r="P28">
            <v>615.7</v>
          </cell>
          <cell r="Q28">
            <v>768.6</v>
          </cell>
        </row>
        <row r="56">
          <cell r="S56">
            <v>114.3917006</v>
          </cell>
        </row>
        <row r="58">
          <cell r="P58">
            <v>1.79542014925373</v>
          </cell>
          <cell r="Q58">
            <v>2.51710144927536</v>
          </cell>
        </row>
        <row r="59">
          <cell r="P59">
            <v>3.28795746268657</v>
          </cell>
          <cell r="Q59">
            <v>4.0395652173913</v>
          </cell>
        </row>
        <row r="97">
          <cell r="I97">
            <v>1369.07</v>
          </cell>
        </row>
        <row r="113">
          <cell r="F113" t="str">
            <v>Baa1/BBB+</v>
          </cell>
        </row>
        <row r="114">
          <cell r="F114">
            <v>37040</v>
          </cell>
        </row>
        <row r="123">
          <cell r="J123">
            <v>1413.382</v>
          </cell>
        </row>
        <row r="132">
          <cell r="J132">
            <v>0.514165715217746</v>
          </cell>
        </row>
        <row r="263">
          <cell r="Q263" t="str">
            <v>NA</v>
          </cell>
        </row>
        <row r="282">
          <cell r="Q282">
            <v>0</v>
          </cell>
        </row>
        <row r="285">
          <cell r="Q285">
            <v>973.025</v>
          </cell>
        </row>
        <row r="286">
          <cell r="K286" t="str">
            <v>NA</v>
          </cell>
        </row>
        <row r="305">
          <cell r="D305" t="str">
            <v>Weatherford International, Inc.</v>
          </cell>
          <cell r="E305" t="str">
            <v>WFT</v>
          </cell>
        </row>
        <row r="305">
          <cell r="S305">
            <v>0</v>
          </cell>
          <cell r="T305" t="str">
            <v>NA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output"/>
      <sheetName val="summary "/>
      <sheetName val="MAIN OUTPUT"/>
      <sheetName val="Word Setup Summary (2)"/>
      <sheetName val="WACC-ALL"/>
      <sheetName val="WACC-Super&amp;Intnl"/>
      <sheetName val="WACC-Intnl"/>
      <sheetName val="WACC-Super&amp;Intgrd"/>
      <sheetName val="WACC (2)"/>
      <sheetName val="Sheet1"/>
    </sheetNames>
    <sheetDataSet>
      <sheetData sheetId="0"/>
      <sheetData sheetId="1">
        <row r="16">
          <cell r="AK16">
            <v>37621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CASY"/>
    </sheetNames>
    <sheetDataSet>
      <sheetData sheetId="0"/>
      <sheetData sheetId="1">
        <row r="9">
          <cell r="D9">
            <v>37099</v>
          </cell>
        </row>
        <row r="11">
          <cell r="U11" t="str">
            <v>NR</v>
          </cell>
        </row>
        <row r="16">
          <cell r="V16" t="str">
            <v>Merrill Lynch</v>
          </cell>
        </row>
        <row r="28">
          <cell r="O28">
            <v>117.151000000001</v>
          </cell>
          <cell r="P28">
            <v>116.637</v>
          </cell>
          <cell r="Q28">
            <v>137.31</v>
          </cell>
        </row>
        <row r="46">
          <cell r="O46">
            <v>40.4620000000008</v>
          </cell>
        </row>
        <row r="52">
          <cell r="O52">
            <v>86.5600000000007</v>
          </cell>
        </row>
        <row r="56">
          <cell r="S56">
            <v>49.7203881555393</v>
          </cell>
        </row>
        <row r="58">
          <cell r="P58">
            <v>0.79226</v>
          </cell>
          <cell r="Q58">
            <v>0.96854</v>
          </cell>
        </row>
        <row r="59">
          <cell r="P59">
            <v>1.74318</v>
          </cell>
          <cell r="Q59">
            <v>2.06946</v>
          </cell>
        </row>
        <row r="97">
          <cell r="I97">
            <v>339.908</v>
          </cell>
        </row>
        <row r="113">
          <cell r="F113" t="str">
            <v>NR / Ba3</v>
          </cell>
        </row>
        <row r="114">
          <cell r="F114">
            <v>37004</v>
          </cell>
        </row>
        <row r="123">
          <cell r="J123">
            <v>173.546</v>
          </cell>
        </row>
        <row r="132">
          <cell r="J132">
            <v>0.380126962474765</v>
          </cell>
        </row>
        <row r="160">
          <cell r="E160">
            <v>1246</v>
          </cell>
        </row>
        <row r="282">
          <cell r="Q282" t="str">
            <v>_</v>
          </cell>
        </row>
        <row r="285">
          <cell r="Q285">
            <v>0</v>
          </cell>
        </row>
        <row r="305">
          <cell r="D305" t="str">
            <v>Casey's General Stores, Inc.</v>
          </cell>
          <cell r="E305" t="str">
            <v>CASY</v>
          </cell>
        </row>
        <row r="305">
          <cell r="S305">
            <v>0</v>
          </cell>
          <cell r="T305" t="str">
            <v>NA</v>
          </cell>
        </row>
        <row r="305">
          <cell r="V305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DMC"/>
    </sheetNames>
    <sheetDataSet>
      <sheetData sheetId="0"/>
      <sheetData sheetId="1">
        <row r="9">
          <cell r="D9">
            <v>37099</v>
          </cell>
        </row>
        <row r="11">
          <cell r="U11" t="str">
            <v>NR</v>
          </cell>
        </row>
        <row r="16">
          <cell r="V16" t="str">
            <v>No Research</v>
          </cell>
        </row>
        <row r="28">
          <cell r="O28">
            <v>5.25200000000001</v>
          </cell>
          <cell r="P28" t="e">
            <v>#VALUE!</v>
          </cell>
          <cell r="Q28" t="e">
            <v>#VALUE!</v>
          </cell>
        </row>
        <row r="46">
          <cell r="O46">
            <v>-29.451</v>
          </cell>
        </row>
        <row r="52">
          <cell r="O52">
            <v>-9.54899999999999</v>
          </cell>
        </row>
        <row r="56">
          <cell r="S56">
            <v>5.002026</v>
          </cell>
        </row>
        <row r="58">
          <cell r="P58" t="e">
            <v>#VALUE!</v>
          </cell>
          <cell r="Q58" t="e">
            <v>#VALUE!</v>
          </cell>
        </row>
        <row r="59">
          <cell r="P59" t="e">
            <v>#VALUE!</v>
          </cell>
          <cell r="Q59" t="e">
            <v>#VALUE!</v>
          </cell>
        </row>
        <row r="97">
          <cell r="I97">
            <v>-22.272</v>
          </cell>
        </row>
        <row r="113">
          <cell r="F113" t="str">
            <v>NR/B3</v>
          </cell>
        </row>
        <row r="114">
          <cell r="F114">
            <v>37012</v>
          </cell>
        </row>
        <row r="123">
          <cell r="J123">
            <v>126.933</v>
          </cell>
        </row>
        <row r="132">
          <cell r="J132">
            <v>1.19652689538331</v>
          </cell>
        </row>
        <row r="160">
          <cell r="E160">
            <v>276</v>
          </cell>
        </row>
        <row r="282">
          <cell r="Q282">
            <v>0</v>
          </cell>
        </row>
        <row r="285">
          <cell r="Q285">
            <v>111.448</v>
          </cell>
        </row>
        <row r="305">
          <cell r="D305" t="str">
            <v>Dairy Mart Convenience Stores</v>
          </cell>
          <cell r="E305" t="str">
            <v>DMC</v>
          </cell>
        </row>
        <row r="305">
          <cell r="S305">
            <v>0</v>
          </cell>
          <cell r="T305" t="str">
            <v>NA</v>
          </cell>
        </row>
        <row r="305">
          <cell r="V305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lubrizol"/>
    </sheetNames>
    <sheetDataSet>
      <sheetData sheetId="0"/>
      <sheetData sheetId="1">
        <row r="9">
          <cell r="D9">
            <v>37099</v>
          </cell>
        </row>
        <row r="11">
          <cell r="U11" t="str">
            <v>NA</v>
          </cell>
        </row>
        <row r="16">
          <cell r="V16" t="str">
            <v>No Research</v>
          </cell>
        </row>
        <row r="28">
          <cell r="O28">
            <v>266.675</v>
          </cell>
          <cell r="P28">
            <v>306.711894281896</v>
          </cell>
          <cell r="Q28">
            <v>331.342134158936</v>
          </cell>
        </row>
        <row r="46">
          <cell r="O46">
            <v>91.6440200000003</v>
          </cell>
        </row>
        <row r="52">
          <cell r="O52">
            <v>205.61402</v>
          </cell>
        </row>
        <row r="56">
          <cell r="S56">
            <v>51.5903673100173</v>
          </cell>
        </row>
        <row r="58">
          <cell r="P58">
            <v>2.054</v>
          </cell>
          <cell r="Q58">
            <v>2.35</v>
          </cell>
        </row>
        <row r="59">
          <cell r="P59">
            <v>4.17057729327307</v>
          </cell>
          <cell r="Q59">
            <v>4.46657729327307</v>
          </cell>
        </row>
        <row r="97">
          <cell r="I97">
            <v>751.471</v>
          </cell>
        </row>
        <row r="113">
          <cell r="F113" t="str">
            <v>A2/A+</v>
          </cell>
        </row>
        <row r="114">
          <cell r="F114">
            <v>36983</v>
          </cell>
        </row>
        <row r="123">
          <cell r="J123">
            <v>331.865</v>
          </cell>
        </row>
        <row r="132">
          <cell r="J132">
            <v>0.344578795060977</v>
          </cell>
        </row>
        <row r="282">
          <cell r="Q282">
            <v>0</v>
          </cell>
        </row>
        <row r="285">
          <cell r="Q285">
            <v>661.824</v>
          </cell>
        </row>
        <row r="305">
          <cell r="D305" t="str">
            <v>Lubrizol Corp.</v>
          </cell>
          <cell r="E305" t="str">
            <v>LZ</v>
          </cell>
        </row>
        <row r="305">
          <cell r="S305">
            <v>0</v>
          </cell>
          <cell r="T305" t="str">
            <v>NA</v>
          </cell>
        </row>
        <row r="305">
          <cell r="V305">
            <v>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PZL"/>
    </sheetNames>
    <sheetDataSet>
      <sheetData sheetId="0"/>
      <sheetData sheetId="1">
        <row r="9">
          <cell r="D9">
            <v>37099</v>
          </cell>
        </row>
        <row r="11">
          <cell r="U11" t="str">
            <v>NA</v>
          </cell>
        </row>
        <row r="16">
          <cell r="V16" t="str">
            <v>No Research</v>
          </cell>
        </row>
        <row r="28">
          <cell r="O28">
            <v>286.99</v>
          </cell>
          <cell r="P28">
            <v>275.564628114319</v>
          </cell>
          <cell r="Q28">
            <v>307.140896741133</v>
          </cell>
        </row>
        <row r="46">
          <cell r="O46">
            <v>43.29124</v>
          </cell>
        </row>
        <row r="52">
          <cell r="O52">
            <v>205.372</v>
          </cell>
        </row>
        <row r="56">
          <cell r="S56">
            <v>78.8347215159011</v>
          </cell>
        </row>
        <row r="58">
          <cell r="P58">
            <v>0.6433334</v>
          </cell>
          <cell r="Q58">
            <v>0.8916667</v>
          </cell>
        </row>
        <row r="59">
          <cell r="P59">
            <v>2.4</v>
          </cell>
          <cell r="Q59">
            <v>2.79</v>
          </cell>
        </row>
        <row r="97">
          <cell r="I97">
            <v>817.301</v>
          </cell>
        </row>
        <row r="113">
          <cell r="F113" t="str">
            <v>Ba1 / BB+</v>
          </cell>
        </row>
        <row r="114">
          <cell r="F114">
            <v>36985</v>
          </cell>
        </row>
        <row r="123">
          <cell r="J123">
            <v>1237.455</v>
          </cell>
        </row>
        <row r="132">
          <cell r="J132">
            <v>0.609137084968702</v>
          </cell>
        </row>
        <row r="160">
          <cell r="E160">
            <v>0</v>
          </cell>
        </row>
        <row r="282">
          <cell r="Q282">
            <v>0</v>
          </cell>
        </row>
        <row r="285">
          <cell r="Q285">
            <v>0</v>
          </cell>
        </row>
        <row r="305">
          <cell r="D305" t="str">
            <v>Pennzoil Quaker State Co.</v>
          </cell>
          <cell r="E305" t="str">
            <v>PZL</v>
          </cell>
        </row>
        <row r="305">
          <cell r="S305">
            <v>0</v>
          </cell>
          <cell r="T305" t="str">
            <v>NA</v>
          </cell>
        </row>
        <row r="305">
          <cell r="V305">
            <v>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SE"/>
    </sheetNames>
    <sheetDataSet>
      <sheetData sheetId="0"/>
      <sheetData sheetId="1">
        <row r="9">
          <cell r="D9">
            <v>37099</v>
          </cell>
        </row>
        <row r="11">
          <cell r="U11" t="str">
            <v>NR</v>
          </cell>
        </row>
        <row r="16">
          <cell r="V16" t="str">
            <v>Salomon Smith Barney</v>
          </cell>
        </row>
        <row r="28">
          <cell r="O28">
            <v>470.425999999998</v>
          </cell>
          <cell r="P28">
            <v>443.832724616042</v>
          </cell>
          <cell r="Q28">
            <v>459.649857049724</v>
          </cell>
        </row>
        <row r="46">
          <cell r="O46">
            <v>95.792999999998</v>
          </cell>
        </row>
        <row r="52">
          <cell r="O52">
            <v>384.497999999998</v>
          </cell>
        </row>
        <row r="56">
          <cell r="S56">
            <v>105.118025965517</v>
          </cell>
        </row>
        <row r="58">
          <cell r="P58">
            <v>0.782</v>
          </cell>
          <cell r="Q58">
            <v>0.878</v>
          </cell>
        </row>
        <row r="59">
          <cell r="P59" t="e">
            <v>#VALUE!</v>
          </cell>
          <cell r="Q59" t="e">
            <v>#VALUE!</v>
          </cell>
        </row>
        <row r="97">
          <cell r="I97">
            <v>66.946</v>
          </cell>
        </row>
        <row r="113">
          <cell r="F113" t="str">
            <v>BBB / Baa2</v>
          </cell>
        </row>
        <row r="114">
          <cell r="F114">
            <v>37012</v>
          </cell>
        </row>
        <row r="123">
          <cell r="J123">
            <v>1665.758</v>
          </cell>
        </row>
        <row r="132">
          <cell r="J132">
            <v>0.963360585127285</v>
          </cell>
        </row>
        <row r="160">
          <cell r="E160">
            <v>2334</v>
          </cell>
        </row>
        <row r="282">
          <cell r="Q282" t="str">
            <v>_</v>
          </cell>
        </row>
        <row r="285">
          <cell r="Q285">
            <v>0</v>
          </cell>
        </row>
        <row r="305">
          <cell r="D305" t="str">
            <v>7 Eleven, Inc.</v>
          </cell>
          <cell r="E305" t="str">
            <v>SE</v>
          </cell>
        </row>
        <row r="305">
          <cell r="S305">
            <v>0</v>
          </cell>
          <cell r="T305" t="str">
            <v>NA</v>
          </cell>
        </row>
        <row r="305">
          <cell r="V30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1" width="34.13"/>
    <col collapsed="false" customWidth="true" hidden="false" outlineLevel="0" max="2" min="2" style="1" width="14.28"/>
    <col collapsed="false" customWidth="true" hidden="false" outlineLevel="0" max="3" min="3" style="1" width="12.7"/>
    <col collapsed="false" customWidth="true" hidden="false" outlineLevel="0" max="4" min="4" style="1" width="13.99"/>
    <col collapsed="false" customWidth="true" hidden="false" outlineLevel="0" max="5" min="5" style="1" width="11.7"/>
    <col collapsed="false" customWidth="true" hidden="false" outlineLevel="0" max="6" min="6" style="1" width="10.71"/>
    <col collapsed="false" customWidth="true" hidden="false" outlineLevel="0" max="7" min="7" style="1" width="11.7"/>
    <col collapsed="false" customWidth="true" hidden="false" outlineLevel="0" max="8" min="8" style="1" width="10.71"/>
    <col collapsed="false" customWidth="true" hidden="true" outlineLevel="1" max="9" min="9" style="1" width="10.56"/>
    <col collapsed="false" customWidth="true" hidden="false" outlineLevel="0" max="10" min="10" style="1" width="9.28"/>
    <col collapsed="false" customWidth="true" hidden="false" outlineLevel="0" max="11" min="11" style="1" width="9.99"/>
    <col collapsed="false" customWidth="true" hidden="true" outlineLevel="1" max="12" min="12" style="1" width="9.85"/>
    <col collapsed="false" customWidth="true" hidden="false" outlineLevel="0" max="14" min="13" style="1" width="8.7"/>
    <col collapsed="false" customWidth="true" hidden="true" outlineLevel="1" max="15" min="15" style="1" width="8.7"/>
    <col collapsed="false" customWidth="true" hidden="false" outlineLevel="0" max="16" min="16" style="1" width="8.7"/>
    <col collapsed="false" customWidth="true" hidden="false" outlineLevel="0" max="17" min="17" style="1" width="10.71"/>
    <col collapsed="false" customWidth="true" hidden="false" outlineLevel="0" max="18" min="18" style="1" width="10.56"/>
    <col collapsed="false" customWidth="true" hidden="false" outlineLevel="0" max="19" min="19" style="1" width="9.7"/>
    <col collapsed="false" customWidth="true" hidden="false" outlineLevel="1" max="20" min="20" style="1" width="9.7"/>
    <col collapsed="false" customWidth="true" hidden="false" outlineLevel="0" max="25" min="21" style="1" width="9.7"/>
    <col collapsed="false" customWidth="true" hidden="false" outlineLevel="1" max="26" min="26" style="1" width="10.71"/>
    <col collapsed="false" customWidth="false" hidden="false" outlineLevel="0" max="27" min="27" style="1" width="9.14"/>
    <col collapsed="false" customWidth="true" hidden="false" outlineLevel="0" max="30" min="28" style="1" width="10.71"/>
    <col collapsed="false" customWidth="true" hidden="false" outlineLevel="0" max="31" min="31" style="1" width="15.7"/>
    <col collapsed="false" customWidth="false" hidden="false" outlineLevel="0" max="257" min="32" style="1" width="9.14"/>
  </cols>
  <sheetData>
    <row r="1" customFormat="false" ht="18" hidden="false" customHeight="false" outlineLevel="0" collapsed="false">
      <c r="A1" s="2" t="s">
        <v>0</v>
      </c>
      <c r="B1" s="2"/>
      <c r="C1" s="2"/>
    </row>
    <row r="2" customFormat="false" ht="15" hidden="false" customHeight="true" outlineLevel="0" collapsed="false">
      <c r="A2" s="3" t="s">
        <v>1</v>
      </c>
      <c r="B2" s="3"/>
      <c r="C2" s="3"/>
      <c r="AG2" s="4"/>
    </row>
    <row r="3" customFormat="false" ht="12.75" hidden="false" customHeight="false" outlineLevel="0" collapsed="false">
      <c r="A3" s="5" t="s">
        <v>2</v>
      </c>
      <c r="B3" s="5"/>
      <c r="C3" s="5"/>
      <c r="AG3" s="4"/>
    </row>
    <row r="4" customFormat="false" ht="12.75" hidden="false" customHeight="false" outlineLevel="0" collapsed="false">
      <c r="A4" s="5"/>
      <c r="B4" s="5"/>
      <c r="C4" s="5"/>
      <c r="AG4" s="4"/>
    </row>
    <row r="5" customFormat="false" ht="14.25" hidden="false" customHeight="false" outlineLevel="0" collapsed="false">
      <c r="A5" s="6"/>
      <c r="B5" s="6"/>
      <c r="C5" s="6"/>
      <c r="AG5" s="4"/>
    </row>
    <row r="6" customFormat="false" ht="12.75" hidden="false" customHeight="false" outlineLevel="0" collapsed="false">
      <c r="A6" s="5"/>
      <c r="B6" s="5"/>
      <c r="C6" s="5"/>
      <c r="AG6" s="4"/>
    </row>
    <row r="7" customFormat="false" ht="12.75" hidden="false" customHeight="false" outlineLevel="0" collapsed="false">
      <c r="A7" s="7" t="s">
        <v>3</v>
      </c>
      <c r="B7" s="8" t="n">
        <v>37106</v>
      </c>
      <c r="C7" s="9"/>
    </row>
    <row r="8" customFormat="false" ht="12.75" hidden="false" customHeight="false" outlineLevel="0" collapsed="false">
      <c r="D8" s="10"/>
      <c r="E8" s="10"/>
      <c r="F8" s="10"/>
      <c r="G8" s="10"/>
      <c r="H8" s="11" t="s">
        <v>4</v>
      </c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2" t="s">
        <v>5</v>
      </c>
      <c r="V8" s="12"/>
      <c r="W8" s="12"/>
      <c r="X8" s="12" t="s">
        <v>6</v>
      </c>
      <c r="Y8" s="12"/>
      <c r="Z8" s="11" t="s">
        <v>7</v>
      </c>
    </row>
    <row r="9" customFormat="false" ht="12.75" hidden="false" customHeight="false" outlineLevel="0" collapsed="false">
      <c r="A9" s="10"/>
      <c r="B9" s="10"/>
      <c r="C9" s="11" t="s">
        <v>8</v>
      </c>
      <c r="D9" s="11" t="s">
        <v>9</v>
      </c>
      <c r="E9" s="13" t="s">
        <v>10</v>
      </c>
      <c r="F9" s="13"/>
      <c r="G9" s="11" t="s">
        <v>11</v>
      </c>
      <c r="H9" s="11" t="s">
        <v>11</v>
      </c>
      <c r="I9" s="12" t="s">
        <v>12</v>
      </c>
      <c r="J9" s="12"/>
      <c r="K9" s="12"/>
      <c r="L9" s="12" t="s">
        <v>13</v>
      </c>
      <c r="M9" s="12"/>
      <c r="N9" s="12"/>
      <c r="O9" s="12" t="s">
        <v>14</v>
      </c>
      <c r="P9" s="12"/>
      <c r="Q9" s="12"/>
      <c r="R9" s="13" t="s">
        <v>15</v>
      </c>
      <c r="S9" s="13" t="s">
        <v>16</v>
      </c>
      <c r="T9" s="11" t="s">
        <v>17</v>
      </c>
      <c r="U9" s="11" t="s">
        <v>18</v>
      </c>
      <c r="V9" s="11"/>
      <c r="W9" s="11" t="s">
        <v>19</v>
      </c>
      <c r="X9" s="11" t="s">
        <v>18</v>
      </c>
      <c r="Y9" s="11" t="s">
        <v>20</v>
      </c>
      <c r="Z9" s="11" t="s">
        <v>21</v>
      </c>
      <c r="AA9" s="13"/>
    </row>
    <row r="10" customFormat="false" ht="12.75" hidden="false" customHeight="false" outlineLevel="0" collapsed="false">
      <c r="A10" s="11" t="s">
        <v>22</v>
      </c>
      <c r="B10" s="11" t="s">
        <v>23</v>
      </c>
      <c r="C10" s="11" t="s">
        <v>24</v>
      </c>
      <c r="D10" s="11" t="s">
        <v>25</v>
      </c>
      <c r="E10" s="11" t="s">
        <v>26</v>
      </c>
      <c r="F10" s="11" t="s">
        <v>27</v>
      </c>
      <c r="G10" s="11" t="s">
        <v>28</v>
      </c>
      <c r="H10" s="11" t="s">
        <v>28</v>
      </c>
      <c r="I10" s="11" t="s">
        <v>29</v>
      </c>
      <c r="J10" s="11" t="s">
        <v>30</v>
      </c>
      <c r="K10" s="11" t="s">
        <v>31</v>
      </c>
      <c r="L10" s="11" t="s">
        <v>29</v>
      </c>
      <c r="M10" s="11" t="s">
        <v>30</v>
      </c>
      <c r="N10" s="11" t="s">
        <v>31</v>
      </c>
      <c r="O10" s="11" t="s">
        <v>29</v>
      </c>
      <c r="P10" s="11" t="s">
        <v>30</v>
      </c>
      <c r="Q10" s="11" t="s">
        <v>31</v>
      </c>
      <c r="R10" s="11" t="s">
        <v>32</v>
      </c>
      <c r="S10" s="11" t="s">
        <v>33</v>
      </c>
      <c r="T10" s="11" t="s">
        <v>34</v>
      </c>
      <c r="U10" s="11" t="s">
        <v>35</v>
      </c>
      <c r="V10" s="11" t="s">
        <v>36</v>
      </c>
      <c r="W10" s="11" t="s">
        <v>37</v>
      </c>
      <c r="X10" s="11" t="s">
        <v>38</v>
      </c>
      <c r="Y10" s="11" t="s">
        <v>6</v>
      </c>
      <c r="Z10" s="11" t="s">
        <v>39</v>
      </c>
      <c r="AA10" s="13"/>
    </row>
    <row r="11" customFormat="false" ht="4.9" hidden="false" customHeight="true" outlineLevel="0" collapsed="false">
      <c r="A11" s="14" t="s">
        <v>40</v>
      </c>
      <c r="B11" s="14" t="s">
        <v>40</v>
      </c>
      <c r="C11" s="14" t="s">
        <v>40</v>
      </c>
      <c r="D11" s="14" t="s">
        <v>40</v>
      </c>
      <c r="E11" s="14" t="s">
        <v>40</v>
      </c>
      <c r="F11" s="14" t="s">
        <v>40</v>
      </c>
      <c r="G11" s="14" t="s">
        <v>40</v>
      </c>
      <c r="H11" s="14" t="s">
        <v>40</v>
      </c>
      <c r="I11" s="14" t="s">
        <v>40</v>
      </c>
      <c r="J11" s="14" t="s">
        <v>40</v>
      </c>
      <c r="K11" s="14" t="s">
        <v>40</v>
      </c>
      <c r="L11" s="14" t="s">
        <v>40</v>
      </c>
      <c r="M11" s="14" t="s">
        <v>40</v>
      </c>
      <c r="N11" s="14" t="s">
        <v>40</v>
      </c>
      <c r="O11" s="14" t="s">
        <v>40</v>
      </c>
      <c r="P11" s="14" t="s">
        <v>40</v>
      </c>
      <c r="Q11" s="14" t="s">
        <v>40</v>
      </c>
      <c r="R11" s="14" t="s">
        <v>40</v>
      </c>
      <c r="S11" s="14" t="s">
        <v>40</v>
      </c>
      <c r="T11" s="14" t="s">
        <v>40</v>
      </c>
      <c r="U11" s="14" t="s">
        <v>40</v>
      </c>
      <c r="V11" s="14" t="s">
        <v>40</v>
      </c>
      <c r="W11" s="14" t="s">
        <v>40</v>
      </c>
      <c r="X11" s="14" t="s">
        <v>40</v>
      </c>
      <c r="Y11" s="14" t="s">
        <v>40</v>
      </c>
      <c r="Z11" s="14" t="s">
        <v>40</v>
      </c>
      <c r="AA11" s="15"/>
    </row>
    <row r="12" customFormat="false" ht="12.95" hidden="false" customHeight="true" outlineLevel="0" collapsed="false">
      <c r="A12" s="1" t="s">
        <v>41</v>
      </c>
      <c r="B12" s="16" t="s">
        <v>42</v>
      </c>
      <c r="C12" s="17" t="n">
        <v>37036</v>
      </c>
      <c r="D12" s="18" t="n">
        <v>49.1</v>
      </c>
      <c r="E12" s="18" t="n">
        <v>57.8125</v>
      </c>
      <c r="F12" s="18" t="n">
        <v>45.125</v>
      </c>
      <c r="G12" s="19" t="n">
        <v>183995.703333333</v>
      </c>
      <c r="H12" s="19" t="n">
        <v>202197.703333333</v>
      </c>
      <c r="I12" s="20" t="e">
        <f aca="false"/>
        <v>#DIV/0!</v>
      </c>
      <c r="J12" s="21" t="n">
        <v>11.8619333971768</v>
      </c>
      <c r="K12" s="21" t="n">
        <v>12.687338501292</v>
      </c>
      <c r="L12" s="21" t="n">
        <v>10</v>
      </c>
      <c r="M12" s="21" t="n">
        <v>8.04175062615315</v>
      </c>
      <c r="N12" s="21" t="n">
        <v>8.31120438485869</v>
      </c>
      <c r="O12" s="21" t="n">
        <v>10</v>
      </c>
      <c r="P12" s="21" t="n">
        <v>6.35612352421068</v>
      </c>
      <c r="Q12" s="21" t="n">
        <v>6.64388425149441</v>
      </c>
      <c r="R12" s="22" t="n">
        <v>0.200951922562704</v>
      </c>
      <c r="S12" s="21" t="n">
        <v>2.48290538200301</v>
      </c>
      <c r="T12" s="22" t="n">
        <v>0.02482552</v>
      </c>
      <c r="U12" s="23" t="n">
        <v>13358</v>
      </c>
      <c r="V12" s="22" t="n">
        <v>0.512801317562509</v>
      </c>
      <c r="W12" s="18" t="n">
        <v>9.8152862905373</v>
      </c>
      <c r="X12" s="19" t="n">
        <v>89600</v>
      </c>
      <c r="Y12" s="21" t="n">
        <v>2.25667079613095</v>
      </c>
      <c r="Z12" s="24" t="n">
        <v>3747.36666666667</v>
      </c>
    </row>
    <row r="13" customFormat="false" ht="12.95" hidden="true" customHeight="true" outlineLevel="1" collapsed="false">
      <c r="A13" s="1" t="s">
        <v>43</v>
      </c>
      <c r="B13" s="16" t="s">
        <v>44</v>
      </c>
      <c r="C13" s="25" t="n">
        <v>37036</v>
      </c>
      <c r="D13" s="18" t="n">
        <v>90.68</v>
      </c>
      <c r="E13" s="18" t="n">
        <v>98.49</v>
      </c>
      <c r="F13" s="18" t="n">
        <v>78.1875</v>
      </c>
      <c r="G13" s="19" t="n">
        <v>58171.12832252</v>
      </c>
      <c r="H13" s="19" t="n">
        <v>61065.12832252</v>
      </c>
      <c r="I13" s="21" t="n">
        <v>10.9957755956723</v>
      </c>
      <c r="J13" s="21" t="n">
        <v>10.9957755956723</v>
      </c>
      <c r="K13" s="21" t="n">
        <v>18.1355228481371</v>
      </c>
      <c r="L13" s="21" t="n">
        <v>10</v>
      </c>
      <c r="M13" s="21" t="n">
        <v>6.62634740156228</v>
      </c>
      <c r="N13" s="21" t="n">
        <v>8.4866004086385</v>
      </c>
      <c r="O13" s="21" t="n">
        <v>10</v>
      </c>
      <c r="P13" s="21" t="n">
        <v>5.65199915448344</v>
      </c>
      <c r="Q13" s="21" t="n">
        <v>7.49623127779522</v>
      </c>
      <c r="R13" s="22" t="n">
        <v>0.239169351951307</v>
      </c>
      <c r="S13" s="21" t="n">
        <v>2.73746486223624</v>
      </c>
      <c r="T13" s="22" t="n">
        <v>0.02853066</v>
      </c>
      <c r="U13" s="26" t="n">
        <v>6593</v>
      </c>
      <c r="V13" s="22" t="n">
        <v>0.241468223873806</v>
      </c>
      <c r="W13" s="18" t="n">
        <v>6.79629074875267</v>
      </c>
      <c r="X13" s="19" t="n">
        <v>39800</v>
      </c>
      <c r="Y13" s="21" t="n">
        <v>1.53429970659598</v>
      </c>
      <c r="Z13" s="27" t="n">
        <v>641.498989</v>
      </c>
      <c r="AA13" s="28"/>
    </row>
    <row r="14" customFormat="false" ht="12.95" hidden="false" customHeight="true" outlineLevel="0" collapsed="false">
      <c r="A14" s="1" t="s">
        <v>43</v>
      </c>
      <c r="B14" s="16" t="s">
        <v>44</v>
      </c>
      <c r="C14" s="25" t="n">
        <v>37036</v>
      </c>
      <c r="D14" s="18" t="n">
        <v>90.68</v>
      </c>
      <c r="E14" s="18" t="n">
        <v>98.49</v>
      </c>
      <c r="F14" s="18" t="n">
        <v>78.1875</v>
      </c>
      <c r="G14" s="19" t="n">
        <v>96640.0163546792</v>
      </c>
      <c r="H14" s="19" t="n">
        <v>107041.016354679</v>
      </c>
      <c r="I14" s="21" t="n">
        <v>12.1827262803421</v>
      </c>
      <c r="J14" s="21" t="n">
        <v>12.1827262803421</v>
      </c>
      <c r="K14" s="21" t="n">
        <v>17.0294905295024</v>
      </c>
      <c r="L14" s="21" t="n">
        <v>10</v>
      </c>
      <c r="M14" s="21" t="n">
        <v>7.14556930755354</v>
      </c>
      <c r="N14" s="21" t="n">
        <v>8.42607132068811</v>
      </c>
      <c r="O14" s="21" t="n">
        <v>10</v>
      </c>
      <c r="P14" s="21" t="n">
        <v>5.70366505474388</v>
      </c>
      <c r="Q14" s="21" t="n">
        <v>6.71610693661401</v>
      </c>
      <c r="R14" s="22" t="n">
        <v>0.273700336632466</v>
      </c>
      <c r="S14" s="21" t="n">
        <v>2.75885741399067</v>
      </c>
      <c r="T14" s="22" t="n">
        <v>0.02853066</v>
      </c>
      <c r="U14" s="26" t="n">
        <v>11493</v>
      </c>
      <c r="V14" s="22" t="n">
        <v>0.258766205516401</v>
      </c>
      <c r="W14" s="18" t="n">
        <v>11.9095649745074</v>
      </c>
      <c r="X14" s="19" t="n">
        <v>65988</v>
      </c>
      <c r="Y14" s="21" t="n">
        <v>1.62212851358852</v>
      </c>
      <c r="Z14" s="27" t="n">
        <v>1065.72580894</v>
      </c>
      <c r="AA14" s="28"/>
    </row>
    <row r="15" customFormat="false" ht="12.95" hidden="false" customHeight="true" outlineLevel="0" collapsed="false">
      <c r="A15" s="1" t="s">
        <v>45</v>
      </c>
      <c r="B15" s="16" t="s">
        <v>46</v>
      </c>
      <c r="C15" s="25" t="n">
        <v>37036</v>
      </c>
      <c r="D15" s="18" t="n">
        <v>41.26</v>
      </c>
      <c r="E15" s="18" t="n">
        <v>47.71875</v>
      </c>
      <c r="F15" s="18" t="n">
        <v>37.6</v>
      </c>
      <c r="G15" s="19" t="n">
        <v>284683.80663448</v>
      </c>
      <c r="H15" s="19" t="n">
        <v>289837.80663448</v>
      </c>
      <c r="I15" s="21" t="e">
        <f aca="false"/>
        <v>#DIV/0!</v>
      </c>
      <c r="J15" s="21" t="n">
        <v>15.1904008215817</v>
      </c>
      <c r="K15" s="21" t="n">
        <v>16.53903869729</v>
      </c>
      <c r="L15" s="21" t="n">
        <v>10</v>
      </c>
      <c r="M15" s="21" t="n">
        <v>10.2063447146498</v>
      </c>
      <c r="N15" s="21" t="n">
        <v>10.8022725905039</v>
      </c>
      <c r="O15" s="21" t="n">
        <v>10</v>
      </c>
      <c r="P15" s="21" t="n">
        <v>6.92122809733877</v>
      </c>
      <c r="Q15" s="21" t="n">
        <v>7.31650949561459</v>
      </c>
      <c r="R15" s="22" t="n">
        <v>0.145879998635573</v>
      </c>
      <c r="S15" s="21" t="n">
        <v>3.96004683101003</v>
      </c>
      <c r="T15" s="22" t="n">
        <v>0.04253261</v>
      </c>
      <c r="U15" s="26" t="n">
        <v>20872</v>
      </c>
      <c r="V15" s="22" t="n">
        <v>0.446100038328862</v>
      </c>
      <c r="W15" s="18" t="n">
        <v>6.84096110331812</v>
      </c>
      <c r="X15" s="19" t="n">
        <v>97252</v>
      </c>
      <c r="Y15" s="21" t="n">
        <v>2.98027605226093</v>
      </c>
      <c r="Z15" s="27" t="n">
        <v>6899.752948</v>
      </c>
      <c r="AA15" s="28"/>
    </row>
    <row r="16" customFormat="false" ht="12.95" hidden="true" customHeight="true" outlineLevel="1" collapsed="false">
      <c r="A16" s="1" t="s">
        <v>47</v>
      </c>
      <c r="B16" s="16" t="s">
        <v>48</v>
      </c>
      <c r="C16" s="25" t="n">
        <v>37036</v>
      </c>
      <c r="D16" s="18" t="n">
        <v>68.83</v>
      </c>
      <c r="E16" s="18" t="n">
        <v>73.9</v>
      </c>
      <c r="F16" s="18" t="n">
        <v>48.6875</v>
      </c>
      <c r="G16" s="19" t="n">
        <v>37921.47015126</v>
      </c>
      <c r="H16" s="19" t="n">
        <v>45428.47015126</v>
      </c>
      <c r="I16" s="21" t="n">
        <v>14.1104544582307</v>
      </c>
      <c r="J16" s="21" t="n">
        <v>14.1104544582307</v>
      </c>
      <c r="K16" s="21" t="n">
        <v>17.6892595931527</v>
      </c>
      <c r="L16" s="21" t="n">
        <v>10</v>
      </c>
      <c r="M16" s="21" t="n">
        <v>7.85714948756265</v>
      </c>
      <c r="N16" s="21" t="n">
        <v>8.76310929667991</v>
      </c>
      <c r="O16" s="21" t="n">
        <v>10</v>
      </c>
      <c r="P16" s="21" t="n">
        <v>5.7050199643572</v>
      </c>
      <c r="Q16" s="21" t="n">
        <v>6.31666386804093</v>
      </c>
      <c r="R16" s="22" t="n">
        <v>0.318188108307579</v>
      </c>
      <c r="S16" s="21" t="n">
        <v>2.75212062930982</v>
      </c>
      <c r="T16" s="22" t="n">
        <v>0.0261742</v>
      </c>
      <c r="U16" s="26" t="n">
        <v>4900</v>
      </c>
      <c r="V16" s="22" t="n">
        <v>0.282040816326531</v>
      </c>
      <c r="W16" s="18" t="n">
        <v>8.00765256964643</v>
      </c>
      <c r="X16" s="19" t="n">
        <v>26188</v>
      </c>
      <c r="Y16" s="21" t="n">
        <v>1.73470559612265</v>
      </c>
      <c r="Z16" s="27" t="n">
        <v>550.943922</v>
      </c>
      <c r="AA16" s="28"/>
    </row>
    <row r="17" customFormat="false" ht="12.95" hidden="false" customHeight="true" outlineLevel="0" collapsed="false">
      <c r="A17" s="1" t="s">
        <v>49</v>
      </c>
      <c r="B17" s="16" t="s">
        <v>50</v>
      </c>
      <c r="C17" s="25" t="n">
        <v>37036</v>
      </c>
      <c r="D17" s="18" t="n">
        <v>52.2114403119171</v>
      </c>
      <c r="E17" s="18" t="n">
        <v>60.7009938254723</v>
      </c>
      <c r="F17" s="18" t="n">
        <v>49.4088902638111</v>
      </c>
      <c r="G17" s="19" t="n">
        <v>197145.94183185</v>
      </c>
      <c r="H17" s="19" t="n">
        <v>195557.94183185</v>
      </c>
      <c r="I17" s="21" t="e">
        <f aca="false"/>
        <v>#DIV/0!</v>
      </c>
      <c r="J17" s="21" t="n">
        <v>14.3525562107784</v>
      </c>
      <c r="K17" s="21" t="n">
        <v>16.3477620135134</v>
      </c>
      <c r="L17" s="21" t="n">
        <v>10</v>
      </c>
      <c r="M17" s="21" t="n">
        <v>9.16614489935258</v>
      </c>
      <c r="N17" s="21" t="n">
        <v>9.87392228110246</v>
      </c>
      <c r="O17" s="21" t="n">
        <v>10</v>
      </c>
      <c r="P17" s="21" t="n">
        <v>5.68952514688361</v>
      </c>
      <c r="Q17" s="21" t="n">
        <v>6.1687219945704</v>
      </c>
      <c r="R17" s="22" t="n">
        <v>0.104095166075272</v>
      </c>
      <c r="S17" s="21" t="n">
        <v>3.36019399416833</v>
      </c>
      <c r="T17" s="29" t="s">
        <v>51</v>
      </c>
      <c r="U17" s="26" t="n">
        <v>19131.5</v>
      </c>
      <c r="V17" s="22" t="n">
        <v>0.490317016438857</v>
      </c>
      <c r="W17" s="18" t="n">
        <v>4.36770688234637</v>
      </c>
      <c r="X17" s="19" t="n">
        <v>63041</v>
      </c>
      <c r="Y17" s="21" t="n">
        <v>3.10207550374915</v>
      </c>
      <c r="Z17" s="27" t="n">
        <v>3775.91463966667</v>
      </c>
      <c r="AA17" s="28"/>
    </row>
    <row r="18" customFormat="false" ht="12.95" hidden="true" customHeight="true" outlineLevel="1" collapsed="false">
      <c r="A18" s="30" t="s">
        <v>52</v>
      </c>
      <c r="B18" s="16" t="s">
        <v>53</v>
      </c>
      <c r="C18" s="31" t="n">
        <v>55.49</v>
      </c>
      <c r="D18" s="32" t="n">
        <v>47.97</v>
      </c>
      <c r="E18" s="33" t="n">
        <v>2129.696352</v>
      </c>
      <c r="F18" s="34" t="n">
        <v>1646.21828766667</v>
      </c>
      <c r="G18" s="19"/>
      <c r="H18" s="19"/>
      <c r="I18" s="21"/>
      <c r="J18" s="21"/>
      <c r="K18" s="21"/>
      <c r="L18" s="21"/>
      <c r="M18" s="21"/>
      <c r="N18" s="21"/>
      <c r="O18" s="21"/>
      <c r="P18" s="21"/>
      <c r="Q18" s="21"/>
      <c r="R18" s="22"/>
      <c r="S18" s="21"/>
      <c r="T18" s="29"/>
      <c r="U18" s="26"/>
      <c r="V18" s="22"/>
      <c r="W18" s="18"/>
      <c r="X18" s="19"/>
      <c r="Y18" s="21" t="e">
        <f aca="false"/>
        <v>#DIV/0!</v>
      </c>
      <c r="Z18" s="27"/>
      <c r="AA18" s="28"/>
    </row>
    <row r="19" customFormat="false" ht="12.95" hidden="false" customHeight="true" outlineLevel="0" collapsed="false">
      <c r="A19" s="35" t="s">
        <v>54</v>
      </c>
      <c r="B19" s="36" t="s">
        <v>55</v>
      </c>
      <c r="C19" s="25" t="n">
        <v>37036</v>
      </c>
      <c r="D19" s="18" t="n">
        <v>70.55</v>
      </c>
      <c r="E19" s="18" t="n">
        <v>81.25</v>
      </c>
      <c r="F19" s="18" t="n">
        <v>63.75</v>
      </c>
      <c r="G19" s="19" t="n">
        <v>100604.3</v>
      </c>
      <c r="H19" s="19" t="n">
        <v>120709.159850776</v>
      </c>
      <c r="I19" s="21" t="e">
        <f aca="false"/>
        <v>#DIV/0!</v>
      </c>
      <c r="J19" s="21" t="n">
        <v>14.0712664637112</v>
      </c>
      <c r="K19" s="21" t="n">
        <v>14.680349881268</v>
      </c>
      <c r="L19" s="21" t="n">
        <v>10</v>
      </c>
      <c r="M19" s="21" t="n">
        <v>7.84590731198651</v>
      </c>
      <c r="N19" s="21" t="n">
        <v>7.92408247885766</v>
      </c>
      <c r="O19" s="21" t="n">
        <v>10</v>
      </c>
      <c r="P19" s="21" t="n">
        <v>6.02215029935274</v>
      </c>
      <c r="Q19" s="21" t="n">
        <v>6.52463855223086</v>
      </c>
      <c r="R19" s="22" t="n">
        <v>0.442805404422101</v>
      </c>
      <c r="S19" s="21" t="n">
        <v>3.5414415126385</v>
      </c>
      <c r="T19" s="29" t="s">
        <v>51</v>
      </c>
      <c r="U19" s="26" t="n">
        <v>10411.8333333333</v>
      </c>
      <c r="V19" s="22" t="n">
        <v>0.331433785276368</v>
      </c>
      <c r="W19" s="18" t="n">
        <v>3.37093991213719</v>
      </c>
      <c r="X19" s="19" t="n">
        <v>33545</v>
      </c>
      <c r="Y19" s="21" t="n">
        <v>3.59842479805564</v>
      </c>
      <c r="Z19" s="27" t="n">
        <v>1426</v>
      </c>
      <c r="AA19" s="28"/>
    </row>
    <row r="20" customFormat="false" ht="12.95" hidden="false" customHeight="true" outlineLevel="0" collapsed="false">
      <c r="B20" s="16"/>
      <c r="C20" s="25"/>
      <c r="D20" s="18"/>
      <c r="E20" s="18"/>
      <c r="F20" s="18"/>
      <c r="G20" s="19"/>
      <c r="H20" s="19"/>
      <c r="I20" s="21"/>
      <c r="J20" s="21"/>
      <c r="K20" s="21"/>
      <c r="L20" s="21"/>
      <c r="M20" s="21"/>
      <c r="N20" s="21"/>
      <c r="O20" s="21"/>
      <c r="P20" s="21"/>
      <c r="Q20" s="21"/>
      <c r="R20" s="22"/>
      <c r="S20" s="21"/>
      <c r="T20" s="22"/>
      <c r="U20" s="26"/>
      <c r="V20" s="22"/>
      <c r="W20" s="18"/>
      <c r="X20" s="37"/>
      <c r="Y20" s="21"/>
      <c r="Z20" s="27"/>
      <c r="AA20" s="38"/>
    </row>
    <row r="21" customFormat="false" ht="12.95" hidden="false" customHeight="true" outlineLevel="0" collapsed="false">
      <c r="B21" s="16"/>
      <c r="C21" s="25"/>
      <c r="D21" s="18"/>
      <c r="E21" s="18"/>
      <c r="F21" s="18"/>
      <c r="G21" s="19"/>
      <c r="H21" s="19"/>
      <c r="I21" s="21"/>
      <c r="J21" s="21"/>
      <c r="K21" s="21"/>
      <c r="L21" s="21"/>
      <c r="M21" s="21"/>
      <c r="N21" s="21"/>
      <c r="O21" s="21"/>
      <c r="P21" s="21"/>
      <c r="Q21" s="21"/>
      <c r="R21" s="22"/>
      <c r="S21" s="21"/>
      <c r="T21" s="22"/>
      <c r="U21" s="26"/>
      <c r="V21" s="22"/>
      <c r="W21" s="18"/>
      <c r="X21" s="37"/>
      <c r="Y21" s="21"/>
      <c r="Z21" s="27"/>
    </row>
    <row r="22" customFormat="false" ht="12.95" hidden="false" customHeight="true" outlineLevel="0" collapsed="false">
      <c r="B22" s="30"/>
      <c r="C22" s="30"/>
      <c r="D22" s="30"/>
      <c r="E22" s="30"/>
      <c r="F22" s="30"/>
      <c r="G22" s="39"/>
      <c r="H22" s="40" t="s">
        <v>56</v>
      </c>
      <c r="I22" s="30"/>
      <c r="J22" s="21" t="n">
        <v>13.4303978245252</v>
      </c>
      <c r="K22" s="21" t="n">
        <v>16.0132119224422</v>
      </c>
      <c r="L22" s="21" t="n">
        <v>10</v>
      </c>
      <c r="M22" s="21" t="n">
        <v>8.29060740687782</v>
      </c>
      <c r="N22" s="21" t="n">
        <v>9.02686524010686</v>
      </c>
      <c r="O22" s="21" t="n">
        <v>10</v>
      </c>
      <c r="P22" s="21" t="n">
        <v>6.05767436443774</v>
      </c>
      <c r="Q22" s="21" t="n">
        <v>6.74444157329107</v>
      </c>
      <c r="R22" s="22" t="n">
        <v>0.241848325325756</v>
      </c>
      <c r="S22" s="21" t="n">
        <v>3.13902886856099</v>
      </c>
      <c r="T22" s="22" t="n">
        <v>0.0305157475</v>
      </c>
      <c r="U22" s="26"/>
      <c r="V22" s="22" t="n">
        <v>0.384026866301156</v>
      </c>
      <c r="W22" s="18" t="n">
        <v>6.53313958445635</v>
      </c>
      <c r="X22" s="19"/>
      <c r="Y22" s="21" t="n">
        <v>2.53440874215255</v>
      </c>
      <c r="Z22" s="30"/>
    </row>
    <row r="23" customFormat="false" ht="12.95" hidden="false" customHeight="true" outlineLevel="0" collapsed="false">
      <c r="B23" s="30"/>
      <c r="C23" s="30"/>
      <c r="D23" s="30"/>
      <c r="E23" s="30"/>
      <c r="F23" s="30"/>
      <c r="G23" s="39"/>
      <c r="H23" s="40" t="s">
        <v>57</v>
      </c>
      <c r="I23" s="30"/>
      <c r="J23" s="21" t="n">
        <v>14.0908604609709</v>
      </c>
      <c r="K23" s="21" t="n">
        <v>16.4434003554017</v>
      </c>
      <c r="L23" s="21" t="n">
        <v>10</v>
      </c>
      <c r="M23" s="21" t="n">
        <v>7.9494500568579</v>
      </c>
      <c r="N23" s="21" t="n">
        <v>8.62485485265921</v>
      </c>
      <c r="O23" s="21" t="n">
        <v>10</v>
      </c>
      <c r="P23" s="21" t="n">
        <v>5.86358513185497</v>
      </c>
      <c r="Q23" s="21" t="n">
        <v>6.58426140186264</v>
      </c>
      <c r="R23" s="22" t="n">
        <v>0.220060637257005</v>
      </c>
      <c r="S23" s="21" t="n">
        <v>3.05615731173907</v>
      </c>
      <c r="T23" s="22" t="n">
        <v>0.02735243</v>
      </c>
      <c r="U23" s="26"/>
      <c r="V23" s="22" t="n">
        <v>0.388766911802615</v>
      </c>
      <c r="W23" s="18" t="n">
        <v>6.8186259260354</v>
      </c>
      <c r="X23" s="19"/>
      <c r="Y23" s="21" t="n">
        <v>2.61847342419594</v>
      </c>
      <c r="Z23" s="30"/>
    </row>
    <row r="24" customFormat="false" ht="12.95" hidden="false" customHeight="true" outlineLevel="0" collapsed="false">
      <c r="B24" s="30"/>
      <c r="C24" s="30"/>
      <c r="D24" s="30"/>
      <c r="E24" s="30"/>
      <c r="F24" s="30"/>
      <c r="G24" s="39"/>
      <c r="H24" s="40" t="s">
        <v>26</v>
      </c>
      <c r="I24" s="30"/>
      <c r="J24" s="21" t="n">
        <v>15.1904008215817</v>
      </c>
      <c r="K24" s="21" t="n">
        <v>18.1355228481371</v>
      </c>
      <c r="L24" s="21" t="n">
        <v>10</v>
      </c>
      <c r="M24" s="21" t="n">
        <v>10.2063447146498</v>
      </c>
      <c r="N24" s="21" t="n">
        <v>10.8022725905039</v>
      </c>
      <c r="O24" s="21" t="n">
        <v>10</v>
      </c>
      <c r="P24" s="21" t="n">
        <v>6.92122809733877</v>
      </c>
      <c r="Q24" s="21" t="n">
        <v>7.49623127779522</v>
      </c>
      <c r="R24" s="22" t="n">
        <v>0.442805404422101</v>
      </c>
      <c r="S24" s="21" t="n">
        <v>3.96004683101003</v>
      </c>
      <c r="T24" s="22" t="n">
        <v>0.04253261</v>
      </c>
      <c r="U24" s="26"/>
      <c r="V24" s="22" t="n">
        <v>0.512801317562509</v>
      </c>
      <c r="W24" s="18" t="n">
        <v>9.8152862905373</v>
      </c>
      <c r="X24" s="19"/>
      <c r="Y24" s="21" t="n">
        <v>3.59842479805564</v>
      </c>
      <c r="Z24" s="30"/>
    </row>
    <row r="25" customFormat="false" ht="12.95" hidden="false" customHeight="true" outlineLevel="0" collapsed="false">
      <c r="B25" s="30"/>
      <c r="C25" s="30"/>
      <c r="D25" s="30"/>
      <c r="E25" s="30"/>
      <c r="F25" s="30"/>
      <c r="G25" s="39"/>
      <c r="H25" s="40" t="s">
        <v>27</v>
      </c>
      <c r="I25" s="30"/>
      <c r="J25" s="21" t="n">
        <v>10.9957755956723</v>
      </c>
      <c r="K25" s="21" t="n">
        <v>12.687338501292</v>
      </c>
      <c r="L25" s="21" t="n">
        <v>10</v>
      </c>
      <c r="M25" s="21" t="n">
        <v>6.62634740156228</v>
      </c>
      <c r="N25" s="21" t="n">
        <v>7.92408247885766</v>
      </c>
      <c r="O25" s="21" t="n">
        <v>10</v>
      </c>
      <c r="P25" s="21" t="n">
        <v>5.65199915448344</v>
      </c>
      <c r="Q25" s="21" t="n">
        <v>6.1687219945704</v>
      </c>
      <c r="R25" s="22" t="n">
        <v>0.104095166075272</v>
      </c>
      <c r="S25" s="21" t="n">
        <v>2.48290538200301</v>
      </c>
      <c r="T25" s="22" t="n">
        <v>0.02482552</v>
      </c>
      <c r="U25" s="26"/>
      <c r="V25" s="22" t="n">
        <v>0.241468223873806</v>
      </c>
      <c r="W25" s="18" t="n">
        <v>3.37093991213719</v>
      </c>
      <c r="X25" s="19"/>
      <c r="Y25" s="21" t="n">
        <v>1.53429970659598</v>
      </c>
      <c r="Z25" s="30"/>
    </row>
    <row r="26" customFormat="false" ht="12.95" hidden="false" customHeight="true" outlineLevel="0" collapsed="false"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customFormat="false" ht="12.95" hidden="false" customHeight="true" outlineLevel="0" collapsed="false">
      <c r="B27" s="30"/>
      <c r="C27" s="30"/>
      <c r="D27" s="30"/>
    </row>
    <row r="28" customFormat="false" ht="12.95" hidden="false" customHeight="true" outlineLevel="0" collapsed="false">
      <c r="A28" s="41"/>
      <c r="B28" s="42"/>
      <c r="C28" s="42"/>
      <c r="D28" s="42"/>
      <c r="U28" s="13" t="s">
        <v>58</v>
      </c>
      <c r="V28" s="13"/>
      <c r="W28" s="13"/>
      <c r="X28" s="13"/>
      <c r="Y28" s="13"/>
    </row>
    <row r="29" customFormat="false" ht="12.95" hidden="false" customHeight="true" outlineLevel="0" collapsed="false">
      <c r="A29" s="43"/>
      <c r="B29" s="13" t="s">
        <v>59</v>
      </c>
      <c r="C29" s="13"/>
      <c r="D29" s="13" t="s">
        <v>60</v>
      </c>
      <c r="E29" s="13"/>
      <c r="F29" s="13"/>
      <c r="G29" s="13" t="s">
        <v>61</v>
      </c>
      <c r="H29" s="13"/>
      <c r="J29" s="13" t="s">
        <v>62</v>
      </c>
      <c r="K29" s="13"/>
      <c r="P29" s="13" t="s">
        <v>63</v>
      </c>
      <c r="Q29" s="13"/>
      <c r="R29" s="13"/>
      <c r="S29" s="13"/>
      <c r="U29" s="13" t="s">
        <v>64</v>
      </c>
      <c r="V29" s="13"/>
      <c r="W29" s="13"/>
      <c r="X29" s="13"/>
      <c r="Y29" s="13"/>
      <c r="AA29" s="44"/>
    </row>
    <row r="30" customFormat="false" ht="3.6" hidden="false" customHeight="true" outlineLevel="0" collapsed="false">
      <c r="A30" s="43"/>
      <c r="B30" s="45" t="s">
        <v>40</v>
      </c>
      <c r="C30" s="45"/>
      <c r="D30" s="45" t="s">
        <v>40</v>
      </c>
      <c r="E30" s="45"/>
      <c r="F30" s="45"/>
      <c r="G30" s="45" t="s">
        <v>40</v>
      </c>
      <c r="H30" s="45"/>
      <c r="J30" s="45" t="s">
        <v>40</v>
      </c>
      <c r="K30" s="45"/>
      <c r="P30" s="45" t="s">
        <v>40</v>
      </c>
      <c r="Q30" s="45"/>
      <c r="R30" s="45"/>
      <c r="S30" s="45"/>
      <c r="U30" s="45" t="s">
        <v>40</v>
      </c>
      <c r="V30" s="45"/>
      <c r="W30" s="45"/>
      <c r="X30" s="45"/>
      <c r="Y30" s="45"/>
      <c r="AA30" s="44"/>
    </row>
    <row r="31" customFormat="false" ht="12.75" hidden="false" customHeight="false" outlineLevel="0" collapsed="false">
      <c r="A31" s="10"/>
      <c r="B31" s="16"/>
      <c r="C31" s="16"/>
      <c r="D31" s="13" t="s">
        <v>65</v>
      </c>
      <c r="E31" s="13" t="s">
        <v>66</v>
      </c>
      <c r="F31" s="13" t="s">
        <v>8</v>
      </c>
      <c r="G31" s="16" t="s">
        <v>67</v>
      </c>
      <c r="P31" s="13" t="s">
        <v>68</v>
      </c>
      <c r="Q31" s="13"/>
      <c r="R31" s="13" t="s">
        <v>69</v>
      </c>
      <c r="S31" s="13" t="s">
        <v>70</v>
      </c>
      <c r="U31" s="13" t="s">
        <v>71</v>
      </c>
      <c r="V31" s="13" t="s">
        <v>72</v>
      </c>
      <c r="W31" s="13" t="s">
        <v>73</v>
      </c>
      <c r="X31" s="13" t="s">
        <v>74</v>
      </c>
      <c r="Y31" s="13" t="s">
        <v>75</v>
      </c>
      <c r="AA31" s="44"/>
    </row>
    <row r="32" customFormat="false" ht="12.75" hidden="false" customHeight="false" outlineLevel="0" collapsed="false">
      <c r="A32" s="11" t="s">
        <v>22</v>
      </c>
      <c r="B32" s="16" t="s">
        <v>76</v>
      </c>
      <c r="C32" s="16" t="s">
        <v>77</v>
      </c>
      <c r="D32" s="11" t="s">
        <v>78</v>
      </c>
      <c r="E32" s="11" t="s">
        <v>79</v>
      </c>
      <c r="F32" s="11" t="s">
        <v>80</v>
      </c>
      <c r="G32" s="16" t="s">
        <v>81</v>
      </c>
      <c r="H32" s="16" t="s">
        <v>8</v>
      </c>
      <c r="J32" s="11" t="s">
        <v>82</v>
      </c>
      <c r="K32" s="11" t="s">
        <v>83</v>
      </c>
      <c r="P32" s="11" t="s">
        <v>84</v>
      </c>
      <c r="Q32" s="11" t="s">
        <v>85</v>
      </c>
      <c r="R32" s="11" t="s">
        <v>86</v>
      </c>
      <c r="S32" s="11" t="s">
        <v>87</v>
      </c>
      <c r="U32" s="11" t="s">
        <v>88</v>
      </c>
      <c r="V32" s="11" t="s">
        <v>89</v>
      </c>
      <c r="W32" s="11" t="s">
        <v>90</v>
      </c>
      <c r="X32" s="11" t="s">
        <v>91</v>
      </c>
      <c r="Y32" s="11" t="s">
        <v>92</v>
      </c>
      <c r="AA32" s="13"/>
    </row>
    <row r="33" customFormat="false" ht="3.6" hidden="false" customHeight="true" outlineLevel="0" collapsed="false">
      <c r="A33" s="14" t="s">
        <v>40</v>
      </c>
      <c r="B33" s="14" t="s">
        <v>40</v>
      </c>
      <c r="C33" s="14" t="s">
        <v>40</v>
      </c>
      <c r="D33" s="14" t="s">
        <v>40</v>
      </c>
      <c r="E33" s="14" t="s">
        <v>40</v>
      </c>
      <c r="F33" s="14" t="s">
        <v>40</v>
      </c>
      <c r="G33" s="14" t="s">
        <v>40</v>
      </c>
      <c r="H33" s="14" t="s">
        <v>40</v>
      </c>
      <c r="J33" s="14" t="s">
        <v>40</v>
      </c>
      <c r="K33" s="14" t="s">
        <v>40</v>
      </c>
      <c r="P33" s="14" t="s">
        <v>40</v>
      </c>
      <c r="Q33" s="14" t="s">
        <v>40</v>
      </c>
      <c r="R33" s="14" t="s">
        <v>40</v>
      </c>
      <c r="S33" s="14" t="s">
        <v>40</v>
      </c>
      <c r="U33" s="14" t="s">
        <v>40</v>
      </c>
      <c r="V33" s="14" t="s">
        <v>40</v>
      </c>
      <c r="W33" s="14" t="s">
        <v>40</v>
      </c>
      <c r="X33" s="14" t="s">
        <v>40</v>
      </c>
      <c r="Y33" s="14" t="s">
        <v>40</v>
      </c>
      <c r="AA33" s="46"/>
    </row>
    <row r="34" customFormat="false" ht="12.95" hidden="false" customHeight="true" outlineLevel="0" collapsed="false">
      <c r="A34" s="1" t="s">
        <v>41</v>
      </c>
      <c r="B34" s="1" t="s">
        <v>93</v>
      </c>
      <c r="C34" s="15" t="s">
        <v>94</v>
      </c>
      <c r="D34" s="15" t="s">
        <v>95</v>
      </c>
      <c r="E34" s="16" t="s">
        <v>96</v>
      </c>
      <c r="F34" s="25" t="n">
        <v>37034</v>
      </c>
      <c r="G34" s="16" t="s">
        <v>97</v>
      </c>
      <c r="H34" s="25" t="n">
        <v>37036</v>
      </c>
      <c r="I34" s="47"/>
      <c r="J34" s="22" t="n">
        <v>0</v>
      </c>
      <c r="K34" s="22" t="n">
        <v>0</v>
      </c>
      <c r="L34" s="47"/>
      <c r="M34" s="16"/>
      <c r="N34" s="16"/>
      <c r="O34" s="16"/>
      <c r="P34" s="22" t="n">
        <v>1.21933483049941</v>
      </c>
      <c r="Q34" s="21" t="n">
        <v>12.37424733673</v>
      </c>
      <c r="R34" s="18" t="n">
        <v>5.12156113262586</v>
      </c>
      <c r="S34" s="16" t="s">
        <v>98</v>
      </c>
      <c r="T34" s="16"/>
      <c r="U34" s="23" t="n">
        <v>13</v>
      </c>
      <c r="V34" s="23" t="n">
        <v>1882.5</v>
      </c>
      <c r="W34" s="24" t="n">
        <v>8.81026479831024</v>
      </c>
      <c r="X34" s="23" t="n">
        <v>16300</v>
      </c>
      <c r="Y34" s="23" t="n">
        <v>4400</v>
      </c>
      <c r="Z34" s="16"/>
      <c r="AA34" s="48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6"/>
      <c r="FI34" s="16"/>
      <c r="FJ34" s="16"/>
      <c r="FK34" s="16"/>
      <c r="FL34" s="16"/>
      <c r="FM34" s="16"/>
      <c r="FN34" s="16"/>
      <c r="FO34" s="16"/>
      <c r="FP34" s="16"/>
      <c r="FQ34" s="16"/>
      <c r="FR34" s="16"/>
      <c r="FS34" s="16"/>
      <c r="FT34" s="16"/>
      <c r="FU34" s="16"/>
      <c r="FV34" s="16"/>
      <c r="FW34" s="16"/>
      <c r="FX34" s="16"/>
      <c r="FY34" s="16"/>
      <c r="FZ34" s="16"/>
      <c r="GA34" s="16"/>
      <c r="GB34" s="16"/>
      <c r="GC34" s="16"/>
      <c r="GD34" s="16"/>
      <c r="GE34" s="16"/>
      <c r="GF34" s="16"/>
      <c r="GG34" s="16"/>
      <c r="GH34" s="16"/>
      <c r="GI34" s="16"/>
      <c r="GJ34" s="16"/>
      <c r="GK34" s="16"/>
      <c r="GL34" s="16"/>
      <c r="GM34" s="16"/>
      <c r="GN34" s="16"/>
      <c r="GO34" s="16"/>
      <c r="GP34" s="16"/>
      <c r="GQ34" s="16"/>
      <c r="GR34" s="16"/>
      <c r="GS34" s="16"/>
      <c r="GT34" s="16"/>
      <c r="GU34" s="16"/>
      <c r="GV34" s="16"/>
      <c r="GW34" s="16"/>
      <c r="GX34" s="16"/>
      <c r="GY34" s="16"/>
      <c r="GZ34" s="16"/>
      <c r="HA34" s="16"/>
      <c r="HB34" s="16"/>
      <c r="HC34" s="16"/>
      <c r="HD34" s="16"/>
      <c r="HE34" s="16"/>
      <c r="HF34" s="16"/>
      <c r="HG34" s="16"/>
      <c r="HH34" s="16"/>
      <c r="HI34" s="16"/>
      <c r="HJ34" s="16"/>
      <c r="HK34" s="16"/>
      <c r="HL34" s="16"/>
      <c r="HM34" s="16"/>
      <c r="HN34" s="16"/>
      <c r="HO34" s="16"/>
      <c r="HP34" s="16"/>
      <c r="HQ34" s="16"/>
      <c r="HR34" s="16"/>
      <c r="HS34" s="16"/>
      <c r="HT34" s="16"/>
      <c r="HU34" s="16"/>
      <c r="HV34" s="16"/>
      <c r="HW34" s="16"/>
      <c r="HX34" s="16"/>
      <c r="HY34" s="16"/>
      <c r="HZ34" s="16"/>
      <c r="IA34" s="16"/>
      <c r="IB34" s="16"/>
      <c r="IC34" s="16"/>
      <c r="ID34" s="16"/>
      <c r="IE34" s="16"/>
      <c r="IF34" s="16"/>
      <c r="IG34" s="16"/>
      <c r="IH34" s="16"/>
      <c r="II34" s="16"/>
      <c r="IJ34" s="16"/>
      <c r="IK34" s="16"/>
      <c r="IL34" s="16"/>
      <c r="IM34" s="16"/>
      <c r="IN34" s="16"/>
      <c r="IO34" s="16"/>
      <c r="IP34" s="16"/>
      <c r="IQ34" s="16"/>
      <c r="IR34" s="16"/>
      <c r="IS34" s="16"/>
      <c r="IT34" s="16"/>
      <c r="IU34" s="16"/>
      <c r="IV34" s="16"/>
      <c r="IW34" s="16"/>
    </row>
    <row r="35" customFormat="false" ht="12.95" hidden="false" customHeight="true" outlineLevel="0" collapsed="false">
      <c r="A35" s="1" t="s">
        <v>43</v>
      </c>
      <c r="B35" s="1" t="s">
        <v>93</v>
      </c>
      <c r="C35" s="15" t="s">
        <v>94</v>
      </c>
      <c r="D35" s="15" t="s">
        <v>95</v>
      </c>
      <c r="E35" s="16" t="s">
        <v>99</v>
      </c>
      <c r="F35" s="25" t="n">
        <v>37034</v>
      </c>
      <c r="G35" s="16" t="s">
        <v>100</v>
      </c>
      <c r="H35" s="25" t="n">
        <v>37036</v>
      </c>
      <c r="I35" s="47"/>
      <c r="J35" s="22" t="n">
        <v>0</v>
      </c>
      <c r="K35" s="22" t="n">
        <v>0</v>
      </c>
      <c r="L35" s="47"/>
      <c r="M35" s="16"/>
      <c r="N35" s="49"/>
      <c r="O35" s="16"/>
      <c r="P35" s="22" t="n">
        <v>1.25261599210267</v>
      </c>
      <c r="Q35" s="21" t="n">
        <v>11.4727378190255</v>
      </c>
      <c r="R35" s="18" t="n">
        <v>4.7193553156883</v>
      </c>
      <c r="S35" s="16" t="s">
        <v>98</v>
      </c>
      <c r="T35" s="50"/>
      <c r="U35" s="26" t="n">
        <v>7</v>
      </c>
      <c r="V35" s="26" t="n">
        <v>1021</v>
      </c>
      <c r="W35" s="27" t="n">
        <v>10.5401860920666</v>
      </c>
      <c r="X35" s="26" t="n">
        <v>8116</v>
      </c>
      <c r="Y35" s="26" t="s">
        <v>51</v>
      </c>
      <c r="Z35" s="51"/>
      <c r="AA35" s="52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T35" s="16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16"/>
      <c r="HK35" s="16"/>
      <c r="HL35" s="16"/>
      <c r="HM35" s="16"/>
      <c r="HN35" s="16"/>
      <c r="HO35" s="16"/>
      <c r="HP35" s="16"/>
      <c r="HQ35" s="16"/>
      <c r="HR35" s="16"/>
      <c r="HS35" s="16"/>
      <c r="HT35" s="16"/>
      <c r="HU35" s="16"/>
      <c r="HV35" s="16"/>
      <c r="HW35" s="16"/>
      <c r="HX35" s="16"/>
      <c r="HY35" s="16"/>
      <c r="HZ35" s="16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6"/>
      <c r="IM35" s="16"/>
      <c r="IN35" s="16"/>
      <c r="IO35" s="16"/>
      <c r="IP35" s="16"/>
      <c r="IQ35" s="16"/>
      <c r="IR35" s="16"/>
      <c r="IS35" s="16"/>
      <c r="IT35" s="16"/>
      <c r="IU35" s="16"/>
      <c r="IV35" s="16"/>
      <c r="IW35" s="16"/>
    </row>
    <row r="36" customFormat="false" ht="12.95" hidden="false" customHeight="true" outlineLevel="1" collapsed="false">
      <c r="A36" s="1" t="s">
        <v>101</v>
      </c>
      <c r="B36" s="1" t="s">
        <v>93</v>
      </c>
      <c r="C36" s="15" t="s">
        <v>94</v>
      </c>
      <c r="D36" s="15" t="s">
        <v>95</v>
      </c>
      <c r="E36" s="16" t="s">
        <v>99</v>
      </c>
      <c r="F36" s="25" t="n">
        <v>36759</v>
      </c>
      <c r="G36" s="16" t="s">
        <v>100</v>
      </c>
      <c r="H36" s="25" t="n">
        <v>37036</v>
      </c>
      <c r="I36" s="47"/>
      <c r="J36" s="22" t="n">
        <v>0</v>
      </c>
      <c r="K36" s="22" t="n">
        <v>0</v>
      </c>
      <c r="L36" s="47"/>
      <c r="M36" s="16"/>
      <c r="N36" s="49"/>
      <c r="O36" s="16"/>
      <c r="P36" s="22" t="n">
        <v>1.33910053790273</v>
      </c>
      <c r="Q36" s="21" t="n">
        <v>12.3936017253774</v>
      </c>
      <c r="R36" s="18" t="n">
        <v>4.26969585928912</v>
      </c>
      <c r="S36" s="16" t="s">
        <v>98</v>
      </c>
      <c r="T36" s="50"/>
      <c r="U36" s="26" t="n">
        <v>11.06</v>
      </c>
      <c r="V36" s="26" t="n">
        <v>1707.16</v>
      </c>
      <c r="W36" s="27" t="n">
        <v>9.97015661472777</v>
      </c>
      <c r="X36" s="26" t="n">
        <v>16867</v>
      </c>
      <c r="Y36" s="26" t="s">
        <v>51</v>
      </c>
      <c r="Z36" s="51"/>
      <c r="AA36" s="52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  <c r="IP36" s="16"/>
      <c r="IQ36" s="16"/>
      <c r="IR36" s="16"/>
      <c r="IS36" s="16"/>
      <c r="IT36" s="16"/>
      <c r="IU36" s="16"/>
      <c r="IV36" s="16"/>
      <c r="IW36" s="16"/>
    </row>
    <row r="37" customFormat="false" ht="12.95" hidden="false" customHeight="true" outlineLevel="0" collapsed="false">
      <c r="A37" s="1" t="s">
        <v>45</v>
      </c>
      <c r="B37" s="1" t="s">
        <v>93</v>
      </c>
      <c r="C37" s="15" t="s">
        <v>94</v>
      </c>
      <c r="D37" s="15" t="s">
        <v>95</v>
      </c>
      <c r="E37" s="16" t="s">
        <v>99</v>
      </c>
      <c r="F37" s="25" t="n">
        <v>37034</v>
      </c>
      <c r="G37" s="16" t="s">
        <v>102</v>
      </c>
      <c r="H37" s="25" t="n">
        <v>37036</v>
      </c>
      <c r="I37" s="47"/>
      <c r="J37" s="22" t="n">
        <v>0</v>
      </c>
      <c r="K37" s="22" t="n">
        <v>0</v>
      </c>
      <c r="L37" s="47"/>
      <c r="M37" s="16"/>
      <c r="N37" s="49"/>
      <c r="O37" s="16"/>
      <c r="P37" s="22" t="n">
        <v>1.15616926192305</v>
      </c>
      <c r="Q37" s="21" t="n">
        <v>12.9693454846727</v>
      </c>
      <c r="R37" s="18" t="n">
        <v>4.15778939507095</v>
      </c>
      <c r="S37" s="16" t="s">
        <v>98</v>
      </c>
      <c r="T37" s="50"/>
      <c r="U37" s="26" t="n">
        <v>20</v>
      </c>
      <c r="V37" s="26" t="n">
        <v>3793.8701</v>
      </c>
      <c r="W37" s="27" t="n">
        <v>8.28570126056767</v>
      </c>
      <c r="X37" s="26" t="n">
        <v>16520</v>
      </c>
      <c r="Y37" s="26" t="n">
        <v>4591</v>
      </c>
      <c r="Z37" s="51"/>
      <c r="AA37" s="52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  <c r="IQ37" s="16"/>
      <c r="IR37" s="16"/>
      <c r="IS37" s="16"/>
      <c r="IT37" s="16"/>
      <c r="IU37" s="16"/>
      <c r="IV37" s="16"/>
      <c r="IW37" s="16"/>
    </row>
    <row r="38" customFormat="false" ht="12.95" hidden="false" customHeight="true" outlineLevel="0" collapsed="false">
      <c r="A38" s="1" t="s">
        <v>47</v>
      </c>
      <c r="B38" s="1" t="s">
        <v>93</v>
      </c>
      <c r="C38" s="15" t="s">
        <v>94</v>
      </c>
      <c r="D38" s="15" t="s">
        <v>95</v>
      </c>
      <c r="E38" s="16" t="s">
        <v>99</v>
      </c>
      <c r="F38" s="25" t="n">
        <v>37034</v>
      </c>
      <c r="G38" s="16" t="s">
        <v>103</v>
      </c>
      <c r="H38" s="25" t="n">
        <v>37036</v>
      </c>
      <c r="I38" s="47"/>
      <c r="J38" s="22" t="n">
        <v>0</v>
      </c>
      <c r="K38" s="22" t="n">
        <v>0</v>
      </c>
      <c r="L38" s="47"/>
      <c r="M38" s="16"/>
      <c r="N38" s="49"/>
      <c r="O38" s="16"/>
      <c r="P38" s="22" t="n">
        <v>1.44995571302037</v>
      </c>
      <c r="Q38" s="21" t="n">
        <v>13.8941398865784</v>
      </c>
      <c r="R38" s="18" t="n">
        <v>3.82781168265039</v>
      </c>
      <c r="S38" s="16" t="s">
        <v>98</v>
      </c>
      <c r="T38" s="50"/>
      <c r="U38" s="26" t="n">
        <v>4.06</v>
      </c>
      <c r="V38" s="26" t="n">
        <v>686.16</v>
      </c>
      <c r="W38" s="27" t="n">
        <v>10.5606004298231</v>
      </c>
      <c r="X38" s="26" t="n">
        <v>8751</v>
      </c>
      <c r="Y38" s="26" t="s">
        <v>51</v>
      </c>
      <c r="Z38" s="51"/>
      <c r="AA38" s="52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  <c r="HN38" s="16"/>
      <c r="HO38" s="16"/>
      <c r="HP38" s="16"/>
      <c r="HQ38" s="16"/>
      <c r="HR38" s="16"/>
      <c r="HS38" s="16"/>
      <c r="HT38" s="16"/>
      <c r="HU38" s="16"/>
      <c r="HV38" s="16"/>
      <c r="HW38" s="16"/>
      <c r="HX38" s="16"/>
      <c r="HY38" s="16"/>
      <c r="HZ38" s="16"/>
      <c r="IA38" s="16"/>
      <c r="IB38" s="16"/>
      <c r="IC38" s="16"/>
      <c r="ID38" s="16"/>
      <c r="IE38" s="16"/>
      <c r="IF38" s="16"/>
      <c r="IG38" s="16"/>
      <c r="IH38" s="16"/>
      <c r="II38" s="16"/>
      <c r="IJ38" s="16"/>
      <c r="IK38" s="16"/>
      <c r="IL38" s="16"/>
      <c r="IM38" s="16"/>
      <c r="IN38" s="16"/>
      <c r="IO38" s="16"/>
      <c r="IP38" s="16"/>
      <c r="IQ38" s="16"/>
      <c r="IR38" s="16"/>
      <c r="IS38" s="16"/>
      <c r="IT38" s="16"/>
      <c r="IU38" s="16"/>
      <c r="IV38" s="16"/>
      <c r="IW38" s="16"/>
    </row>
    <row r="39" customFormat="false" ht="12.95" hidden="false" customHeight="true" outlineLevel="0" collapsed="false">
      <c r="A39" s="1" t="s">
        <v>49</v>
      </c>
      <c r="B39" s="1" t="s">
        <v>93</v>
      </c>
      <c r="C39" s="15" t="s">
        <v>94</v>
      </c>
      <c r="D39" s="15" t="s">
        <v>95</v>
      </c>
      <c r="E39" s="16" t="s">
        <v>99</v>
      </c>
      <c r="F39" s="25" t="n">
        <v>37036</v>
      </c>
      <c r="G39" s="16" t="s">
        <v>102</v>
      </c>
      <c r="H39" s="25" t="n">
        <v>37036</v>
      </c>
      <c r="I39" s="47"/>
      <c r="J39" s="22" t="n">
        <v>0</v>
      </c>
      <c r="K39" s="22" t="n">
        <v>0</v>
      </c>
      <c r="L39" s="47"/>
      <c r="M39" s="16"/>
      <c r="N39" s="49"/>
      <c r="O39" s="16"/>
      <c r="P39" s="22" t="n">
        <v>1.02397518652024</v>
      </c>
      <c r="Q39" s="21" t="n">
        <v>14.3540077529073</v>
      </c>
      <c r="R39" s="18" t="n">
        <v>3.20069022894648</v>
      </c>
      <c r="S39" s="16" t="s">
        <v>98</v>
      </c>
      <c r="T39" s="50"/>
      <c r="U39" s="26" t="n">
        <v>14.64</v>
      </c>
      <c r="V39" s="26" t="n">
        <v>1867.14</v>
      </c>
      <c r="W39" s="27" t="n">
        <v>8.62059229255431</v>
      </c>
      <c r="X39" s="26" t="n">
        <v>10234</v>
      </c>
      <c r="Y39" s="26" t="s">
        <v>51</v>
      </c>
      <c r="Z39" s="51"/>
      <c r="AA39" s="52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6"/>
      <c r="IM39" s="16"/>
      <c r="IN39" s="16"/>
      <c r="IO39" s="16"/>
      <c r="IP39" s="16"/>
      <c r="IQ39" s="16"/>
      <c r="IR39" s="16"/>
      <c r="IS39" s="16"/>
      <c r="IT39" s="16"/>
      <c r="IU39" s="16"/>
      <c r="IV39" s="16"/>
      <c r="IW39" s="16"/>
    </row>
    <row r="40" customFormat="false" ht="12.95" hidden="false" customHeight="true" outlineLevel="0" collapsed="false">
      <c r="A40" s="35" t="s">
        <v>54</v>
      </c>
      <c r="B40" s="1" t="s">
        <v>93</v>
      </c>
      <c r="C40" s="15" t="s">
        <v>94</v>
      </c>
      <c r="D40" s="15" t="s">
        <v>95</v>
      </c>
      <c r="E40" s="16" t="s">
        <v>99</v>
      </c>
      <c r="F40" s="53" t="n">
        <v>37036</v>
      </c>
      <c r="G40" s="16" t="s">
        <v>100</v>
      </c>
      <c r="H40" s="53" t="n">
        <v>37036</v>
      </c>
      <c r="I40" s="47"/>
      <c r="J40" s="22" t="n">
        <v>0</v>
      </c>
      <c r="K40" s="22" t="n">
        <v>0</v>
      </c>
      <c r="L40" s="47"/>
      <c r="M40" s="16"/>
      <c r="N40" s="49"/>
      <c r="O40" s="16"/>
      <c r="P40" s="22" t="n">
        <v>1.83563398505143</v>
      </c>
      <c r="Q40" s="21" t="n">
        <v>13.8424551296255</v>
      </c>
      <c r="R40" s="18" t="n">
        <v>3.59979124081242</v>
      </c>
      <c r="S40" s="16" t="s">
        <v>98</v>
      </c>
      <c r="T40" s="50"/>
      <c r="U40" s="26" t="n">
        <v>16</v>
      </c>
      <c r="V40" s="26" t="n">
        <v>2410</v>
      </c>
      <c r="W40" s="27" t="s">
        <v>51</v>
      </c>
      <c r="X40" s="26" t="n">
        <v>18764</v>
      </c>
      <c r="Y40" s="26" t="s">
        <v>51</v>
      </c>
      <c r="Z40" s="51"/>
      <c r="AA40" s="52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</row>
    <row r="41" customFormat="false" ht="12.95" hidden="false" customHeight="true" outlineLevel="0" collapsed="false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50"/>
      <c r="U41" s="16"/>
      <c r="V41" s="54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</row>
    <row r="42" customFormat="false" ht="12.95" hidden="false" customHeight="true" outlineLevel="0" collapsed="false">
      <c r="A42" s="16"/>
      <c r="B42" s="16"/>
      <c r="C42" s="16"/>
      <c r="D42" s="16"/>
      <c r="E42" s="16"/>
      <c r="F42" s="16"/>
      <c r="G42" s="16"/>
      <c r="H42" s="16"/>
      <c r="I42" s="55"/>
      <c r="J42" s="56" t="n">
        <v>36741</v>
      </c>
      <c r="K42" s="57" t="n">
        <v>36892</v>
      </c>
      <c r="L42" s="57"/>
      <c r="M42" s="16"/>
      <c r="N42" s="16"/>
      <c r="O42" s="16"/>
      <c r="P42" s="16"/>
      <c r="Q42" s="16"/>
      <c r="R42" s="16"/>
      <c r="S42" s="16"/>
      <c r="T42" s="50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2.95" hidden="false" customHeight="true" outlineLevel="0" collapsed="false">
      <c r="A43" s="16"/>
      <c r="B43" s="58"/>
      <c r="C43" s="58"/>
      <c r="D43" s="16"/>
      <c r="E43" s="58"/>
      <c r="F43" s="16"/>
      <c r="G43" s="16"/>
      <c r="H43" s="16"/>
      <c r="I43" s="16"/>
      <c r="J43" s="16"/>
      <c r="K43" s="16"/>
      <c r="L43" s="16"/>
      <c r="M43" s="16"/>
      <c r="N43" s="40" t="s">
        <v>56</v>
      </c>
      <c r="O43" s="16"/>
      <c r="P43" s="59" t="n">
        <v>1.32294749485286</v>
      </c>
      <c r="Q43" s="21" t="n">
        <v>13.1511555682566</v>
      </c>
      <c r="R43" s="18" t="n">
        <v>4.1044998326324</v>
      </c>
      <c r="S43" s="50"/>
      <c r="T43" s="50"/>
      <c r="U43" s="26"/>
      <c r="V43" s="26"/>
      <c r="W43" s="27"/>
      <c r="X43" s="26"/>
      <c r="Y43" s="26"/>
      <c r="Z43" s="51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2.95" hidden="false" customHeight="true" outlineLevel="0" collapsed="false">
      <c r="A44" s="16"/>
      <c r="B44" s="58"/>
      <c r="C44" s="58"/>
      <c r="D44" s="58"/>
      <c r="E44" s="16"/>
      <c r="F44" s="16"/>
      <c r="G44" s="16"/>
      <c r="H44" s="16"/>
      <c r="I44" s="16"/>
      <c r="J44" s="16"/>
      <c r="K44" s="16"/>
      <c r="L44" s="16"/>
      <c r="M44" s="16"/>
      <c r="N44" s="40" t="s">
        <v>57</v>
      </c>
      <c r="O44" s="16"/>
      <c r="P44" s="59" t="n">
        <v>1.23597541130104</v>
      </c>
      <c r="Q44" s="21" t="n">
        <v>13.4059003071491</v>
      </c>
      <c r="R44" s="18" t="n">
        <v>3.99280053886067</v>
      </c>
      <c r="S44" s="50"/>
      <c r="T44" s="50"/>
      <c r="U44" s="26"/>
      <c r="V44" s="60"/>
      <c r="W44" s="27"/>
      <c r="X44" s="26"/>
      <c r="Y44" s="26"/>
      <c r="Z44" s="51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6"/>
      <c r="IM44" s="16"/>
      <c r="IN44" s="16"/>
      <c r="IO44" s="16"/>
      <c r="IP44" s="16"/>
      <c r="IQ44" s="16"/>
      <c r="IR44" s="16"/>
      <c r="IS44" s="16"/>
      <c r="IT44" s="16"/>
      <c r="IU44" s="16"/>
      <c r="IV44" s="16"/>
      <c r="IW44" s="16"/>
    </row>
    <row r="45" customFormat="false" ht="12.95" hidden="false" customHeight="true" outlineLevel="0" collapsed="false">
      <c r="A45" s="16"/>
      <c r="B45" s="58"/>
      <c r="C45" s="58"/>
      <c r="D45" s="58"/>
      <c r="E45" s="16"/>
      <c r="F45" s="16"/>
      <c r="G45" s="16"/>
      <c r="H45" s="16"/>
      <c r="I45" s="16"/>
      <c r="J45" s="16"/>
      <c r="K45" s="16"/>
      <c r="L45" s="16"/>
      <c r="M45" s="16"/>
      <c r="N45" s="40" t="s">
        <v>26</v>
      </c>
      <c r="O45" s="16"/>
      <c r="P45" s="59" t="n">
        <v>1.83563398505143</v>
      </c>
      <c r="Q45" s="21" t="n">
        <v>14.3540077529073</v>
      </c>
      <c r="R45" s="18" t="n">
        <v>5.12156113262586</v>
      </c>
      <c r="S45" s="50"/>
      <c r="T45" s="50"/>
      <c r="U45" s="26"/>
      <c r="V45" s="60"/>
      <c r="W45" s="27"/>
      <c r="X45" s="26"/>
      <c r="Y45" s="26"/>
      <c r="Z45" s="51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6"/>
      <c r="IM45" s="16"/>
      <c r="IN45" s="16"/>
      <c r="IO45" s="16"/>
      <c r="IP45" s="16"/>
      <c r="IQ45" s="16"/>
      <c r="IR45" s="16"/>
      <c r="IS45" s="16"/>
      <c r="IT45" s="16"/>
      <c r="IU45" s="16"/>
      <c r="IV45" s="16"/>
      <c r="IW45" s="16"/>
    </row>
    <row r="46" customFormat="false" ht="12.95" hidden="false" customHeight="true" outlineLevel="0" collapsed="false">
      <c r="A46" s="16"/>
      <c r="B46" s="58"/>
      <c r="C46" s="58"/>
      <c r="D46" s="58"/>
      <c r="E46" s="16"/>
      <c r="F46" s="16"/>
      <c r="G46" s="16"/>
      <c r="H46" s="16"/>
      <c r="I46" s="16"/>
      <c r="J46" s="16"/>
      <c r="K46" s="16"/>
      <c r="L46" s="16"/>
      <c r="M46" s="16"/>
      <c r="N46" s="40" t="s">
        <v>27</v>
      </c>
      <c r="O46" s="16"/>
      <c r="P46" s="59" t="n">
        <v>1.02397518652024</v>
      </c>
      <c r="Q46" s="21" t="n">
        <v>11.4727378190255</v>
      </c>
      <c r="R46" s="18" t="n">
        <v>3.20069022894648</v>
      </c>
      <c r="S46" s="50"/>
      <c r="T46" s="50"/>
      <c r="U46" s="26"/>
      <c r="V46" s="60"/>
      <c r="W46" s="27"/>
      <c r="X46" s="26"/>
      <c r="Y46" s="26"/>
      <c r="Z46" s="51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  <c r="IQ46" s="16"/>
      <c r="IR46" s="16"/>
      <c r="IS46" s="16"/>
      <c r="IT46" s="16"/>
      <c r="IU46" s="16"/>
      <c r="IV46" s="16"/>
      <c r="IW46" s="16"/>
    </row>
    <row r="47" customFormat="false" ht="12.95" hidden="false" customHeight="true" outlineLevel="0" collapsed="false">
      <c r="A47" s="61" t="s">
        <v>104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</row>
    <row r="48" customFormat="false" ht="12.95" hidden="false" customHeight="true" outlineLevel="0" collapsed="false">
      <c r="A48" s="15" t="s">
        <v>105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</row>
    <row r="49" customFormat="false" ht="12.95" hidden="false" customHeight="true" outlineLevel="0" collapsed="false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2.95" hidden="false" customHeight="true" outlineLevel="0" collapsed="false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2.95" hidden="false" customHeight="true" outlineLevel="0" collapsed="false">
      <c r="A51" s="15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2.95" hidden="false" customHeight="true" outlineLevel="0" collapsed="false">
      <c r="A52" s="15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2.95" hidden="false" customHeight="true" outlineLevel="0" collapsed="false">
      <c r="A53" s="15"/>
      <c r="B53" s="16"/>
      <c r="C53" s="16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12.95" hidden="false" customHeight="true" outlineLevel="0" collapsed="false">
      <c r="A54" s="16"/>
      <c r="B54" s="16"/>
      <c r="C54" s="16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12.95" hidden="false" customHeight="true" outlineLevel="0" collapsed="false">
      <c r="A55" s="16"/>
      <c r="B55" s="16"/>
      <c r="C55" s="16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12.95" hidden="false" customHeight="true" outlineLevel="0" collapsed="false">
      <c r="A56" s="16"/>
      <c r="B56" s="16"/>
      <c r="C56" s="16"/>
      <c r="D56" s="48"/>
      <c r="E56" s="62"/>
      <c r="F56" s="62"/>
      <c r="G56" s="62"/>
      <c r="H56" s="62"/>
      <c r="I56" s="48"/>
      <c r="J56" s="62"/>
      <c r="K56" s="62"/>
      <c r="L56" s="62"/>
      <c r="M56" s="62"/>
      <c r="N56" s="48"/>
      <c r="O56" s="48"/>
      <c r="P56" s="62"/>
      <c r="Q56" s="62"/>
      <c r="R56" s="62"/>
      <c r="S56" s="62"/>
      <c r="T56" s="48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12.95" hidden="false" customHeight="true" outlineLevel="0" collapsed="false">
      <c r="A57" s="16"/>
      <c r="B57" s="16"/>
      <c r="C57" s="16"/>
      <c r="D57" s="48"/>
      <c r="E57" s="62"/>
      <c r="F57" s="62"/>
      <c r="G57" s="62"/>
      <c r="H57" s="62"/>
      <c r="I57" s="48"/>
      <c r="J57" s="62"/>
      <c r="K57" s="62"/>
      <c r="L57" s="62"/>
      <c r="M57" s="62"/>
      <c r="N57" s="48"/>
      <c r="O57" s="48"/>
      <c r="P57" s="62"/>
      <c r="Q57" s="62"/>
      <c r="R57" s="62"/>
      <c r="S57" s="62"/>
      <c r="T57" s="48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12.95" hidden="false" customHeight="true" outlineLevel="0" collapsed="false">
      <c r="A58" s="16"/>
      <c r="B58" s="16"/>
      <c r="C58" s="16"/>
      <c r="D58" s="48"/>
      <c r="E58" s="48"/>
      <c r="F58" s="63"/>
      <c r="G58" s="63"/>
      <c r="H58" s="48"/>
      <c r="I58" s="48"/>
      <c r="J58" s="48"/>
      <c r="K58" s="63"/>
      <c r="L58" s="64"/>
      <c r="M58" s="48"/>
      <c r="N58" s="48"/>
      <c r="O58" s="48"/>
      <c r="P58" s="48"/>
      <c r="Q58" s="63"/>
      <c r="R58" s="64"/>
      <c r="S58" s="48"/>
      <c r="T58" s="48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12.95" hidden="false" customHeight="true" outlineLevel="0" collapsed="false">
      <c r="A59" s="16"/>
      <c r="B59" s="16"/>
      <c r="C59" s="16"/>
      <c r="D59" s="48"/>
      <c r="E59" s="48"/>
      <c r="F59" s="18"/>
      <c r="G59" s="18"/>
      <c r="H59" s="65"/>
      <c r="I59" s="48"/>
      <c r="J59" s="48"/>
      <c r="K59" s="18"/>
      <c r="L59" s="18"/>
      <c r="M59" s="65"/>
      <c r="N59" s="48"/>
      <c r="O59" s="48"/>
      <c r="P59" s="48"/>
      <c r="Q59" s="18"/>
      <c r="R59" s="18"/>
      <c r="S59" s="65"/>
      <c r="T59" s="48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</row>
    <row r="60" customFormat="false" ht="12.95" hidden="false" customHeight="true" outlineLevel="0" collapsed="false">
      <c r="A60" s="16"/>
      <c r="B60" s="16"/>
      <c r="C60" s="16"/>
      <c r="D60" s="48"/>
      <c r="E60" s="48"/>
      <c r="F60" s="18"/>
      <c r="G60" s="18"/>
      <c r="H60" s="65"/>
      <c r="I60" s="48"/>
      <c r="J60" s="48"/>
      <c r="K60" s="18"/>
      <c r="L60" s="18"/>
      <c r="M60" s="65"/>
      <c r="N60" s="48"/>
      <c r="O60" s="48"/>
      <c r="P60" s="48"/>
      <c r="Q60" s="18"/>
      <c r="R60" s="18"/>
      <c r="S60" s="65"/>
      <c r="T60" s="48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</row>
    <row r="61" customFormat="false" ht="12.95" hidden="false" customHeight="true" outlineLevel="1" collapsed="false">
      <c r="A61" s="16"/>
      <c r="B61" s="16"/>
      <c r="C61" s="16"/>
      <c r="D61" s="48"/>
      <c r="E61" s="48"/>
      <c r="F61" s="18"/>
      <c r="G61" s="18"/>
      <c r="H61" s="65"/>
      <c r="I61" s="48"/>
      <c r="J61" s="48"/>
      <c r="K61" s="18"/>
      <c r="L61" s="18"/>
      <c r="M61" s="65"/>
      <c r="N61" s="48"/>
      <c r="O61" s="48"/>
      <c r="P61" s="48"/>
      <c r="Q61" s="18"/>
      <c r="R61" s="18"/>
      <c r="S61" s="65"/>
      <c r="T61" s="48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6"/>
      <c r="IM61" s="16"/>
      <c r="IN61" s="16"/>
      <c r="IO61" s="16"/>
      <c r="IP61" s="16"/>
      <c r="IQ61" s="16"/>
      <c r="IR61" s="16"/>
      <c r="IS61" s="16"/>
      <c r="IT61" s="16"/>
      <c r="IU61" s="16"/>
      <c r="IV61" s="16"/>
      <c r="IW61" s="16"/>
    </row>
    <row r="62" customFormat="false" ht="12.95" hidden="false" customHeight="true" outlineLevel="0" collapsed="false">
      <c r="A62" s="16"/>
      <c r="B62" s="16"/>
      <c r="C62" s="16"/>
      <c r="D62" s="48"/>
      <c r="E62" s="48"/>
      <c r="F62" s="18"/>
      <c r="G62" s="18"/>
      <c r="H62" s="65"/>
      <c r="I62" s="48"/>
      <c r="J62" s="48"/>
      <c r="K62" s="18"/>
      <c r="L62" s="18"/>
      <c r="M62" s="65"/>
      <c r="N62" s="48"/>
      <c r="O62" s="48"/>
      <c r="P62" s="48"/>
      <c r="Q62" s="18"/>
      <c r="R62" s="18"/>
      <c r="S62" s="65"/>
      <c r="T62" s="48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</row>
    <row r="63" customFormat="false" ht="12.95" hidden="false" customHeight="true" outlineLevel="0" collapsed="false">
      <c r="A63" s="16"/>
      <c r="B63" s="16"/>
      <c r="C63" s="16"/>
      <c r="D63" s="48"/>
      <c r="E63" s="48"/>
      <c r="F63" s="18"/>
      <c r="G63" s="18"/>
      <c r="H63" s="65"/>
      <c r="I63" s="48"/>
      <c r="J63" s="48"/>
      <c r="K63" s="18"/>
      <c r="L63" s="18"/>
      <c r="M63" s="65"/>
      <c r="N63" s="48"/>
      <c r="O63" s="48"/>
      <c r="P63" s="48"/>
      <c r="Q63" s="18"/>
      <c r="R63" s="18"/>
      <c r="S63" s="65"/>
      <c r="T63" s="48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</row>
    <row r="64" customFormat="false" ht="12.95" hidden="false" customHeight="true" outlineLevel="0" collapsed="false">
      <c r="A64" s="16"/>
      <c r="B64" s="16"/>
      <c r="C64" s="16"/>
      <c r="D64" s="48"/>
      <c r="E64" s="48"/>
      <c r="F64" s="18"/>
      <c r="G64" s="18"/>
      <c r="H64" s="65"/>
      <c r="I64" s="48"/>
      <c r="J64" s="48"/>
      <c r="K64" s="18"/>
      <c r="L64" s="18"/>
      <c r="M64" s="65"/>
      <c r="N64" s="48"/>
      <c r="O64" s="48"/>
      <c r="P64" s="48"/>
      <c r="Q64" s="18"/>
      <c r="R64" s="18"/>
      <c r="S64" s="65"/>
      <c r="T64" s="48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</row>
    <row r="65" customFormat="false" ht="12.95" hidden="false" customHeight="true" outlineLevel="1" collapsed="false">
      <c r="A65" s="16"/>
      <c r="B65" s="16"/>
      <c r="C65" s="16"/>
      <c r="D65" s="48"/>
      <c r="E65" s="48"/>
      <c r="F65" s="18"/>
      <c r="G65" s="18"/>
      <c r="H65" s="65"/>
      <c r="I65" s="48"/>
      <c r="J65" s="48"/>
      <c r="K65" s="18"/>
      <c r="L65" s="18"/>
      <c r="M65" s="65"/>
      <c r="N65" s="48"/>
      <c r="O65" s="48"/>
      <c r="P65" s="48"/>
      <c r="Q65" s="18"/>
      <c r="R65" s="18"/>
      <c r="S65" s="65"/>
      <c r="T65" s="48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6"/>
      <c r="IM65" s="16"/>
      <c r="IN65" s="16"/>
      <c r="IO65" s="16"/>
      <c r="IP65" s="16"/>
      <c r="IQ65" s="16"/>
      <c r="IR65" s="16"/>
      <c r="IS65" s="16"/>
      <c r="IT65" s="16"/>
      <c r="IU65" s="16"/>
      <c r="IV65" s="16"/>
      <c r="IW65" s="16"/>
    </row>
    <row r="66" customFormat="false" ht="12.95" hidden="false" customHeight="true" outlineLevel="1" collapsed="false">
      <c r="A66" s="16"/>
      <c r="B66" s="16"/>
      <c r="C66" s="16"/>
      <c r="D66" s="48"/>
      <c r="E66" s="48"/>
      <c r="F66" s="18"/>
      <c r="G66" s="18"/>
      <c r="H66" s="65"/>
      <c r="I66" s="48"/>
      <c r="J66" s="48"/>
      <c r="K66" s="18"/>
      <c r="L66" s="18"/>
      <c r="M66" s="65"/>
      <c r="N66" s="48"/>
      <c r="O66" s="48"/>
      <c r="P66" s="48"/>
      <c r="Q66" s="18"/>
      <c r="R66" s="18"/>
      <c r="S66" s="65"/>
      <c r="T66" s="48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  <c r="GU66" s="16"/>
      <c r="GV66" s="16"/>
      <c r="GW66" s="16"/>
      <c r="GX66" s="16"/>
      <c r="GY66" s="16"/>
      <c r="GZ66" s="16"/>
      <c r="HA66" s="16"/>
      <c r="HB66" s="16"/>
      <c r="HC66" s="16"/>
      <c r="HD66" s="16"/>
      <c r="HE66" s="16"/>
      <c r="HF66" s="16"/>
      <c r="HG66" s="16"/>
      <c r="HH66" s="16"/>
      <c r="HI66" s="16"/>
      <c r="HJ66" s="16"/>
      <c r="HK66" s="16"/>
      <c r="HL66" s="16"/>
      <c r="HM66" s="16"/>
      <c r="HN66" s="16"/>
      <c r="HO66" s="16"/>
      <c r="HP66" s="16"/>
      <c r="HQ66" s="16"/>
      <c r="HR66" s="16"/>
      <c r="HS66" s="16"/>
      <c r="HT66" s="16"/>
      <c r="HU66" s="16"/>
      <c r="HV66" s="16"/>
      <c r="HW66" s="16"/>
      <c r="HX66" s="16"/>
      <c r="HY66" s="16"/>
      <c r="HZ66" s="16"/>
      <c r="IA66" s="16"/>
      <c r="IB66" s="16"/>
      <c r="IC66" s="16"/>
      <c r="ID66" s="16"/>
      <c r="IE66" s="16"/>
      <c r="IF66" s="16"/>
      <c r="IG66" s="16"/>
      <c r="IH66" s="16"/>
      <c r="II66" s="16"/>
      <c r="IJ66" s="16"/>
      <c r="IK66" s="16"/>
      <c r="IL66" s="16"/>
      <c r="IM66" s="16"/>
      <c r="IN66" s="16"/>
      <c r="IO66" s="16"/>
      <c r="IP66" s="16"/>
      <c r="IQ66" s="16"/>
      <c r="IR66" s="16"/>
      <c r="IS66" s="16"/>
      <c r="IT66" s="16"/>
      <c r="IU66" s="16"/>
      <c r="IV66" s="16"/>
      <c r="IW66" s="16"/>
    </row>
    <row r="67" customFormat="false" ht="12.95" hidden="false" customHeight="true" outlineLevel="0" collapsed="false">
      <c r="A67" s="16"/>
      <c r="B67" s="16"/>
      <c r="C67" s="16"/>
      <c r="D67" s="48"/>
      <c r="E67" s="48"/>
      <c r="F67" s="18"/>
      <c r="G67" s="18"/>
      <c r="H67" s="65"/>
      <c r="I67" s="48"/>
      <c r="J67" s="48"/>
      <c r="K67" s="18"/>
      <c r="L67" s="18"/>
      <c r="M67" s="65"/>
      <c r="N67" s="48"/>
      <c r="O67" s="48"/>
      <c r="P67" s="48"/>
      <c r="Q67" s="18"/>
      <c r="R67" s="18"/>
      <c r="S67" s="65"/>
      <c r="T67" s="48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</row>
    <row r="68" customFormat="false" ht="12.95" hidden="false" customHeight="true" outlineLevel="0" collapsed="false">
      <c r="A68" s="16"/>
      <c r="B68" s="16"/>
      <c r="C68" s="16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</row>
    <row r="69" customFormat="false" ht="12.95" hidden="false" customHeight="true" outlineLevel="0" collapsed="false">
      <c r="A69" s="16"/>
      <c r="B69" s="16"/>
      <c r="C69" s="16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  <c r="IU69" s="16"/>
      <c r="IV69" s="16"/>
      <c r="IW69" s="16"/>
    </row>
    <row r="70" customFormat="false" ht="12.95" hidden="false" customHeight="true" outlineLevel="0" collapsed="false">
      <c r="A70" s="16"/>
      <c r="B70" s="16"/>
      <c r="C70" s="16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</row>
    <row r="71" customFormat="false" ht="12.95" hidden="false" customHeight="true" outlineLevel="0" collapsed="false">
      <c r="A71" s="16"/>
      <c r="B71" s="16"/>
      <c r="C71" s="16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  <c r="FF71" s="16"/>
      <c r="FG71" s="16"/>
      <c r="FH71" s="16"/>
      <c r="FI71" s="16"/>
      <c r="FJ71" s="16"/>
      <c r="FK71" s="16"/>
      <c r="FL71" s="16"/>
      <c r="FM71" s="16"/>
      <c r="FN71" s="16"/>
      <c r="FO71" s="16"/>
      <c r="FP71" s="16"/>
      <c r="FQ71" s="16"/>
      <c r="FR71" s="16"/>
      <c r="FS71" s="16"/>
      <c r="FT71" s="16"/>
      <c r="FU71" s="16"/>
      <c r="FV71" s="16"/>
      <c r="FW71" s="16"/>
      <c r="FX71" s="16"/>
      <c r="FY71" s="16"/>
      <c r="FZ71" s="16"/>
      <c r="GA71" s="16"/>
      <c r="GB71" s="16"/>
      <c r="GC71" s="16"/>
      <c r="GD71" s="16"/>
      <c r="GE71" s="16"/>
      <c r="GF71" s="16"/>
      <c r="GG71" s="16"/>
      <c r="GH71" s="16"/>
      <c r="GI71" s="16"/>
      <c r="GJ71" s="16"/>
      <c r="GK71" s="16"/>
      <c r="GL71" s="16"/>
      <c r="GM71" s="16"/>
      <c r="GN71" s="16"/>
      <c r="GO71" s="16"/>
      <c r="GP71" s="16"/>
      <c r="GQ71" s="16"/>
      <c r="GR71" s="16"/>
      <c r="GS71" s="16"/>
      <c r="GT71" s="16"/>
      <c r="GU71" s="16"/>
      <c r="GV71" s="16"/>
      <c r="GW71" s="16"/>
      <c r="GX71" s="16"/>
      <c r="GY71" s="16"/>
      <c r="GZ71" s="16"/>
      <c r="HA71" s="16"/>
      <c r="HB71" s="16"/>
      <c r="HC71" s="16"/>
      <c r="HD71" s="16"/>
      <c r="HE71" s="16"/>
      <c r="HF71" s="16"/>
      <c r="HG71" s="16"/>
      <c r="HH71" s="16"/>
      <c r="HI71" s="16"/>
      <c r="HJ71" s="16"/>
      <c r="HK71" s="16"/>
      <c r="HL71" s="16"/>
      <c r="HM71" s="16"/>
      <c r="HN71" s="16"/>
      <c r="HO71" s="16"/>
      <c r="HP71" s="16"/>
      <c r="HQ71" s="16"/>
      <c r="HR71" s="16"/>
      <c r="HS71" s="16"/>
      <c r="HT71" s="16"/>
      <c r="HU71" s="16"/>
      <c r="HV71" s="16"/>
      <c r="HW71" s="16"/>
      <c r="HX71" s="16"/>
      <c r="HY71" s="16"/>
      <c r="HZ71" s="16"/>
      <c r="IA71" s="16"/>
      <c r="IB71" s="16"/>
      <c r="IC71" s="16"/>
      <c r="ID71" s="16"/>
      <c r="IE71" s="16"/>
      <c r="IF71" s="16"/>
      <c r="IG71" s="16"/>
      <c r="IH71" s="16"/>
      <c r="II71" s="16"/>
      <c r="IJ71" s="16"/>
      <c r="IK71" s="16"/>
      <c r="IL71" s="16"/>
      <c r="IM71" s="16"/>
      <c r="IN71" s="16"/>
      <c r="IO71" s="16"/>
      <c r="IP71" s="16"/>
      <c r="IQ71" s="16"/>
      <c r="IR71" s="16"/>
      <c r="IS71" s="16"/>
      <c r="IT71" s="16"/>
      <c r="IU71" s="16"/>
      <c r="IV71" s="16"/>
      <c r="IW71" s="16"/>
    </row>
    <row r="72" customFormat="false" ht="12.95" hidden="false" customHeight="true" outlineLevel="0" collapsed="false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</row>
    <row r="73" customFormat="false" ht="12.95" hidden="false" customHeight="true" outlineLevel="0" collapsed="false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</row>
    <row r="74" customFormat="false" ht="12.95" hidden="false" customHeight="true" outlineLevel="0" collapsed="false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5" customFormat="false" ht="12.95" hidden="false" customHeight="true" outlineLevel="0" collapsed="false"/>
    <row r="76" customFormat="false" ht="12.95" hidden="false" customHeight="true" outlineLevel="0" collapsed="false"/>
    <row r="77" customFormat="false" ht="12.95" hidden="false" customHeight="true" outlineLevel="0" collapsed="false"/>
    <row r="78" customFormat="false" ht="12.95" hidden="false" customHeight="true" outlineLevel="0" collapsed="false"/>
    <row r="79" customFormat="false" ht="12.95" hidden="false" customHeight="true" outlineLevel="0" collapsed="false"/>
    <row r="80" customFormat="false" ht="12.95" hidden="false" customHeight="true" outlineLevel="0" collapsed="false"/>
    <row r="81" customFormat="false" ht="12.95" hidden="false" customHeight="true" outlineLevel="0" collapsed="false"/>
    <row r="82" customFormat="false" ht="12.95" hidden="false" customHeight="true" outlineLevel="0" collapsed="false"/>
    <row r="83" customFormat="false" ht="12.95" hidden="false" customHeight="true" outlineLevel="0" collapsed="false"/>
    <row r="84" customFormat="false" ht="12.95" hidden="false" customHeight="true" outlineLevel="0" collapsed="false"/>
    <row r="85" customFormat="false" ht="12.95" hidden="false" customHeight="true" outlineLevel="0" collapsed="false"/>
    <row r="86" customFormat="false" ht="12.95" hidden="false" customHeight="true" outlineLevel="0" collapsed="false"/>
    <row r="87" customFormat="false" ht="12.95" hidden="false" customHeight="true" outlineLevel="0" collapsed="false"/>
    <row r="88" customFormat="false" ht="12.95" hidden="false" customHeight="true" outlineLevel="0" collapsed="false"/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  <row r="109" customFormat="false" ht="12.95" hidden="false" customHeight="true" outlineLevel="0" collapsed="false"/>
    <row r="110" customFormat="false" ht="12.95" hidden="false" customHeight="true" outlineLevel="0" collapsed="false"/>
    <row r="111" customFormat="false" ht="12.95" hidden="false" customHeight="true" outlineLevel="0" collapsed="false"/>
    <row r="112" customFormat="false" ht="12.95" hidden="false" customHeight="true" outlineLevel="0" collapsed="false"/>
  </sheetData>
  <mergeCells count="22">
    <mergeCell ref="U8:W8"/>
    <mergeCell ref="X8:Y8"/>
    <mergeCell ref="E9:F9"/>
    <mergeCell ref="I9:K9"/>
    <mergeCell ref="L9:N9"/>
    <mergeCell ref="O9:Q9"/>
    <mergeCell ref="U28:Y28"/>
    <mergeCell ref="B29:C29"/>
    <mergeCell ref="D29:F29"/>
    <mergeCell ref="G29:H29"/>
    <mergeCell ref="J29:K29"/>
    <mergeCell ref="P29:S29"/>
    <mergeCell ref="U29:Y29"/>
    <mergeCell ref="B30:C30"/>
    <mergeCell ref="D30:F30"/>
    <mergeCell ref="G30:H30"/>
    <mergeCell ref="J30:K30"/>
    <mergeCell ref="P30:S30"/>
    <mergeCell ref="U30:Y30"/>
    <mergeCell ref="E56:H57"/>
    <mergeCell ref="J56:M57"/>
    <mergeCell ref="P56:S57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5"/>
  <sheetViews>
    <sheetView showFormulas="false" showGridLines="true" showRowColHeaders="true" showZeros="true" rightToLeft="false" tabSelected="false" showOutlineSymbols="true" defaultGridColor="true" view="normal" topLeftCell="A2" colorId="64" zoomScale="50" zoomScaleNormal="50" zoomScalePageLayoutView="100" workbookViewId="0">
      <selection pane="topLeft" activeCell="B7" activeCellId="0" sqref="B7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10" width="33.7"/>
    <col collapsed="false" customWidth="true" hidden="false" outlineLevel="0" max="2" min="2" style="10" width="17.42"/>
    <col collapsed="false" customWidth="true" hidden="false" outlineLevel="0" max="3" min="3" style="10" width="17.7"/>
    <col collapsed="false" customWidth="true" hidden="false" outlineLevel="0" max="4" min="4" style="10" width="10.71"/>
    <col collapsed="false" customWidth="true" hidden="false" outlineLevel="0" max="5" min="5" style="10" width="11.7"/>
    <col collapsed="false" customWidth="true" hidden="false" outlineLevel="0" max="6" min="6" style="10" width="10.71"/>
    <col collapsed="false" customWidth="true" hidden="true" outlineLevel="1" max="9" min="7" style="10" width="10.71"/>
    <col collapsed="false" customWidth="true" hidden="false" outlineLevel="0" max="10" min="10" style="10" width="13.41"/>
    <col collapsed="false" customWidth="true" hidden="false" outlineLevel="0" max="11" min="11" style="10" width="12.56"/>
    <col collapsed="false" customWidth="true" hidden="false" outlineLevel="0" max="12" min="12" style="10" width="11.13"/>
    <col collapsed="false" customWidth="true" hidden="false" outlineLevel="0" max="13" min="13" style="10" width="12.28"/>
    <col collapsed="false" customWidth="true" hidden="false" outlineLevel="0" max="14" min="14" style="10" width="10.41"/>
    <col collapsed="false" customWidth="true" hidden="false" outlineLevel="0" max="15" min="15" style="10" width="11.28"/>
    <col collapsed="false" customWidth="true" hidden="false" outlineLevel="0" max="16" min="16" style="10" width="9.85"/>
    <col collapsed="false" customWidth="true" hidden="false" outlineLevel="0" max="17" min="17" style="10" width="8.7"/>
    <col collapsed="false" customWidth="true" hidden="false" outlineLevel="0" max="20" min="18" style="10" width="9.7"/>
    <col collapsed="false" customWidth="true" hidden="false" outlineLevel="0" max="21" min="21" style="10" width="11.85"/>
    <col collapsed="false" customWidth="true" hidden="false" outlineLevel="0" max="25" min="22" style="10" width="9.7"/>
    <col collapsed="false" customWidth="true" hidden="false" outlineLevel="0" max="26" min="26" style="10" width="10.71"/>
    <col collapsed="false" customWidth="false" hidden="false" outlineLevel="0" max="27" min="27" style="10" width="9.14"/>
    <col collapsed="false" customWidth="true" hidden="false" outlineLevel="0" max="30" min="28" style="10" width="10.71"/>
    <col collapsed="false" customWidth="true" hidden="false" outlineLevel="0" max="31" min="31" style="10" width="15.7"/>
    <col collapsed="false" customWidth="false" hidden="false" outlineLevel="0" max="257" min="32" style="10" width="9.14"/>
  </cols>
  <sheetData>
    <row r="1" customFormat="false" ht="12.75" hidden="true" customHeight="false" outlineLevel="1" collapsed="false">
      <c r="A1" s="72" t="s">
        <v>137</v>
      </c>
      <c r="B1" s="72"/>
      <c r="C1" s="72"/>
      <c r="D1" s="72" t="s">
        <v>138</v>
      </c>
      <c r="E1" s="72" t="s">
        <v>139</v>
      </c>
      <c r="F1" s="72" t="s">
        <v>140</v>
      </c>
      <c r="G1" s="72" t="s">
        <v>141</v>
      </c>
      <c r="H1" s="72" t="s">
        <v>142</v>
      </c>
      <c r="I1" s="72" t="s">
        <v>143</v>
      </c>
      <c r="J1" s="72"/>
      <c r="K1" s="72"/>
      <c r="L1" s="72" t="s">
        <v>144</v>
      </c>
      <c r="M1" s="72" t="s">
        <v>145</v>
      </c>
      <c r="N1" s="72" t="s">
        <v>146</v>
      </c>
      <c r="O1" s="72" t="s">
        <v>147</v>
      </c>
      <c r="P1" s="72" t="s">
        <v>148</v>
      </c>
      <c r="Q1" s="72" t="s">
        <v>149</v>
      </c>
      <c r="R1" s="72" t="s">
        <v>150</v>
      </c>
      <c r="S1" s="72" t="s">
        <v>151</v>
      </c>
      <c r="T1" s="72" t="s">
        <v>152</v>
      </c>
      <c r="U1" s="72" t="s">
        <v>153</v>
      </c>
      <c r="V1" s="72" t="s">
        <v>154</v>
      </c>
      <c r="W1" s="72" t="s">
        <v>155</v>
      </c>
      <c r="X1" s="72" t="s">
        <v>156</v>
      </c>
      <c r="Y1" s="72" t="s">
        <v>157</v>
      </c>
      <c r="Z1" s="72" t="s">
        <v>158</v>
      </c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IB1" s="72"/>
      <c r="IC1" s="72"/>
      <c r="ID1" s="72"/>
      <c r="IE1" s="72"/>
      <c r="IF1" s="72"/>
      <c r="IG1" s="72"/>
      <c r="IH1" s="72"/>
      <c r="II1" s="72"/>
      <c r="IJ1" s="72"/>
      <c r="IK1" s="72"/>
      <c r="IL1" s="72"/>
      <c r="IM1" s="72"/>
      <c r="IN1" s="72"/>
      <c r="IO1" s="72"/>
      <c r="IP1" s="72"/>
      <c r="IQ1" s="72"/>
      <c r="IR1" s="72"/>
      <c r="IS1" s="72"/>
      <c r="IT1" s="72"/>
      <c r="IU1" s="72"/>
      <c r="IV1" s="72"/>
      <c r="IW1" s="72"/>
    </row>
    <row r="2" customFormat="false" ht="18" hidden="false" customHeight="false" outlineLevel="0" collapsed="false">
      <c r="A2" s="73" t="s">
        <v>441</v>
      </c>
      <c r="B2" s="73"/>
      <c r="C2" s="73"/>
    </row>
    <row r="3" customFormat="false" ht="15" hidden="false" customHeight="true" outlineLevel="0" collapsed="false">
      <c r="A3" s="3" t="s">
        <v>1</v>
      </c>
      <c r="B3" s="3"/>
      <c r="C3" s="3"/>
      <c r="AG3" s="43"/>
    </row>
    <row r="4" customFormat="false" ht="12.75" hidden="false" customHeight="false" outlineLevel="0" collapsed="false">
      <c r="A4" s="74" t="s">
        <v>2</v>
      </c>
      <c r="B4" s="74"/>
      <c r="C4" s="74"/>
      <c r="AG4" s="43"/>
    </row>
    <row r="5" customFormat="false" ht="12.75" hidden="false" customHeight="false" outlineLevel="0" collapsed="false">
      <c r="A5" s="74"/>
      <c r="B5" s="74"/>
      <c r="C5" s="74"/>
      <c r="AG5" s="43"/>
    </row>
    <row r="6" customFormat="false" ht="12.75" hidden="false" customHeight="false" outlineLevel="0" collapsed="false">
      <c r="A6" s="74"/>
      <c r="B6" s="74"/>
      <c r="C6" s="74"/>
      <c r="AG6" s="43"/>
    </row>
    <row r="7" customFormat="false" ht="12.75" hidden="false" customHeight="false" outlineLevel="0" collapsed="false">
      <c r="A7" s="75" t="s">
        <v>3</v>
      </c>
      <c r="B7" s="76" t="n">
        <v>37108</v>
      </c>
      <c r="C7" s="77"/>
    </row>
    <row r="8" customFormat="false" ht="12.75" hidden="false" customHeight="false" outlineLevel="0" collapsed="false">
      <c r="K8" s="11" t="s">
        <v>4</v>
      </c>
      <c r="U8" s="12" t="s">
        <v>5</v>
      </c>
      <c r="V8" s="12"/>
      <c r="W8" s="12"/>
      <c r="X8" s="12" t="s">
        <v>6</v>
      </c>
      <c r="Y8" s="12"/>
      <c r="Z8" s="11" t="s">
        <v>7</v>
      </c>
    </row>
    <row r="9" customFormat="false" ht="12.75" hidden="false" customHeight="false" outlineLevel="0" collapsed="false">
      <c r="C9" s="11" t="s">
        <v>8</v>
      </c>
      <c r="D9" s="11" t="s">
        <v>9</v>
      </c>
      <c r="E9" s="13" t="s">
        <v>10</v>
      </c>
      <c r="F9" s="13"/>
      <c r="H9" s="11"/>
      <c r="I9" s="11"/>
      <c r="J9" s="11" t="s">
        <v>11</v>
      </c>
      <c r="K9" s="11" t="s">
        <v>11</v>
      </c>
      <c r="L9" s="12" t="s">
        <v>160</v>
      </c>
      <c r="M9" s="12"/>
      <c r="N9" s="12" t="s">
        <v>161</v>
      </c>
      <c r="O9" s="12"/>
      <c r="P9" s="12" t="s">
        <v>14</v>
      </c>
      <c r="Q9" s="12"/>
      <c r="R9" s="13" t="s">
        <v>15</v>
      </c>
      <c r="S9" s="13" t="s">
        <v>16</v>
      </c>
      <c r="T9" s="11" t="s">
        <v>17</v>
      </c>
      <c r="U9" s="11" t="s">
        <v>18</v>
      </c>
      <c r="V9" s="11"/>
      <c r="W9" s="11" t="s">
        <v>19</v>
      </c>
      <c r="X9" s="11" t="s">
        <v>18</v>
      </c>
      <c r="Y9" s="11" t="s">
        <v>20</v>
      </c>
      <c r="Z9" s="11" t="s">
        <v>21</v>
      </c>
      <c r="AA9" s="13"/>
    </row>
    <row r="10" customFormat="false" ht="12.75" hidden="false" customHeight="false" outlineLevel="0" collapsed="false">
      <c r="A10" s="11" t="s">
        <v>22</v>
      </c>
      <c r="B10" s="11" t="s">
        <v>23</v>
      </c>
      <c r="C10" s="11" t="s">
        <v>24</v>
      </c>
      <c r="D10" s="11" t="s">
        <v>25</v>
      </c>
      <c r="E10" s="11" t="s">
        <v>26</v>
      </c>
      <c r="F10" s="11" t="s">
        <v>27</v>
      </c>
      <c r="G10" s="11" t="s">
        <v>162</v>
      </c>
      <c r="H10" s="11" t="s">
        <v>163</v>
      </c>
      <c r="I10" s="11" t="s">
        <v>164</v>
      </c>
      <c r="J10" s="11" t="s">
        <v>28</v>
      </c>
      <c r="K10" s="11" t="s">
        <v>28</v>
      </c>
      <c r="L10" s="11" t="s">
        <v>30</v>
      </c>
      <c r="M10" s="11" t="s">
        <v>31</v>
      </c>
      <c r="N10" s="11" t="s">
        <v>30</v>
      </c>
      <c r="O10" s="11" t="s">
        <v>31</v>
      </c>
      <c r="P10" s="11" t="s">
        <v>30</v>
      </c>
      <c r="Q10" s="11" t="s">
        <v>31</v>
      </c>
      <c r="R10" s="11" t="s">
        <v>32</v>
      </c>
      <c r="S10" s="11" t="s">
        <v>33</v>
      </c>
      <c r="T10" s="11" t="s">
        <v>34</v>
      </c>
      <c r="U10" s="11" t="s">
        <v>35</v>
      </c>
      <c r="V10" s="11" t="s">
        <v>36</v>
      </c>
      <c r="W10" s="11" t="s">
        <v>37</v>
      </c>
      <c r="X10" s="11" t="s">
        <v>38</v>
      </c>
      <c r="Y10" s="11" t="s">
        <v>6</v>
      </c>
      <c r="Z10" s="11" t="s">
        <v>39</v>
      </c>
      <c r="AA10" s="13"/>
    </row>
    <row r="11" customFormat="false" ht="4.9" hidden="false" customHeight="true" outlineLevel="0" collapsed="false">
      <c r="A11" s="78" t="s">
        <v>40</v>
      </c>
      <c r="B11" s="78" t="s">
        <v>40</v>
      </c>
      <c r="C11" s="78" t="s">
        <v>40</v>
      </c>
      <c r="D11" s="78" t="s">
        <v>40</v>
      </c>
      <c r="E11" s="78" t="s">
        <v>40</v>
      </c>
      <c r="F11" s="79" t="s">
        <v>40</v>
      </c>
      <c r="G11" s="79"/>
      <c r="H11" s="79"/>
      <c r="I11" s="79"/>
      <c r="J11" s="78" t="s">
        <v>40</v>
      </c>
      <c r="K11" s="78" t="s">
        <v>40</v>
      </c>
      <c r="L11" s="78" t="s">
        <v>40</v>
      </c>
      <c r="M11" s="78" t="s">
        <v>40</v>
      </c>
      <c r="N11" s="78" t="s">
        <v>40</v>
      </c>
      <c r="O11" s="78" t="s">
        <v>40</v>
      </c>
      <c r="P11" s="78" t="s">
        <v>40</v>
      </c>
      <c r="Q11" s="78" t="s">
        <v>40</v>
      </c>
      <c r="R11" s="78" t="s">
        <v>40</v>
      </c>
      <c r="S11" s="78" t="s">
        <v>40</v>
      </c>
      <c r="T11" s="78" t="s">
        <v>40</v>
      </c>
      <c r="U11" s="78" t="s">
        <v>40</v>
      </c>
      <c r="V11" s="78" t="s">
        <v>40</v>
      </c>
      <c r="W11" s="78" t="s">
        <v>40</v>
      </c>
      <c r="X11" s="78" t="s">
        <v>40</v>
      </c>
      <c r="Y11" s="78" t="s">
        <v>40</v>
      </c>
      <c r="Z11" s="78" t="s">
        <v>40</v>
      </c>
      <c r="AA11" s="40"/>
    </row>
    <row r="12" customFormat="false" ht="12.95" hidden="false" customHeight="true" outlineLevel="0" collapsed="false">
      <c r="A12" s="80" t="s">
        <v>442</v>
      </c>
      <c r="B12" s="40" t="s">
        <v>443</v>
      </c>
      <c r="C12" s="81" t="n">
        <v>37101</v>
      </c>
      <c r="D12" s="82" t="n">
        <v>4.00918696975644</v>
      </c>
      <c r="E12" s="82" t="n">
        <v>4.4165375174857</v>
      </c>
      <c r="F12" s="82" t="n">
        <v>3.44461340360535</v>
      </c>
      <c r="G12" s="82" t="n">
        <v>9837.82131588</v>
      </c>
      <c r="H12" s="82" t="n">
        <v>10451.82131588</v>
      </c>
      <c r="I12" s="82" t="n">
        <v>0.6996431</v>
      </c>
      <c r="J12" s="82" t="n">
        <v>14061.1996543381</v>
      </c>
      <c r="K12" s="82" t="n">
        <v>14938.7899571653</v>
      </c>
      <c r="L12" s="83" t="n">
        <v>20.4049989129028</v>
      </c>
      <c r="M12" s="83" t="n">
        <v>17.9696671256522</v>
      </c>
      <c r="N12" s="83" t="n">
        <v>11.0607908371635</v>
      </c>
      <c r="O12" s="83" t="n">
        <v>8.14622711451139</v>
      </c>
      <c r="P12" s="83" t="n">
        <v>8.0775661440323</v>
      </c>
      <c r="Q12" s="83" t="n">
        <v>6.26775696391667</v>
      </c>
      <c r="R12" s="84" t="n">
        <v>0.118722574353974</v>
      </c>
      <c r="S12" s="83" t="n">
        <v>2.90544043587714</v>
      </c>
      <c r="T12" s="84" t="n">
        <v>0.01051693</v>
      </c>
      <c r="U12" s="82" t="n">
        <v>1006.96666666667</v>
      </c>
      <c r="V12" s="84" t="n">
        <v>0.889470025489093</v>
      </c>
      <c r="W12" s="85" t="n">
        <v>6.18593561580689</v>
      </c>
      <c r="X12" s="82" t="n">
        <v>3230</v>
      </c>
      <c r="Y12" s="85" t="n">
        <v>1.34925651267256</v>
      </c>
      <c r="Z12" s="82" t="n">
        <v>3507.24467589305</v>
      </c>
      <c r="AA12" s="86"/>
      <c r="AE12" s="132"/>
    </row>
    <row r="13" customFormat="false" ht="12.95" hidden="false" customHeight="true" outlineLevel="0" collapsed="false">
      <c r="A13" s="80" t="s">
        <v>444</v>
      </c>
      <c r="B13" s="87" t="s">
        <v>445</v>
      </c>
      <c r="C13" s="81" t="n">
        <v>37101</v>
      </c>
      <c r="D13" s="82" t="n">
        <v>8.31852697468181</v>
      </c>
      <c r="E13" s="82" t="n">
        <v>9.57631112205637</v>
      </c>
      <c r="F13" s="82" t="n">
        <v>7.1465008373555</v>
      </c>
      <c r="G13" s="82" t="n">
        <v>2864.265872</v>
      </c>
      <c r="H13" s="82" t="n">
        <v>3295.965872</v>
      </c>
      <c r="I13" s="82" t="n">
        <v>0.6996431</v>
      </c>
      <c r="J13" s="82" t="n">
        <v>4093.89569053136</v>
      </c>
      <c r="K13" s="82" t="n">
        <v>4710.92457282863</v>
      </c>
      <c r="L13" s="83" t="n">
        <v>7.65437165152325</v>
      </c>
      <c r="M13" s="83" t="n">
        <v>11.2633341407786</v>
      </c>
      <c r="N13" s="83" t="n">
        <v>3.69296785972151</v>
      </c>
      <c r="O13" s="83" t="n">
        <v>4.41063423467817</v>
      </c>
      <c r="P13" s="83" t="n">
        <v>2.69961984765337</v>
      </c>
      <c r="Q13" s="83" t="n">
        <v>3.53758277557154</v>
      </c>
      <c r="R13" s="84" t="n">
        <v>0.465449996320553</v>
      </c>
      <c r="S13" s="83" t="n">
        <v>1.97154864537445</v>
      </c>
      <c r="T13" s="84" t="n">
        <v>0.0137457</v>
      </c>
      <c r="U13" s="82" t="n">
        <v>1412.4</v>
      </c>
      <c r="V13" s="84" t="n">
        <v>0.250837817426603</v>
      </c>
      <c r="W13" s="85" t="n">
        <v>3.8317250038866</v>
      </c>
      <c r="X13" s="82" t="s">
        <v>51</v>
      </c>
      <c r="Y13" s="85" t="s">
        <v>51</v>
      </c>
      <c r="Z13" s="82" t="n">
        <v>492.141902405498</v>
      </c>
      <c r="AA13" s="86"/>
    </row>
    <row r="14" customFormat="false" ht="12.95" hidden="false" customHeight="true" outlineLevel="0" collapsed="false">
      <c r="A14" s="80" t="s">
        <v>446</v>
      </c>
      <c r="B14" s="40" t="s">
        <v>447</v>
      </c>
      <c r="C14" s="81" t="n">
        <v>37101</v>
      </c>
      <c r="D14" s="82" t="n">
        <v>4.95967158112472</v>
      </c>
      <c r="E14" s="82" t="n">
        <v>5.20265260959481</v>
      </c>
      <c r="F14" s="82" t="n">
        <v>2.35834527632732</v>
      </c>
      <c r="G14" s="82" t="n">
        <v>507.68363481</v>
      </c>
      <c r="H14" s="82" t="n">
        <v>494.03063481</v>
      </c>
      <c r="I14" s="82" t="n">
        <v>0.6996431</v>
      </c>
      <c r="J14" s="82" t="n">
        <v>725.63230425627</v>
      </c>
      <c r="K14" s="82" t="n">
        <v>706.118069069787</v>
      </c>
      <c r="L14" s="83" t="n">
        <v>11.306985185078</v>
      </c>
      <c r="M14" s="83" t="n">
        <v>14.4639212196581</v>
      </c>
      <c r="N14" s="83" t="n">
        <v>8.54686253888889</v>
      </c>
      <c r="O14" s="83" t="n">
        <v>9.70714406902486</v>
      </c>
      <c r="P14" s="83" t="n">
        <v>5.88131708107143</v>
      </c>
      <c r="Q14" s="83" t="n">
        <v>6.79546952971114</v>
      </c>
      <c r="R14" s="84" t="n">
        <v>0</v>
      </c>
      <c r="S14" s="83" t="n">
        <v>1.70777973004975</v>
      </c>
      <c r="T14" s="84" t="n">
        <v>0</v>
      </c>
      <c r="U14" s="82" t="n">
        <v>97.2505</v>
      </c>
      <c r="V14" s="84" t="n">
        <v>0.53399725451283</v>
      </c>
      <c r="W14" s="85" t="n">
        <v>6.23417048693066</v>
      </c>
      <c r="X14" s="82" t="s">
        <v>51</v>
      </c>
      <c r="Y14" s="85" t="s">
        <v>51</v>
      </c>
      <c r="Z14" s="82" t="n">
        <v>146.306523</v>
      </c>
      <c r="AA14" s="86"/>
    </row>
    <row r="15" customFormat="false" ht="12.95" hidden="false" customHeight="true" outlineLevel="0" collapsed="false">
      <c r="A15" s="80" t="s">
        <v>448</v>
      </c>
      <c r="B15" s="40" t="s">
        <v>449</v>
      </c>
      <c r="C15" s="81" t="n">
        <v>37101</v>
      </c>
      <c r="D15" s="82" t="n">
        <v>0.332312288937031</v>
      </c>
      <c r="E15" s="82" t="n">
        <v>0.371618043542486</v>
      </c>
      <c r="F15" s="82" t="n">
        <v>0.167942769677854</v>
      </c>
      <c r="G15" s="82" t="n">
        <v>368.11725</v>
      </c>
      <c r="H15" s="82" t="n">
        <v>813.61725</v>
      </c>
      <c r="I15" s="82" t="n">
        <v>0.6996431</v>
      </c>
      <c r="J15" s="82" t="n">
        <v>526.150047074001</v>
      </c>
      <c r="K15" s="82" t="n">
        <v>1162.90327168238</v>
      </c>
      <c r="L15" s="83" t="n">
        <v>9.13442307692308</v>
      </c>
      <c r="M15" s="83" t="n">
        <v>7.24212571316152</v>
      </c>
      <c r="N15" s="83" t="n">
        <v>4.5002108801956</v>
      </c>
      <c r="O15" s="83" t="n">
        <v>3.32746316550664</v>
      </c>
      <c r="P15" s="83" t="n">
        <v>6.65807896890344</v>
      </c>
      <c r="Q15" s="83" t="n">
        <v>5.67771981856246</v>
      </c>
      <c r="R15" s="84" t="n">
        <v>0.544742203416393</v>
      </c>
      <c r="S15" s="83" t="n">
        <v>1.26718502581756</v>
      </c>
      <c r="T15" s="84" t="n">
        <v>0</v>
      </c>
      <c r="U15" s="82" t="n">
        <v>428.1</v>
      </c>
      <c r="V15" s="84" t="n">
        <v>0.775519738378883</v>
      </c>
      <c r="W15" s="85" t="n">
        <v>2.52331507376042</v>
      </c>
      <c r="X15" s="82" t="s">
        <v>51</v>
      </c>
      <c r="Y15" s="85" t="s">
        <v>51</v>
      </c>
      <c r="Z15" s="82" t="n">
        <v>1583.3</v>
      </c>
      <c r="AA15" s="86"/>
    </row>
    <row r="16" customFormat="false" ht="12.95" hidden="false" customHeight="true" outlineLevel="0" collapsed="false">
      <c r="A16" s="90"/>
      <c r="B16" s="91"/>
      <c r="C16" s="92"/>
      <c r="D16" s="85"/>
      <c r="E16" s="85"/>
      <c r="F16" s="85"/>
      <c r="G16" s="85"/>
      <c r="H16" s="85"/>
      <c r="I16" s="85"/>
      <c r="J16" s="93"/>
      <c r="K16" s="93"/>
      <c r="L16" s="94"/>
      <c r="M16" s="94"/>
      <c r="N16" s="94"/>
      <c r="O16" s="94"/>
      <c r="P16" s="94"/>
      <c r="Q16" s="94"/>
      <c r="R16" s="29"/>
      <c r="S16" s="94"/>
      <c r="T16" s="29"/>
      <c r="U16" s="95"/>
      <c r="V16" s="29"/>
      <c r="W16" s="85"/>
      <c r="X16" s="93"/>
      <c r="Y16" s="94"/>
      <c r="Z16" s="86"/>
      <c r="AA16" s="11"/>
      <c r="AB16" s="88"/>
      <c r="AC16" s="89"/>
      <c r="AD16" s="40"/>
    </row>
    <row r="17" customFormat="false" ht="13.5" hidden="false" customHeight="true" outlineLevel="0" collapsed="false">
      <c r="B17" s="39"/>
      <c r="C17" s="39"/>
      <c r="D17" s="39"/>
      <c r="E17" s="39"/>
      <c r="F17" s="39"/>
      <c r="G17" s="39"/>
      <c r="H17" s="39"/>
      <c r="I17" s="39"/>
      <c r="J17" s="39"/>
      <c r="K17" s="96" t="s">
        <v>56</v>
      </c>
      <c r="L17" s="97" t="n">
        <v>12.1251947066068</v>
      </c>
      <c r="M17" s="97" t="n">
        <v>12.7347620498126</v>
      </c>
      <c r="N17" s="97" t="n">
        <v>6.95020802899237</v>
      </c>
      <c r="O17" s="97" t="n">
        <v>6.39786714593026</v>
      </c>
      <c r="P17" s="97" t="n">
        <v>5.82914551041513</v>
      </c>
      <c r="Q17" s="97" t="n">
        <v>5.56963227194045</v>
      </c>
      <c r="R17" s="98" t="n">
        <v>0.28222869352273</v>
      </c>
      <c r="S17" s="97" t="n">
        <v>1.96298845927972</v>
      </c>
      <c r="T17" s="98" t="n">
        <v>0.0060656575</v>
      </c>
      <c r="U17" s="99" t="n">
        <v>736.179291666667</v>
      </c>
      <c r="V17" s="98" t="n">
        <v>0.612456208951852</v>
      </c>
      <c r="W17" s="175" t="n">
        <v>4.69378654509614</v>
      </c>
      <c r="X17" s="99"/>
      <c r="Y17" s="176" t="n">
        <v>1.34925651267256</v>
      </c>
      <c r="AB17" s="88"/>
      <c r="AC17" s="89"/>
      <c r="AD17" s="40"/>
    </row>
    <row r="18" customFormat="false" ht="12.95" hidden="false" customHeight="true" outlineLevel="0" collapsed="false">
      <c r="B18" s="39"/>
      <c r="C18" s="39"/>
      <c r="D18" s="39"/>
      <c r="E18" s="39"/>
      <c r="F18" s="39"/>
      <c r="G18" s="39"/>
      <c r="H18" s="39"/>
      <c r="I18" s="39"/>
      <c r="J18" s="39"/>
      <c r="K18" s="102" t="s">
        <v>57</v>
      </c>
      <c r="L18" s="83" t="n">
        <v>10.2207041310005</v>
      </c>
      <c r="M18" s="83" t="n">
        <v>12.8636276802184</v>
      </c>
      <c r="N18" s="83" t="n">
        <v>6.52353670954224</v>
      </c>
      <c r="O18" s="83" t="n">
        <v>6.27843067459478</v>
      </c>
      <c r="P18" s="83" t="n">
        <v>6.26969802498743</v>
      </c>
      <c r="Q18" s="83" t="n">
        <v>5.97273839123956</v>
      </c>
      <c r="R18" s="84" t="n">
        <v>0.292086285337264</v>
      </c>
      <c r="S18" s="83" t="n">
        <v>1.8396641877121</v>
      </c>
      <c r="T18" s="84" t="n">
        <v>0.005258465</v>
      </c>
      <c r="U18" s="82" t="n">
        <v>717.533333333333</v>
      </c>
      <c r="V18" s="84" t="n">
        <v>0.654758496445857</v>
      </c>
      <c r="W18" s="177" t="n">
        <v>5.00883030984674</v>
      </c>
      <c r="X18" s="82"/>
      <c r="Y18" s="178" t="n">
        <v>1.34925651267256</v>
      </c>
      <c r="AB18" s="88"/>
      <c r="AC18" s="89"/>
      <c r="AD18" s="40"/>
    </row>
    <row r="19" customFormat="false" ht="12.95" hidden="false" customHeight="true" outlineLevel="0" collapsed="false">
      <c r="B19" s="39"/>
      <c r="C19" s="39"/>
      <c r="D19" s="39"/>
      <c r="E19" s="39"/>
      <c r="F19" s="39"/>
      <c r="G19" s="39"/>
      <c r="H19" s="39"/>
      <c r="I19" s="39"/>
      <c r="J19" s="39"/>
      <c r="K19" s="102" t="s">
        <v>26</v>
      </c>
      <c r="L19" s="83" t="n">
        <v>20.4049989129028</v>
      </c>
      <c r="M19" s="83" t="n">
        <v>17.9696671256522</v>
      </c>
      <c r="N19" s="83" t="n">
        <v>11.0607908371635</v>
      </c>
      <c r="O19" s="83" t="n">
        <v>9.70714406902486</v>
      </c>
      <c r="P19" s="83" t="n">
        <v>8.0775661440323</v>
      </c>
      <c r="Q19" s="83" t="n">
        <v>6.79546952971114</v>
      </c>
      <c r="R19" s="84" t="n">
        <v>0.544742203416393</v>
      </c>
      <c r="S19" s="83" t="n">
        <v>2.90544043587714</v>
      </c>
      <c r="T19" s="84" t="n">
        <v>0.0137457</v>
      </c>
      <c r="U19" s="82" t="n">
        <v>1412.4</v>
      </c>
      <c r="V19" s="84" t="n">
        <v>0.889470025489093</v>
      </c>
      <c r="W19" s="177" t="n">
        <v>6.23417048693066</v>
      </c>
      <c r="X19" s="82"/>
      <c r="Y19" s="178" t="n">
        <v>1.34925651267256</v>
      </c>
      <c r="AB19" s="88"/>
      <c r="AC19" s="89"/>
      <c r="AD19" s="40"/>
    </row>
    <row r="20" customFormat="false" ht="12.95" hidden="false" customHeight="true" outlineLevel="0" collapsed="false">
      <c r="B20" s="39"/>
      <c r="C20" s="39"/>
      <c r="D20" s="39"/>
      <c r="E20" s="39"/>
      <c r="F20" s="39"/>
      <c r="G20" s="39"/>
      <c r="H20" s="39"/>
      <c r="I20" s="39"/>
      <c r="J20" s="39"/>
      <c r="K20" s="104" t="s">
        <v>27</v>
      </c>
      <c r="L20" s="105" t="n">
        <v>7.65437165152325</v>
      </c>
      <c r="M20" s="105" t="n">
        <v>7.24212571316152</v>
      </c>
      <c r="N20" s="105" t="n">
        <v>3.69296785972151</v>
      </c>
      <c r="O20" s="105" t="n">
        <v>3.32746316550664</v>
      </c>
      <c r="P20" s="105" t="n">
        <v>2.69961984765337</v>
      </c>
      <c r="Q20" s="105" t="n">
        <v>3.53758277557154</v>
      </c>
      <c r="R20" s="106" t="n">
        <v>0</v>
      </c>
      <c r="S20" s="105" t="n">
        <v>1.26718502581756</v>
      </c>
      <c r="T20" s="106" t="n">
        <v>0</v>
      </c>
      <c r="U20" s="107" t="n">
        <v>97.2505</v>
      </c>
      <c r="V20" s="106" t="n">
        <v>0.250837817426603</v>
      </c>
      <c r="W20" s="179" t="n">
        <v>2.52331507376042</v>
      </c>
      <c r="X20" s="107"/>
      <c r="Y20" s="180" t="n">
        <v>1.34925651267256</v>
      </c>
      <c r="AB20" s="88"/>
      <c r="AC20" s="89"/>
      <c r="AD20" s="40"/>
    </row>
    <row r="21" customFormat="false" ht="12.95" hidden="false" customHeight="true" outlineLevel="0" collapsed="false"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86"/>
      <c r="AA21" s="11"/>
      <c r="AB21" s="88"/>
      <c r="AC21" s="89"/>
      <c r="AD21" s="40"/>
    </row>
    <row r="22" customFormat="false" ht="12.95" hidden="true" customHeight="true" outlineLevel="1" collapsed="false">
      <c r="A22" s="72"/>
      <c r="B22" s="110"/>
      <c r="C22" s="110"/>
      <c r="D22" s="110" t="s">
        <v>182</v>
      </c>
      <c r="E22" s="110" t="s">
        <v>183</v>
      </c>
      <c r="F22" s="110" t="s">
        <v>184</v>
      </c>
      <c r="G22" s="110"/>
      <c r="H22" s="110"/>
      <c r="I22" s="110"/>
      <c r="J22" s="110" t="s">
        <v>185</v>
      </c>
      <c r="K22" s="110"/>
      <c r="L22" s="110" t="s">
        <v>186</v>
      </c>
      <c r="M22" s="110" t="s">
        <v>187</v>
      </c>
      <c r="N22" s="110"/>
      <c r="O22" s="110"/>
      <c r="P22" s="110" t="s">
        <v>188</v>
      </c>
      <c r="Q22" s="110" t="s">
        <v>189</v>
      </c>
      <c r="R22" s="110" t="s">
        <v>190</v>
      </c>
      <c r="S22" s="110"/>
      <c r="T22" s="110"/>
      <c r="U22" s="110"/>
      <c r="V22" s="110"/>
      <c r="W22" s="110"/>
      <c r="X22" s="110"/>
      <c r="Y22" s="110"/>
      <c r="Z22" s="111"/>
      <c r="AA22" s="112"/>
      <c r="AB22" s="113"/>
      <c r="AC22" s="114"/>
      <c r="AD22" s="115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2"/>
      <c r="EY22" s="72"/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72"/>
      <c r="FL22" s="72"/>
      <c r="FM22" s="72"/>
      <c r="FN22" s="72"/>
      <c r="FO22" s="72"/>
      <c r="FP22" s="72"/>
      <c r="FQ22" s="72"/>
      <c r="FR22" s="72"/>
      <c r="FS22" s="72"/>
      <c r="FT22" s="72"/>
      <c r="FU22" s="72"/>
      <c r="FV22" s="72"/>
      <c r="FW22" s="72"/>
      <c r="FX22" s="72"/>
      <c r="FY22" s="72"/>
      <c r="FZ22" s="72"/>
      <c r="GA22" s="72"/>
      <c r="GB22" s="72"/>
      <c r="GC22" s="72"/>
      <c r="GD22" s="72"/>
      <c r="GE22" s="72"/>
      <c r="GF22" s="72"/>
      <c r="GG22" s="72"/>
      <c r="GH22" s="72"/>
      <c r="GI22" s="72"/>
      <c r="GJ22" s="72"/>
      <c r="GK22" s="72"/>
      <c r="GL22" s="72"/>
      <c r="GM22" s="72"/>
      <c r="GN22" s="72"/>
      <c r="GO22" s="72"/>
      <c r="GP22" s="72"/>
      <c r="GQ22" s="72"/>
      <c r="GR22" s="72"/>
      <c r="GS22" s="72"/>
      <c r="GT22" s="72"/>
      <c r="GU22" s="72"/>
      <c r="GV22" s="72"/>
      <c r="GW22" s="72"/>
      <c r="GX22" s="72"/>
      <c r="GY22" s="72"/>
      <c r="GZ22" s="72"/>
      <c r="HA22" s="72"/>
      <c r="HB22" s="72"/>
      <c r="HC22" s="72"/>
      <c r="HD22" s="72"/>
      <c r="HE22" s="72"/>
      <c r="HF22" s="72"/>
      <c r="HG22" s="72"/>
      <c r="HH22" s="72"/>
      <c r="HI22" s="7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2"/>
      <c r="HU22" s="72"/>
      <c r="HV22" s="72"/>
      <c r="HW22" s="72"/>
      <c r="HX22" s="72"/>
      <c r="HY22" s="72"/>
      <c r="HZ22" s="72"/>
      <c r="IA22" s="72"/>
      <c r="IB22" s="72"/>
      <c r="IC22" s="72"/>
      <c r="ID22" s="72"/>
      <c r="IE22" s="72"/>
      <c r="IF22" s="72"/>
      <c r="IG22" s="72"/>
      <c r="IH22" s="72"/>
      <c r="II22" s="72"/>
      <c r="IJ22" s="72"/>
      <c r="IK22" s="72"/>
      <c r="IL22" s="72"/>
      <c r="IM22" s="72"/>
      <c r="IN22" s="72"/>
      <c r="IO22" s="72"/>
      <c r="IP22" s="72"/>
      <c r="IQ22" s="72"/>
      <c r="IR22" s="72"/>
      <c r="IS22" s="72"/>
      <c r="IT22" s="72"/>
      <c r="IU22" s="72"/>
      <c r="IV22" s="72"/>
      <c r="IW22" s="72"/>
    </row>
    <row r="23" customFormat="false" ht="12.95" hidden="false" customHeight="true" outlineLevel="0" collapsed="false">
      <c r="B23" s="39"/>
      <c r="C23" s="39"/>
      <c r="D23" s="39"/>
      <c r="Z23" s="86"/>
      <c r="AA23" s="11"/>
      <c r="AB23" s="88"/>
      <c r="AC23" s="89"/>
      <c r="AD23" s="40"/>
    </row>
    <row r="24" customFormat="false" ht="12.95" hidden="false" customHeight="true" outlineLevel="0" collapsed="false">
      <c r="A24" s="43"/>
      <c r="B24" s="13" t="s">
        <v>191</v>
      </c>
      <c r="C24" s="13"/>
      <c r="D24" s="13" t="s">
        <v>60</v>
      </c>
      <c r="E24" s="13"/>
      <c r="F24" s="13"/>
      <c r="G24" s="13"/>
      <c r="H24" s="13"/>
      <c r="I24" s="13"/>
      <c r="J24" s="13" t="s">
        <v>61</v>
      </c>
      <c r="K24" s="13"/>
      <c r="L24" s="13" t="s">
        <v>62</v>
      </c>
      <c r="M24" s="13"/>
      <c r="P24" s="13" t="s">
        <v>63</v>
      </c>
      <c r="Q24" s="13"/>
      <c r="R24" s="13"/>
      <c r="S24" s="13"/>
      <c r="Z24" s="86"/>
      <c r="AA24" s="11"/>
      <c r="AB24" s="88"/>
      <c r="AC24" s="89"/>
      <c r="AD24" s="40"/>
    </row>
    <row r="25" customFormat="false" ht="12.95" hidden="false" customHeight="true" outlineLevel="0" collapsed="false">
      <c r="A25" s="43"/>
      <c r="B25" s="79" t="s">
        <v>40</v>
      </c>
      <c r="C25" s="79"/>
      <c r="D25" s="79" t="s">
        <v>40</v>
      </c>
      <c r="E25" s="79"/>
      <c r="F25" s="79"/>
      <c r="G25" s="79"/>
      <c r="H25" s="79"/>
      <c r="I25" s="79"/>
      <c r="J25" s="79" t="s">
        <v>40</v>
      </c>
      <c r="K25" s="79"/>
      <c r="L25" s="79" t="s">
        <v>40</v>
      </c>
      <c r="M25" s="79"/>
      <c r="P25" s="79" t="s">
        <v>40</v>
      </c>
      <c r="Q25" s="79"/>
      <c r="R25" s="79"/>
      <c r="S25" s="79"/>
    </row>
    <row r="26" customFormat="false" ht="12.95" hidden="false" customHeight="true" outlineLevel="0" collapsed="false">
      <c r="B26" s="11"/>
      <c r="C26" s="11"/>
      <c r="D26" s="13" t="s">
        <v>65</v>
      </c>
      <c r="E26" s="13" t="s">
        <v>66</v>
      </c>
      <c r="F26" s="13" t="s">
        <v>8</v>
      </c>
      <c r="G26" s="13"/>
      <c r="H26" s="13"/>
      <c r="I26" s="13"/>
      <c r="J26" s="11"/>
      <c r="P26" s="13" t="s">
        <v>68</v>
      </c>
      <c r="Q26" s="13"/>
      <c r="R26" s="13" t="s">
        <v>69</v>
      </c>
      <c r="S26" s="13" t="s">
        <v>70</v>
      </c>
    </row>
    <row r="27" customFormat="false" ht="12.95" hidden="false" customHeight="true" outlineLevel="0" collapsed="false">
      <c r="A27" s="11" t="s">
        <v>22</v>
      </c>
      <c r="B27" s="11" t="s">
        <v>76</v>
      </c>
      <c r="C27" s="11" t="s">
        <v>77</v>
      </c>
      <c r="D27" s="11" t="s">
        <v>78</v>
      </c>
      <c r="E27" s="11" t="s">
        <v>79</v>
      </c>
      <c r="F27" s="11" t="s">
        <v>80</v>
      </c>
      <c r="G27" s="11"/>
      <c r="H27" s="11"/>
      <c r="I27" s="11"/>
      <c r="J27" s="11" t="s">
        <v>81</v>
      </c>
      <c r="K27" s="11" t="s">
        <v>8</v>
      </c>
      <c r="L27" s="11" t="s">
        <v>82</v>
      </c>
      <c r="M27" s="11" t="s">
        <v>83</v>
      </c>
      <c r="P27" s="11" t="s">
        <v>84</v>
      </c>
      <c r="Q27" s="11" t="s">
        <v>85</v>
      </c>
      <c r="R27" s="11" t="s">
        <v>86</v>
      </c>
      <c r="S27" s="11" t="s">
        <v>87</v>
      </c>
    </row>
    <row r="28" customFormat="false" ht="12.95" hidden="false" customHeight="true" outlineLevel="0" collapsed="false">
      <c r="A28" s="78" t="s">
        <v>40</v>
      </c>
      <c r="B28" s="78" t="s">
        <v>40</v>
      </c>
      <c r="C28" s="78" t="s">
        <v>40</v>
      </c>
      <c r="D28" s="78" t="s">
        <v>40</v>
      </c>
      <c r="E28" s="78" t="s">
        <v>40</v>
      </c>
      <c r="F28" s="79" t="s">
        <v>40</v>
      </c>
      <c r="G28" s="79"/>
      <c r="H28" s="79"/>
      <c r="I28" s="79"/>
      <c r="J28" s="78" t="s">
        <v>40</v>
      </c>
      <c r="K28" s="78" t="s">
        <v>40</v>
      </c>
      <c r="L28" s="78" t="s">
        <v>40</v>
      </c>
      <c r="M28" s="78" t="s">
        <v>40</v>
      </c>
      <c r="P28" s="78" t="s">
        <v>40</v>
      </c>
      <c r="Q28" s="78" t="s">
        <v>40</v>
      </c>
      <c r="R28" s="78" t="s">
        <v>40</v>
      </c>
      <c r="S28" s="78" t="s">
        <v>40</v>
      </c>
    </row>
    <row r="29" customFormat="false" ht="12.95" hidden="false" customHeight="true" outlineLevel="0" collapsed="false">
      <c r="A29" s="116" t="s">
        <v>442</v>
      </c>
      <c r="B29" s="10" t="s">
        <v>450</v>
      </c>
      <c r="C29" s="40" t="s">
        <v>451</v>
      </c>
      <c r="D29" s="82" t="s">
        <v>452</v>
      </c>
      <c r="E29" s="82" t="s">
        <v>96</v>
      </c>
      <c r="F29" s="117" t="n">
        <v>37050</v>
      </c>
      <c r="G29" s="82" t="e">
        <f aca="false"/>
        <v>#REF!</v>
      </c>
      <c r="H29" s="82" t="e">
        <f aca="false"/>
        <v>#REF!</v>
      </c>
      <c r="I29" s="82" t="e">
        <f aca="false"/>
        <v>#REF!</v>
      </c>
      <c r="J29" s="82" t="s">
        <v>453</v>
      </c>
      <c r="K29" s="117" t="n">
        <v>37050</v>
      </c>
      <c r="L29" s="84" t="n">
        <v>0.0440888380017071</v>
      </c>
      <c r="M29" s="84" t="n">
        <v>0.0706106870229008</v>
      </c>
      <c r="N29" s="11"/>
      <c r="O29" s="11"/>
      <c r="P29" s="84" t="n">
        <v>8.48785085467833</v>
      </c>
      <c r="Q29" s="83" t="n">
        <v>87.5623188405797</v>
      </c>
      <c r="R29" s="118" t="n">
        <v>3.64022161982631</v>
      </c>
      <c r="S29" s="84" t="s">
        <v>51</v>
      </c>
      <c r="T29" s="11"/>
      <c r="Z29" s="11"/>
    </row>
    <row r="30" customFormat="false" ht="12.95" hidden="false" customHeight="true" outlineLevel="0" collapsed="false">
      <c r="A30" s="116" t="s">
        <v>444</v>
      </c>
      <c r="B30" s="10" t="s">
        <v>450</v>
      </c>
      <c r="C30" s="40" t="s">
        <v>451</v>
      </c>
      <c r="D30" s="82" t="s">
        <v>452</v>
      </c>
      <c r="E30" s="82" t="s">
        <v>96</v>
      </c>
      <c r="F30" s="117" t="n">
        <v>37050</v>
      </c>
      <c r="G30" s="82" t="e">
        <f aca="false"/>
        <v>#REF!</v>
      </c>
      <c r="H30" s="82" t="e">
        <f aca="false"/>
        <v>#REF!</v>
      </c>
      <c r="I30" s="82" t="e">
        <f aca="false"/>
        <v>#REF!</v>
      </c>
      <c r="J30" s="82" t="s">
        <v>234</v>
      </c>
      <c r="K30" s="117" t="n">
        <v>37050</v>
      </c>
      <c r="L30" s="84" t="n">
        <v>0.127360774818402</v>
      </c>
      <c r="M30" s="84" t="n">
        <v>0.0264550264550265</v>
      </c>
      <c r="N30" s="11"/>
      <c r="O30" s="119"/>
      <c r="P30" s="84" t="n">
        <v>3.99033208802194</v>
      </c>
      <c r="Q30" s="83" t="n">
        <v>13.8064516129032</v>
      </c>
      <c r="R30" s="118" t="n">
        <v>2.77164812737144</v>
      </c>
      <c r="S30" s="84" t="s">
        <v>51</v>
      </c>
      <c r="T30" s="120"/>
      <c r="Z30" s="51"/>
    </row>
    <row r="31" customFormat="false" ht="12.95" hidden="false" customHeight="true" outlineLevel="0" collapsed="false">
      <c r="A31" s="116" t="s">
        <v>446</v>
      </c>
      <c r="B31" s="10" t="s">
        <v>450</v>
      </c>
      <c r="C31" s="40" t="s">
        <v>451</v>
      </c>
      <c r="D31" s="82" t="s">
        <v>452</v>
      </c>
      <c r="E31" s="82" t="s">
        <v>99</v>
      </c>
      <c r="F31" s="117" t="n">
        <v>37050</v>
      </c>
      <c r="G31" s="82" t="e">
        <f aca="false"/>
        <v>#REF!</v>
      </c>
      <c r="H31" s="82" t="e">
        <f aca="false"/>
        <v>#REF!</v>
      </c>
      <c r="I31" s="82" t="e">
        <f aca="false"/>
        <v>#REF!</v>
      </c>
      <c r="J31" s="82" t="s">
        <v>267</v>
      </c>
      <c r="K31" s="117" t="n">
        <v>37050</v>
      </c>
      <c r="L31" s="84" t="n">
        <v>1.04117647058824</v>
      </c>
      <c r="M31" s="84" t="n">
        <v>0.688564476885645</v>
      </c>
      <c r="N31" s="11"/>
      <c r="O31" s="11"/>
      <c r="P31" s="84" t="n">
        <v>20.6623228189663</v>
      </c>
      <c r="Q31" s="83" t="n">
        <v>19.988455741299</v>
      </c>
      <c r="R31" s="118" t="n">
        <v>2.19142130920024</v>
      </c>
      <c r="S31" s="84" t="s">
        <v>51</v>
      </c>
      <c r="T31" s="120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</row>
    <row r="32" customFormat="false" ht="12.95" hidden="false" customHeight="true" outlineLevel="0" collapsed="false">
      <c r="A32" s="116" t="s">
        <v>448</v>
      </c>
      <c r="B32" s="10" t="s">
        <v>450</v>
      </c>
      <c r="C32" s="40" t="s">
        <v>451</v>
      </c>
      <c r="D32" s="82" t="s">
        <v>452</v>
      </c>
      <c r="E32" s="82" t="s">
        <v>96</v>
      </c>
      <c r="F32" s="117" t="n">
        <v>37050</v>
      </c>
      <c r="G32" s="82" t="e">
        <f aca="false"/>
        <v>#REF!</v>
      </c>
      <c r="H32" s="82" t="e">
        <f aca="false"/>
        <v>#REF!</v>
      </c>
      <c r="I32" s="82" t="e">
        <f aca="false"/>
        <v>#REF!</v>
      </c>
      <c r="J32" s="82" t="s">
        <v>267</v>
      </c>
      <c r="K32" s="117" t="n">
        <v>37050</v>
      </c>
      <c r="L32" s="84" t="n">
        <v>0.897959183673469</v>
      </c>
      <c r="M32" s="84" t="n">
        <v>0.524590163934426</v>
      </c>
      <c r="N32" s="11"/>
      <c r="O32" s="119"/>
      <c r="P32" s="84" t="n">
        <v>-0.20253164556962</v>
      </c>
      <c r="Q32" s="83" t="n">
        <v>40.6424050632911</v>
      </c>
      <c r="R32" s="118" t="s">
        <v>51</v>
      </c>
      <c r="S32" s="84" t="s">
        <v>51</v>
      </c>
      <c r="T32" s="120"/>
      <c r="Z32" s="51"/>
    </row>
    <row r="33" customFormat="false" ht="12.95" hidden="false" customHeight="true" outlineLevel="0" collapsed="false">
      <c r="A33" s="116"/>
      <c r="C33" s="40"/>
      <c r="D33" s="40"/>
      <c r="E33" s="40"/>
      <c r="F33" s="81"/>
      <c r="G33" s="81"/>
      <c r="H33" s="81"/>
      <c r="I33" s="81"/>
      <c r="J33" s="11"/>
      <c r="K33" s="81"/>
      <c r="L33" s="29"/>
      <c r="M33" s="29"/>
      <c r="N33" s="11"/>
      <c r="O33" s="119"/>
      <c r="P33" s="29"/>
      <c r="Q33" s="94"/>
      <c r="R33" s="85"/>
      <c r="S33" s="40"/>
      <c r="T33" s="120"/>
      <c r="Z33" s="51"/>
      <c r="AA33" s="44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</row>
    <row r="34" customFormat="false" ht="12.95" hidden="false" customHeight="true" outlineLevel="0" collapsed="false">
      <c r="A34" s="11"/>
      <c r="B34" s="121"/>
      <c r="C34" s="121"/>
      <c r="D34" s="11"/>
      <c r="E34" s="121"/>
      <c r="F34" s="11"/>
      <c r="G34" s="11"/>
      <c r="H34" s="11"/>
      <c r="I34" s="11"/>
      <c r="J34" s="11"/>
      <c r="K34" s="11"/>
      <c r="L34" s="11"/>
      <c r="M34" s="11"/>
      <c r="N34" s="11"/>
      <c r="O34" s="96" t="s">
        <v>56</v>
      </c>
      <c r="P34" s="97" t="n">
        <v>8.23449352902423</v>
      </c>
      <c r="Q34" s="97" t="n">
        <v>40.4999078145183</v>
      </c>
      <c r="R34" s="97" t="n">
        <v>2.867763685466</v>
      </c>
      <c r="S34" s="122" t="s">
        <v>51</v>
      </c>
      <c r="T34" s="120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</row>
    <row r="35" customFormat="false" ht="12.95" hidden="false" customHeight="true" outlineLevel="0" collapsed="false">
      <c r="A35" s="11"/>
      <c r="B35" s="121"/>
      <c r="C35" s="121"/>
      <c r="D35" s="12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02" t="s">
        <v>57</v>
      </c>
      <c r="P35" s="83" t="n">
        <v>6.23909147135014</v>
      </c>
      <c r="Q35" s="83" t="n">
        <v>30.3154304022951</v>
      </c>
      <c r="R35" s="83" t="n">
        <v>2.77164812737144</v>
      </c>
      <c r="S35" s="123" t="s">
        <v>51</v>
      </c>
      <c r="T35" s="120"/>
      <c r="Z35" s="5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</row>
    <row r="36" customFormat="false" ht="12.95" hidden="false" customHeight="true" outlineLevel="0" collapsed="false">
      <c r="A36" s="11"/>
      <c r="B36" s="121"/>
      <c r="C36" s="121"/>
      <c r="D36" s="12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02" t="s">
        <v>26</v>
      </c>
      <c r="P36" s="83" t="n">
        <v>20.6623228189663</v>
      </c>
      <c r="Q36" s="83" t="n">
        <v>87.5623188405797</v>
      </c>
      <c r="R36" s="83" t="n">
        <v>3.64022161982631</v>
      </c>
      <c r="S36" s="123" t="s">
        <v>51</v>
      </c>
      <c r="T36" s="120"/>
      <c r="Z36" s="5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  <c r="IJ36" s="11"/>
      <c r="IK36" s="11"/>
      <c r="IL36" s="11"/>
      <c r="IM36" s="11"/>
      <c r="IN36" s="11"/>
      <c r="IO36" s="11"/>
      <c r="IP36" s="11"/>
      <c r="IQ36" s="11"/>
      <c r="IR36" s="11"/>
      <c r="IS36" s="11"/>
      <c r="IT36" s="11"/>
      <c r="IU36" s="11"/>
      <c r="IV36" s="11"/>
      <c r="IW36" s="11"/>
    </row>
    <row r="37" customFormat="false" ht="12.95" hidden="false" customHeight="true" outlineLevel="0" collapsed="false">
      <c r="A37" s="11"/>
      <c r="B37" s="121"/>
      <c r="C37" s="121"/>
      <c r="D37" s="12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04" t="s">
        <v>27</v>
      </c>
      <c r="P37" s="105" t="n">
        <v>-0.20253164556962</v>
      </c>
      <c r="Q37" s="105" t="n">
        <v>13.8064516129032</v>
      </c>
      <c r="R37" s="105" t="n">
        <v>2.19142130920024</v>
      </c>
      <c r="S37" s="125" t="s">
        <v>51</v>
      </c>
      <c r="T37" s="120"/>
      <c r="Z37" s="5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  <c r="IJ37" s="11"/>
      <c r="IK37" s="11"/>
      <c r="IL37" s="11"/>
      <c r="IM37" s="11"/>
      <c r="IN37" s="11"/>
      <c r="IO37" s="11"/>
      <c r="IP37" s="11"/>
      <c r="IQ37" s="11"/>
      <c r="IR37" s="11"/>
      <c r="IS37" s="11"/>
      <c r="IT37" s="11"/>
      <c r="IU37" s="11"/>
      <c r="IV37" s="11"/>
      <c r="IW37" s="11"/>
    </row>
    <row r="38" customFormat="false" ht="12.95" hidden="false" customHeight="true" outlineLevel="0" collapsed="false">
      <c r="A38" s="18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5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  <c r="IW38" s="11"/>
    </row>
    <row r="39" customFormat="false" ht="12.95" hidden="false" customHeight="true" outlineLevel="0" collapsed="false">
      <c r="A39" s="40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  <c r="IL39" s="11"/>
      <c r="IM39" s="11"/>
      <c r="IN39" s="11"/>
      <c r="IO39" s="11"/>
      <c r="IP39" s="11"/>
      <c r="IQ39" s="11"/>
      <c r="IR39" s="11"/>
      <c r="IS39" s="11"/>
      <c r="IT39" s="11"/>
      <c r="IU39" s="11"/>
      <c r="IV39" s="11"/>
      <c r="IW39" s="11"/>
    </row>
    <row r="40" customFormat="false" ht="12.95" hidden="false" customHeight="true" outlineLevel="0" collapsed="false">
      <c r="A40" s="40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  <c r="IJ40" s="11"/>
      <c r="IK40" s="11"/>
      <c r="IL40" s="11"/>
      <c r="IM40" s="11"/>
      <c r="IN40" s="11"/>
      <c r="IO40" s="11"/>
      <c r="IP40" s="11"/>
      <c r="IQ40" s="11"/>
      <c r="IR40" s="11"/>
      <c r="IS40" s="11"/>
      <c r="IT40" s="11"/>
      <c r="IU40" s="11"/>
      <c r="IV40" s="11"/>
      <c r="IW40" s="11"/>
    </row>
    <row r="41" customFormat="false" ht="12.95" hidden="false" customHeight="true" outlineLevel="0" collapsed="false">
      <c r="A41" s="40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  <c r="IJ41" s="11"/>
      <c r="IK41" s="11"/>
      <c r="IL41" s="11"/>
      <c r="IM41" s="11"/>
      <c r="IN41" s="11"/>
      <c r="IO41" s="11"/>
      <c r="IP41" s="11"/>
      <c r="IQ41" s="11"/>
      <c r="IR41" s="11"/>
      <c r="IS41" s="11"/>
      <c r="IT41" s="11"/>
      <c r="IU41" s="11"/>
      <c r="IV41" s="11"/>
      <c r="IW41" s="11"/>
    </row>
    <row r="42" customFormat="false" ht="12.95" hidden="false" customHeight="true" outlineLevel="0" collapsed="false">
      <c r="A42" s="40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  <c r="IR42" s="11"/>
      <c r="IS42" s="11"/>
      <c r="IT42" s="11"/>
      <c r="IU42" s="11"/>
      <c r="IV42" s="11"/>
      <c r="IW42" s="11"/>
    </row>
    <row r="43" customFormat="false" ht="12.95" hidden="false" customHeight="true" outlineLevel="0" collapsed="false">
      <c r="A43" s="40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2.95" hidden="false" customHeight="true" outlineLevel="0" collapsed="false">
      <c r="A44" s="40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  <c r="IJ44" s="11"/>
      <c r="IK44" s="11"/>
      <c r="IL44" s="11"/>
      <c r="IM44" s="11"/>
      <c r="IN44" s="11"/>
      <c r="IO44" s="11"/>
      <c r="IP44" s="11"/>
      <c r="IQ44" s="11"/>
      <c r="IR44" s="11"/>
      <c r="IS44" s="11"/>
      <c r="IT44" s="11"/>
      <c r="IU44" s="11"/>
      <c r="IV44" s="11"/>
      <c r="IW44" s="11"/>
    </row>
    <row r="45" customFormat="false" ht="12.95" hidden="false" customHeight="true" outlineLevel="0" collapsed="false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  <c r="IJ45" s="11"/>
      <c r="IK45" s="11"/>
      <c r="IL45" s="11"/>
      <c r="IM45" s="11"/>
      <c r="IN45" s="11"/>
      <c r="IO45" s="11"/>
      <c r="IP45" s="11"/>
      <c r="IQ45" s="11"/>
      <c r="IR45" s="11"/>
      <c r="IS45" s="11"/>
      <c r="IT45" s="11"/>
      <c r="IU45" s="11"/>
      <c r="IV45" s="11"/>
      <c r="IW45" s="11"/>
    </row>
    <row r="46" customFormat="false" ht="12.95" hidden="false" customHeight="true" outlineLevel="0" collapsed="false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  <c r="IV46" s="11"/>
      <c r="IW46" s="11"/>
    </row>
    <row r="47" customFormat="false" ht="12.95" hidden="false" customHeight="true" outlineLevel="0" collapsed="false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  <c r="IJ47" s="11"/>
      <c r="IK47" s="11"/>
      <c r="IL47" s="11"/>
      <c r="IM47" s="11"/>
      <c r="IN47" s="11"/>
      <c r="IO47" s="11"/>
      <c r="IP47" s="11"/>
      <c r="IQ47" s="11"/>
      <c r="IR47" s="11"/>
      <c r="IS47" s="11"/>
      <c r="IT47" s="11"/>
      <c r="IU47" s="11"/>
      <c r="IV47" s="11"/>
      <c r="IW47" s="11"/>
    </row>
    <row r="48" customFormat="false" ht="12.95" hidden="false" customHeight="true" outlineLevel="0" collapsed="false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  <c r="IJ48" s="11"/>
      <c r="IK48" s="11"/>
      <c r="IL48" s="11"/>
      <c r="IM48" s="11"/>
      <c r="IN48" s="11"/>
      <c r="IO48" s="11"/>
      <c r="IP48" s="11"/>
      <c r="IQ48" s="11"/>
      <c r="IR48" s="11"/>
      <c r="IS48" s="11"/>
      <c r="IT48" s="11"/>
      <c r="IU48" s="11"/>
      <c r="IV48" s="11"/>
      <c r="IW48" s="11"/>
    </row>
    <row r="49" customFormat="false" ht="12.95" hidden="false" customHeight="true" outlineLevel="0" collapsed="false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  <c r="IV49" s="11"/>
      <c r="IW49" s="11"/>
    </row>
    <row r="50" customFormat="false" ht="12.95" hidden="false" customHeight="true" outlineLevel="0" collapsed="false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2.95" hidden="false" customHeight="true" outlineLevel="0" collapsed="false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2.95" hidden="false" customHeight="true" outlineLevel="0" collapsed="false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2.95" hidden="false" customHeight="true" outlineLevel="0" collapsed="false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12.95" hidden="false" customHeight="true" outlineLevel="0" collapsed="false"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12.95" hidden="false" customHeight="true" outlineLevel="0" collapsed="false">
      <c r="AA55" s="11"/>
      <c r="AB55" s="11"/>
      <c r="AC55" s="11"/>
      <c r="AD55" s="11"/>
      <c r="AE55" s="11"/>
      <c r="AF55" s="11"/>
    </row>
    <row r="56" customFormat="false" ht="12.95" hidden="false" customHeight="true" outlineLevel="0" collapsed="false"/>
    <row r="57" customFormat="false" ht="12.95" hidden="false" customHeight="true" outlineLevel="0" collapsed="false"/>
    <row r="58" customFormat="false" ht="12.95" hidden="false" customHeight="true" outlineLevel="0" collapsed="false"/>
    <row r="59" customFormat="false" ht="12.95" hidden="false" customHeight="true" outlineLevel="0" collapsed="false"/>
    <row r="60" customFormat="false" ht="12.95" hidden="false" customHeight="true" outlineLevel="0" collapsed="false"/>
    <row r="61" customFormat="false" ht="12.95" hidden="false" customHeight="true" outlineLevel="0" collapsed="false"/>
    <row r="62" customFormat="false" ht="12.95" hidden="false" customHeight="true" outlineLevel="0" collapsed="false"/>
    <row r="63" customFormat="false" ht="12.95" hidden="false" customHeight="true" outlineLevel="0" collapsed="false"/>
    <row r="64" customFormat="false" ht="12.95" hidden="false" customHeight="true" outlineLevel="0" collapsed="false"/>
    <row r="65" customFormat="false" ht="12.95" hidden="false" customHeight="true" outlineLevel="0" collapsed="false"/>
    <row r="66" customFormat="false" ht="12.95" hidden="false" customHeight="true" outlineLevel="0" collapsed="false"/>
    <row r="67" customFormat="false" ht="12.95" hidden="false" customHeight="true" outlineLevel="0" collapsed="false"/>
    <row r="68" customFormat="false" ht="12.95" hidden="false" customHeight="true" outlineLevel="0" collapsed="false"/>
    <row r="69" customFormat="false" ht="12.95" hidden="false" customHeight="true" outlineLevel="0" collapsed="false"/>
    <row r="70" customFormat="false" ht="12.95" hidden="false" customHeight="true" outlineLevel="0" collapsed="false"/>
    <row r="71" customFormat="false" ht="12.95" hidden="false" customHeight="true" outlineLevel="0" collapsed="false"/>
    <row r="72" customFormat="false" ht="12.95" hidden="false" customHeight="true" outlineLevel="0" collapsed="false"/>
    <row r="73" customFormat="false" ht="12.95" hidden="false" customHeight="true" outlineLevel="0" collapsed="false"/>
    <row r="74" customFormat="false" ht="12.95" hidden="false" customHeight="true" outlineLevel="0" collapsed="false"/>
    <row r="75" customFormat="false" ht="12.95" hidden="false" customHeight="true" outlineLevel="0" collapsed="false"/>
    <row r="76" customFormat="false" ht="12.95" hidden="false" customHeight="true" outlineLevel="0" collapsed="false"/>
    <row r="77" customFormat="false" ht="12.95" hidden="false" customHeight="true" outlineLevel="0" collapsed="false"/>
    <row r="78" customFormat="false" ht="12.95" hidden="false" customHeight="true" outlineLevel="0" collapsed="false"/>
    <row r="79" customFormat="false" ht="12.95" hidden="false" customHeight="true" outlineLevel="0" collapsed="false"/>
    <row r="80" customFormat="false" ht="12.95" hidden="false" customHeight="true" outlineLevel="0" collapsed="false"/>
    <row r="81" customFormat="false" ht="12.95" hidden="false" customHeight="true" outlineLevel="0" collapsed="false"/>
    <row r="82" customFormat="false" ht="12.95" hidden="false" customHeight="true" outlineLevel="0" collapsed="false"/>
    <row r="83" customFormat="false" ht="12.95" hidden="false" customHeight="true" outlineLevel="0" collapsed="false"/>
    <row r="84" customFormat="false" ht="12.95" hidden="false" customHeight="true" outlineLevel="0" collapsed="false"/>
    <row r="85" customFormat="false" ht="12.95" hidden="false" customHeight="true" outlineLevel="0" collapsed="false"/>
    <row r="86" customFormat="false" ht="12.95" hidden="false" customHeight="true" outlineLevel="0" collapsed="false"/>
    <row r="87" customFormat="false" ht="12.95" hidden="false" customHeight="true" outlineLevel="0" collapsed="false"/>
    <row r="88" customFormat="false" ht="12.95" hidden="false" customHeight="true" outlineLevel="0" collapsed="false"/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</sheetData>
  <mergeCells count="18">
    <mergeCell ref="U8:W8"/>
    <mergeCell ref="X8:Y8"/>
    <mergeCell ref="E9:F9"/>
    <mergeCell ref="L9:M9"/>
    <mergeCell ref="N9:O9"/>
    <mergeCell ref="P9:Q9"/>
    <mergeCell ref="F11:I11"/>
    <mergeCell ref="B24:C24"/>
    <mergeCell ref="D24:I24"/>
    <mergeCell ref="J24:K24"/>
    <mergeCell ref="L24:M24"/>
    <mergeCell ref="P24:S24"/>
    <mergeCell ref="B25:C25"/>
    <mergeCell ref="D25:I25"/>
    <mergeCell ref="J25:K25"/>
    <mergeCell ref="L25:M25"/>
    <mergeCell ref="P25:S25"/>
    <mergeCell ref="F28:I28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3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B6" activeCellId="0" sqref="B6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" width="31.14"/>
    <col collapsed="false" customWidth="true" hidden="false" outlineLevel="0" max="2" min="2" style="1" width="14.41"/>
    <col collapsed="false" customWidth="true" hidden="false" outlineLevel="0" max="3" min="3" style="1" width="13.28"/>
    <col collapsed="false" customWidth="true" hidden="false" outlineLevel="0" max="4" min="4" style="1" width="12.14"/>
    <col collapsed="false" customWidth="true" hidden="false" outlineLevel="0" max="5" min="5" style="1" width="12.28"/>
    <col collapsed="false" customWidth="true" hidden="false" outlineLevel="0" max="6" min="6" style="1" width="10.71"/>
    <col collapsed="false" customWidth="true" hidden="false" outlineLevel="0" max="7" min="7" style="1" width="13.14"/>
    <col collapsed="false" customWidth="true" hidden="false" outlineLevel="0" max="8" min="8" style="1" width="10.71"/>
    <col collapsed="false" customWidth="true" hidden="true" outlineLevel="1" max="9" min="9" style="1" width="8.7"/>
    <col collapsed="false" customWidth="true" hidden="false" outlineLevel="0" max="10" min="10" style="1" width="9.56"/>
    <col collapsed="false" customWidth="true" hidden="false" outlineLevel="0" max="11" min="11" style="1" width="10.41"/>
    <col collapsed="false" customWidth="true" hidden="true" outlineLevel="1" max="12" min="12" style="1" width="8.7"/>
    <col collapsed="false" customWidth="true" hidden="false" outlineLevel="0" max="13" min="13" style="1" width="8.7"/>
    <col collapsed="false" customWidth="true" hidden="false" outlineLevel="0" max="14" min="14" style="1" width="9.85"/>
    <col collapsed="false" customWidth="true" hidden="true" outlineLevel="1" max="15" min="15" style="1" width="8.7"/>
    <col collapsed="false" customWidth="true" hidden="false" outlineLevel="0" max="17" min="16" style="1" width="8.7"/>
    <col collapsed="false" customWidth="true" hidden="false" outlineLevel="0" max="22" min="18" style="1" width="9.7"/>
    <col collapsed="false" customWidth="true" hidden="false" outlineLevel="0" max="23" min="23" style="1" width="10.41"/>
    <col collapsed="false" customWidth="true" hidden="false" outlineLevel="0" max="24" min="24" style="1" width="10.13"/>
    <col collapsed="false" customWidth="true" hidden="false" outlineLevel="0" max="26" min="25" style="1" width="10.71"/>
    <col collapsed="false" customWidth="true" hidden="false" outlineLevel="0" max="27" min="27" style="1" width="13.14"/>
    <col collapsed="false" customWidth="true" hidden="false" outlineLevel="0" max="28" min="28" style="1" width="3.28"/>
    <col collapsed="false" customWidth="true" hidden="false" outlineLevel="0" max="30" min="29" style="1" width="10.71"/>
    <col collapsed="false" customWidth="true" hidden="false" outlineLevel="0" max="31" min="31" style="1" width="15.7"/>
    <col collapsed="false" customWidth="false" hidden="false" outlineLevel="0" max="257" min="32" style="1" width="9.14"/>
  </cols>
  <sheetData>
    <row r="1" customFormat="false" ht="18" hidden="false" customHeight="false" outlineLevel="0" collapsed="false">
      <c r="A1" s="2" t="s">
        <v>454</v>
      </c>
      <c r="B1" s="2"/>
      <c r="C1" s="2"/>
    </row>
    <row r="2" customFormat="false" ht="15" hidden="false" customHeight="true" outlineLevel="0" collapsed="false">
      <c r="A2" s="182" t="s">
        <v>1</v>
      </c>
      <c r="B2" s="182"/>
      <c r="C2" s="182"/>
      <c r="AG2" s="4"/>
    </row>
    <row r="3" customFormat="false" ht="12.75" hidden="false" customHeight="false" outlineLevel="0" collapsed="false">
      <c r="A3" s="5" t="s">
        <v>2</v>
      </c>
      <c r="B3" s="5"/>
      <c r="C3" s="5"/>
      <c r="Q3" s="183"/>
      <c r="T3" s="184"/>
      <c r="AG3" s="4"/>
    </row>
    <row r="4" customFormat="false" ht="12.75" hidden="false" customHeight="false" outlineLevel="0" collapsed="false">
      <c r="A4" s="5"/>
      <c r="B4" s="5"/>
      <c r="C4" s="5"/>
      <c r="AG4" s="4"/>
    </row>
    <row r="5" customFormat="false" ht="12.75" hidden="false" customHeight="false" outlineLevel="0" collapsed="false">
      <c r="A5" s="5"/>
      <c r="B5" s="5"/>
      <c r="C5" s="5"/>
      <c r="AG5" s="4"/>
    </row>
    <row r="6" customFormat="false" ht="12.75" hidden="false" customHeight="false" outlineLevel="0" collapsed="false">
      <c r="A6" s="7" t="s">
        <v>3</v>
      </c>
      <c r="B6" s="185" t="n">
        <v>37106</v>
      </c>
      <c r="C6" s="186"/>
    </row>
    <row r="7" customFormat="false" ht="12.75" hidden="false" customHeight="false" outlineLevel="0" collapsed="false">
      <c r="H7" s="16" t="s">
        <v>4</v>
      </c>
      <c r="V7" s="172"/>
      <c r="W7" s="172" t="s">
        <v>5</v>
      </c>
      <c r="X7" s="172"/>
      <c r="Y7" s="172" t="s">
        <v>6</v>
      </c>
      <c r="Z7" s="172"/>
      <c r="AA7" s="16" t="s">
        <v>7</v>
      </c>
    </row>
    <row r="8" customFormat="false" ht="12.75" hidden="false" customHeight="false" outlineLevel="0" collapsed="false">
      <c r="C8" s="16" t="s">
        <v>8</v>
      </c>
      <c r="D8" s="16" t="s">
        <v>9</v>
      </c>
      <c r="E8" s="48" t="s">
        <v>10</v>
      </c>
      <c r="F8" s="48"/>
      <c r="G8" s="16" t="s">
        <v>11</v>
      </c>
      <c r="H8" s="16" t="s">
        <v>11</v>
      </c>
      <c r="I8" s="172" t="s">
        <v>12</v>
      </c>
      <c r="J8" s="172"/>
      <c r="K8" s="172"/>
      <c r="L8" s="172" t="s">
        <v>13</v>
      </c>
      <c r="M8" s="172"/>
      <c r="N8" s="172"/>
      <c r="O8" s="172" t="s">
        <v>14</v>
      </c>
      <c r="P8" s="172"/>
      <c r="Q8" s="172"/>
      <c r="R8" s="48" t="s">
        <v>15</v>
      </c>
      <c r="S8" s="48" t="s">
        <v>16</v>
      </c>
      <c r="T8" s="16" t="s">
        <v>17</v>
      </c>
      <c r="U8" s="48" t="s">
        <v>18</v>
      </c>
      <c r="V8" s="16" t="s">
        <v>18</v>
      </c>
      <c r="W8" s="16"/>
      <c r="X8" s="16" t="s">
        <v>19</v>
      </c>
      <c r="Y8" s="16" t="s">
        <v>18</v>
      </c>
      <c r="Z8" s="16" t="s">
        <v>20</v>
      </c>
      <c r="AA8" s="16" t="s">
        <v>21</v>
      </c>
      <c r="AB8" s="48"/>
    </row>
    <row r="9" customFormat="false" ht="12.75" hidden="false" customHeight="false" outlineLevel="0" collapsed="false">
      <c r="A9" s="16" t="s">
        <v>22</v>
      </c>
      <c r="B9" s="16" t="s">
        <v>23</v>
      </c>
      <c r="C9" s="16" t="s">
        <v>24</v>
      </c>
      <c r="D9" s="16" t="s">
        <v>25</v>
      </c>
      <c r="E9" s="16" t="s">
        <v>26</v>
      </c>
      <c r="F9" s="16" t="s">
        <v>27</v>
      </c>
      <c r="G9" s="16" t="s">
        <v>28</v>
      </c>
      <c r="H9" s="16" t="s">
        <v>28</v>
      </c>
      <c r="I9" s="16" t="s">
        <v>29</v>
      </c>
      <c r="J9" s="16" t="s">
        <v>30</v>
      </c>
      <c r="K9" s="16" t="s">
        <v>31</v>
      </c>
      <c r="L9" s="16" t="s">
        <v>29</v>
      </c>
      <c r="M9" s="16" t="s">
        <v>30</v>
      </c>
      <c r="N9" s="16" t="s">
        <v>31</v>
      </c>
      <c r="O9" s="16" t="s">
        <v>29</v>
      </c>
      <c r="P9" s="16" t="s">
        <v>30</v>
      </c>
      <c r="Q9" s="16" t="s">
        <v>31</v>
      </c>
      <c r="R9" s="16" t="s">
        <v>32</v>
      </c>
      <c r="S9" s="16" t="s">
        <v>33</v>
      </c>
      <c r="T9" s="16" t="s">
        <v>455</v>
      </c>
      <c r="U9" s="16" t="s">
        <v>456</v>
      </c>
      <c r="V9" s="16" t="s">
        <v>35</v>
      </c>
      <c r="W9" s="16" t="s">
        <v>36</v>
      </c>
      <c r="X9" s="16" t="s">
        <v>37</v>
      </c>
      <c r="Y9" s="16" t="s">
        <v>38</v>
      </c>
      <c r="Z9" s="16" t="s">
        <v>6</v>
      </c>
      <c r="AA9" s="16" t="s">
        <v>39</v>
      </c>
      <c r="AB9" s="48"/>
    </row>
    <row r="10" customFormat="false" ht="4.9" hidden="false" customHeight="true" outlineLevel="0" collapsed="false">
      <c r="A10" s="14" t="s">
        <v>40</v>
      </c>
      <c r="B10" s="14" t="s">
        <v>40</v>
      </c>
      <c r="C10" s="14" t="s">
        <v>40</v>
      </c>
      <c r="D10" s="14" t="s">
        <v>40</v>
      </c>
      <c r="E10" s="14" t="s">
        <v>40</v>
      </c>
      <c r="F10" s="14" t="s">
        <v>40</v>
      </c>
      <c r="G10" s="14" t="s">
        <v>40</v>
      </c>
      <c r="H10" s="14" t="s">
        <v>40</v>
      </c>
      <c r="I10" s="14" t="s">
        <v>40</v>
      </c>
      <c r="J10" s="14" t="s">
        <v>40</v>
      </c>
      <c r="K10" s="14" t="s">
        <v>40</v>
      </c>
      <c r="L10" s="14" t="s">
        <v>40</v>
      </c>
      <c r="M10" s="14" t="s">
        <v>40</v>
      </c>
      <c r="N10" s="14" t="s">
        <v>40</v>
      </c>
      <c r="O10" s="14" t="s">
        <v>40</v>
      </c>
      <c r="P10" s="14" t="s">
        <v>40</v>
      </c>
      <c r="Q10" s="14" t="s">
        <v>40</v>
      </c>
      <c r="R10" s="14" t="s">
        <v>40</v>
      </c>
      <c r="S10" s="45" t="s">
        <v>40</v>
      </c>
      <c r="T10" s="45"/>
      <c r="U10" s="45"/>
      <c r="V10" s="14" t="s">
        <v>40</v>
      </c>
      <c r="W10" s="14" t="s">
        <v>40</v>
      </c>
      <c r="X10" s="14" t="s">
        <v>40</v>
      </c>
      <c r="Y10" s="14" t="s">
        <v>40</v>
      </c>
      <c r="Z10" s="14" t="s">
        <v>40</v>
      </c>
      <c r="AA10" s="14" t="s">
        <v>40</v>
      </c>
      <c r="AB10" s="15"/>
    </row>
    <row r="11" customFormat="false" ht="12.95" hidden="false" customHeight="true" outlineLevel="0" collapsed="false">
      <c r="A11" s="1" t="s">
        <v>457</v>
      </c>
      <c r="B11" s="16" t="s">
        <v>458</v>
      </c>
      <c r="C11" s="25" t="n">
        <v>37109</v>
      </c>
      <c r="D11" s="18" t="n">
        <v>36.5</v>
      </c>
      <c r="E11" s="18" t="n">
        <v>38.1</v>
      </c>
      <c r="F11" s="18" t="n">
        <v>27</v>
      </c>
      <c r="G11" s="19" t="n">
        <v>1484.65153846154</v>
      </c>
      <c r="H11" s="19" t="n">
        <v>1798.07053846154</v>
      </c>
      <c r="I11" s="21" t="n">
        <v>22.8043060097926</v>
      </c>
      <c r="J11" s="21" t="n">
        <v>15.0329489291598</v>
      </c>
      <c r="K11" s="21" t="n">
        <v>14.2578125</v>
      </c>
      <c r="L11" s="21" t="s">
        <v>169</v>
      </c>
      <c r="M11" s="21" t="n">
        <v>15.0329489291598</v>
      </c>
      <c r="N11" s="21" t="n">
        <v>14.2578125</v>
      </c>
      <c r="O11" s="21" t="n">
        <v>13.3834379481262</v>
      </c>
      <c r="P11" s="21" t="n">
        <v>11.9258782732634</v>
      </c>
      <c r="Q11" s="21" t="n">
        <v>11.5821638898609</v>
      </c>
      <c r="R11" s="22" t="n">
        <v>0.477688997242435</v>
      </c>
      <c r="S11" s="21" t="n">
        <v>4.29870266976344</v>
      </c>
      <c r="T11" s="22" t="n">
        <v>0.0659340659340659</v>
      </c>
      <c r="U11" s="22" t="n">
        <v>0.3238096</v>
      </c>
      <c r="V11" s="23" t="n">
        <v>0</v>
      </c>
      <c r="W11" s="22" t="s">
        <v>51</v>
      </c>
      <c r="X11" s="18" t="s">
        <v>51</v>
      </c>
      <c r="Y11" s="19" t="n">
        <v>0</v>
      </c>
      <c r="Z11" s="21" t="s">
        <v>51</v>
      </c>
      <c r="AA11" s="24" t="n">
        <v>40.6753846153846</v>
      </c>
      <c r="AF11" s="67" t="s">
        <v>110</v>
      </c>
    </row>
    <row r="12" customFormat="false" ht="12.95" hidden="false" customHeight="true" outlineLevel="0" collapsed="false">
      <c r="A12" s="1" t="s">
        <v>459</v>
      </c>
      <c r="B12" s="16" t="s">
        <v>460</v>
      </c>
      <c r="C12" s="25" t="n">
        <v>37109</v>
      </c>
      <c r="D12" s="18" t="n">
        <v>19.95</v>
      </c>
      <c r="E12" s="18" t="n">
        <v>20.48</v>
      </c>
      <c r="F12" s="18" t="n">
        <v>13.8125</v>
      </c>
      <c r="G12" s="19" t="n">
        <v>550.370927272727</v>
      </c>
      <c r="H12" s="19" t="n">
        <v>798.343927272727</v>
      </c>
      <c r="I12" s="21" t="n">
        <v>32.6029812968872</v>
      </c>
      <c r="J12" s="21" t="n">
        <v>29.6295243243243</v>
      </c>
      <c r="K12" s="21" t="n">
        <v>27.8246802030457</v>
      </c>
      <c r="L12" s="21" t="n">
        <v>10.8204413194545</v>
      </c>
      <c r="M12" s="21" t="n">
        <v>10.2841688555347</v>
      </c>
      <c r="N12" s="21" t="n">
        <v>9.96629454545454</v>
      </c>
      <c r="O12" s="21" t="n">
        <v>6.80655124689562</v>
      </c>
      <c r="P12" s="21" t="n">
        <v>9.06179259106387</v>
      </c>
      <c r="Q12" s="21" t="n">
        <v>8.94002158200142</v>
      </c>
      <c r="R12" s="22" t="n">
        <v>0.698920094101412</v>
      </c>
      <c r="S12" s="21" t="n">
        <v>6.49665856830737</v>
      </c>
      <c r="T12" s="22" t="n">
        <v>0.095959595959596</v>
      </c>
      <c r="U12" s="22" t="n">
        <v>0.2961831</v>
      </c>
      <c r="V12" s="26" t="n">
        <v>0</v>
      </c>
      <c r="W12" s="22" t="s">
        <v>51</v>
      </c>
      <c r="X12" s="18" t="s">
        <v>51</v>
      </c>
      <c r="Y12" s="19" t="n">
        <v>0</v>
      </c>
      <c r="Z12" s="21" t="s">
        <v>51</v>
      </c>
      <c r="AA12" s="27" t="n">
        <v>27.5875151515152</v>
      </c>
      <c r="AB12" s="28"/>
      <c r="AF12" s="68" t="n">
        <v>50</v>
      </c>
    </row>
    <row r="13" customFormat="false" ht="12.95" hidden="false" customHeight="true" outlineLevel="0" collapsed="false">
      <c r="A13" s="1" t="s">
        <v>461</v>
      </c>
      <c r="B13" s="16" t="s">
        <v>462</v>
      </c>
      <c r="C13" s="25" t="n">
        <v>37109</v>
      </c>
      <c r="D13" s="18" t="n">
        <v>43.05</v>
      </c>
      <c r="E13" s="18" t="n">
        <v>43.9</v>
      </c>
      <c r="F13" s="18" t="n">
        <v>22.4375</v>
      </c>
      <c r="G13" s="19" t="n">
        <v>2002.88037075</v>
      </c>
      <c r="H13" s="19" t="n">
        <v>2498.55537075</v>
      </c>
      <c r="I13" s="21" t="n">
        <v>9.85044125899404</v>
      </c>
      <c r="J13" s="21" t="n">
        <v>10.8091919739696</v>
      </c>
      <c r="K13" s="21" t="n">
        <v>10.571336589698</v>
      </c>
      <c r="L13" s="21" t="n">
        <v>8.1352422470938</v>
      </c>
      <c r="M13" s="21" t="n">
        <v>8.2432382133995</v>
      </c>
      <c r="N13" s="21" t="n">
        <v>8.25759625390219</v>
      </c>
      <c r="O13" s="21" t="n">
        <v>7.54477172500433</v>
      </c>
      <c r="P13" s="21" t="n">
        <v>8.45248772242896</v>
      </c>
      <c r="Q13" s="21" t="n">
        <v>7.10422340275803</v>
      </c>
      <c r="R13" s="22" t="n">
        <v>0.475994026247799</v>
      </c>
      <c r="S13" s="21" t="n">
        <v>2.1704875931832</v>
      </c>
      <c r="T13" s="22" t="n">
        <v>0.0520094562647754</v>
      </c>
      <c r="U13" s="22" t="n">
        <v>0.3992048</v>
      </c>
      <c r="V13" s="26" t="n">
        <v>0</v>
      </c>
      <c r="W13" s="22" t="s">
        <v>51</v>
      </c>
      <c r="X13" s="18" t="s">
        <v>51</v>
      </c>
      <c r="Y13" s="19" t="n">
        <v>0</v>
      </c>
      <c r="Z13" s="21" t="s">
        <v>51</v>
      </c>
      <c r="AA13" s="27" t="n">
        <v>46.524515</v>
      </c>
      <c r="AB13" s="28"/>
    </row>
    <row r="14" customFormat="false" ht="12.95" hidden="false" customHeight="true" outlineLevel="0" collapsed="false">
      <c r="A14" s="1" t="s">
        <v>463</v>
      </c>
      <c r="B14" s="16" t="s">
        <v>464</v>
      </c>
      <c r="C14" s="25" t="n">
        <v>37109</v>
      </c>
      <c r="D14" s="18" t="n">
        <v>35.38</v>
      </c>
      <c r="E14" s="18" t="n">
        <v>35.7</v>
      </c>
      <c r="F14" s="18" t="n">
        <v>22.5625</v>
      </c>
      <c r="G14" s="19" t="n">
        <v>1156.70090402797</v>
      </c>
      <c r="H14" s="19" t="n">
        <v>1646.70990402797</v>
      </c>
      <c r="I14" s="21" t="n">
        <v>47.2585759122394</v>
      </c>
      <c r="J14" s="21" t="s">
        <v>169</v>
      </c>
      <c r="K14" s="21" t="s">
        <v>169</v>
      </c>
      <c r="L14" s="21" t="n">
        <v>14.5760988964662</v>
      </c>
      <c r="M14" s="21" t="n">
        <v>27.1128140703518</v>
      </c>
      <c r="N14" s="21" t="n">
        <v>21.810562248996</v>
      </c>
      <c r="O14" s="21" t="n">
        <v>14.5029954364308</v>
      </c>
      <c r="P14" s="21" t="n">
        <v>13.1421381007819</v>
      </c>
      <c r="Q14" s="21" t="n">
        <v>12.072653255337</v>
      </c>
      <c r="R14" s="22" t="n">
        <v>0.609887500339989</v>
      </c>
      <c r="S14" s="21" t="n">
        <v>3.10362094379832</v>
      </c>
      <c r="T14" s="22" t="n">
        <v>0.0643356643356643</v>
      </c>
      <c r="U14" s="22" t="n">
        <v>0.3649203</v>
      </c>
      <c r="V14" s="26" t="n">
        <v>0</v>
      </c>
      <c r="W14" s="22" t="s">
        <v>51</v>
      </c>
      <c r="X14" s="18" t="s">
        <v>51</v>
      </c>
      <c r="Y14" s="19" t="n">
        <v>0</v>
      </c>
      <c r="Z14" s="21" t="s">
        <v>51</v>
      </c>
      <c r="AA14" s="27" t="n">
        <v>32.6936377622378</v>
      </c>
      <c r="AB14" s="28"/>
    </row>
    <row r="15" customFormat="false" ht="12.95" hidden="false" customHeight="true" outlineLevel="0" collapsed="false">
      <c r="A15" s="1" t="s">
        <v>465</v>
      </c>
      <c r="B15" s="16" t="s">
        <v>466</v>
      </c>
      <c r="C15" s="25" t="n">
        <v>37109</v>
      </c>
      <c r="D15" s="18" t="n">
        <v>5.06</v>
      </c>
      <c r="E15" s="18" t="n">
        <v>7</v>
      </c>
      <c r="F15" s="18" t="n">
        <v>3.25</v>
      </c>
      <c r="G15" s="19" t="n">
        <v>43.63907944</v>
      </c>
      <c r="H15" s="19" t="n">
        <v>53.02107944</v>
      </c>
      <c r="I15" s="21" t="n">
        <v>9.90671496935237</v>
      </c>
      <c r="J15" s="21" t="s">
        <v>169</v>
      </c>
      <c r="K15" s="21" t="s">
        <v>51</v>
      </c>
      <c r="L15" s="21" t="n">
        <v>3.09321515735747</v>
      </c>
      <c r="M15" s="21" t="n">
        <v>4.98992816410084</v>
      </c>
      <c r="N15" s="21" t="s">
        <v>51</v>
      </c>
      <c r="O15" s="21" t="n">
        <v>0.539693533682094</v>
      </c>
      <c r="P15" s="21" t="n">
        <v>8.24277289567785</v>
      </c>
      <c r="Q15" s="21" t="s">
        <v>51</v>
      </c>
      <c r="R15" s="22" t="n">
        <v>0.174346635981659</v>
      </c>
      <c r="S15" s="21" t="n">
        <v>0.525654244229606</v>
      </c>
      <c r="T15" s="22" t="n">
        <v>0.156862745098039</v>
      </c>
      <c r="U15" s="22" t="n">
        <v>0.5724137</v>
      </c>
      <c r="V15" s="26" t="n">
        <v>0</v>
      </c>
      <c r="W15" s="22" t="s">
        <v>51</v>
      </c>
      <c r="X15" s="18" t="s">
        <v>51</v>
      </c>
      <c r="Y15" s="19" t="n">
        <v>0</v>
      </c>
      <c r="Z15" s="21" t="s">
        <v>51</v>
      </c>
      <c r="AA15" s="27" t="n">
        <v>8.624324</v>
      </c>
      <c r="AB15" s="28"/>
    </row>
    <row r="16" customFormat="false" ht="12.95" hidden="false" customHeight="true" outlineLevel="0" collapsed="false">
      <c r="A16" s="1" t="s">
        <v>467</v>
      </c>
      <c r="B16" s="16" t="s">
        <v>468</v>
      </c>
      <c r="C16" s="25" t="n">
        <v>37109</v>
      </c>
      <c r="D16" s="18" t="n">
        <v>71.61</v>
      </c>
      <c r="E16" s="18" t="n">
        <v>73.99</v>
      </c>
      <c r="F16" s="18" t="n">
        <v>40.875</v>
      </c>
      <c r="G16" s="19" t="n">
        <v>4836.15607167</v>
      </c>
      <c r="H16" s="19" t="n">
        <v>7937.20707167</v>
      </c>
      <c r="I16" s="21" t="n">
        <v>25.2381318940513</v>
      </c>
      <c r="J16" s="21" t="n">
        <v>23.1878851900172</v>
      </c>
      <c r="K16" s="21" t="n">
        <v>22.1519448698315</v>
      </c>
      <c r="L16" s="21" t="n">
        <v>25.2381318940513</v>
      </c>
      <c r="M16" s="21" t="n">
        <v>15.0246063647023</v>
      </c>
      <c r="N16" s="21" t="n">
        <v>14.7630005227392</v>
      </c>
      <c r="O16" s="21" t="n">
        <v>8.69321295468027</v>
      </c>
      <c r="P16" s="21" t="n">
        <v>12.1624380503678</v>
      </c>
      <c r="Q16" s="21" t="n">
        <v>11.882046514476</v>
      </c>
      <c r="R16" s="22" t="n">
        <v>0.599037666437583</v>
      </c>
      <c r="S16" s="21" t="n">
        <v>2.3237656818706</v>
      </c>
      <c r="T16" s="22" t="n">
        <v>0.0586674116496717</v>
      </c>
      <c r="U16" s="22" t="n">
        <v>0.3254605</v>
      </c>
      <c r="V16" s="26" t="n">
        <v>0</v>
      </c>
      <c r="W16" s="22" t="s">
        <v>51</v>
      </c>
      <c r="X16" s="18" t="s">
        <v>51</v>
      </c>
      <c r="Y16" s="19" t="n">
        <v>0</v>
      </c>
      <c r="Z16" s="21" t="s">
        <v>51</v>
      </c>
      <c r="AA16" s="27" t="n">
        <v>67.534647</v>
      </c>
      <c r="AB16" s="28"/>
    </row>
    <row r="17" customFormat="false" ht="12.95" hidden="false" customHeight="true" outlineLevel="0" collapsed="false">
      <c r="A17" s="35" t="s">
        <v>469</v>
      </c>
      <c r="B17" s="36" t="s">
        <v>470</v>
      </c>
      <c r="C17" s="53" t="n">
        <v>37109</v>
      </c>
      <c r="D17" s="18" t="n">
        <v>37.42</v>
      </c>
      <c r="E17" s="18" t="n">
        <v>39</v>
      </c>
      <c r="F17" s="18" t="n">
        <v>24.625</v>
      </c>
      <c r="G17" s="19" t="n">
        <v>759.68763074</v>
      </c>
      <c r="H17" s="19" t="n">
        <v>1043.19763074</v>
      </c>
      <c r="I17" s="21" t="n">
        <v>16.0923494056092</v>
      </c>
      <c r="J17" s="21" t="n">
        <v>14.2281368821293</v>
      </c>
      <c r="K17" s="21" t="n">
        <v>13.6569343065693</v>
      </c>
      <c r="L17" s="21" t="n">
        <v>11.6778004540843</v>
      </c>
      <c r="M17" s="21" t="n">
        <v>13.6072727272727</v>
      </c>
      <c r="N17" s="21" t="n">
        <v>10.1836833259721</v>
      </c>
      <c r="O17" s="21" t="n">
        <v>9.27726782932578</v>
      </c>
      <c r="P17" s="21" t="n">
        <v>11.6274120040548</v>
      </c>
      <c r="Q17" s="21" t="n">
        <v>11.430098102161</v>
      </c>
      <c r="R17" s="22" t="n">
        <v>0.585449429457004</v>
      </c>
      <c r="S17" s="21" t="n">
        <v>3.62634972738686</v>
      </c>
      <c r="T17" s="22" t="n">
        <v>0.0749665327978581</v>
      </c>
      <c r="U17" s="22" t="n">
        <v>0.2576065</v>
      </c>
      <c r="V17" s="26" t="n">
        <v>0</v>
      </c>
      <c r="W17" s="22" t="s">
        <v>51</v>
      </c>
      <c r="X17" s="18" t="s">
        <v>51</v>
      </c>
      <c r="Y17" s="19" t="n">
        <v>0</v>
      </c>
      <c r="Z17" s="21" t="s">
        <v>51</v>
      </c>
      <c r="AA17" s="27" t="n">
        <v>20.301647</v>
      </c>
      <c r="AB17" s="28"/>
    </row>
    <row r="18" customFormat="false" ht="12.95" hidden="false" customHeight="true" outlineLevel="0" collapsed="false">
      <c r="A18" s="35" t="s">
        <v>471</v>
      </c>
      <c r="B18" s="36" t="s">
        <v>472</v>
      </c>
      <c r="C18" s="53" t="n">
        <v>37109</v>
      </c>
      <c r="D18" s="18" t="n">
        <v>24.88</v>
      </c>
      <c r="E18" s="18" t="n">
        <v>28</v>
      </c>
      <c r="F18" s="18" t="n">
        <v>18</v>
      </c>
      <c r="G18" s="19" t="n">
        <v>789.1936</v>
      </c>
      <c r="H18" s="19" t="n">
        <v>1118.2436</v>
      </c>
      <c r="I18" s="21" t="n">
        <v>19.7313198489886</v>
      </c>
      <c r="J18" s="21" t="n">
        <v>15.0152982456142</v>
      </c>
      <c r="K18" s="21" t="n">
        <v>12.6608284023669</v>
      </c>
      <c r="L18" s="21" t="n">
        <v>7.88712485383915</v>
      </c>
      <c r="M18" s="21" t="n">
        <v>11.3210582010583</v>
      </c>
      <c r="N18" s="21" t="n">
        <v>9.99850467289724</v>
      </c>
      <c r="O18" s="21" t="n">
        <v>9.54123364847545</v>
      </c>
      <c r="P18" s="21" t="n">
        <v>9.77485664335669</v>
      </c>
      <c r="Q18" s="21" t="n">
        <v>8.47154242424245</v>
      </c>
      <c r="R18" s="22" t="n">
        <v>0.611040010462694</v>
      </c>
      <c r="S18" s="21" t="n">
        <v>3.85004415000268</v>
      </c>
      <c r="T18" s="22" t="n">
        <v>0.0763052208835341</v>
      </c>
      <c r="U18" s="22" t="n">
        <v>0.3771242</v>
      </c>
      <c r="V18" s="26" t="n">
        <v>0</v>
      </c>
      <c r="W18" s="22" t="s">
        <v>51</v>
      </c>
      <c r="X18" s="18" t="s">
        <v>51</v>
      </c>
      <c r="Y18" s="19" t="n">
        <v>0</v>
      </c>
      <c r="Z18" s="21" t="s">
        <v>51</v>
      </c>
      <c r="AA18" s="27" t="n">
        <v>31.72</v>
      </c>
      <c r="AB18" s="28"/>
      <c r="AC18" s="16"/>
      <c r="AD18" s="69"/>
      <c r="AE18" s="70"/>
      <c r="AF18" s="15"/>
    </row>
    <row r="19" customFormat="false" ht="12.95" hidden="false" customHeight="true" outlineLevel="0" collapsed="false">
      <c r="A19" s="35" t="s">
        <v>473</v>
      </c>
      <c r="B19" s="36" t="s">
        <v>474</v>
      </c>
      <c r="C19" s="53" t="n">
        <v>37109</v>
      </c>
      <c r="D19" s="18" t="n">
        <v>31</v>
      </c>
      <c r="E19" s="18" t="n">
        <v>31.9</v>
      </c>
      <c r="F19" s="18" t="n">
        <v>21.625</v>
      </c>
      <c r="G19" s="19" t="n">
        <v>1174.559</v>
      </c>
      <c r="H19" s="19" t="n">
        <v>1968.17</v>
      </c>
      <c r="I19" s="21" t="n">
        <v>18.2705523667304</v>
      </c>
      <c r="J19" s="21" t="n">
        <v>16.7177097203728</v>
      </c>
      <c r="K19" s="21" t="n">
        <v>15.3725029377203</v>
      </c>
      <c r="L19" s="21" t="n">
        <v>11.6166452378598</v>
      </c>
      <c r="M19" s="21" t="n">
        <v>10.4537885095753</v>
      </c>
      <c r="N19" s="21" t="n">
        <v>9.88813303099017</v>
      </c>
      <c r="O19" s="21" t="n">
        <v>7.81024290663422</v>
      </c>
      <c r="P19" s="21" t="n">
        <v>10.3261804826862</v>
      </c>
      <c r="Q19" s="21" t="n">
        <v>9.80164342629484</v>
      </c>
      <c r="R19" s="22" t="n">
        <v>0.630719891390514</v>
      </c>
      <c r="S19" s="21" t="n">
        <v>3.29149187186666</v>
      </c>
      <c r="T19" s="22" t="n">
        <v>0.0679831660731628</v>
      </c>
      <c r="U19" s="22" t="n">
        <v>0.3003562</v>
      </c>
      <c r="V19" s="26" t="n">
        <v>0</v>
      </c>
      <c r="W19" s="22" t="s">
        <v>51</v>
      </c>
      <c r="X19" s="18" t="s">
        <v>51</v>
      </c>
      <c r="Y19" s="19" t="n">
        <v>0</v>
      </c>
      <c r="Z19" s="21" t="s">
        <v>51</v>
      </c>
      <c r="AA19" s="27" t="n">
        <v>37.889</v>
      </c>
      <c r="AB19" s="28"/>
      <c r="AC19" s="16"/>
      <c r="AD19" s="69"/>
      <c r="AE19" s="70"/>
      <c r="AF19" s="15"/>
    </row>
    <row r="20" customFormat="false" ht="12.95" hidden="false" customHeight="true" outlineLevel="0" collapsed="false">
      <c r="A20" s="35"/>
      <c r="B20" s="36"/>
      <c r="C20" s="53"/>
      <c r="D20" s="18"/>
      <c r="E20" s="18"/>
      <c r="F20" s="18"/>
      <c r="G20" s="19"/>
      <c r="H20" s="19"/>
      <c r="I20" s="21"/>
      <c r="J20" s="21"/>
      <c r="K20" s="21"/>
      <c r="L20" s="21"/>
      <c r="M20" s="21"/>
      <c r="N20" s="21"/>
      <c r="O20" s="21"/>
      <c r="P20" s="21"/>
      <c r="Q20" s="21"/>
      <c r="R20" s="22"/>
      <c r="S20" s="21"/>
      <c r="T20" s="22"/>
      <c r="U20" s="26"/>
      <c r="V20" s="22"/>
      <c r="W20" s="18"/>
      <c r="X20" s="19"/>
      <c r="Y20" s="21"/>
      <c r="Z20" s="27"/>
      <c r="AA20" s="28"/>
      <c r="AB20" s="16"/>
      <c r="AC20" s="69"/>
      <c r="AD20" s="70"/>
      <c r="AE20" s="15"/>
    </row>
    <row r="21" customFormat="false" ht="12.95" hidden="false" customHeight="true" outlineLevel="0" collapsed="false">
      <c r="B21" s="16"/>
      <c r="C21" s="25"/>
      <c r="D21" s="18"/>
      <c r="E21" s="18"/>
      <c r="F21" s="18"/>
      <c r="G21" s="19"/>
      <c r="H21" s="19"/>
      <c r="I21" s="21"/>
      <c r="J21" s="21"/>
      <c r="K21" s="21"/>
      <c r="L21" s="21"/>
      <c r="M21" s="21"/>
      <c r="N21" s="21"/>
      <c r="O21" s="21"/>
      <c r="P21" s="21"/>
      <c r="Q21" s="21"/>
      <c r="R21" s="22"/>
      <c r="S21" s="21"/>
      <c r="T21" s="22"/>
      <c r="U21" s="26"/>
      <c r="V21" s="22"/>
      <c r="W21" s="18"/>
      <c r="X21" s="37"/>
      <c r="Y21" s="21"/>
      <c r="Z21" s="27"/>
    </row>
    <row r="22" customFormat="false" ht="12.95" hidden="false" customHeight="true" outlineLevel="0" collapsed="false">
      <c r="B22" s="30"/>
      <c r="C22" s="30"/>
      <c r="D22" s="30"/>
      <c r="E22" s="30"/>
      <c r="F22" s="30"/>
      <c r="G22" s="30"/>
      <c r="H22" s="15" t="s">
        <v>56</v>
      </c>
      <c r="I22" s="30"/>
      <c r="J22" s="21" t="n">
        <v>17.8029564665125</v>
      </c>
      <c r="K22" s="21" t="n">
        <v>16.6422914013188</v>
      </c>
      <c r="L22" s="21" t="n">
        <v>11.6305875075258</v>
      </c>
      <c r="M22" s="21" t="n">
        <v>12.8966471150173</v>
      </c>
      <c r="N22" s="21" t="n">
        <v>12.3906983876189</v>
      </c>
      <c r="O22" s="21" t="n">
        <v>8.67771191436164</v>
      </c>
      <c r="P22" s="21" t="n">
        <v>10.5239951959646</v>
      </c>
      <c r="Q22" s="21" t="n">
        <v>10.1605490746415</v>
      </c>
      <c r="R22" s="22" t="n">
        <v>0.54034269462901</v>
      </c>
      <c r="S22" s="21" t="n">
        <v>3.29853060560097</v>
      </c>
      <c r="T22" s="22" t="n">
        <v>0.0792248732218186</v>
      </c>
      <c r="U22" s="22" t="n">
        <v>0.357453211111111</v>
      </c>
      <c r="V22" s="22"/>
      <c r="W22" s="18" t="s">
        <v>51</v>
      </c>
      <c r="X22" s="18" t="s">
        <v>51</v>
      </c>
      <c r="Y22" s="21"/>
      <c r="Z22" s="18" t="s">
        <v>51</v>
      </c>
    </row>
    <row r="23" customFormat="false" ht="12.95" hidden="false" customHeight="true" outlineLevel="0" collapsed="false">
      <c r="B23" s="30"/>
      <c r="C23" s="30"/>
      <c r="D23" s="30"/>
      <c r="E23" s="30"/>
      <c r="F23" s="30"/>
      <c r="G23" s="30"/>
      <c r="H23" s="15" t="s">
        <v>57</v>
      </c>
      <c r="I23" s="30"/>
      <c r="J23" s="21" t="n">
        <v>15.0329489291598</v>
      </c>
      <c r="K23" s="21" t="n">
        <v>14.2578125</v>
      </c>
      <c r="L23" s="21" t="n">
        <v>11.2185432786572</v>
      </c>
      <c r="M23" s="21" t="n">
        <v>11.3210582010583</v>
      </c>
      <c r="N23" s="21" t="n">
        <v>10.0910939994347</v>
      </c>
      <c r="O23" s="21" t="n">
        <v>8.69321295468027</v>
      </c>
      <c r="P23" s="21" t="n">
        <v>10.3261804826862</v>
      </c>
      <c r="Q23" s="21" t="n">
        <v>10.6158707642279</v>
      </c>
      <c r="R23" s="22" t="n">
        <v>0.599037666437583</v>
      </c>
      <c r="S23" s="21" t="n">
        <v>3.29149187186666</v>
      </c>
      <c r="T23" s="22" t="n">
        <v>0.0679831660731628</v>
      </c>
      <c r="U23" s="22" t="n">
        <v>0.3254605</v>
      </c>
      <c r="V23" s="22"/>
      <c r="W23" s="18" t="s">
        <v>51</v>
      </c>
      <c r="X23" s="18" t="s">
        <v>51</v>
      </c>
      <c r="Y23" s="21"/>
      <c r="Z23" s="18" t="s">
        <v>51</v>
      </c>
    </row>
    <row r="24" customFormat="false" ht="12.95" hidden="false" customHeight="true" outlineLevel="0" collapsed="false">
      <c r="B24" s="30"/>
      <c r="C24" s="30"/>
      <c r="D24" s="30"/>
      <c r="E24" s="30"/>
      <c r="F24" s="30"/>
      <c r="G24" s="30"/>
      <c r="H24" s="15" t="s">
        <v>26</v>
      </c>
      <c r="I24" s="30"/>
      <c r="J24" s="21" t="n">
        <v>29.6295243243243</v>
      </c>
      <c r="K24" s="21" t="n">
        <v>27.8246802030457</v>
      </c>
      <c r="L24" s="21" t="n">
        <v>25.2381318940513</v>
      </c>
      <c r="M24" s="21" t="n">
        <v>27.1128140703518</v>
      </c>
      <c r="N24" s="21" t="n">
        <v>21.810562248996</v>
      </c>
      <c r="O24" s="21" t="n">
        <v>14.5029954364308</v>
      </c>
      <c r="P24" s="21" t="n">
        <v>13.1421381007819</v>
      </c>
      <c r="Q24" s="21" t="n">
        <v>12.072653255337</v>
      </c>
      <c r="R24" s="22" t="n">
        <v>0.698920094101412</v>
      </c>
      <c r="S24" s="21" t="n">
        <v>6.49665856830737</v>
      </c>
      <c r="T24" s="22" t="n">
        <v>0.156862745098039</v>
      </c>
      <c r="U24" s="22" t="n">
        <v>0.5724137</v>
      </c>
      <c r="V24" s="22"/>
      <c r="W24" s="18" t="s">
        <v>51</v>
      </c>
      <c r="X24" s="18" t="s">
        <v>51</v>
      </c>
      <c r="Y24" s="21"/>
      <c r="Z24" s="18" t="s">
        <v>51</v>
      </c>
    </row>
    <row r="25" customFormat="false" ht="12.95" hidden="false" customHeight="true" outlineLevel="0" collapsed="false">
      <c r="B25" s="30"/>
      <c r="C25" s="30"/>
      <c r="D25" s="30"/>
      <c r="E25" s="30"/>
      <c r="F25" s="30"/>
      <c r="G25" s="30"/>
      <c r="H25" s="15" t="s">
        <v>27</v>
      </c>
      <c r="I25" s="30"/>
      <c r="J25" s="21" t="n">
        <v>10.8091919739696</v>
      </c>
      <c r="K25" s="21" t="n">
        <v>10.571336589698</v>
      </c>
      <c r="L25" s="21" t="n">
        <v>3.09321515735747</v>
      </c>
      <c r="M25" s="21" t="n">
        <v>4.98992816410084</v>
      </c>
      <c r="N25" s="21" t="n">
        <v>8.25759625390219</v>
      </c>
      <c r="O25" s="21" t="n">
        <v>0.539693533682094</v>
      </c>
      <c r="P25" s="21" t="n">
        <v>8.24277289567785</v>
      </c>
      <c r="Q25" s="21" t="n">
        <v>7.10422340275803</v>
      </c>
      <c r="R25" s="22" t="n">
        <v>0.174346635981659</v>
      </c>
      <c r="S25" s="21" t="n">
        <v>0.525654244229606</v>
      </c>
      <c r="T25" s="22" t="n">
        <v>0.0520094562647754</v>
      </c>
      <c r="U25" s="22" t="n">
        <v>0.2576065</v>
      </c>
      <c r="V25" s="22"/>
      <c r="W25" s="18" t="s">
        <v>51</v>
      </c>
      <c r="X25" s="18" t="s">
        <v>51</v>
      </c>
      <c r="Y25" s="21"/>
      <c r="Z25" s="18" t="s">
        <v>51</v>
      </c>
    </row>
    <row r="26" customFormat="false" ht="12.95" hidden="false" customHeight="true" outlineLevel="0" collapsed="false"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customFormat="false" ht="12.95" hidden="false" customHeight="true" outlineLevel="0" collapsed="false">
      <c r="B27" s="30"/>
      <c r="C27" s="30"/>
      <c r="D27" s="30"/>
    </row>
    <row r="28" customFormat="false" ht="12.95" hidden="false" customHeight="true" outlineLevel="0" collapsed="false">
      <c r="A28" s="4"/>
      <c r="B28" s="48" t="s">
        <v>191</v>
      </c>
      <c r="C28" s="48"/>
      <c r="D28" s="48" t="s">
        <v>60</v>
      </c>
      <c r="E28" s="48"/>
      <c r="F28" s="48"/>
      <c r="G28" s="48" t="s">
        <v>61</v>
      </c>
      <c r="H28" s="48"/>
      <c r="J28" s="48" t="s">
        <v>62</v>
      </c>
      <c r="K28" s="48"/>
      <c r="P28" s="48" t="s">
        <v>63</v>
      </c>
      <c r="Q28" s="48"/>
      <c r="R28" s="48"/>
      <c r="S28" s="48"/>
      <c r="U28" s="48" t="s">
        <v>64</v>
      </c>
      <c r="V28" s="48"/>
      <c r="W28" s="48"/>
      <c r="X28" s="48"/>
      <c r="Y28" s="48"/>
      <c r="AA28" s="46"/>
    </row>
    <row r="29" customFormat="false" ht="3.6" hidden="false" customHeight="true" outlineLevel="0" collapsed="false">
      <c r="A29" s="4"/>
      <c r="B29" s="45" t="s">
        <v>40</v>
      </c>
      <c r="C29" s="45"/>
      <c r="D29" s="45" t="s">
        <v>40</v>
      </c>
      <c r="E29" s="45"/>
      <c r="F29" s="45"/>
      <c r="G29" s="45" t="s">
        <v>40</v>
      </c>
      <c r="H29" s="45"/>
      <c r="J29" s="45" t="s">
        <v>40</v>
      </c>
      <c r="K29" s="45"/>
      <c r="P29" s="45" t="s">
        <v>40</v>
      </c>
      <c r="Q29" s="45"/>
      <c r="R29" s="45"/>
      <c r="S29" s="45"/>
      <c r="U29" s="45" t="s">
        <v>40</v>
      </c>
      <c r="V29" s="45"/>
      <c r="W29" s="45"/>
      <c r="X29" s="45"/>
      <c r="Y29" s="45"/>
      <c r="AA29" s="46"/>
    </row>
    <row r="30" customFormat="false" ht="12.75" hidden="false" customHeight="false" outlineLevel="0" collapsed="false">
      <c r="B30" s="16"/>
      <c r="C30" s="16"/>
      <c r="D30" s="48" t="s">
        <v>65</v>
      </c>
      <c r="E30" s="48" t="s">
        <v>66</v>
      </c>
      <c r="F30" s="48" t="s">
        <v>8</v>
      </c>
      <c r="G30" s="16" t="s">
        <v>67</v>
      </c>
      <c r="P30" s="48" t="s">
        <v>68</v>
      </c>
      <c r="Q30" s="48"/>
      <c r="R30" s="48" t="s">
        <v>69</v>
      </c>
      <c r="S30" s="48" t="s">
        <v>70</v>
      </c>
      <c r="U30" s="48" t="s">
        <v>71</v>
      </c>
      <c r="V30" s="48" t="s">
        <v>72</v>
      </c>
      <c r="W30" s="48" t="s">
        <v>73</v>
      </c>
      <c r="X30" s="48" t="s">
        <v>74</v>
      </c>
      <c r="Y30" s="48" t="s">
        <v>75</v>
      </c>
      <c r="AA30" s="46"/>
    </row>
    <row r="31" customFormat="false" ht="12.75" hidden="false" customHeight="false" outlineLevel="0" collapsed="false">
      <c r="A31" s="16" t="s">
        <v>22</v>
      </c>
      <c r="B31" s="16" t="s">
        <v>76</v>
      </c>
      <c r="C31" s="16" t="s">
        <v>77</v>
      </c>
      <c r="D31" s="16" t="s">
        <v>78</v>
      </c>
      <c r="E31" s="16" t="s">
        <v>79</v>
      </c>
      <c r="F31" s="16" t="s">
        <v>80</v>
      </c>
      <c r="G31" s="16" t="s">
        <v>81</v>
      </c>
      <c r="H31" s="16" t="s">
        <v>8</v>
      </c>
      <c r="J31" s="16" t="s">
        <v>82</v>
      </c>
      <c r="K31" s="16" t="s">
        <v>83</v>
      </c>
      <c r="P31" s="16" t="s">
        <v>84</v>
      </c>
      <c r="Q31" s="16" t="s">
        <v>85</v>
      </c>
      <c r="R31" s="16" t="s">
        <v>86</v>
      </c>
      <c r="S31" s="16" t="s">
        <v>87</v>
      </c>
      <c r="U31" s="16" t="s">
        <v>88</v>
      </c>
      <c r="V31" s="16" t="s">
        <v>89</v>
      </c>
      <c r="W31" s="16" t="s">
        <v>90</v>
      </c>
      <c r="X31" s="16" t="s">
        <v>91</v>
      </c>
      <c r="Y31" s="16" t="s">
        <v>92</v>
      </c>
      <c r="AA31" s="48"/>
    </row>
    <row r="32" customFormat="false" ht="3.6" hidden="false" customHeight="true" outlineLevel="0" collapsed="false">
      <c r="A32" s="14" t="s">
        <v>40</v>
      </c>
      <c r="B32" s="14" t="s">
        <v>40</v>
      </c>
      <c r="C32" s="14" t="s">
        <v>40</v>
      </c>
      <c r="D32" s="14" t="s">
        <v>40</v>
      </c>
      <c r="E32" s="14" t="s">
        <v>40</v>
      </c>
      <c r="F32" s="14" t="s">
        <v>40</v>
      </c>
      <c r="G32" s="14" t="s">
        <v>40</v>
      </c>
      <c r="H32" s="14" t="s">
        <v>40</v>
      </c>
      <c r="J32" s="14" t="s">
        <v>40</v>
      </c>
      <c r="K32" s="14" t="s">
        <v>40</v>
      </c>
      <c r="P32" s="14" t="s">
        <v>40</v>
      </c>
      <c r="Q32" s="14" t="s">
        <v>40</v>
      </c>
      <c r="R32" s="14" t="s">
        <v>40</v>
      </c>
      <c r="S32" s="14" t="s">
        <v>40</v>
      </c>
      <c r="U32" s="14" t="s">
        <v>40</v>
      </c>
      <c r="V32" s="14" t="s">
        <v>40</v>
      </c>
      <c r="W32" s="14" t="s">
        <v>40</v>
      </c>
      <c r="X32" s="14" t="s">
        <v>40</v>
      </c>
      <c r="Y32" s="14" t="s">
        <v>40</v>
      </c>
      <c r="AA32" s="46"/>
    </row>
    <row r="33" customFormat="false" ht="12.95" hidden="false" customHeight="true" outlineLevel="0" collapsed="false">
      <c r="A33" s="1" t="s">
        <v>457</v>
      </c>
      <c r="B33" s="1" t="s">
        <v>475</v>
      </c>
      <c r="C33" s="15" t="s">
        <v>476</v>
      </c>
      <c r="D33" s="15" t="s">
        <v>477</v>
      </c>
      <c r="E33" s="15" t="s">
        <v>99</v>
      </c>
      <c r="F33" s="144" t="n">
        <v>37006</v>
      </c>
      <c r="G33" s="16" t="s">
        <v>478</v>
      </c>
      <c r="H33" s="25" t="n">
        <v>36342</v>
      </c>
      <c r="I33" s="16"/>
      <c r="J33" s="22" t="n">
        <v>0.330296127562642</v>
      </c>
      <c r="K33" s="22" t="n">
        <v>0.264069264069264</v>
      </c>
      <c r="L33" s="16"/>
      <c r="M33" s="16"/>
      <c r="N33" s="16"/>
      <c r="O33" s="16"/>
      <c r="P33" s="22" t="s">
        <v>51</v>
      </c>
      <c r="Q33" s="21" t="s">
        <v>51</v>
      </c>
      <c r="R33" s="22" t="s">
        <v>51</v>
      </c>
      <c r="S33" s="21" t="s">
        <v>51</v>
      </c>
      <c r="T33" s="16"/>
      <c r="U33" s="23" t="n">
        <v>0</v>
      </c>
      <c r="V33" s="23" t="n">
        <v>0</v>
      </c>
      <c r="W33" s="24" t="n">
        <v>0</v>
      </c>
      <c r="X33" s="23" t="n">
        <v>0</v>
      </c>
      <c r="Y33" s="23" t="n">
        <v>0</v>
      </c>
      <c r="Z33" s="16"/>
      <c r="AA33" s="48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6"/>
      <c r="IM33" s="16"/>
      <c r="IN33" s="16"/>
      <c r="IO33" s="16"/>
      <c r="IP33" s="16"/>
      <c r="IQ33" s="16"/>
      <c r="IR33" s="16"/>
      <c r="IS33" s="16"/>
      <c r="IT33" s="16"/>
      <c r="IU33" s="16"/>
      <c r="IV33" s="16"/>
      <c r="IW33" s="16"/>
    </row>
    <row r="34" customFormat="false" ht="12.95" hidden="false" customHeight="true" outlineLevel="0" collapsed="false">
      <c r="A34" s="1" t="s">
        <v>459</v>
      </c>
      <c r="B34" s="1" t="s">
        <v>475</v>
      </c>
      <c r="C34" s="15" t="s">
        <v>476</v>
      </c>
      <c r="D34" s="15" t="s">
        <v>127</v>
      </c>
      <c r="E34" s="15" t="s">
        <v>479</v>
      </c>
      <c r="F34" s="144" t="n">
        <v>37077</v>
      </c>
      <c r="G34" s="16" t="s">
        <v>480</v>
      </c>
      <c r="H34" s="25" t="n">
        <v>36413</v>
      </c>
      <c r="I34" s="16"/>
      <c r="J34" s="22" t="n">
        <v>0.412389380530973</v>
      </c>
      <c r="K34" s="22" t="n">
        <v>0.218320610687023</v>
      </c>
      <c r="L34" s="16"/>
      <c r="M34" s="16"/>
      <c r="N34" s="49"/>
      <c r="O34" s="16"/>
      <c r="P34" s="22" t="s">
        <v>51</v>
      </c>
      <c r="Q34" s="21" t="s">
        <v>51</v>
      </c>
      <c r="R34" s="18" t="s">
        <v>51</v>
      </c>
      <c r="S34" s="18" t="s">
        <v>51</v>
      </c>
      <c r="T34" s="50"/>
      <c r="U34" s="23" t="n">
        <v>0</v>
      </c>
      <c r="V34" s="23" t="n">
        <v>0</v>
      </c>
      <c r="W34" s="24" t="n">
        <v>0</v>
      </c>
      <c r="X34" s="23" t="n">
        <v>0</v>
      </c>
      <c r="Y34" s="23" t="n">
        <v>0</v>
      </c>
      <c r="Z34" s="187"/>
      <c r="AA34" s="52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6"/>
      <c r="FI34" s="16"/>
      <c r="FJ34" s="16"/>
      <c r="FK34" s="16"/>
      <c r="FL34" s="16"/>
      <c r="FM34" s="16"/>
      <c r="FN34" s="16"/>
      <c r="FO34" s="16"/>
      <c r="FP34" s="16"/>
      <c r="FQ34" s="16"/>
      <c r="FR34" s="16"/>
      <c r="FS34" s="16"/>
      <c r="FT34" s="16"/>
      <c r="FU34" s="16"/>
      <c r="FV34" s="16"/>
      <c r="FW34" s="16"/>
      <c r="FX34" s="16"/>
      <c r="FY34" s="16"/>
      <c r="FZ34" s="16"/>
      <c r="GA34" s="16"/>
      <c r="GB34" s="16"/>
      <c r="GC34" s="16"/>
      <c r="GD34" s="16"/>
      <c r="GE34" s="16"/>
      <c r="GF34" s="16"/>
      <c r="GG34" s="16"/>
      <c r="GH34" s="16"/>
      <c r="GI34" s="16"/>
      <c r="GJ34" s="16"/>
      <c r="GK34" s="16"/>
      <c r="GL34" s="16"/>
      <c r="GM34" s="16"/>
      <c r="GN34" s="16"/>
      <c r="GO34" s="16"/>
      <c r="GP34" s="16"/>
      <c r="GQ34" s="16"/>
      <c r="GR34" s="16"/>
      <c r="GS34" s="16"/>
      <c r="GT34" s="16"/>
      <c r="GU34" s="16"/>
      <c r="GV34" s="16"/>
      <c r="GW34" s="16"/>
      <c r="GX34" s="16"/>
      <c r="GY34" s="16"/>
      <c r="GZ34" s="16"/>
      <c r="HA34" s="16"/>
      <c r="HB34" s="16"/>
      <c r="HC34" s="16"/>
      <c r="HD34" s="16"/>
      <c r="HE34" s="16"/>
      <c r="HF34" s="16"/>
      <c r="HG34" s="16"/>
      <c r="HH34" s="16"/>
      <c r="HI34" s="16"/>
      <c r="HJ34" s="16"/>
      <c r="HK34" s="16"/>
      <c r="HL34" s="16"/>
      <c r="HM34" s="16"/>
      <c r="HN34" s="16"/>
      <c r="HO34" s="16"/>
      <c r="HP34" s="16"/>
      <c r="HQ34" s="16"/>
      <c r="HR34" s="16"/>
      <c r="HS34" s="16"/>
      <c r="HT34" s="16"/>
      <c r="HU34" s="16"/>
      <c r="HV34" s="16"/>
      <c r="HW34" s="16"/>
      <c r="HX34" s="16"/>
      <c r="HY34" s="16"/>
      <c r="HZ34" s="16"/>
      <c r="IA34" s="16"/>
      <c r="IB34" s="16"/>
      <c r="IC34" s="16"/>
      <c r="ID34" s="16"/>
      <c r="IE34" s="16"/>
      <c r="IF34" s="16"/>
      <c r="IG34" s="16"/>
      <c r="IH34" s="16"/>
      <c r="II34" s="16"/>
      <c r="IJ34" s="16"/>
      <c r="IK34" s="16"/>
      <c r="IL34" s="16"/>
      <c r="IM34" s="16"/>
      <c r="IN34" s="16"/>
      <c r="IO34" s="16"/>
      <c r="IP34" s="16"/>
      <c r="IQ34" s="16"/>
      <c r="IR34" s="16"/>
      <c r="IS34" s="16"/>
      <c r="IT34" s="16"/>
      <c r="IU34" s="16"/>
      <c r="IV34" s="16"/>
      <c r="IW34" s="16"/>
    </row>
    <row r="35" customFormat="false" ht="12.95" hidden="false" customHeight="true" outlineLevel="0" collapsed="false">
      <c r="A35" s="1" t="s">
        <v>461</v>
      </c>
      <c r="B35" s="1" t="s">
        <v>475</v>
      </c>
      <c r="C35" s="15" t="s">
        <v>476</v>
      </c>
      <c r="D35" s="15" t="s">
        <v>127</v>
      </c>
      <c r="E35" s="15" t="s">
        <v>99</v>
      </c>
      <c r="F35" s="144" t="n">
        <v>37046</v>
      </c>
      <c r="G35" s="16" t="s">
        <v>481</v>
      </c>
      <c r="H35" s="25" t="n">
        <v>0</v>
      </c>
      <c r="I35" s="16"/>
      <c r="J35" s="22" t="n">
        <v>0.851612903225807</v>
      </c>
      <c r="K35" s="22" t="n">
        <v>0.369383697813121</v>
      </c>
      <c r="L35" s="16"/>
      <c r="M35" s="16"/>
      <c r="N35" s="49"/>
      <c r="O35" s="16"/>
      <c r="P35" s="22" t="s">
        <v>51</v>
      </c>
      <c r="Q35" s="21" t="s">
        <v>51</v>
      </c>
      <c r="R35" s="18" t="s">
        <v>51</v>
      </c>
      <c r="S35" s="18" t="s">
        <v>51</v>
      </c>
      <c r="T35" s="50"/>
      <c r="U35" s="23" t="n">
        <v>0</v>
      </c>
      <c r="V35" s="23" t="n">
        <v>0</v>
      </c>
      <c r="W35" s="24" t="n">
        <v>0</v>
      </c>
      <c r="X35" s="23" t="n">
        <v>0</v>
      </c>
      <c r="Y35" s="23" t="n">
        <v>0</v>
      </c>
      <c r="Z35" s="187"/>
      <c r="AA35" s="52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T35" s="16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16"/>
      <c r="HK35" s="16"/>
      <c r="HL35" s="16"/>
      <c r="HM35" s="16"/>
      <c r="HN35" s="16"/>
      <c r="HO35" s="16"/>
      <c r="HP35" s="16"/>
      <c r="HQ35" s="16"/>
      <c r="HR35" s="16"/>
      <c r="HS35" s="16"/>
      <c r="HT35" s="16"/>
      <c r="HU35" s="16"/>
      <c r="HV35" s="16"/>
      <c r="HW35" s="16"/>
      <c r="HX35" s="16"/>
      <c r="HY35" s="16"/>
      <c r="HZ35" s="16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6"/>
      <c r="IM35" s="16"/>
      <c r="IN35" s="16"/>
      <c r="IO35" s="16"/>
      <c r="IP35" s="16"/>
      <c r="IQ35" s="16"/>
      <c r="IR35" s="16"/>
      <c r="IS35" s="16"/>
      <c r="IT35" s="16"/>
      <c r="IU35" s="16"/>
      <c r="IV35" s="16"/>
      <c r="IW35" s="16"/>
    </row>
    <row r="36" customFormat="false" ht="12.95" hidden="false" customHeight="true" outlineLevel="0" collapsed="false">
      <c r="A36" s="1" t="s">
        <v>463</v>
      </c>
      <c r="B36" s="1" t="s">
        <v>475</v>
      </c>
      <c r="C36" s="15" t="s">
        <v>476</v>
      </c>
      <c r="D36" s="15" t="s">
        <v>123</v>
      </c>
      <c r="E36" s="15" t="s">
        <v>128</v>
      </c>
      <c r="F36" s="144" t="n">
        <v>37013</v>
      </c>
      <c r="G36" s="16" t="s">
        <v>482</v>
      </c>
      <c r="H36" s="25" t="n">
        <v>37014</v>
      </c>
      <c r="I36" s="16"/>
      <c r="J36" s="22" t="n">
        <v>0.550904109589041</v>
      </c>
      <c r="K36" s="22" t="n">
        <v>0.289476082004556</v>
      </c>
      <c r="L36" s="16"/>
      <c r="M36" s="16"/>
      <c r="N36" s="49"/>
      <c r="O36" s="16"/>
      <c r="P36" s="22" t="s">
        <v>51</v>
      </c>
      <c r="Q36" s="21" t="s">
        <v>51</v>
      </c>
      <c r="R36" s="18" t="s">
        <v>51</v>
      </c>
      <c r="S36" s="18" t="s">
        <v>51</v>
      </c>
      <c r="T36" s="50"/>
      <c r="U36" s="23" t="n">
        <v>0</v>
      </c>
      <c r="V36" s="23" t="n">
        <v>0</v>
      </c>
      <c r="W36" s="24" t="n">
        <v>0</v>
      </c>
      <c r="X36" s="23" t="n">
        <v>0</v>
      </c>
      <c r="Y36" s="23" t="n">
        <v>0</v>
      </c>
      <c r="Z36" s="187"/>
      <c r="AA36" s="52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  <c r="IP36" s="16"/>
      <c r="IQ36" s="16"/>
      <c r="IR36" s="16"/>
      <c r="IS36" s="16"/>
      <c r="IT36" s="16"/>
      <c r="IU36" s="16"/>
      <c r="IV36" s="16"/>
      <c r="IW36" s="16"/>
    </row>
    <row r="37" customFormat="false" ht="12.95" hidden="false" customHeight="true" outlineLevel="0" collapsed="false">
      <c r="A37" s="1" t="s">
        <v>465</v>
      </c>
      <c r="B37" s="1" t="s">
        <v>475</v>
      </c>
      <c r="C37" s="15" t="s">
        <v>476</v>
      </c>
      <c r="D37" s="15" t="s">
        <v>483</v>
      </c>
      <c r="E37" s="15" t="s">
        <v>96</v>
      </c>
      <c r="F37" s="144" t="n">
        <v>36948</v>
      </c>
      <c r="G37" s="16" t="s">
        <v>269</v>
      </c>
      <c r="H37" s="25" t="n">
        <v>0</v>
      </c>
      <c r="I37" s="16"/>
      <c r="J37" s="22" t="n">
        <v>-0.206274509803921</v>
      </c>
      <c r="K37" s="22" t="n">
        <v>0.395862068965517</v>
      </c>
      <c r="L37" s="16"/>
      <c r="M37" s="16"/>
      <c r="N37" s="49"/>
      <c r="O37" s="16"/>
      <c r="P37" s="22" t="s">
        <v>51</v>
      </c>
      <c r="Q37" s="21" t="s">
        <v>51</v>
      </c>
      <c r="R37" s="18" t="s">
        <v>51</v>
      </c>
      <c r="S37" s="18" t="s">
        <v>51</v>
      </c>
      <c r="T37" s="50"/>
      <c r="U37" s="23" t="n">
        <v>0</v>
      </c>
      <c r="V37" s="23" t="n">
        <v>0</v>
      </c>
      <c r="W37" s="24" t="n">
        <v>0</v>
      </c>
      <c r="X37" s="23" t="n">
        <v>0</v>
      </c>
      <c r="Y37" s="23" t="n">
        <v>0</v>
      </c>
      <c r="Z37" s="187"/>
      <c r="AA37" s="52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  <c r="IQ37" s="16"/>
      <c r="IR37" s="16"/>
      <c r="IS37" s="16"/>
      <c r="IT37" s="16"/>
      <c r="IU37" s="16"/>
      <c r="IV37" s="16"/>
      <c r="IW37" s="16"/>
    </row>
    <row r="38" customFormat="false" ht="12.95" hidden="false" customHeight="true" outlineLevel="0" collapsed="false">
      <c r="A38" s="1" t="s">
        <v>467</v>
      </c>
      <c r="B38" s="1" t="s">
        <v>475</v>
      </c>
      <c r="C38" s="15" t="s">
        <v>476</v>
      </c>
      <c r="D38" s="15" t="s">
        <v>484</v>
      </c>
      <c r="E38" s="15" t="s">
        <v>128</v>
      </c>
      <c r="F38" s="144" t="n">
        <v>37069</v>
      </c>
      <c r="G38" s="16" t="s">
        <v>485</v>
      </c>
      <c r="H38" s="25" t="n">
        <v>36809</v>
      </c>
      <c r="I38" s="16"/>
      <c r="J38" s="22" t="n">
        <v>0.715209580838323</v>
      </c>
      <c r="K38" s="22" t="n">
        <v>0.27165371809101</v>
      </c>
      <c r="L38" s="16"/>
      <c r="M38" s="16"/>
      <c r="N38" s="49"/>
      <c r="O38" s="16"/>
      <c r="P38" s="22" t="s">
        <v>51</v>
      </c>
      <c r="Q38" s="21" t="s">
        <v>51</v>
      </c>
      <c r="R38" s="18" t="s">
        <v>51</v>
      </c>
      <c r="S38" s="18" t="s">
        <v>51</v>
      </c>
      <c r="T38" s="50"/>
      <c r="U38" s="23" t="n">
        <v>0</v>
      </c>
      <c r="V38" s="23" t="n">
        <v>0</v>
      </c>
      <c r="W38" s="24" t="n">
        <v>0</v>
      </c>
      <c r="X38" s="23" t="n">
        <v>0</v>
      </c>
      <c r="Y38" s="23" t="n">
        <v>0</v>
      </c>
      <c r="Z38" s="187"/>
      <c r="AA38" s="52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  <c r="HN38" s="16"/>
      <c r="HO38" s="16"/>
      <c r="HP38" s="16"/>
      <c r="HQ38" s="16"/>
      <c r="HR38" s="16"/>
      <c r="HS38" s="16"/>
      <c r="HT38" s="16"/>
      <c r="HU38" s="16"/>
      <c r="HV38" s="16"/>
      <c r="HW38" s="16"/>
      <c r="HX38" s="16"/>
      <c r="HY38" s="16"/>
      <c r="HZ38" s="16"/>
      <c r="IA38" s="16"/>
      <c r="IB38" s="16"/>
      <c r="IC38" s="16"/>
      <c r="ID38" s="16"/>
      <c r="IE38" s="16"/>
      <c r="IF38" s="16"/>
      <c r="IG38" s="16"/>
      <c r="IH38" s="16"/>
      <c r="II38" s="16"/>
      <c r="IJ38" s="16"/>
      <c r="IK38" s="16"/>
      <c r="IL38" s="16"/>
      <c r="IM38" s="16"/>
      <c r="IN38" s="16"/>
      <c r="IO38" s="16"/>
      <c r="IP38" s="16"/>
      <c r="IQ38" s="16"/>
      <c r="IR38" s="16"/>
      <c r="IS38" s="16"/>
      <c r="IT38" s="16"/>
      <c r="IU38" s="16"/>
      <c r="IV38" s="16"/>
      <c r="IW38" s="16"/>
    </row>
    <row r="39" customFormat="false" ht="12.95" hidden="false" customHeight="true" outlineLevel="0" collapsed="false">
      <c r="A39" s="1" t="s">
        <v>469</v>
      </c>
      <c r="B39" s="1" t="s">
        <v>475</v>
      </c>
      <c r="C39" s="15" t="s">
        <v>476</v>
      </c>
      <c r="D39" s="15" t="s">
        <v>486</v>
      </c>
      <c r="E39" s="15" t="s">
        <v>407</v>
      </c>
      <c r="F39" s="144" t="n">
        <v>37026</v>
      </c>
      <c r="G39" s="16" t="s">
        <v>269</v>
      </c>
      <c r="H39" s="25" t="n">
        <v>0</v>
      </c>
      <c r="I39" s="16"/>
      <c r="J39" s="22" t="n">
        <v>0.511919191919192</v>
      </c>
      <c r="K39" s="22" t="n">
        <v>0.214442190669371</v>
      </c>
      <c r="L39" s="16"/>
      <c r="M39" s="16"/>
      <c r="N39" s="49"/>
      <c r="O39" s="16"/>
      <c r="P39" s="22" t="s">
        <v>51</v>
      </c>
      <c r="Q39" s="21" t="s">
        <v>51</v>
      </c>
      <c r="R39" s="18" t="s">
        <v>51</v>
      </c>
      <c r="S39" s="18" t="s">
        <v>51</v>
      </c>
      <c r="T39" s="50"/>
      <c r="U39" s="23" t="n">
        <v>0</v>
      </c>
      <c r="V39" s="23" t="n">
        <v>0</v>
      </c>
      <c r="W39" s="24" t="n">
        <v>0</v>
      </c>
      <c r="X39" s="23" t="n">
        <v>0</v>
      </c>
      <c r="Y39" s="23" t="n">
        <v>0</v>
      </c>
      <c r="Z39" s="187"/>
      <c r="AA39" s="52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6"/>
      <c r="IM39" s="16"/>
      <c r="IN39" s="16"/>
      <c r="IO39" s="16"/>
      <c r="IP39" s="16"/>
      <c r="IQ39" s="16"/>
      <c r="IR39" s="16"/>
      <c r="IS39" s="16"/>
      <c r="IT39" s="16"/>
      <c r="IU39" s="16"/>
      <c r="IV39" s="16"/>
      <c r="IW39" s="16"/>
    </row>
    <row r="40" customFormat="false" ht="12.95" hidden="false" customHeight="true" outlineLevel="0" collapsed="false">
      <c r="A40" s="1" t="s">
        <v>471</v>
      </c>
      <c r="B40" s="1" t="s">
        <v>475</v>
      </c>
      <c r="C40" s="15" t="s">
        <v>476</v>
      </c>
      <c r="D40" s="15" t="s">
        <v>127</v>
      </c>
      <c r="E40" s="15" t="s">
        <v>99</v>
      </c>
      <c r="F40" s="144" t="n">
        <v>37020</v>
      </c>
      <c r="G40" s="16" t="s">
        <v>482</v>
      </c>
      <c r="H40" s="25" t="n">
        <v>36530</v>
      </c>
      <c r="I40" s="16"/>
      <c r="J40" s="22" t="n">
        <v>0.335838926174497</v>
      </c>
      <c r="K40" s="22" t="n">
        <v>0.300915032679739</v>
      </c>
      <c r="L40" s="16"/>
      <c r="M40" s="16"/>
      <c r="N40" s="49"/>
      <c r="O40" s="16"/>
      <c r="P40" s="22" t="s">
        <v>51</v>
      </c>
      <c r="Q40" s="21" t="s">
        <v>51</v>
      </c>
      <c r="R40" s="18" t="s">
        <v>51</v>
      </c>
      <c r="S40" s="18" t="s">
        <v>51</v>
      </c>
      <c r="T40" s="50"/>
      <c r="U40" s="23" t="n">
        <v>0</v>
      </c>
      <c r="V40" s="23" t="n">
        <v>0</v>
      </c>
      <c r="W40" s="24" t="n">
        <v>0</v>
      </c>
      <c r="X40" s="23" t="n">
        <v>0</v>
      </c>
      <c r="Y40" s="23" t="n">
        <v>0</v>
      </c>
      <c r="Z40" s="187"/>
      <c r="AA40" s="52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</row>
    <row r="41" customFormat="false" ht="12.95" hidden="false" customHeight="true" outlineLevel="0" collapsed="false">
      <c r="A41" s="1" t="s">
        <v>473</v>
      </c>
      <c r="B41" s="1" t="s">
        <v>475</v>
      </c>
      <c r="C41" s="15" t="s">
        <v>476</v>
      </c>
      <c r="D41" s="15" t="s">
        <v>403</v>
      </c>
      <c r="E41" s="15" t="s">
        <v>99</v>
      </c>
      <c r="F41" s="144" t="n">
        <v>37005</v>
      </c>
      <c r="G41" s="16" t="s">
        <v>269</v>
      </c>
      <c r="H41" s="25" t="s">
        <v>51</v>
      </c>
      <c r="I41" s="16"/>
      <c r="J41" s="22" t="n">
        <v>0.192307692307692</v>
      </c>
      <c r="K41" s="22" t="n">
        <v>0.262086513994911</v>
      </c>
      <c r="L41" s="16"/>
      <c r="M41" s="16"/>
      <c r="N41" s="49"/>
      <c r="O41" s="16"/>
      <c r="P41" s="22" t="s">
        <v>51</v>
      </c>
      <c r="Q41" s="21" t="s">
        <v>51</v>
      </c>
      <c r="R41" s="18" t="s">
        <v>51</v>
      </c>
      <c r="S41" s="18" t="s">
        <v>51</v>
      </c>
      <c r="T41" s="50"/>
      <c r="U41" s="23" t="n">
        <v>0</v>
      </c>
      <c r="V41" s="23" t="n">
        <v>0</v>
      </c>
      <c r="W41" s="24" t="n">
        <v>0</v>
      </c>
      <c r="X41" s="23" t="n">
        <v>0</v>
      </c>
      <c r="Y41" s="23" t="n">
        <v>0</v>
      </c>
      <c r="Z41" s="187"/>
      <c r="AA41" s="52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</row>
    <row r="42" customFormat="false" ht="12.95" hidden="false" customHeight="true" outlineLevel="0" collapsed="false">
      <c r="C42" s="15"/>
      <c r="D42" s="15"/>
      <c r="E42" s="15"/>
      <c r="F42" s="25"/>
      <c r="G42" s="16"/>
      <c r="H42" s="25"/>
      <c r="I42" s="16"/>
      <c r="J42" s="22"/>
      <c r="K42" s="22"/>
      <c r="L42" s="16"/>
      <c r="M42" s="16"/>
      <c r="N42" s="16"/>
      <c r="O42" s="16"/>
      <c r="P42" s="16"/>
      <c r="Q42" s="16"/>
      <c r="R42" s="16"/>
      <c r="S42" s="16"/>
      <c r="T42" s="50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2.95" hidden="false" customHeight="true" outlineLevel="0" collapsed="false">
      <c r="C43" s="15"/>
      <c r="D43" s="15"/>
      <c r="E43" s="15"/>
      <c r="F43" s="25"/>
      <c r="G43" s="16"/>
      <c r="H43" s="25"/>
      <c r="I43" s="16"/>
      <c r="J43" s="22"/>
      <c r="K43" s="22"/>
      <c r="L43" s="16"/>
      <c r="M43" s="16"/>
      <c r="N43" s="16"/>
      <c r="O43" s="16"/>
      <c r="P43" s="16"/>
      <c r="Q43" s="16"/>
      <c r="R43" s="16"/>
      <c r="S43" s="16"/>
      <c r="T43" s="50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2.95" hidden="false" customHeight="true" outlineLevel="0" collapsed="false">
      <c r="A44" s="16"/>
      <c r="B44" s="58"/>
      <c r="C44" s="58"/>
      <c r="D44" s="16"/>
      <c r="E44" s="58"/>
      <c r="F44" s="16"/>
      <c r="G44" s="16"/>
      <c r="H44" s="16"/>
      <c r="I44" s="16"/>
      <c r="J44" s="16"/>
      <c r="K44" s="16"/>
      <c r="L44" s="16"/>
      <c r="M44" s="16"/>
      <c r="N44" s="15" t="s">
        <v>56</v>
      </c>
      <c r="O44" s="16"/>
      <c r="P44" s="22" t="s">
        <v>51</v>
      </c>
      <c r="Q44" s="22" t="s">
        <v>51</v>
      </c>
      <c r="R44" s="18" t="s">
        <v>51</v>
      </c>
      <c r="S44" s="18" t="s">
        <v>51</v>
      </c>
      <c r="T44" s="50"/>
      <c r="U44" s="23"/>
      <c r="V44" s="23"/>
      <c r="W44" s="24"/>
      <c r="X44" s="23"/>
      <c r="Y44" s="23"/>
      <c r="Z44" s="187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6"/>
      <c r="IM44" s="16"/>
      <c r="IN44" s="16"/>
      <c r="IO44" s="16"/>
      <c r="IP44" s="16"/>
      <c r="IQ44" s="16"/>
      <c r="IR44" s="16"/>
      <c r="IS44" s="16"/>
      <c r="IT44" s="16"/>
      <c r="IU44" s="16"/>
      <c r="IV44" s="16"/>
      <c r="IW44" s="16"/>
    </row>
    <row r="45" customFormat="false" ht="12.95" hidden="false" customHeight="true" outlineLevel="0" collapsed="false">
      <c r="A45" s="16"/>
      <c r="B45" s="58"/>
      <c r="C45" s="58"/>
      <c r="D45" s="58"/>
      <c r="E45" s="16"/>
      <c r="F45" s="16"/>
      <c r="G45" s="16"/>
      <c r="H45" s="16"/>
      <c r="I45" s="16"/>
      <c r="J45" s="16"/>
      <c r="K45" s="16"/>
      <c r="L45" s="16"/>
      <c r="M45" s="16"/>
      <c r="N45" s="15" t="s">
        <v>57</v>
      </c>
      <c r="O45" s="16"/>
      <c r="P45" s="22" t="s">
        <v>51</v>
      </c>
      <c r="Q45" s="22" t="s">
        <v>51</v>
      </c>
      <c r="R45" s="18" t="s">
        <v>51</v>
      </c>
      <c r="S45" s="18" t="s">
        <v>51</v>
      </c>
      <c r="T45" s="50"/>
      <c r="U45" s="23"/>
      <c r="V45" s="23"/>
      <c r="W45" s="24"/>
      <c r="X45" s="23"/>
      <c r="Y45" s="23"/>
      <c r="Z45" s="187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6"/>
      <c r="IM45" s="16"/>
      <c r="IN45" s="16"/>
      <c r="IO45" s="16"/>
      <c r="IP45" s="16"/>
      <c r="IQ45" s="16"/>
      <c r="IR45" s="16"/>
      <c r="IS45" s="16"/>
      <c r="IT45" s="16"/>
      <c r="IU45" s="16"/>
      <c r="IV45" s="16"/>
      <c r="IW45" s="16"/>
    </row>
    <row r="46" customFormat="false" ht="12.95" hidden="false" customHeight="true" outlineLevel="0" collapsed="false">
      <c r="A46" s="16"/>
      <c r="B46" s="58"/>
      <c r="C46" s="58"/>
      <c r="D46" s="58"/>
      <c r="E46" s="16"/>
      <c r="F46" s="16"/>
      <c r="G46" s="16"/>
      <c r="H46" s="16"/>
      <c r="I46" s="16"/>
      <c r="J46" s="16"/>
      <c r="K46" s="16"/>
      <c r="L46" s="16"/>
      <c r="M46" s="16"/>
      <c r="N46" s="15" t="s">
        <v>26</v>
      </c>
      <c r="O46" s="16"/>
      <c r="P46" s="22" t="s">
        <v>51</v>
      </c>
      <c r="Q46" s="22" t="s">
        <v>51</v>
      </c>
      <c r="R46" s="18" t="s">
        <v>51</v>
      </c>
      <c r="S46" s="18" t="s">
        <v>51</v>
      </c>
      <c r="T46" s="50"/>
      <c r="U46" s="23"/>
      <c r="V46" s="23"/>
      <c r="W46" s="24"/>
      <c r="X46" s="23"/>
      <c r="Y46" s="23"/>
      <c r="Z46" s="187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  <c r="IQ46" s="16"/>
      <c r="IR46" s="16"/>
      <c r="IS46" s="16"/>
      <c r="IT46" s="16"/>
      <c r="IU46" s="16"/>
      <c r="IV46" s="16"/>
      <c r="IW46" s="16"/>
    </row>
    <row r="47" customFormat="false" ht="12.95" hidden="false" customHeight="true" outlineLevel="0" collapsed="false">
      <c r="A47" s="16"/>
      <c r="B47" s="58"/>
      <c r="C47" s="58"/>
      <c r="D47" s="58"/>
      <c r="E47" s="16"/>
      <c r="F47" s="16"/>
      <c r="G47" s="16"/>
      <c r="H47" s="16"/>
      <c r="I47" s="16"/>
      <c r="J47" s="16"/>
      <c r="K47" s="16"/>
      <c r="L47" s="16"/>
      <c r="M47" s="16"/>
      <c r="N47" s="15" t="s">
        <v>27</v>
      </c>
      <c r="O47" s="16"/>
      <c r="P47" s="22" t="s">
        <v>51</v>
      </c>
      <c r="Q47" s="22" t="s">
        <v>51</v>
      </c>
      <c r="R47" s="18" t="s">
        <v>51</v>
      </c>
      <c r="S47" s="18" t="s">
        <v>51</v>
      </c>
      <c r="T47" s="50"/>
      <c r="U47" s="23"/>
      <c r="V47" s="23"/>
      <c r="W47" s="24"/>
      <c r="X47" s="23"/>
      <c r="Y47" s="23"/>
      <c r="Z47" s="187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</row>
    <row r="48" customFormat="false" ht="12.95" hidden="false" customHeight="true" outlineLevel="0" collapsed="false">
      <c r="A48" s="61" t="s">
        <v>104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</row>
    <row r="49" customFormat="false" ht="12.95" hidden="false" customHeight="true" outlineLevel="0" collapsed="false">
      <c r="A49" s="15" t="s">
        <v>241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2.95" hidden="false" customHeight="true" outlineLevel="0" collapsed="false">
      <c r="A50" s="15" t="s">
        <v>242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2.95" hidden="false" customHeight="true" outlineLevel="0" collapsed="false">
      <c r="A51" s="15" t="s">
        <v>243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2.95" hidden="false" customHeight="true" outlineLevel="0" collapsed="false">
      <c r="A52" s="15" t="s">
        <v>244</v>
      </c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2.95" hidden="false" customHeight="true" outlineLevel="0" collapsed="false">
      <c r="A53" s="15" t="s">
        <v>243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12.95" hidden="false" customHeight="true" outlineLevel="0" collapsed="false">
      <c r="A54" s="15" t="s">
        <v>246</v>
      </c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12.95" hidden="false" customHeight="true" outlineLevel="0" collapsed="false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12.95" hidden="false" customHeight="true" outlineLevel="0" collapsed="false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12.95" hidden="false" customHeight="true" outlineLevel="0" collapsed="false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12.95" hidden="false" customHeight="true" outlineLevel="0" collapsed="false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12.95" hidden="false" customHeight="true" outlineLevel="0" collapsed="false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</row>
    <row r="60" customFormat="false" ht="12.95" hidden="false" customHeight="true" outlineLevel="0" collapsed="false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</row>
    <row r="61" customFormat="false" ht="12.95" hidden="false" customHeight="true" outlineLevel="0" collapsed="false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6"/>
      <c r="IM61" s="16"/>
      <c r="IN61" s="16"/>
      <c r="IO61" s="16"/>
      <c r="IP61" s="16"/>
      <c r="IQ61" s="16"/>
      <c r="IR61" s="16"/>
      <c r="IS61" s="16"/>
      <c r="IT61" s="16"/>
      <c r="IU61" s="16"/>
      <c r="IV61" s="16"/>
      <c r="IW61" s="16"/>
    </row>
    <row r="62" customFormat="false" ht="12.95" hidden="false" customHeight="true" outlineLevel="0" collapsed="false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</row>
    <row r="63" customFormat="false" ht="12.95" hidden="false" customHeight="true" outlineLevel="0" collapsed="false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</row>
    <row r="64" customFormat="false" ht="12.95" hidden="false" customHeight="true" outlineLevel="0" collapsed="false">
      <c r="A64" s="16"/>
      <c r="B64" s="16"/>
      <c r="C64" s="16"/>
      <c r="D64" s="16"/>
      <c r="E64" s="16"/>
      <c r="F64" s="25" t="n">
        <v>37107.6386936343</v>
      </c>
      <c r="G64" s="25" t="n">
        <v>36742.6386936343</v>
      </c>
      <c r="H64" s="16"/>
      <c r="I64" s="16"/>
      <c r="J64" s="16"/>
      <c r="K64" s="16"/>
      <c r="L64" s="16"/>
      <c r="M64" s="16"/>
      <c r="N64" s="16"/>
      <c r="O64" s="16"/>
      <c r="P64" s="16"/>
      <c r="Q64" s="25" t="n">
        <v>36892</v>
      </c>
      <c r="R64" s="25" t="n">
        <v>37107.6386936343</v>
      </c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</row>
    <row r="65" customFormat="false" ht="12.95" hidden="false" customHeight="true" outlineLevel="0" collapsed="false">
      <c r="A65" s="16"/>
      <c r="B65" s="16"/>
      <c r="C65" s="16"/>
      <c r="D65" s="16"/>
      <c r="E65" s="16"/>
      <c r="F65" s="16"/>
      <c r="G65" s="16"/>
      <c r="H65" s="16" t="s">
        <v>82</v>
      </c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 t="s">
        <v>83</v>
      </c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6"/>
      <c r="IM65" s="16"/>
      <c r="IN65" s="16"/>
      <c r="IO65" s="16"/>
      <c r="IP65" s="16"/>
      <c r="IQ65" s="16"/>
      <c r="IR65" s="16"/>
      <c r="IS65" s="16"/>
      <c r="IT65" s="16"/>
      <c r="IU65" s="16"/>
      <c r="IV65" s="16"/>
      <c r="IW65" s="16"/>
    </row>
    <row r="66" customFormat="false" ht="12.95" hidden="false" customHeight="true" outlineLevel="0" collapsed="false">
      <c r="A66" s="16"/>
      <c r="B66" s="16"/>
      <c r="C66" s="16"/>
      <c r="D66" s="16"/>
      <c r="E66" s="16" t="s">
        <v>458</v>
      </c>
      <c r="F66" s="18" t="n">
        <v>36.5</v>
      </c>
      <c r="G66" s="18" t="n">
        <v>27.4375</v>
      </c>
      <c r="H66" s="65" t="n">
        <v>0.330296127562642</v>
      </c>
      <c r="I66" s="16"/>
      <c r="J66" s="16"/>
      <c r="K66" s="16"/>
      <c r="L66" s="16"/>
      <c r="M66" s="16"/>
      <c r="N66" s="16"/>
      <c r="O66" s="16"/>
      <c r="P66" s="16" t="s">
        <v>458</v>
      </c>
      <c r="Q66" s="18" t="n">
        <v>28.875</v>
      </c>
      <c r="R66" s="18" t="n">
        <v>36.5</v>
      </c>
      <c r="S66" s="65" t="n">
        <v>0.264069264069264</v>
      </c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  <c r="GU66" s="16"/>
      <c r="GV66" s="16"/>
      <c r="GW66" s="16"/>
      <c r="GX66" s="16"/>
      <c r="GY66" s="16"/>
      <c r="GZ66" s="16"/>
      <c r="HA66" s="16"/>
      <c r="HB66" s="16"/>
      <c r="HC66" s="16"/>
      <c r="HD66" s="16"/>
      <c r="HE66" s="16"/>
      <c r="HF66" s="16"/>
      <c r="HG66" s="16"/>
      <c r="HH66" s="16"/>
      <c r="HI66" s="16"/>
      <c r="HJ66" s="16"/>
      <c r="HK66" s="16"/>
      <c r="HL66" s="16"/>
      <c r="HM66" s="16"/>
      <c r="HN66" s="16"/>
      <c r="HO66" s="16"/>
      <c r="HP66" s="16"/>
      <c r="HQ66" s="16"/>
      <c r="HR66" s="16"/>
      <c r="HS66" s="16"/>
      <c r="HT66" s="16"/>
      <c r="HU66" s="16"/>
      <c r="HV66" s="16"/>
      <c r="HW66" s="16"/>
      <c r="HX66" s="16"/>
      <c r="HY66" s="16"/>
      <c r="HZ66" s="16"/>
      <c r="IA66" s="16"/>
      <c r="IB66" s="16"/>
      <c r="IC66" s="16"/>
      <c r="ID66" s="16"/>
      <c r="IE66" s="16"/>
      <c r="IF66" s="16"/>
      <c r="IG66" s="16"/>
      <c r="IH66" s="16"/>
      <c r="II66" s="16"/>
      <c r="IJ66" s="16"/>
      <c r="IK66" s="16"/>
      <c r="IL66" s="16"/>
      <c r="IM66" s="16"/>
      <c r="IN66" s="16"/>
      <c r="IO66" s="16"/>
      <c r="IP66" s="16"/>
      <c r="IQ66" s="16"/>
      <c r="IR66" s="16"/>
      <c r="IS66" s="16"/>
      <c r="IT66" s="16"/>
      <c r="IU66" s="16"/>
      <c r="IV66" s="16"/>
      <c r="IW66" s="16"/>
    </row>
    <row r="67" customFormat="false" ht="12.95" hidden="false" customHeight="true" outlineLevel="0" collapsed="false">
      <c r="A67" s="16"/>
      <c r="B67" s="16"/>
      <c r="C67" s="16"/>
      <c r="D67" s="16"/>
      <c r="E67" s="16" t="s">
        <v>460</v>
      </c>
      <c r="F67" s="18" t="n">
        <v>19.95</v>
      </c>
      <c r="G67" s="18" t="n">
        <v>14.125</v>
      </c>
      <c r="H67" s="65" t="n">
        <v>0.412389380530973</v>
      </c>
      <c r="I67" s="16"/>
      <c r="J67" s="16"/>
      <c r="K67" s="16"/>
      <c r="L67" s="16"/>
      <c r="M67" s="16"/>
      <c r="N67" s="16"/>
      <c r="O67" s="16"/>
      <c r="P67" s="16" t="s">
        <v>460</v>
      </c>
      <c r="Q67" s="18" t="n">
        <v>16.375</v>
      </c>
      <c r="R67" s="18" t="n">
        <v>19.95</v>
      </c>
      <c r="S67" s="65" t="n">
        <v>0.218320610687023</v>
      </c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</row>
    <row r="68" customFormat="false" ht="12.95" hidden="false" customHeight="true" outlineLevel="0" collapsed="false">
      <c r="A68" s="16"/>
      <c r="B68" s="16"/>
      <c r="C68" s="16"/>
      <c r="D68" s="16"/>
      <c r="E68" s="16" t="s">
        <v>462</v>
      </c>
      <c r="F68" s="18" t="n">
        <v>43.05</v>
      </c>
      <c r="G68" s="18" t="n">
        <v>23.25</v>
      </c>
      <c r="H68" s="65" t="n">
        <v>0.851612903225807</v>
      </c>
      <c r="I68" s="16"/>
      <c r="J68" s="16"/>
      <c r="K68" s="16"/>
      <c r="L68" s="16"/>
      <c r="M68" s="16"/>
      <c r="N68" s="16"/>
      <c r="O68" s="16"/>
      <c r="P68" s="16" t="s">
        <v>462</v>
      </c>
      <c r="Q68" s="18" t="n">
        <v>31.4375</v>
      </c>
      <c r="R68" s="18" t="n">
        <v>43.05</v>
      </c>
      <c r="S68" s="65" t="n">
        <v>0.369383697813121</v>
      </c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</row>
    <row r="69" customFormat="false" ht="12.95" hidden="false" customHeight="true" outlineLevel="0" collapsed="false">
      <c r="A69" s="16"/>
      <c r="B69" s="16"/>
      <c r="C69" s="16"/>
      <c r="D69" s="16"/>
      <c r="E69" s="16" t="s">
        <v>464</v>
      </c>
      <c r="F69" s="18" t="n">
        <v>35.38</v>
      </c>
      <c r="G69" s="18" t="n">
        <v>22.8125</v>
      </c>
      <c r="H69" s="65" t="n">
        <v>0.550904109589041</v>
      </c>
      <c r="I69" s="16"/>
      <c r="J69" s="16"/>
      <c r="K69" s="16"/>
      <c r="L69" s="16"/>
      <c r="M69" s="16"/>
      <c r="N69" s="16"/>
      <c r="O69" s="16"/>
      <c r="P69" s="16" t="s">
        <v>464</v>
      </c>
      <c r="Q69" s="18" t="n">
        <v>27.4375</v>
      </c>
      <c r="R69" s="18" t="n">
        <v>35.38</v>
      </c>
      <c r="S69" s="65" t="n">
        <v>0.289476082004556</v>
      </c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  <c r="IU69" s="16"/>
      <c r="IV69" s="16"/>
      <c r="IW69" s="16"/>
    </row>
    <row r="70" customFormat="false" ht="12.95" hidden="false" customHeight="true" outlineLevel="0" collapsed="false">
      <c r="A70" s="16"/>
      <c r="B70" s="16"/>
      <c r="C70" s="16"/>
      <c r="D70" s="16"/>
      <c r="E70" s="16" t="s">
        <v>466</v>
      </c>
      <c r="F70" s="18" t="n">
        <v>5.06</v>
      </c>
      <c r="G70" s="18" t="n">
        <v>6.375</v>
      </c>
      <c r="H70" s="65" t="n">
        <v>-0.206274509803921</v>
      </c>
      <c r="I70" s="16"/>
      <c r="J70" s="16"/>
      <c r="K70" s="16"/>
      <c r="L70" s="16"/>
      <c r="M70" s="16"/>
      <c r="N70" s="16"/>
      <c r="O70" s="16"/>
      <c r="P70" s="16" t="s">
        <v>466</v>
      </c>
      <c r="Q70" s="18" t="n">
        <v>3.625</v>
      </c>
      <c r="R70" s="18" t="n">
        <v>5.06</v>
      </c>
      <c r="S70" s="65" t="n">
        <v>0.395862068965517</v>
      </c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</row>
    <row r="71" customFormat="false" ht="12.95" hidden="false" customHeight="true" outlineLevel="0" collapsed="false">
      <c r="A71" s="16"/>
      <c r="B71" s="16"/>
      <c r="C71" s="16"/>
      <c r="D71" s="16"/>
      <c r="E71" s="16" t="s">
        <v>468</v>
      </c>
      <c r="F71" s="18" t="n">
        <v>71.61</v>
      </c>
      <c r="G71" s="18" t="n">
        <v>41.75</v>
      </c>
      <c r="H71" s="65" t="n">
        <v>0.715209580838323</v>
      </c>
      <c r="I71" s="16"/>
      <c r="J71" s="16"/>
      <c r="K71" s="16"/>
      <c r="L71" s="16"/>
      <c r="M71" s="16"/>
      <c r="N71" s="16"/>
      <c r="O71" s="16"/>
      <c r="P71" s="16" t="s">
        <v>468</v>
      </c>
      <c r="Q71" s="18" t="n">
        <v>56.3125</v>
      </c>
      <c r="R71" s="18" t="n">
        <v>71.61</v>
      </c>
      <c r="S71" s="65" t="n">
        <v>0.27165371809101</v>
      </c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  <c r="FF71" s="16"/>
      <c r="FG71" s="16"/>
      <c r="FH71" s="16"/>
      <c r="FI71" s="16"/>
      <c r="FJ71" s="16"/>
      <c r="FK71" s="16"/>
      <c r="FL71" s="16"/>
      <c r="FM71" s="16"/>
      <c r="FN71" s="16"/>
      <c r="FO71" s="16"/>
      <c r="FP71" s="16"/>
      <c r="FQ71" s="16"/>
      <c r="FR71" s="16"/>
      <c r="FS71" s="16"/>
      <c r="FT71" s="16"/>
      <c r="FU71" s="16"/>
      <c r="FV71" s="16"/>
      <c r="FW71" s="16"/>
      <c r="FX71" s="16"/>
      <c r="FY71" s="16"/>
      <c r="FZ71" s="16"/>
      <c r="GA71" s="16"/>
      <c r="GB71" s="16"/>
      <c r="GC71" s="16"/>
      <c r="GD71" s="16"/>
      <c r="GE71" s="16"/>
      <c r="GF71" s="16"/>
      <c r="GG71" s="16"/>
      <c r="GH71" s="16"/>
      <c r="GI71" s="16"/>
      <c r="GJ71" s="16"/>
      <c r="GK71" s="16"/>
      <c r="GL71" s="16"/>
      <c r="GM71" s="16"/>
      <c r="GN71" s="16"/>
      <c r="GO71" s="16"/>
      <c r="GP71" s="16"/>
      <c r="GQ71" s="16"/>
      <c r="GR71" s="16"/>
      <c r="GS71" s="16"/>
      <c r="GT71" s="16"/>
      <c r="GU71" s="16"/>
      <c r="GV71" s="16"/>
      <c r="GW71" s="16"/>
      <c r="GX71" s="16"/>
      <c r="GY71" s="16"/>
      <c r="GZ71" s="16"/>
      <c r="HA71" s="16"/>
      <c r="HB71" s="16"/>
      <c r="HC71" s="16"/>
      <c r="HD71" s="16"/>
      <c r="HE71" s="16"/>
      <c r="HF71" s="16"/>
      <c r="HG71" s="16"/>
      <c r="HH71" s="16"/>
      <c r="HI71" s="16"/>
      <c r="HJ71" s="16"/>
      <c r="HK71" s="16"/>
      <c r="HL71" s="16"/>
      <c r="HM71" s="16"/>
      <c r="HN71" s="16"/>
      <c r="HO71" s="16"/>
      <c r="HP71" s="16"/>
      <c r="HQ71" s="16"/>
      <c r="HR71" s="16"/>
      <c r="HS71" s="16"/>
      <c r="HT71" s="16"/>
      <c r="HU71" s="16"/>
      <c r="HV71" s="16"/>
      <c r="HW71" s="16"/>
      <c r="HX71" s="16"/>
      <c r="HY71" s="16"/>
      <c r="HZ71" s="16"/>
      <c r="IA71" s="16"/>
      <c r="IB71" s="16"/>
      <c r="IC71" s="16"/>
      <c r="ID71" s="16"/>
      <c r="IE71" s="16"/>
      <c r="IF71" s="16"/>
      <c r="IG71" s="16"/>
      <c r="IH71" s="16"/>
      <c r="II71" s="16"/>
      <c r="IJ71" s="16"/>
      <c r="IK71" s="16"/>
      <c r="IL71" s="16"/>
      <c r="IM71" s="16"/>
      <c r="IN71" s="16"/>
      <c r="IO71" s="16"/>
      <c r="IP71" s="16"/>
      <c r="IQ71" s="16"/>
      <c r="IR71" s="16"/>
      <c r="IS71" s="16"/>
      <c r="IT71" s="16"/>
      <c r="IU71" s="16"/>
      <c r="IV71" s="16"/>
      <c r="IW71" s="16"/>
    </row>
    <row r="72" customFormat="false" ht="12.95" hidden="false" customHeight="true" outlineLevel="0" collapsed="false">
      <c r="A72" s="16"/>
      <c r="B72" s="16"/>
      <c r="C72" s="16"/>
      <c r="D72" s="16"/>
      <c r="E72" s="16" t="s">
        <v>470</v>
      </c>
      <c r="F72" s="18" t="n">
        <v>37.42</v>
      </c>
      <c r="G72" s="18" t="n">
        <v>24.75</v>
      </c>
      <c r="H72" s="65" t="n">
        <v>0.511919191919192</v>
      </c>
      <c r="I72" s="16"/>
      <c r="J72" s="16"/>
      <c r="K72" s="16"/>
      <c r="L72" s="16"/>
      <c r="M72" s="16"/>
      <c r="N72" s="16"/>
      <c r="O72" s="16"/>
      <c r="P72" s="16" t="s">
        <v>470</v>
      </c>
      <c r="Q72" s="18" t="n">
        <v>30.8125</v>
      </c>
      <c r="R72" s="18" t="n">
        <v>37.42</v>
      </c>
      <c r="S72" s="65" t="n">
        <v>0.214442190669371</v>
      </c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6"/>
      <c r="FI72" s="16"/>
      <c r="FJ72" s="16"/>
      <c r="FK72" s="16"/>
      <c r="FL72" s="16"/>
      <c r="FM72" s="16"/>
      <c r="FN72" s="16"/>
      <c r="FO72" s="16"/>
      <c r="FP72" s="16"/>
      <c r="FQ72" s="16"/>
      <c r="FR72" s="16"/>
      <c r="FS72" s="16"/>
      <c r="FT72" s="16"/>
      <c r="FU72" s="16"/>
      <c r="FV72" s="16"/>
      <c r="FW72" s="16"/>
      <c r="FX72" s="16"/>
      <c r="FY72" s="16"/>
      <c r="FZ72" s="16"/>
      <c r="GA72" s="16"/>
      <c r="GB72" s="16"/>
      <c r="GC72" s="16"/>
      <c r="GD72" s="16"/>
      <c r="GE72" s="16"/>
      <c r="GF72" s="16"/>
      <c r="GG72" s="16"/>
      <c r="GH72" s="16"/>
      <c r="GI72" s="16"/>
      <c r="GJ72" s="16"/>
      <c r="GK72" s="16"/>
      <c r="GL72" s="16"/>
      <c r="GM72" s="16"/>
      <c r="GN72" s="16"/>
      <c r="GO72" s="16"/>
      <c r="GP72" s="16"/>
      <c r="GQ72" s="16"/>
      <c r="GR72" s="16"/>
      <c r="GS72" s="16"/>
      <c r="GT72" s="16"/>
      <c r="GU72" s="16"/>
      <c r="GV72" s="16"/>
      <c r="GW72" s="16"/>
      <c r="GX72" s="16"/>
      <c r="GY72" s="16"/>
      <c r="GZ72" s="16"/>
      <c r="HA72" s="16"/>
      <c r="HB72" s="16"/>
      <c r="HC72" s="16"/>
      <c r="HD72" s="16"/>
      <c r="HE72" s="16"/>
      <c r="HF72" s="16"/>
      <c r="HG72" s="16"/>
      <c r="HH72" s="16"/>
      <c r="HI72" s="16"/>
      <c r="HJ72" s="16"/>
      <c r="HK72" s="16"/>
      <c r="HL72" s="16"/>
      <c r="HM72" s="16"/>
      <c r="HN72" s="16"/>
      <c r="HO72" s="16"/>
      <c r="HP72" s="16"/>
      <c r="HQ72" s="16"/>
      <c r="HR72" s="16"/>
      <c r="HS72" s="16"/>
      <c r="HT72" s="16"/>
      <c r="HU72" s="16"/>
      <c r="HV72" s="16"/>
      <c r="HW72" s="16"/>
      <c r="HX72" s="16"/>
      <c r="HY72" s="16"/>
      <c r="HZ72" s="16"/>
      <c r="IA72" s="16"/>
      <c r="IB72" s="16"/>
      <c r="IC72" s="16"/>
      <c r="ID72" s="16"/>
      <c r="IE72" s="16"/>
      <c r="IF72" s="16"/>
      <c r="IG72" s="16"/>
      <c r="IH72" s="16"/>
      <c r="II72" s="16"/>
      <c r="IJ72" s="16"/>
      <c r="IK72" s="16"/>
      <c r="IL72" s="16"/>
      <c r="IM72" s="16"/>
      <c r="IN72" s="16"/>
      <c r="IO72" s="16"/>
      <c r="IP72" s="16"/>
      <c r="IQ72" s="16"/>
      <c r="IR72" s="16"/>
      <c r="IS72" s="16"/>
      <c r="IT72" s="16"/>
      <c r="IU72" s="16"/>
      <c r="IV72" s="16"/>
      <c r="IW72" s="16"/>
    </row>
    <row r="73" customFormat="false" ht="12.95" hidden="false" customHeight="true" outlineLevel="0" collapsed="false">
      <c r="E73" s="16" t="s">
        <v>472</v>
      </c>
      <c r="F73" s="18" t="n">
        <v>24.88</v>
      </c>
      <c r="G73" s="18" t="n">
        <v>18.625</v>
      </c>
      <c r="H73" s="65" t="n">
        <v>0.335838926174497</v>
      </c>
      <c r="P73" s="16" t="s">
        <v>472</v>
      </c>
      <c r="Q73" s="18" t="n">
        <v>19.125</v>
      </c>
      <c r="R73" s="18" t="n">
        <v>24.88</v>
      </c>
      <c r="S73" s="65" t="n">
        <v>0.300915032679739</v>
      </c>
    </row>
    <row r="74" customFormat="false" ht="12.95" hidden="false" customHeight="true" outlineLevel="0" collapsed="false">
      <c r="E74" s="16" t="s">
        <v>474</v>
      </c>
      <c r="F74" s="18" t="n">
        <v>31</v>
      </c>
      <c r="G74" s="18" t="n">
        <v>26</v>
      </c>
      <c r="H74" s="65" t="n">
        <v>0.192307692307692</v>
      </c>
      <c r="P74" s="16" t="s">
        <v>474</v>
      </c>
      <c r="Q74" s="18" t="n">
        <v>24.5625</v>
      </c>
      <c r="R74" s="18" t="n">
        <v>31</v>
      </c>
      <c r="S74" s="65" t="n">
        <v>0.262086513994911</v>
      </c>
    </row>
    <row r="75" customFormat="false" ht="12.95" hidden="false" customHeight="true" outlineLevel="0" collapsed="false">
      <c r="E75" s="16"/>
      <c r="P75" s="16"/>
    </row>
    <row r="76" customFormat="false" ht="12.95" hidden="false" customHeight="true" outlineLevel="0" collapsed="false">
      <c r="P76" s="16"/>
    </row>
    <row r="77" customFormat="false" ht="12.95" hidden="false" customHeight="true" outlineLevel="0" collapsed="false"/>
    <row r="78" customFormat="false" ht="12.95" hidden="false" customHeight="true" outlineLevel="0" collapsed="false"/>
    <row r="79" customFormat="false" ht="12.95" hidden="false" customHeight="true" outlineLevel="0" collapsed="false"/>
    <row r="80" customFormat="false" ht="12.95" hidden="false" customHeight="true" outlineLevel="0" collapsed="false"/>
    <row r="81" customFormat="false" ht="12.95" hidden="false" customHeight="true" outlineLevel="0" collapsed="false"/>
    <row r="82" customFormat="false" ht="12.95" hidden="false" customHeight="true" outlineLevel="0" collapsed="false"/>
    <row r="83" customFormat="false" ht="12.95" hidden="false" customHeight="true" outlineLevel="0" collapsed="false"/>
    <row r="84" customFormat="false" ht="12.95" hidden="false" customHeight="true" outlineLevel="0" collapsed="false"/>
    <row r="85" customFormat="false" ht="12.95" hidden="false" customHeight="true" outlineLevel="0" collapsed="false"/>
    <row r="86" customFormat="false" ht="12.95" hidden="false" customHeight="true" outlineLevel="0" collapsed="false"/>
    <row r="87" customFormat="false" ht="12.95" hidden="false" customHeight="true" outlineLevel="0" collapsed="false"/>
    <row r="88" customFormat="false" ht="12.95" hidden="false" customHeight="true" outlineLevel="0" collapsed="false"/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  <row r="109" customFormat="false" ht="12.95" hidden="false" customHeight="true" outlineLevel="0" collapsed="false"/>
    <row r="110" customFormat="false" ht="12.95" hidden="false" customHeight="true" outlineLevel="0" collapsed="false"/>
    <row r="111" customFormat="false" ht="12.95" hidden="false" customHeight="true" outlineLevel="0" collapsed="false"/>
    <row r="112" customFormat="false" ht="12.95" hidden="false" customHeight="true" outlineLevel="0" collapsed="false"/>
    <row r="113" customFormat="false" ht="12.95" hidden="false" customHeight="true" outlineLevel="0" collapsed="false"/>
  </sheetData>
  <mergeCells count="18">
    <mergeCell ref="Y7:Z7"/>
    <mergeCell ref="E8:F8"/>
    <mergeCell ref="I8:K8"/>
    <mergeCell ref="L8:N8"/>
    <mergeCell ref="O8:Q8"/>
    <mergeCell ref="S10:U10"/>
    <mergeCell ref="B28:C28"/>
    <mergeCell ref="D28:F28"/>
    <mergeCell ref="G28:H28"/>
    <mergeCell ref="J28:K28"/>
    <mergeCell ref="P28:S28"/>
    <mergeCell ref="U28:Y28"/>
    <mergeCell ref="B29:C29"/>
    <mergeCell ref="D29:F29"/>
    <mergeCell ref="G29:H29"/>
    <mergeCell ref="J29:K29"/>
    <mergeCell ref="P29:S29"/>
    <mergeCell ref="U29:Y29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3"/>
  <sheetViews>
    <sheetView showFormulas="false" showGridLines="true" showRowColHeaders="true" showZeros="true" rightToLeft="false" tabSelected="false" showOutlineSymbols="true" defaultGridColor="true" view="pageBreakPreview" topLeftCell="A1" colorId="64" zoomScale="50" zoomScaleNormal="75" zoomScalePageLayoutView="5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0" width="29.71"/>
    <col collapsed="false" customWidth="true" hidden="false" outlineLevel="0" max="2" min="2" style="10" width="12.85"/>
    <col collapsed="false" customWidth="true" hidden="false" outlineLevel="0" max="3" min="3" style="10" width="12.7"/>
    <col collapsed="false" customWidth="true" hidden="false" outlineLevel="0" max="4" min="4" style="10" width="10.71"/>
    <col collapsed="false" customWidth="true" hidden="false" outlineLevel="0" max="5" min="5" style="10" width="11.7"/>
    <col collapsed="false" customWidth="true" hidden="false" outlineLevel="0" max="6" min="6" style="10" width="10.71"/>
    <col collapsed="false" customWidth="true" hidden="false" outlineLevel="0" max="7" min="7" style="10" width="11.7"/>
    <col collapsed="false" customWidth="true" hidden="false" outlineLevel="0" max="8" min="8" style="10" width="10.71"/>
    <col collapsed="false" customWidth="true" hidden="true" outlineLevel="1" max="9" min="9" style="10" width="8.7"/>
    <col collapsed="false" customWidth="true" hidden="false" outlineLevel="0" max="11" min="10" style="10" width="8.7"/>
    <col collapsed="false" customWidth="true" hidden="true" outlineLevel="1" max="12" min="12" style="10" width="8.7"/>
    <col collapsed="false" customWidth="true" hidden="false" outlineLevel="0" max="14" min="13" style="10" width="8.7"/>
    <col collapsed="false" customWidth="true" hidden="true" outlineLevel="1" max="15" min="15" style="10" width="8.7"/>
    <col collapsed="false" customWidth="true" hidden="false" outlineLevel="0" max="17" min="16" style="10" width="8.7"/>
    <col collapsed="false" customWidth="true" hidden="false" outlineLevel="0" max="25" min="18" style="10" width="9.7"/>
    <col collapsed="false" customWidth="true" hidden="false" outlineLevel="0" max="26" min="26" style="10" width="10.71"/>
    <col collapsed="false" customWidth="false" hidden="false" outlineLevel="0" max="27" min="27" style="10" width="9.14"/>
    <col collapsed="false" customWidth="true" hidden="false" outlineLevel="0" max="30" min="28" style="10" width="10.71"/>
    <col collapsed="false" customWidth="true" hidden="false" outlineLevel="0" max="31" min="31" style="10" width="15.7"/>
    <col collapsed="false" customWidth="false" hidden="false" outlineLevel="0" max="257" min="32" style="10" width="9.14"/>
  </cols>
  <sheetData>
    <row r="1" customFormat="false" ht="18" hidden="false" customHeight="false" outlineLevel="0" collapsed="false">
      <c r="A1" s="73" t="s">
        <v>487</v>
      </c>
      <c r="B1" s="73"/>
      <c r="C1" s="73"/>
    </row>
    <row r="2" customFormat="false" ht="15" hidden="false" customHeight="true" outlineLevel="0" collapsed="false">
      <c r="A2" s="3" t="s">
        <v>1</v>
      </c>
      <c r="B2" s="3"/>
      <c r="C2" s="3"/>
      <c r="AG2" s="43"/>
    </row>
    <row r="3" customFormat="false" ht="12.75" hidden="false" customHeight="false" outlineLevel="0" collapsed="false">
      <c r="A3" s="74" t="s">
        <v>2</v>
      </c>
      <c r="B3" s="74"/>
      <c r="C3" s="74"/>
      <c r="AG3" s="43"/>
    </row>
    <row r="4" customFormat="false" ht="12.75" hidden="false" customHeight="false" outlineLevel="0" collapsed="false">
      <c r="A4" s="74"/>
      <c r="B4" s="74"/>
      <c r="C4" s="74"/>
      <c r="AG4" s="43"/>
    </row>
    <row r="5" customFormat="false" ht="12.75" hidden="false" customHeight="false" outlineLevel="0" collapsed="false">
      <c r="A5" s="74"/>
      <c r="B5" s="74"/>
      <c r="C5" s="74"/>
      <c r="AG5" s="43"/>
    </row>
    <row r="6" customFormat="false" ht="12.75" hidden="false" customHeight="false" outlineLevel="0" collapsed="false">
      <c r="A6" s="75" t="s">
        <v>3</v>
      </c>
      <c r="B6" s="8" t="n">
        <v>37106</v>
      </c>
      <c r="C6" s="77"/>
    </row>
    <row r="7" customFormat="false" ht="12.75" hidden="false" customHeight="false" outlineLevel="0" collapsed="false">
      <c r="H7" s="11" t="s">
        <v>4</v>
      </c>
      <c r="U7" s="12" t="s">
        <v>5</v>
      </c>
      <c r="V7" s="12"/>
      <c r="W7" s="12"/>
      <c r="X7" s="12" t="s">
        <v>6</v>
      </c>
      <c r="Y7" s="12"/>
      <c r="Z7" s="11" t="s">
        <v>7</v>
      </c>
    </row>
    <row r="8" customFormat="false" ht="12.75" hidden="false" customHeight="false" outlineLevel="0" collapsed="false">
      <c r="C8" s="11" t="s">
        <v>8</v>
      </c>
      <c r="D8" s="11" t="s">
        <v>9</v>
      </c>
      <c r="E8" s="13" t="s">
        <v>10</v>
      </c>
      <c r="F8" s="13"/>
      <c r="G8" s="11" t="s">
        <v>11</v>
      </c>
      <c r="H8" s="11" t="s">
        <v>11</v>
      </c>
      <c r="I8" s="12" t="s">
        <v>12</v>
      </c>
      <c r="J8" s="12"/>
      <c r="K8" s="12"/>
      <c r="L8" s="12" t="s">
        <v>13</v>
      </c>
      <c r="M8" s="12"/>
      <c r="N8" s="12"/>
      <c r="O8" s="12" t="s">
        <v>14</v>
      </c>
      <c r="P8" s="12"/>
      <c r="Q8" s="12"/>
      <c r="R8" s="13" t="s">
        <v>15</v>
      </c>
      <c r="S8" s="13" t="s">
        <v>16</v>
      </c>
      <c r="T8" s="11" t="s">
        <v>17</v>
      </c>
      <c r="U8" s="11" t="s">
        <v>18</v>
      </c>
      <c r="V8" s="11"/>
      <c r="W8" s="11" t="s">
        <v>19</v>
      </c>
      <c r="X8" s="11" t="s">
        <v>18</v>
      </c>
      <c r="Y8" s="11" t="s">
        <v>20</v>
      </c>
      <c r="Z8" s="11" t="s">
        <v>21</v>
      </c>
      <c r="AA8" s="13"/>
    </row>
    <row r="9" customFormat="false" ht="12.75" hidden="false" customHeight="false" outlineLevel="0" collapsed="false">
      <c r="A9" s="11" t="s">
        <v>22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29</v>
      </c>
      <c r="J9" s="11" t="s">
        <v>30</v>
      </c>
      <c r="K9" s="11" t="s">
        <v>31</v>
      </c>
      <c r="L9" s="11" t="s">
        <v>29</v>
      </c>
      <c r="M9" s="11" t="s">
        <v>30</v>
      </c>
      <c r="N9" s="11" t="s">
        <v>31</v>
      </c>
      <c r="O9" s="11" t="s">
        <v>29</v>
      </c>
      <c r="P9" s="11" t="s">
        <v>30</v>
      </c>
      <c r="Q9" s="11" t="s">
        <v>31</v>
      </c>
      <c r="R9" s="11" t="s">
        <v>32</v>
      </c>
      <c r="S9" s="11" t="s">
        <v>33</v>
      </c>
      <c r="T9" s="11" t="s">
        <v>34</v>
      </c>
      <c r="U9" s="11" t="s">
        <v>35</v>
      </c>
      <c r="V9" s="11" t="s">
        <v>36</v>
      </c>
      <c r="W9" s="11" t="s">
        <v>37</v>
      </c>
      <c r="X9" s="11" t="s">
        <v>38</v>
      </c>
      <c r="Y9" s="11" t="s">
        <v>6</v>
      </c>
      <c r="Z9" s="11" t="s">
        <v>39</v>
      </c>
      <c r="AA9" s="13"/>
    </row>
    <row r="10" customFormat="false" ht="4.9" hidden="false" customHeight="true" outlineLevel="0" collapsed="false">
      <c r="A10" s="78" t="s">
        <v>40</v>
      </c>
      <c r="B10" s="78" t="s">
        <v>40</v>
      </c>
      <c r="C10" s="78" t="s">
        <v>40</v>
      </c>
      <c r="D10" s="78" t="s">
        <v>40</v>
      </c>
      <c r="E10" s="78" t="s">
        <v>40</v>
      </c>
      <c r="F10" s="78" t="s">
        <v>40</v>
      </c>
      <c r="G10" s="78" t="s">
        <v>40</v>
      </c>
      <c r="H10" s="78" t="s">
        <v>40</v>
      </c>
      <c r="I10" s="78" t="s">
        <v>40</v>
      </c>
      <c r="J10" s="78" t="s">
        <v>40</v>
      </c>
      <c r="K10" s="78" t="s">
        <v>40</v>
      </c>
      <c r="L10" s="78" t="s">
        <v>40</v>
      </c>
      <c r="M10" s="78" t="s">
        <v>40</v>
      </c>
      <c r="N10" s="78" t="s">
        <v>40</v>
      </c>
      <c r="O10" s="78" t="s">
        <v>40</v>
      </c>
      <c r="P10" s="78" t="s">
        <v>40</v>
      </c>
      <c r="Q10" s="78" t="s">
        <v>40</v>
      </c>
      <c r="R10" s="78" t="s">
        <v>40</v>
      </c>
      <c r="S10" s="78" t="s">
        <v>40</v>
      </c>
      <c r="T10" s="78" t="s">
        <v>40</v>
      </c>
      <c r="U10" s="78" t="s">
        <v>40</v>
      </c>
      <c r="V10" s="78" t="s">
        <v>40</v>
      </c>
      <c r="W10" s="78" t="s">
        <v>40</v>
      </c>
      <c r="X10" s="78" t="s">
        <v>40</v>
      </c>
      <c r="Y10" s="78" t="s">
        <v>40</v>
      </c>
      <c r="Z10" s="78" t="s">
        <v>40</v>
      </c>
      <c r="AA10" s="40"/>
    </row>
    <row r="11" customFormat="false" ht="12.95" hidden="false" customHeight="true" outlineLevel="0" collapsed="false">
      <c r="A11" s="10" t="str">
        <f aca="false">[15]BHI!$D$305</f>
        <v>Baker Hughes Incorporated</v>
      </c>
      <c r="B11" s="11" t="str">
        <f aca="false">[15]BHI!$E$305</f>
        <v>BHI</v>
      </c>
      <c r="C11" s="17" t="n">
        <f aca="false">[15]BHI!$D$9</f>
        <v>37106</v>
      </c>
      <c r="D11" s="85" t="e">
        <f aca="false">FDS(B11,"ib_price",$B$6)</f>
        <v>#NAME?</v>
      </c>
      <c r="E11" s="85" t="e">
        <f aca="false">FDS(B11,"ib_price_high_52w",$B$6)</f>
        <v>#NAME?</v>
      </c>
      <c r="F11" s="85" t="e">
        <f aca="false">FDS(B11,"ib_price_low_52w",$B$6)</f>
        <v>#NAME?</v>
      </c>
      <c r="G11" s="93" t="e">
        <f aca="false">D11*Z11</f>
        <v>#NAME?</v>
      </c>
      <c r="H11" s="93" t="e">
        <f aca="false">G11+[15]BHI!$J$123</f>
        <v>#NAME?</v>
      </c>
      <c r="I11" s="94" t="e">
        <f aca="false">IF(OR($G$11/[15]BHI!$O$46&lt;=0,$G11/[15]BHI!$O$46&gt;=AE12),"NM",$G$11/[15]BHI!$O$46)</f>
        <v>#NAME?</v>
      </c>
      <c r="J11" s="94" t="e">
        <f aca="false">IF(OR(D11/[15]BHI!$P$58&lt;=0,D11/[15]BHI!$P$58&gt;=AE12),"NM",D11/[15]BHI!$P$58)</f>
        <v>#NAME?</v>
      </c>
      <c r="K11" s="94" t="e">
        <f aca="false">IF(OR($D11/[15]BHI!$Q$58&lt;=0,$D11/[15]BHI!$Q$58&gt;=$AE$12),"NM",$D11/[15]BHI!$Q$58)</f>
        <v>#NAME?</v>
      </c>
      <c r="L11" s="94" t="e">
        <f aca="false">IF(OR($G$11/[15]BHI!$O$52&lt;=0,$G11/[15]BHI!$O$52&gt;=AH17),"NM",$G$11/[15]BHI!$O$52)</f>
        <v>#NAME?</v>
      </c>
      <c r="M11" s="94" t="e">
        <f aca="false">IF(OR($D11/[15]BHI!$P$59&lt;=0,$D11/[15]BHI!$P$59&gt;=$AE$12),"NM",$D11/[15]BHI!$P$59)</f>
        <v>#NAME?</v>
      </c>
      <c r="N11" s="94" t="e">
        <f aca="false">IF(OR($D11/[15]BHI!$Q$59&lt;=0,$D11/[15]BHI!$Q$59&gt;=$AE$12),"NM",$D11/[15]BHI!$Q$59)</f>
        <v>#NAME?</v>
      </c>
      <c r="O11" s="94" t="e">
        <f aca="false">IF(G11/[15]BHI!O$28&gt;=$AE$12,"NM",G11/[15]BHI!O$28)</f>
        <v>#NAME?</v>
      </c>
      <c r="P11" s="94" t="e">
        <f aca="false">IF(H11/[15]BHI!P$28&gt;=$AE$12,"NM",H11/[15]BHI!P$28)</f>
        <v>#NAME?</v>
      </c>
      <c r="Q11" s="94" t="e">
        <f aca="false">IF(H11/[15]BHI!$Q$28&gt;=$AE$12,"NM",H11/[15]BHI!$Q$28)</f>
        <v>#NAME?</v>
      </c>
      <c r="R11" s="29" t="n">
        <f aca="false">[15]BHI!$J$132</f>
        <v>0.397215876920674</v>
      </c>
      <c r="S11" s="94" t="e">
        <f aca="false">G11/[15]BHI!$I$97</f>
        <v>#NAME?</v>
      </c>
      <c r="T11" s="29" t="e">
        <f aca="false">FDS(B11,"ib_div_yld",0)/100</f>
        <v>#NAME?</v>
      </c>
      <c r="U11" s="127" t="n">
        <f aca="false">[15]BHI!$S$305</f>
        <v>0</v>
      </c>
      <c r="V11" s="29" t="str">
        <f aca="false">[15]BHI!$T$305</f>
        <v>NA</v>
      </c>
      <c r="W11" s="85" t="str">
        <f aca="false">IF(ISERROR(((([15]BHI!$Q$282/[15]BHI!$Q$285)*H11)/U11)),"NA",((([15]BHI!$Q$282/[15]BHI!$Q$285)*H11)/U11))</f>
        <v>NA</v>
      </c>
      <c r="X11" s="93" t="s">
        <v>51</v>
      </c>
      <c r="Y11" s="94" t="str">
        <f aca="false">IF(ISERROR(((([15]BHI!$Q$282/[15]BHI!$Q$285)*G11)/X11)),"NA",((([15]BHI!$Q$282/[15]BHI!$Q$285)*G11)/X11))</f>
        <v>NA</v>
      </c>
      <c r="Z11" s="128" t="n">
        <f aca="false">[15]BHI!$S$56</f>
        <v>337.120242516027</v>
      </c>
      <c r="AE11" s="131" t="s">
        <v>110</v>
      </c>
    </row>
    <row r="12" customFormat="false" ht="12.95" hidden="false" customHeight="true" outlineLevel="0" collapsed="false">
      <c r="A12" s="10" t="str">
        <f aca="false">[16]BJS!$D$305</f>
        <v>BJ Services Company</v>
      </c>
      <c r="B12" s="11" t="str">
        <f aca="false">[16]BJS!$E$305</f>
        <v>BJS</v>
      </c>
      <c r="C12" s="17" t="n">
        <f aca="false">[16]BJS!$D$9</f>
        <v>37106</v>
      </c>
      <c r="D12" s="85" t="e">
        <f aca="false">FDS(B12,"ib_price",$B$6)</f>
        <v>#NAME?</v>
      </c>
      <c r="E12" s="85" t="e">
        <f aca="false">FDS(B12,"ib_price_high_52w",$B$6)</f>
        <v>#NAME?</v>
      </c>
      <c r="F12" s="85" t="e">
        <f aca="false">FDS(B12,"ib_price_low_52w",$B$6)</f>
        <v>#NAME?</v>
      </c>
      <c r="G12" s="93" t="e">
        <f aca="false">D12*Z12</f>
        <v>#NAME?</v>
      </c>
      <c r="H12" s="93" t="e">
        <f aca="false">G12+[16]BJS!$J$123</f>
        <v>#NAME?</v>
      </c>
      <c r="I12" s="94" t="e">
        <f aca="false">IF(OR($G$12/[16]BJS!$O$46&lt;=0,G12/[16]BJS!$O$46&gt;=$AE$12),"NM",$G$12/[16]BJS!$O$46)</f>
        <v>#NAME?</v>
      </c>
      <c r="J12" s="94" t="e">
        <f aca="false">IF(OR(D12/[16]BJS!$P$58&lt;=0,D12/[16]BJS!$P$58&gt;=AE12),"NM",D12/[16]BJS!$P$58)</f>
        <v>#NAME?</v>
      </c>
      <c r="K12" s="94" t="e">
        <f aca="false">IF(OR($D12/[16]BJS!$Q$58&lt;=0,$D12/[16]BJS!$Q$58&gt;=$AE$12),"NM",$D12/[16]BJS!$Q$58)</f>
        <v>#NAME?</v>
      </c>
      <c r="L12" s="94" t="e">
        <f aca="false">IF(OR($G$12/[16]BJS!$O$52&lt;=0,J12/[16]BJS!$O$52&gt;=$AE$12),"NM",$G$12/[16]BJS!$O$52)</f>
        <v>#NAME?</v>
      </c>
      <c r="M12" s="94" t="e">
        <f aca="false">IF(OR($D12/[16]BJS!$P$59&lt;=0,$D12/[16]BJS!$P$59&gt;=$AE$12),"NM",$D12/[16]BJS!$P$59)</f>
        <v>#NAME?</v>
      </c>
      <c r="N12" s="94" t="e">
        <f aca="false">IF(OR($D12/[16]BJS!$Q$59&lt;=0,$D12/[16]BJS!$Q$59&gt;=$AE$12),"NM",$D12/[16]BJS!$Q$59)</f>
        <v>#NAME?</v>
      </c>
      <c r="O12" s="94" t="e">
        <f aca="false">IF(G12/[16]BJS!O$28&gt;=$AE$12,"NM",G12/[16]BJS!O$28)</f>
        <v>#NAME?</v>
      </c>
      <c r="P12" s="94" t="e">
        <f aca="false">IF(H12/[16]BJS!P$28&gt;=$AE$12,"NM",H12/[16]BJS!P$28)</f>
        <v>#NAME?</v>
      </c>
      <c r="Q12" s="94" t="e">
        <f aca="false">IF(H12/[16]BJS!$Q$28&gt;=$AE$12,"NM",H12/[16]BJS!$Q$28)</f>
        <v>#NAME?</v>
      </c>
      <c r="R12" s="29" t="n">
        <f aca="false">[16]BJS!$J$132</f>
        <v>0.114176530238465</v>
      </c>
      <c r="S12" s="94" t="e">
        <f aca="false">IF(G12/[16]BJS!$I$97&lt;=0,"NM",G12/[16]BJS!$I$97)</f>
        <v>#NAME?</v>
      </c>
      <c r="T12" s="29" t="e">
        <f aca="false">FDS(B12,"ib_div_yld",0)/100</f>
        <v>#NAME?</v>
      </c>
      <c r="U12" s="95" t="n">
        <f aca="false">[16]BJS!$S$305</f>
        <v>0</v>
      </c>
      <c r="V12" s="29" t="str">
        <f aca="false">[16]BJS!$T$305</f>
        <v>NA</v>
      </c>
      <c r="W12" s="85" t="str">
        <f aca="false">IF(ISERROR(((([16]BJS!$Q$282/[16]BJS!$Q$285)*H12)/U12)),"NA",((([16]BJS!$Q$282/[16]BJS!$Q$285)*H12)/U12))</f>
        <v>NA</v>
      </c>
      <c r="X12" s="93" t="s">
        <v>51</v>
      </c>
      <c r="Y12" s="94" t="str">
        <f aca="false">IF(ISERROR(((([16]BJS!$Q$282/[16]BJS!$Q$285)*G12)/X12)),"NA",((([16]BJS!$Q$282/[16]BJS!$Q$285)*G12)/X12))</f>
        <v>NA</v>
      </c>
      <c r="Z12" s="130" t="n">
        <f aca="false">[16]BJS!$S$56</f>
        <v>167.785017900826</v>
      </c>
      <c r="AA12" s="86"/>
      <c r="AE12" s="132" t="n">
        <v>50</v>
      </c>
    </row>
    <row r="13" customFormat="false" ht="12.95" hidden="false" customHeight="true" outlineLevel="0" collapsed="false">
      <c r="A13" s="10" t="str">
        <f aca="false">[17]CAM!$D$305</f>
        <v>Cooper Cameron Corporation</v>
      </c>
      <c r="B13" s="11" t="str">
        <f aca="false">[17]CAM!$E$305</f>
        <v>CAM</v>
      </c>
      <c r="C13" s="17" t="n">
        <f aca="false">[17]CAM!$D$9</f>
        <v>37106</v>
      </c>
      <c r="D13" s="85" t="e">
        <f aca="false">FDS(B13,"ib_price",$B$6)</f>
        <v>#NAME?</v>
      </c>
      <c r="E13" s="85" t="e">
        <f aca="false">FDS(B13,"ib_price_high_52w",$B$6)</f>
        <v>#NAME?</v>
      </c>
      <c r="F13" s="85" t="e">
        <f aca="false">FDS(B13,"ib_price_low_52w",$B$6)</f>
        <v>#NAME?</v>
      </c>
      <c r="G13" s="93" t="e">
        <f aca="false">D13*Z13</f>
        <v>#NAME?</v>
      </c>
      <c r="H13" s="93" t="e">
        <f aca="false">G13+[17]CAM!$J$123</f>
        <v>#NAME?</v>
      </c>
      <c r="I13" s="94" t="e">
        <f aca="false">IF(OR($G$13/[17]CAM!$O$46&lt;=0,$G$13/[17]CAM!$O$46&gt;=$AE$12),"NM",$G$13/[17]CAM!$O$46)</f>
        <v>#NAME?</v>
      </c>
      <c r="J13" s="94" t="e">
        <f aca="false">IF(OR(D13/[17]CAM!$P$58&lt;=0,D13/[17]CAM!$P$58&gt;=AE12),"NM",D13/[17]CAM!$P$58)</f>
        <v>#NAME?</v>
      </c>
      <c r="K13" s="94" t="e">
        <f aca="false">IF(OR($D13/[17]CAM!$Q$58&lt;=0,$D13/[17]CAM!$Q$58&gt;=$AE$12),"NM",$D13/[17]CAM!$Q$58)</f>
        <v>#NAME?</v>
      </c>
      <c r="L13" s="94" t="e">
        <f aca="false">IF(OR($G$13/[17]CAM!$O$52&lt;=0,$G$13/[17]CAM!$O$52&gt;=$AE$12),"NM",$G$13/[17]CAM!$O$52)</f>
        <v>#NAME?</v>
      </c>
      <c r="M13" s="94" t="e">
        <f aca="false">IF(OR($D13/[17]CAM!$P$59&lt;=0,$D13/[17]CAM!$P$59&gt;=$AE$12),"NM",$D13/[17]CAM!$P$59)</f>
        <v>#NAME?</v>
      </c>
      <c r="N13" s="94" t="e">
        <f aca="false">IF(OR($D13/[17]CAM!$Q$59&lt;=0,$D13/[17]CAM!$Q$59&gt;=$AE$12),"NM",$D13/[17]CAM!$Q$59)</f>
        <v>#NAME?</v>
      </c>
      <c r="O13" s="94" t="e">
        <f aca="false">IF(G13/[17]CAM!O$28&gt;=$AE$12,"NM",G13/[17]CAM!O$28)</f>
        <v>#NAME?</v>
      </c>
      <c r="P13" s="94" t="e">
        <f aca="false">IF(H13/[17]CAM!P$28&gt;=$AE$12,"NM",H13/[17]CAM!P$28)</f>
        <v>#NAME?</v>
      </c>
      <c r="Q13" s="94" t="e">
        <f aca="false">IF(H13/[17]CAM!$Q$28&gt;=$AE$12,"NM",H13/[17]CAM!$Q$28)</f>
        <v>#NAME?</v>
      </c>
      <c r="R13" s="29" t="n">
        <f aca="false">[17]CAM!$J$132</f>
        <v>0.355717017208413</v>
      </c>
      <c r="S13" s="94" t="e">
        <f aca="false">G13/[17]CAM!$I$97</f>
        <v>#NAME?</v>
      </c>
      <c r="T13" s="29" t="e">
        <f aca="false">FDS(B13,"ib_div_yld",0)/100</f>
        <v>#NAME?</v>
      </c>
      <c r="U13" s="95" t="n">
        <f aca="false">[17]CAM!$S$305</f>
        <v>0</v>
      </c>
      <c r="V13" s="29" t="str">
        <f aca="false">[17]CAM!$T$305</f>
        <v>NA</v>
      </c>
      <c r="W13" s="85" t="str">
        <f aca="false">IF(ISERROR(((([17]CAM!$Q$282/[17]CAM!$Q$285)*H13)/U13)),"NA",((([17]CAM!$Q$282/[17]CAM!$Q$285)*H13)/U13))</f>
        <v>NA</v>
      </c>
      <c r="X13" s="93" t="s">
        <v>51</v>
      </c>
      <c r="Y13" s="94" t="str">
        <f aca="false">IF(ISERROR(((([17]CAM!$Q$282/[17]CAM!$Q$285)*G13)/X13)),"NA",((([17]CAM!$Q$282/[17]CAM!$Q$285)*G13)/X13))</f>
        <v>NA</v>
      </c>
      <c r="Z13" s="130" t="n">
        <f aca="false">[17]CAM!$S$56</f>
        <v>54.2544157165354</v>
      </c>
      <c r="AA13" s="86"/>
    </row>
    <row r="14" customFormat="false" ht="12.95" hidden="false" customHeight="true" outlineLevel="0" collapsed="false">
      <c r="A14" s="10" t="str">
        <f aca="false">[18]CLB!$D$305</f>
        <v>Core Laboratories N.V.</v>
      </c>
      <c r="B14" s="11" t="str">
        <f aca="false">[18]CLB!$E$305</f>
        <v>CLB </v>
      </c>
      <c r="C14" s="17" t="n">
        <f aca="false">[18]CLB!$D$9</f>
        <v>37106</v>
      </c>
      <c r="D14" s="85" t="e">
        <f aca="false">FDS(B14,"ib_price",$B$6)</f>
        <v>#NAME?</v>
      </c>
      <c r="E14" s="85" t="e">
        <f aca="false">FDS(B14,"ib_price_high_52w",$B$6)</f>
        <v>#NAME?</v>
      </c>
      <c r="F14" s="85" t="e">
        <f aca="false">FDS(B14,"ib_price_low_52w",$B$6)</f>
        <v>#NAME?</v>
      </c>
      <c r="G14" s="93" t="e">
        <f aca="false">D14*Z14</f>
        <v>#NAME?</v>
      </c>
      <c r="H14" s="93" t="e">
        <f aca="false">G14+[18]CLB!$J$123</f>
        <v>#NAME?</v>
      </c>
      <c r="I14" s="94" t="e">
        <f aca="false">IF(OR($G$14/[18]CLB!$O$46&lt;=0,$G$14/[18]CLB!$O$46&gt;=$AE$12),"NM",$G$14/[18]CLB!$O$46)</f>
        <v>#NAME?</v>
      </c>
      <c r="J14" s="94" t="e">
        <f aca="false">IF(OR(D14/[18]CLB!$P$58&lt;=0,D14/[18]CLB!$P$58&gt;=AE12),"NM",D14/[18]CLB!$P$58)</f>
        <v>#NAME?</v>
      </c>
      <c r="K14" s="94" t="e">
        <f aca="false">IF(OR($D14/[18]CLB!$Q$58&lt;=0,$D14/[18]CLB!$Q$58&gt;=$AE$12),"NM",$D14/[18]CLB!$Q$58)</f>
        <v>#NAME?</v>
      </c>
      <c r="L14" s="94" t="e">
        <f aca="false">IF(OR($G$14/[18]CLB!$O$52&lt;=0,$G$14/[18]CLB!$O$52&gt;=$AE$12),"NM",$G$14/[18]CLB!$O$52)</f>
        <v>#NAME?</v>
      </c>
      <c r="M14" s="94" t="e">
        <f aca="false">IF(OR($D14/[18]CLB!$P$59&lt;=0,$D14/[18]CLB!$P$59&gt;=$AE$12),"NM",$D14/[18]CLB!$P$59)</f>
        <v>#NAME?</v>
      </c>
      <c r="N14" s="94" t="e">
        <f aca="false">IF(OR($D14/[18]CLB!$Q$59&lt;=0,$D14/[18]CLB!$Q$59&gt;=$AE$12),"NM",$D14/[18]CLB!$Q$59)</f>
        <v>#NAME?</v>
      </c>
      <c r="O14" s="94" t="e">
        <f aca="false">IF(G14/[18]CLB!O$28&gt;=$AE$12,"NM",G14/[18]CLB!O$28)</f>
        <v>#NAME?</v>
      </c>
      <c r="P14" s="94" t="e">
        <f aca="false">IF(H14/[18]CLB!P$28&gt;=$AE$12,"NM",H14/[18]CLB!P$28)</f>
        <v>#NAME?</v>
      </c>
      <c r="Q14" s="94" t="e">
        <f aca="false">IF(H14/[18]CLB!$Q$28&gt;=$AE$12,"NM",H14/[18]CLB!$Q$28)</f>
        <v>#NAME?</v>
      </c>
      <c r="R14" s="29" t="n">
        <f aca="false">[18]CLB!$J$132</f>
        <v>0.234104911107199</v>
      </c>
      <c r="S14" s="94" t="e">
        <f aca="false">G14/[18]CLB!$I$97</f>
        <v>#NAME?</v>
      </c>
      <c r="T14" s="29" t="e">
        <f aca="false">FDS(B14,"ib_div_yld",0)/100</f>
        <v>#NAME?</v>
      </c>
      <c r="U14" s="95" t="n">
        <f aca="false">[18]CLB!$S$305</f>
        <v>0</v>
      </c>
      <c r="V14" s="29" t="str">
        <f aca="false">[18]CLB!$T$305</f>
        <v>NA</v>
      </c>
      <c r="W14" s="85" t="str">
        <f aca="false">IF(ISERROR(((([18]CLB!$Q$282/[18]CLB!$Q$285)*H14)/U14)),"NA",((([18]CLB!$Q$282/[18]CLB!$Q$285)*H14)/U14))</f>
        <v>NA</v>
      </c>
      <c r="X14" s="93" t="s">
        <v>51</v>
      </c>
      <c r="Y14" s="94" t="str">
        <f aca="false">IF(ISERROR(((([18]CLB!$Q$282/[18]CLB!$Q$285)*G14)/X14)),"NA",((([18]CLB!$Q$282/[18]CLB!$Q$285)*G14)/X14))</f>
        <v>NA</v>
      </c>
      <c r="Z14" s="130" t="n">
        <f aca="false">[18]CLB!$S$56</f>
        <v>33.2539274878049</v>
      </c>
      <c r="AA14" s="86"/>
    </row>
    <row r="15" customFormat="false" ht="12.95" hidden="false" customHeight="true" outlineLevel="0" collapsed="false">
      <c r="A15" s="10" t="str">
        <f aca="false">[19]EFX!$D$305</f>
        <v>Enerflex Systems Ltd.</v>
      </c>
      <c r="B15" s="11" t="str">
        <f aca="false">[19]EFX!$E$305</f>
        <v>*EFX</v>
      </c>
      <c r="C15" s="17" t="n">
        <f aca="false">[19]EFX!$D$9</f>
        <v>37099</v>
      </c>
      <c r="D15" s="85" t="e">
        <f aca="false">FDS(B15,"ib_price",$B$6)</f>
        <v>#NAME?</v>
      </c>
      <c r="E15" s="85" t="e">
        <f aca="false">FDS(B15,"ib_price_high_52w",$B$6)</f>
        <v>#NAME?</v>
      </c>
      <c r="F15" s="85" t="e">
        <f aca="false">FDS(B15,"ib_price_low_52w",$B$6)</f>
        <v>#NAME?</v>
      </c>
      <c r="G15" s="93" t="e">
        <f aca="false">D15*Z15</f>
        <v>#NAME?</v>
      </c>
      <c r="H15" s="93" t="e">
        <f aca="false">G15+[19]EFX!$J$123</f>
        <v>#NAME?</v>
      </c>
      <c r="I15" s="94" t="e">
        <f aca="false">IF(OR($G$15/[19]EFX!$O$46&lt;=0,$G$15/[19]EFX!$O$46&gt;=$AE$12),"NM",$G$15/[19]EFX!$O$46)</f>
        <v>#NAME?</v>
      </c>
      <c r="J15" s="94" t="e">
        <f aca="false">IF(OR(D15/[19]EFX!$P$58&lt;=0,D15/[19]EFX!$P$58&gt;=AE12),"NM",D15/[19]EFX!$P$58)</f>
        <v>#NAME?</v>
      </c>
      <c r="K15" s="94" t="e">
        <f aca="false">IF(OR($D15/[19]EFX!$Q$58&lt;=0,$D15/[19]EFX!$Q$58&gt;=$AE$12),"NM",$D15/[19]EFX!$Q$58)</f>
        <v>#NAME?</v>
      </c>
      <c r="L15" s="94" t="e">
        <f aca="false">IF(OR($G$15/[19]EFX!$O$52&lt;=0,$G$15/[19]EFX!$O$52&gt;=$AE$12),"NM",$G$15/[19]EFX!$O$52)</f>
        <v>#NAME?</v>
      </c>
      <c r="M15" s="94" t="e">
        <f aca="false">IF(OR($D15/[19]EFX!$P$59&lt;=0,$D15/[19]EFX!$P$59&gt;=$AE$12),"NM",$D15/[19]EFX!$P$59)</f>
        <v>#NAME?</v>
      </c>
      <c r="N15" s="94" t="e">
        <f aca="false">IF(OR($D15/[19]EFX!$Q$59&lt;=0,$D15/[19]EFX!$Q$59&gt;=$AE$12),"NM",$D15/[19]EFX!$Q$59)</f>
        <v>#NAME?</v>
      </c>
      <c r="O15" s="94" t="e">
        <f aca="false">IF(G15/[16]BJS!O$28&gt;=$AE$12,"NM",G15/[16]BJS!O$28)</f>
        <v>#NAME?</v>
      </c>
      <c r="P15" s="94" t="e">
        <f aca="false">IF(H15/[19]EFX!P$28&gt;=$AE$12,"NM",H15/[19]EFX!P$28)</f>
        <v>#NAME?</v>
      </c>
      <c r="Q15" s="94" t="e">
        <f aca="false">IF(H15/[19]EFX!$Q$28&gt;=$AE$12,"NM",H15/[19]EFX!$Q$28)</f>
        <v>#NAME?</v>
      </c>
      <c r="R15" s="29" t="n">
        <f aca="false">[19]EFX!$J$132</f>
        <v>0.224851278004035</v>
      </c>
      <c r="S15" s="94" t="e">
        <f aca="false">G15/[19]EFX!$I$97</f>
        <v>#NAME?</v>
      </c>
      <c r="T15" s="29" t="n">
        <v>0</v>
      </c>
      <c r="U15" s="95" t="n">
        <f aca="false">[19]EFX!$S$305</f>
        <v>0</v>
      </c>
      <c r="V15" s="29" t="str">
        <f aca="false">[19]EFX!$T$305</f>
        <v>NA</v>
      </c>
      <c r="W15" s="85" t="str">
        <f aca="false">IF(ISERROR(((([19]EFX!$Q$282/[19]EFX!$Q$285)*H15)/U15)),"NA",((([19]EFX!$Q$282/[19]EFX!$Q$285)*H15)/U15))</f>
        <v>NA</v>
      </c>
      <c r="X15" s="93" t="s">
        <v>51</v>
      </c>
      <c r="Y15" s="94" t="str">
        <f aca="false">IF(ISERROR(((([19]EFX!$Q$282/[19]EFX!$Q$285)*G15)/X15)),"NA",((([19]EFX!$Q$282/[19]EFX!$Q$285)*G15)/X15))</f>
        <v>NA</v>
      </c>
      <c r="Z15" s="130" t="n">
        <f aca="false">[19]EFX!$S$56</f>
        <v>15.21583</v>
      </c>
      <c r="AA15" s="86"/>
    </row>
    <row r="16" customFormat="false" ht="12.95" hidden="false" customHeight="true" outlineLevel="0" collapsed="false">
      <c r="A16" s="10" t="str">
        <f aca="false">[20]GRP!$D$305</f>
        <v>Grant Prideco, Inc.</v>
      </c>
      <c r="B16" s="11" t="str">
        <f aca="false">[20]GRP!$E$305</f>
        <v>GRP</v>
      </c>
      <c r="C16" s="17" t="n">
        <f aca="false">[20]GRP!$D$9</f>
        <v>37106</v>
      </c>
      <c r="D16" s="85" t="e">
        <f aca="false">FDS(B16,"ib_price",$B$6)</f>
        <v>#NAME?</v>
      </c>
      <c r="E16" s="85" t="e">
        <f aca="false">FDS(B16,"ib_price_high_52w",$B$6)</f>
        <v>#NAME?</v>
      </c>
      <c r="F16" s="85" t="e">
        <f aca="false">FDS(B16,"ib_price_low_52w",$B$6)</f>
        <v>#NAME?</v>
      </c>
      <c r="G16" s="93" t="e">
        <f aca="false">D16*Z16</f>
        <v>#NAME?</v>
      </c>
      <c r="H16" s="93" t="e">
        <f aca="false">G16+[20]GRP!$J$123</f>
        <v>#NAME?</v>
      </c>
      <c r="I16" s="94" t="e">
        <f aca="false">IF(OR($G$16/[20]GRP!$O$46&lt;=0,$G$16/[20]GRP!$O$46&gt;=$AE$12),"NM",$G$16/[20]GRP!$O$46)</f>
        <v>#NAME?</v>
      </c>
      <c r="J16" s="94" t="e">
        <f aca="false">IF(OR(D16/[20]GRP!$P$58&lt;=0,D16/[20]GRP!$P$58&gt;=AE12),"NM",D16/[20]GRP!$P$58)</f>
        <v>#NAME?</v>
      </c>
      <c r="K16" s="94" t="e">
        <f aca="false">IF(OR($D16/[20]GRP!$Q$58&lt;=0,$D16/[20]GRP!$Q$58&gt;=$AE$12),"NM",$D16/[20]GRP!$Q$58)</f>
        <v>#NAME?</v>
      </c>
      <c r="L16" s="94" t="e">
        <f aca="false">IF(OR($G$16/[20]GRP!$O$52&lt;=0,$G$16/[20]GRP!$O$46&gt;=$AE$12),"NM",$G$16/[20]GRP!$O$46)</f>
        <v>#NAME?</v>
      </c>
      <c r="M16" s="94" t="e">
        <f aca="false">IF(OR($D16/[20]GRP!$P$59&lt;=0,$D16/[20]GRP!$P$59&gt;=$AE$12),"NM",$D16/[20]GRP!$P$59)</f>
        <v>#NAME?</v>
      </c>
      <c r="N16" s="94" t="e">
        <f aca="false">IF(OR($D16/[20]GRP!$Q$59&lt;=0,$D16/[20]GRP!$Q$59&gt;=$AE$12),"NM",$D16/[20]GRP!$Q$59)</f>
        <v>#NAME?</v>
      </c>
      <c r="O16" s="94" t="e">
        <f aca="false">IF(G16/[20]GRP!O$28&gt;=$AE$12,"NM",G16/[20]GRP!O$28)</f>
        <v>#NAME?</v>
      </c>
      <c r="P16" s="94" t="e">
        <f aca="false">IF(H16/[20]GRP!P$28&gt;=$AE$12,"NM",H16/[20]GRP!P$28)</f>
        <v>#NAME?</v>
      </c>
      <c r="Q16" s="94" t="e">
        <f aca="false">IF(H16/[20]GRP!$Q$28&gt;=$AE$12,"NM",H16/[20]GRP!$Q$28)</f>
        <v>#NAME?</v>
      </c>
      <c r="R16" s="29" t="n">
        <f aca="false">[20]GRP!$J$132</f>
        <v>0.398694200307678</v>
      </c>
      <c r="S16" s="94" t="e">
        <f aca="false">G16/[20]GRP!$I$97</f>
        <v>#NAME?</v>
      </c>
      <c r="T16" s="29" t="e">
        <f aca="false">FDS(B16,"ib_div_yld",0)/100</f>
        <v>#NAME?</v>
      </c>
      <c r="U16" s="95" t="n">
        <f aca="false">[20]GRP!$S$305</f>
        <v>0</v>
      </c>
      <c r="V16" s="29" t="str">
        <f aca="false">[20]GRP!$T$305</f>
        <v>NA</v>
      </c>
      <c r="W16" s="85" t="str">
        <f aca="false">IF(ISERROR(((([20]GRP!$Q$282/[20]GRP!$Q$285)*H16)/U16)),"NA",((([20]GRP!$Q$282/[20]GRP!$Q$285)*H16)/U16))</f>
        <v>NA</v>
      </c>
      <c r="X16" s="93" t="s">
        <v>51</v>
      </c>
      <c r="Y16" s="94" t="str">
        <f aca="false">IF(ISERROR(((([20]GRP!$Q$282/[20]GRP!$Q$285)*G16)/X16)),"NA",((([20]GRP!$Q$282/[20]GRP!$Q$285)*G16)/X16))</f>
        <v>NA</v>
      </c>
      <c r="Z16" s="130" t="n">
        <f aca="false">[20]GRP!$S$56</f>
        <v>109.695750788563</v>
      </c>
      <c r="AA16" s="86"/>
    </row>
    <row r="17" customFormat="false" ht="12.95" hidden="false" customHeight="true" outlineLevel="0" collapsed="false">
      <c r="A17" s="90" t="str">
        <f aca="false">[21]HAL!$D$305</f>
        <v>Halliburton Company</v>
      </c>
      <c r="B17" s="91" t="str">
        <f aca="false">[21]HAL!$E$305</f>
        <v>HAL</v>
      </c>
      <c r="C17" s="133" t="n">
        <f aca="false">[21]HAL!$D$9</f>
        <v>37106</v>
      </c>
      <c r="D17" s="85" t="e">
        <f aca="false">FDS(B17,"ib_price",$B$6)</f>
        <v>#NAME?</v>
      </c>
      <c r="E17" s="85" t="e">
        <f aca="false">FDS(B17,"ib_price_high_52w",$B$6)</f>
        <v>#NAME?</v>
      </c>
      <c r="F17" s="85" t="e">
        <f aca="false">FDS(B17,"ib_price_low_52w",$B$6)</f>
        <v>#NAME?</v>
      </c>
      <c r="G17" s="93" t="e">
        <f aca="false">D17*Z17</f>
        <v>#NAME?</v>
      </c>
      <c r="H17" s="93" t="e">
        <f aca="false">G17+[21]HAL!$J$123</f>
        <v>#NAME?</v>
      </c>
      <c r="I17" s="94" t="e">
        <f aca="false">IF(OR($G$17/[21]HAL!$O$46&lt;=0,$G$17/[21]HAL!$O$46&gt;=$AE$12),"NM",$G$17/[21]HAL!$O$46)</f>
        <v>#NAME?</v>
      </c>
      <c r="J17" s="94" t="e">
        <f aca="false">IF(OR(D17/[21]HAL!$P$58&lt;=0,D17/[21]HAL!$P$58&gt;=AE12),"NM",D17/[21]HAL!$P$58)</f>
        <v>#NAME?</v>
      </c>
      <c r="K17" s="94" t="e">
        <f aca="false">IF(OR($D17/[21]HAL!$Q$58&lt;=0,$D17/[21]HAL!$Q$58&gt;=$AE$12),"NM",$D17/[21]HAL!$Q$58)</f>
        <v>#NAME?</v>
      </c>
      <c r="L17" s="94" t="e">
        <f aca="false">IF(OR($G$17/[21]HAL!$O$52&lt;=0,$G$17/[21]HAL!$O$52&gt;=$AE$12),"NM",$G$17/[21]HAL!$O$52)</f>
        <v>#NAME?</v>
      </c>
      <c r="M17" s="94" t="e">
        <f aca="false">IF(OR($D17/[21]HAL!$P$59&lt;=0,$D17/[21]HAL!$P$59&gt;=$AE$12),"NM",$D17/[21]HAL!$P$59)</f>
        <v>#NAME?</v>
      </c>
      <c r="N17" s="94" t="e">
        <f aca="false">IF(OR($D17/[21]HAL!$Q$59&lt;=0,$D17/[21]HAL!$Q$59&gt;=$AE$12),"NM",$D17/[21]HAL!$Q$59)</f>
        <v>#NAME?</v>
      </c>
      <c r="O17" s="94" t="e">
        <f aca="false">IF(G17/[21]HAL!O$28&gt;=$AE$12,"NM",G17/[21]HAL!O$28)</f>
        <v>#NAME?</v>
      </c>
      <c r="P17" s="94" t="e">
        <f aca="false">IF(H17/[21]HAL!P$28&gt;=$AE$12,"NM",H17/[21]HAL!P$28)</f>
        <v>#NAME?</v>
      </c>
      <c r="Q17" s="94" t="e">
        <f aca="false">IF(H17/[21]HAL!$Q$28&gt;=$AE$12,"NM",H17/[21]HAL!$Q$28)</f>
        <v>#NAME?</v>
      </c>
      <c r="R17" s="29" t="n">
        <f aca="false">[21]HAL!$J$132</f>
        <v>0.318059299191375</v>
      </c>
      <c r="S17" s="94" t="e">
        <f aca="false">G17/[21]HAL!$I$97</f>
        <v>#NAME?</v>
      </c>
      <c r="T17" s="29" t="e">
        <f aca="false">FDS(B17,"ib_div_yld",0)/100</f>
        <v>#NAME?</v>
      </c>
      <c r="U17" s="95" t="n">
        <f aca="false">[21]HAL!$S$305</f>
        <v>0</v>
      </c>
      <c r="V17" s="29" t="str">
        <f aca="false">[21]HAL!$T$305</f>
        <v>NA</v>
      </c>
      <c r="W17" s="85" t="str">
        <f aca="false">IF(ISERROR(((([21]HAL!$Q$282/[21]HAL!$Q$285)*H17)/U17)),"NA",((([21]HAL!$Q$282/[21]HAL!$Q$285)*H17)/U17))</f>
        <v>NA</v>
      </c>
      <c r="X17" s="93" t="s">
        <v>51</v>
      </c>
      <c r="Y17" s="94" t="str">
        <f aca="false">IF(ISERROR(((([21]HAL!$Q$282/[21]HAL!$Q$285)*G17)/X17)),"NA",((([21]HAL!$Q$282/[21]HAL!$Q$285)*G17)/X17))</f>
        <v>NA</v>
      </c>
      <c r="Z17" s="130" t="n">
        <f aca="false">[21]HAL!$S$56</f>
        <v>432.847049111042</v>
      </c>
      <c r="AA17" s="86"/>
    </row>
    <row r="18" customFormat="false" ht="12.95" hidden="false" customHeight="true" outlineLevel="0" collapsed="false">
      <c r="A18" s="90" t="str">
        <f aca="false">[22]HC!$D$305</f>
        <v>Hanover Compressor Company</v>
      </c>
      <c r="B18" s="91" t="str">
        <f aca="false">[22]HC!$E$305</f>
        <v>HC</v>
      </c>
      <c r="C18" s="133" t="n">
        <f aca="false">[22]HC!$D$9</f>
        <v>37106</v>
      </c>
      <c r="D18" s="85" t="e">
        <f aca="false">FDS(B18,"ib_price",$B$6)</f>
        <v>#NAME?</v>
      </c>
      <c r="E18" s="85" t="e">
        <f aca="false">FDS(B18,"ib_price_high_52w",$B$6)</f>
        <v>#NAME?</v>
      </c>
      <c r="F18" s="85" t="e">
        <f aca="false">FDS(B18,"ib_price_low_52w",$B$6)</f>
        <v>#NAME?</v>
      </c>
      <c r="G18" s="93" t="e">
        <f aca="false">D18*Z18</f>
        <v>#NAME?</v>
      </c>
      <c r="H18" s="93" t="e">
        <f aca="false">G18+[22]HC!$J$123</f>
        <v>#NAME?</v>
      </c>
      <c r="I18" s="94" t="e">
        <f aca="false">IF(OR($G$18/[22]HC!$O$46&lt;=0,$G$18/[22]HC!$O$46&gt;=$AE$12),"NM",$G$18/[22]HC!$O$46)</f>
        <v>#NAME?</v>
      </c>
      <c r="J18" s="94" t="e">
        <f aca="false">IF(OR(D18/[22]HC!$P$58&lt;=0,D18/[22]HC!$P$58&gt;=AE12),"NM",D18/[22]HC!$P$58)</f>
        <v>#NAME?</v>
      </c>
      <c r="K18" s="94" t="e">
        <f aca="false">IF(OR($D18/[22]HC!$Q$58&lt;=0,$D18/[22]HC!$Q$58&gt;=$AE$12),"NM",$D18/[22]HC!$Q$58)</f>
        <v>#NAME?</v>
      </c>
      <c r="L18" s="94" t="e">
        <f aca="false">IF(OR($G$18/[22]HC!$O$52&lt;=0,$G$18/[22]HC!$O$52&gt;=$AE$12),"NM",$G$18/[22]HC!$O$52)</f>
        <v>#NAME?</v>
      </c>
      <c r="M18" s="94" t="e">
        <f aca="false">IF(OR($D18/[22]HC!$P$59&lt;=0,$D18/[22]HC!$P$59&gt;=$AE$12),"NM",$D18/[22]HC!$P$59)</f>
        <v>#NAME?</v>
      </c>
      <c r="N18" s="94" t="e">
        <f aca="false">IF(OR($D18/[22]HC!$Q$59&lt;=0,$D18/[22]HC!$Q$59&gt;=$AE$12),"NM",$D18/[22]HC!$Q$59)</f>
        <v>#NAME?</v>
      </c>
      <c r="O18" s="94" t="e">
        <f aca="false">IF(G18/[22]HC!O$28&gt;=$AE$12,"NM",G18/[22]HC!O$28)</f>
        <v>#NAME?</v>
      </c>
      <c r="P18" s="94" t="e">
        <f aca="false">IF(H18/[22]HC!P$28&gt;=$AE$12,"NM",H18/[22]HC!P$28)</f>
        <v>#NAME?</v>
      </c>
      <c r="Q18" s="94" t="e">
        <f aca="false">IF(H18/[22]HC!$Q$28&gt;=$AE$12,"NM",H18/[22]HC!$Q$28)</f>
        <v>#NAME?</v>
      </c>
      <c r="R18" s="29" t="n">
        <f aca="false">[22]HC!$J$132</f>
        <v>0.615953781378697</v>
      </c>
      <c r="S18" s="94" t="e">
        <f aca="false">G18/[22]HC!$I$97</f>
        <v>#NAME?</v>
      </c>
      <c r="T18" s="29" t="e">
        <f aca="false">FDS(B18,"ib_div_yld",0)/100</f>
        <v>#NAME?</v>
      </c>
      <c r="U18" s="95" t="n">
        <f aca="false">[22]HC!$S$305</f>
        <v>0</v>
      </c>
      <c r="V18" s="29" t="str">
        <f aca="false">[22]HC!$T$305</f>
        <v>NA</v>
      </c>
      <c r="W18" s="85" t="str">
        <f aca="false">IF(ISERROR(((([22]HC!$Q$282/[22]HC!$Q$285)*H18)/U18)),"NA",((([22]HC!$Q$282/[22]HC!$Q$285)*H18)/U18))</f>
        <v>NA</v>
      </c>
      <c r="X18" s="93" t="s">
        <v>51</v>
      </c>
      <c r="Y18" s="94" t="str">
        <f aca="false">IF(ISERROR(((([22]HC!$Q$282/[22]HC!$Q$285)*G18)/X18)),"NA",((([22]HC!$Q$282/[22]HC!$Q$285)*G18)/X18))</f>
        <v>NA</v>
      </c>
      <c r="Z18" s="130" t="n">
        <f aca="false">[22]HC!$S$56</f>
        <v>83.9764039702305</v>
      </c>
      <c r="AA18" s="86"/>
      <c r="AB18" s="11"/>
      <c r="AC18" s="88"/>
      <c r="AD18" s="89"/>
      <c r="AE18" s="40"/>
    </row>
    <row r="19" customFormat="false" ht="12.95" hidden="false" customHeight="true" outlineLevel="0" collapsed="false">
      <c r="A19" s="90" t="str">
        <f aca="false">[23]HYDL!$D$305</f>
        <v>Hydril Company</v>
      </c>
      <c r="B19" s="91" t="str">
        <f aca="false">[23]HYDL!$E$305</f>
        <v>HYDL</v>
      </c>
      <c r="C19" s="133" t="n">
        <f aca="false">[23]HYDL!$D$9</f>
        <v>37106</v>
      </c>
      <c r="D19" s="85" t="e">
        <f aca="false">FDS(B19,"ib_price",$B$6)</f>
        <v>#NAME?</v>
      </c>
      <c r="E19" s="85" t="e">
        <f aca="false">FDS(B19,"ib_price_high_52w",$B$6)</f>
        <v>#NAME?</v>
      </c>
      <c r="F19" s="85" t="e">
        <f aca="false">FDS(B19,"ib_price_low_52w",$B$6)</f>
        <v>#NAME?</v>
      </c>
      <c r="G19" s="93" t="e">
        <f aca="false">D19*Z19</f>
        <v>#NAME?</v>
      </c>
      <c r="H19" s="93" t="e">
        <f aca="false">G19+[23]HYDL!$J$123</f>
        <v>#NAME?</v>
      </c>
      <c r="I19" s="94" t="e">
        <f aca="false">IF(OR($G$19/[23]HYDL!$O$46&lt;=0,$G$19/[23]HYDL!$O$46&gt;=$AE$12),"NM",$G$19/[23]HYDL!$O$46)</f>
        <v>#NAME?</v>
      </c>
      <c r="J19" s="94" t="e">
        <f aca="false">IF(OR(D19/[23]HYDL!$P$58&lt;=0,D19/[23]HYDL!$P$58&gt;=AE12),"NM",D19/[23]HYDL!$P$58)</f>
        <v>#NAME?</v>
      </c>
      <c r="K19" s="94" t="e">
        <f aca="false">IF(OR($D19/[23]HYDL!$Q$58&lt;=0,$D19/[23]HYDL!$Q$58&gt;=$AE$12),"NM",$D19/[23]HYDL!$Q$58)</f>
        <v>#NAME?</v>
      </c>
      <c r="L19" s="94" t="e">
        <f aca="false">IF(OR($G$19/[23]HYDL!$O$52&lt;=0,$G$19/[23]HYDL!$O$52&gt;=$AE$12),"NM",$G$19/[23]HYDL!$O$52)</f>
        <v>#NAME?</v>
      </c>
      <c r="M19" s="94" t="e">
        <f aca="false">IF(OR($D19/[23]HYDL!$P$59&lt;=0,$D19/[23]HYDL!$P$59&gt;=$AE$12),"NM",$D19/[23]HYDL!$P$59)</f>
        <v>#NAME?</v>
      </c>
      <c r="N19" s="94" t="e">
        <f aca="false">IF(OR($D19/[23]HYDL!$Q$59&lt;=0,$D19/[23]HYDL!$Q$59&gt;=$AE$12),"NM",$D19/[23]HYDL!$Q$59)</f>
        <v>#NAME?</v>
      </c>
      <c r="O19" s="94" t="e">
        <f aca="false">IF(G19/[23]HYDL!O$28&gt;=$AE$12,"NM",G19/[23]HYDL!O$28)</f>
        <v>#NAME?</v>
      </c>
      <c r="P19" s="94" t="e">
        <f aca="false">IF(H19/[23]HYDL!P$28&gt;=$AE$12,"NM",H19/[23]HYDL!P$28)</f>
        <v>#NAME?</v>
      </c>
      <c r="Q19" s="94" t="e">
        <f aca="false">IF(H19/[23]HYDL!$Q$28&gt;=$AE$12,"NM",H19/[23]HYDL!$Q$28)</f>
        <v>#NAME?</v>
      </c>
      <c r="R19" s="29" t="n">
        <f aca="false">[23]HYDL!$J$132</f>
        <v>0.305814344762469</v>
      </c>
      <c r="S19" s="94" t="e">
        <f aca="false">G19/[23]HYDL!$I$97</f>
        <v>#NAME?</v>
      </c>
      <c r="T19" s="29" t="e">
        <f aca="false">FDS(B19,"ib_div_yld",0)/100</f>
        <v>#NAME?</v>
      </c>
      <c r="U19" s="95" t="n">
        <f aca="false">[23]HYDL!$S$305</f>
        <v>0</v>
      </c>
      <c r="V19" s="29" t="str">
        <f aca="false">[23]HYDL!$T$305</f>
        <v>NA</v>
      </c>
      <c r="W19" s="85" t="str">
        <f aca="false">IF(ISERROR(((([23]HYDL!$Q$282/[23]HYDL!$Q$285)*H19)/U19)),"NA",((([23]HYDL!$Q$282/[23]HYDL!$Q$285)*H19)/U19))</f>
        <v>NA</v>
      </c>
      <c r="X19" s="93" t="s">
        <v>51</v>
      </c>
      <c r="Y19" s="94" t="str">
        <f aca="false">IF(ISERROR(((([23]HYDL!$Q$282/[23]HYDL!$Q$285)*G19)/X19)),"NA",((([23]HYDL!$Q$282/[23]HYDL!$Q$285)*G19)/X19))</f>
        <v>NA</v>
      </c>
      <c r="Z19" s="130" t="n">
        <f aca="false">[23]HYDL!$S$56</f>
        <v>22.913008</v>
      </c>
      <c r="AA19" s="86"/>
      <c r="AB19" s="11"/>
      <c r="AC19" s="88"/>
      <c r="AD19" s="89"/>
      <c r="AE19" s="40"/>
    </row>
    <row r="20" customFormat="false" ht="12.95" hidden="false" customHeight="true" outlineLevel="0" collapsed="false">
      <c r="A20" s="90" t="str">
        <f aca="false">[24]IO!$D$305</f>
        <v>Input/Output, Inc.</v>
      </c>
      <c r="B20" s="91" t="str">
        <f aca="false">[24]IO!$E$305</f>
        <v>IO</v>
      </c>
      <c r="C20" s="133" t="n">
        <f aca="false">[24]IO!$D$9</f>
        <v>37099</v>
      </c>
      <c r="D20" s="85" t="e">
        <f aca="false">FDS(B20,"ib_price",$B$6)</f>
        <v>#NAME?</v>
      </c>
      <c r="E20" s="85" t="e">
        <f aca="false">FDS(B20,"ib_price_high_52w",$B$6)</f>
        <v>#NAME?</v>
      </c>
      <c r="F20" s="85" t="e">
        <f aca="false">FDS(B20,"ib_price_low_52w",$B$6)</f>
        <v>#NAME?</v>
      </c>
      <c r="G20" s="93" t="e">
        <f aca="false">D20*Z20</f>
        <v>#NAME?</v>
      </c>
      <c r="H20" s="93" t="e">
        <f aca="false">G20+[24]IO!$J$123</f>
        <v>#NAME?</v>
      </c>
      <c r="I20" s="94" t="e">
        <f aca="false">IF(OR($G$20/[24]IO!$O$46&lt;=0,$G$20/[24]IO!$O$46&gt;=$AE$12),"NM",$G$20/[24]IO!$O$46)</f>
        <v>#NAME?</v>
      </c>
      <c r="J20" s="94" t="e">
        <f aca="false">IF(OR(D20/[24]IO!$P$58&lt;=0,D20/[24]IO!$P$58&gt;=AE12),"NM",D20/[24]IO!$P$58)</f>
        <v>#NAME?</v>
      </c>
      <c r="K20" s="94" t="e">
        <f aca="false">IF(OR($D20/[24]IO!$Q$58&lt;=0,$D20/[24]IO!$Q$58&gt;=$AE$12),"NM",$D20/[24]IO!$Q$58)</f>
        <v>#NAME?</v>
      </c>
      <c r="L20" s="94" t="e">
        <f aca="false">IF(OR($G$20/[24]IO!$O$52&lt;=0,$G$20/[24]IO!$O$52&gt;=$AE$12),"NM",$G$20/[24]IO!$O$52)</f>
        <v>#NAME?</v>
      </c>
      <c r="M20" s="94" t="e">
        <f aca="false">IF(OR($D20/[24]IO!$P$59&lt;=0,$D20/[24]IO!$P$59&gt;=$AE$12),"NM",$D20/[24]IO!$P$59)</f>
        <v>#NAME?</v>
      </c>
      <c r="N20" s="94" t="e">
        <f aca="false">IF(OR($D20/[24]IO!$Q$59&lt;=0,$D20/[24]IO!$Q$59&gt;=$AE$12),"NM",$D20/[24]IO!$Q$59)</f>
        <v>#NAME?</v>
      </c>
      <c r="O20" s="94" t="e">
        <f aca="false">IF(G20/[24]IO!O$28&gt;=$AE$12,"NM",G20/[24]IO!O$28)</f>
        <v>#NAME?</v>
      </c>
      <c r="P20" s="94" t="e">
        <f aca="false">IF(H20/[24]IO!P$28&gt;=$AE$12,"NM",H20/[24]IO!P$28)</f>
        <v>#NAME?</v>
      </c>
      <c r="Q20" s="94" t="e">
        <f aca="false">IF(H20/[24]IO!$Q$28&gt;=$AE$12,"NM",H20/[24]IO!$Q$28)</f>
        <v>#NAME?</v>
      </c>
      <c r="R20" s="29" t="n">
        <f aca="false">[24]IO!$J$132</f>
        <v>0.0327164701574951</v>
      </c>
      <c r="S20" s="94" t="e">
        <f aca="false">G20/[24]IO!$I$97</f>
        <v>#NAME?</v>
      </c>
      <c r="T20" s="29" t="e">
        <f aca="false">FDS(B20,"ib_div_yld",0)/100</f>
        <v>#NAME?</v>
      </c>
      <c r="U20" s="95" t="n">
        <f aca="false">[24]IO!$S$305</f>
        <v>0</v>
      </c>
      <c r="V20" s="29" t="str">
        <f aca="false">[24]IO!$T$305</f>
        <v>NA</v>
      </c>
      <c r="W20" s="85" t="str">
        <f aca="false">IF(ISERROR(((([24]IO!$Q$282/[24]IO!$Q$285)*H20)/U20)),"NA",((([24]IO!$Q$282/[24]IO!$Q$285)*H20)/U20))</f>
        <v>NA</v>
      </c>
      <c r="X20" s="93" t="s">
        <v>51</v>
      </c>
      <c r="Y20" s="94" t="str">
        <f aca="false">IF(ISERROR(((([24]IO!$Q$282/[24]IO!$Q$285)*G20)/X20)),"NA",((([24]IO!$Q$282/[24]IO!$Q$285)*G20)/X20))</f>
        <v>NA</v>
      </c>
      <c r="Z20" s="130" t="n">
        <f aca="false">[24]IO!$S$56</f>
        <v>51.5006478483411</v>
      </c>
      <c r="AA20" s="86"/>
      <c r="AB20" s="11"/>
      <c r="AC20" s="88"/>
      <c r="AD20" s="89"/>
      <c r="AE20" s="40"/>
    </row>
    <row r="21" customFormat="false" ht="12.95" hidden="false" customHeight="true" outlineLevel="0" collapsed="false">
      <c r="A21" s="90" t="str">
        <f aca="false">[25]NOI!$D$305</f>
        <v>National-Oilwell, Inc.</v>
      </c>
      <c r="B21" s="91" t="str">
        <f aca="false">[25]NOI!$E$305</f>
        <v>NOI</v>
      </c>
      <c r="C21" s="133" t="n">
        <f aca="false">[25]NOI!$D$9</f>
        <v>37106</v>
      </c>
      <c r="D21" s="85" t="e">
        <f aca="false">FDS(B21,"ib_price",$B$6)</f>
        <v>#NAME?</v>
      </c>
      <c r="E21" s="85" t="e">
        <f aca="false">FDS(B21,"ib_price_high_52w",$B$6)</f>
        <v>#NAME?</v>
      </c>
      <c r="F21" s="85" t="e">
        <f aca="false">FDS(B21,"ib_price_low_52w",$B$6)</f>
        <v>#NAME?</v>
      </c>
      <c r="G21" s="93" t="e">
        <f aca="false">D21*Z21</f>
        <v>#NAME?</v>
      </c>
      <c r="H21" s="93" t="e">
        <f aca="false">G21+[25]NOI!$J$123</f>
        <v>#NAME?</v>
      </c>
      <c r="I21" s="94" t="e">
        <f aca="false">IF(OR($G$21/[25]NOI!$O$46&lt;=0,$G$21/[25]NOI!$O$46&gt;=$AE$12),"NM",$G$21/[25]NOI!$O$46)</f>
        <v>#NAME?</v>
      </c>
      <c r="J21" s="94" t="e">
        <f aca="false">IF(OR(D21/[25]NOI!$P$58&lt;=0,D21/[25]NOI!$P$58&gt;=AE12),"NM",D21/[25]NOI!$P$58)</f>
        <v>#NAME?</v>
      </c>
      <c r="K21" s="94" t="e">
        <f aca="false">IF(OR($D21/[25]NOI!$Q$58&lt;=0,$D21/[25]NOI!$Q$58&gt;=$AE$12),"NM",$D21/[25]NOI!$Q$58)</f>
        <v>#NAME?</v>
      </c>
      <c r="L21" s="94" t="e">
        <f aca="false">IF(OR($G$21/[25]NOI!$O$52&lt;=0,$G$21/[25]NOI!$O$52&gt;=$AE$12),"NM",$G$21/[25]NOI!$O$52)</f>
        <v>#NAME?</v>
      </c>
      <c r="M21" s="94" t="e">
        <f aca="false">IF(OR($D21/[25]NOI!$P$59&lt;=0,$D21/[25]NOI!$P$59&gt;=$AE$12),"NM",$D21/[25]NOI!$P$59)</f>
        <v>#NAME?</v>
      </c>
      <c r="N21" s="94" t="e">
        <f aca="false">IF(OR($D21/[25]NOI!$Q$59&lt;=0,$D21/[25]NOI!$Q$59&gt;=$AE$12),"NM",$D21/[25]NOI!$Q$59)</f>
        <v>#NAME?</v>
      </c>
      <c r="O21" s="94" t="e">
        <f aca="false">IF(G21/[25]NOI!O$28&gt;=$AE$12,"NM",G21/[25]NOI!O$28)</f>
        <v>#NAME?</v>
      </c>
      <c r="P21" s="94" t="e">
        <f aca="false">IF(H21/[25]NOI!P$28&gt;=$AE$12,"NM",H21/[25]NOI!P$28)</f>
        <v>#NAME?</v>
      </c>
      <c r="Q21" s="94" t="e">
        <f aca="false">IF(H21/[25]NOI!$Q$28&gt;=$AE$12,"NM",H21/[25]NOI!$Q$28)</f>
        <v>#NAME?</v>
      </c>
      <c r="R21" s="29" t="n">
        <f aca="false">[25]NOI!$J$132</f>
        <v>0.277766193216942</v>
      </c>
      <c r="S21" s="94" t="e">
        <f aca="false">G21/[25]NOI!$I$97</f>
        <v>#NAME?</v>
      </c>
      <c r="T21" s="29" t="e">
        <f aca="false">FDS(B21,"ib_div_yld",0)/100</f>
        <v>#NAME?</v>
      </c>
      <c r="U21" s="95" t="n">
        <f aca="false">[25]NOI!$S$305</f>
        <v>0</v>
      </c>
      <c r="V21" s="29" t="str">
        <f aca="false">[25]NOI!$T$305</f>
        <v>NA</v>
      </c>
      <c r="W21" s="85" t="str">
        <f aca="false">IF(ISERROR(((([25]NOI!$Q$282/[25]NOI!$Q$285)*G21)/T21)),"NA",((([25]NOI!$Q$282/[25]NOI!$Q$285)*H21)/U21))</f>
        <v>NA</v>
      </c>
      <c r="X21" s="93" t="s">
        <v>51</v>
      </c>
      <c r="Y21" s="94" t="str">
        <f aca="false">IF(ISERROR(((([25]NOI!$Q$282/[25]NOI!$Q$285)*G21)/X21)),"NA",((([25]NOI!$Q$282/[25]NOI!$Q$285)*G21)/X21))</f>
        <v>NA</v>
      </c>
      <c r="Z21" s="130" t="n">
        <f aca="false">[25]NOI!$S$56</f>
        <v>81.1284279551247</v>
      </c>
      <c r="AA21" s="86"/>
      <c r="AB21" s="11"/>
      <c r="AC21" s="88"/>
      <c r="AD21" s="89"/>
      <c r="AE21" s="40"/>
    </row>
    <row r="22" customFormat="false" ht="12.95" hidden="false" customHeight="true" outlineLevel="0" collapsed="false">
      <c r="A22" s="90" t="str">
        <f aca="false">[26]SLB!$D$305</f>
        <v>Schlumberger Limited</v>
      </c>
      <c r="B22" s="91" t="str">
        <f aca="false">[26]SLB!$E$305</f>
        <v>SLB</v>
      </c>
      <c r="C22" s="133" t="n">
        <f aca="false">[26]SLB!$D$9</f>
        <v>37106</v>
      </c>
      <c r="D22" s="85" t="e">
        <f aca="false">FDS(B22,"ib_price",$B$6)</f>
        <v>#NAME?</v>
      </c>
      <c r="E22" s="85" t="e">
        <f aca="false">FDS(B22,"ib_price_high_52w",$B$6)</f>
        <v>#NAME?</v>
      </c>
      <c r="F22" s="85" t="e">
        <f aca="false">FDS(B22,"ib_price_low_52w",$B$6)</f>
        <v>#NAME?</v>
      </c>
      <c r="G22" s="93" t="e">
        <f aca="false">D22*Z22</f>
        <v>#NAME?</v>
      </c>
      <c r="H22" s="93" t="e">
        <f aca="false">G22+[26]SLB!$J$123</f>
        <v>#NAME?</v>
      </c>
      <c r="I22" s="94" t="e">
        <f aca="false">IF(OR($G$22/[26]SLB!$O$46&lt;=0,$G$22/[26]SLB!$O$46&gt;=$AE$12),"NM",$G$22/[26]SLB!$O$46)</f>
        <v>#NAME?</v>
      </c>
      <c r="J22" s="94" t="e">
        <f aca="false">IF(OR(D22/[26]SLB!$P$58&lt;=0,D22/[26]SLB!$P$58&gt;=AE12),"NM",D22/[26]SLB!$P$58)</f>
        <v>#NAME?</v>
      </c>
      <c r="K22" s="94" t="e">
        <f aca="false">IF(OR(D22/[26]SLB!$Q$58&lt;=0,D22/[26]SLB!$Q$58&gt;=[27]output!$AI$13),"NM",D22/[26]SLB!$Q$58)</f>
        <v>#NAME?</v>
      </c>
      <c r="L22" s="94" t="e">
        <f aca="false">IF(OR($G$22/[26]SLB!$O$52&lt;=0,$G$22/[26]SLB!$O$52&gt;=$AE$12),"NM",$G$22/[26]SLB!$O$52)</f>
        <v>#NAME?</v>
      </c>
      <c r="M22" s="94" t="e">
        <f aca="false">IF(OR(D22/[26]SLB!$P$59&lt;=0,D22/[26]SLB!$P$59&gt;=[27]output!$AI$13),"NM",D22/[26]SLB!$P$59)</f>
        <v>#NAME?</v>
      </c>
      <c r="N22" s="94" t="e">
        <f aca="false">IF(OR($D22/[26]SLB!$Q$59&lt;=0,$D22/[26]SLB!$Q$59&gt;=$AE$12),"NM",$D22/[26]SLB!$Q$59)</f>
        <v>#NAME?</v>
      </c>
      <c r="O22" s="94" t="e">
        <f aca="false">IF(G22/[26]SLB!O$28&gt;=$AE$12,"NM",G22/[26]SLB!O$28)</f>
        <v>#NAME?</v>
      </c>
      <c r="P22" s="94" t="e">
        <f aca="false">IF(H22/[26]SLB!P$28&gt;=$AE$12,"NM",H22/[26]SLB!P$28)</f>
        <v>#NAME?</v>
      </c>
      <c r="Q22" s="94" t="e">
        <f aca="false">IF(H22/[26]SLB!$Q$28&gt;=$AE$12,"NM",H22/[26]SLB!$Q$28)</f>
        <v>#NAME?</v>
      </c>
      <c r="R22" s="29" t="n">
        <f aca="false">[26]SLB!$J$132</f>
        <v>0.426781401762326</v>
      </c>
      <c r="S22" s="94" t="e">
        <f aca="false">G22/[26]SLB!$I$97</f>
        <v>#NAME?</v>
      </c>
      <c r="T22" s="29" t="e">
        <f aca="false">FDS(B22,"ib_div_yld",0)/100</f>
        <v>#NAME?</v>
      </c>
      <c r="U22" s="95" t="n">
        <f aca="false">[26]SLB!$S$305</f>
        <v>0</v>
      </c>
      <c r="V22" s="29" t="str">
        <f aca="false">[26]SLB!$T$305</f>
        <v>NA</v>
      </c>
      <c r="W22" s="85" t="str">
        <f aca="false">IF(ISERROR(((([26]SLB!$Q$282/[26]SLB!$Q$285)*H22)/U22)),"NA",((([26]SLB!$Q$282/[26]SLB!$Q$285)*H22)/U22))</f>
        <v>NA</v>
      </c>
      <c r="X22" s="93" t="s">
        <v>51</v>
      </c>
      <c r="Y22" s="94" t="str">
        <f aca="false">IF(ISERROR(((([26]SLB!$Q$282/[26]SLB!$Q$285)*G22)/X22)),"NA",((([26]SLB!$Q$282/[26]SLB!$Q$285)*G22)/X22))</f>
        <v>NA</v>
      </c>
      <c r="Z22" s="130" t="n">
        <f aca="false">[26]SLB!$S$56</f>
        <v>577.769160669493</v>
      </c>
      <c r="AA22" s="86"/>
      <c r="AB22" s="11"/>
      <c r="AC22" s="88"/>
      <c r="AD22" s="89"/>
      <c r="AE22" s="40"/>
    </row>
    <row r="23" customFormat="false" ht="12.95" hidden="false" customHeight="true" outlineLevel="0" collapsed="false">
      <c r="A23" s="90" t="str">
        <f aca="false">[28]SII!$D$305</f>
        <v>Smith International, Inc.</v>
      </c>
      <c r="B23" s="91" t="str">
        <f aca="false">[28]SII!$E$305</f>
        <v>SII</v>
      </c>
      <c r="C23" s="133" t="n">
        <f aca="false">[28]SII!$D$9</f>
        <v>37106</v>
      </c>
      <c r="D23" s="85" t="e">
        <f aca="false">FDS(B23,"ib_price",$B$6)</f>
        <v>#NAME?</v>
      </c>
      <c r="E23" s="85" t="e">
        <f aca="false">FDS(B23,"ib_price_high_52w",$B$6)</f>
        <v>#NAME?</v>
      </c>
      <c r="F23" s="85" t="e">
        <f aca="false">FDS(B23,"ib_price_low_52w",$B$6)</f>
        <v>#NAME?</v>
      </c>
      <c r="G23" s="93" t="e">
        <f aca="false">D23*Z23</f>
        <v>#NAME?</v>
      </c>
      <c r="H23" s="93" t="e">
        <f aca="false">G23+[28]SII!$J$123</f>
        <v>#NAME?</v>
      </c>
      <c r="I23" s="94" t="e">
        <f aca="false">IF(OR($G$23/[28]SII!$O$46&lt;=0,$G$23/[28]SII!$O$46&gt;=$AE$12),"NM",$G$23/[28]SII!$O$46)</f>
        <v>#NAME?</v>
      </c>
      <c r="J23" s="94" t="e">
        <f aca="false">IF(OR(D23/[28]SII!$P$58&lt;=0,D23/[28]SII!$P$58&gt;=AE12),"NM",D23/[28]SII!$P$58)</f>
        <v>#NAME?</v>
      </c>
      <c r="K23" s="94" t="e">
        <f aca="false">IF(OR(D23/[28]SII!$Q$58&lt;=0,D23/[28]SII!$Q$58&gt;=[27]output!$AI$13),"NM",D23/[28]SII!$Q$58)</f>
        <v>#NAME?</v>
      </c>
      <c r="L23" s="94" t="e">
        <f aca="false">IF(OR($G$23/[28]SII!$O$52&lt;=0,$G$23/[28]SII!$O$52&gt;=$AE$12),"NM",$G$23/[28]SII!$O$52)</f>
        <v>#NAME?</v>
      </c>
      <c r="M23" s="94" t="e">
        <f aca="false">IF(OR($D23/[28]SII!$P$59&lt;=0,$D23/[28]SII!$P$59&gt;=$AE$12),"NM",$D23/[28]SII!$P$59)</f>
        <v>#NAME?</v>
      </c>
      <c r="N23" s="94" t="e">
        <f aca="false">IF(OR($D23/[28]SII!$Q$59&lt;=0,$D23/[28]SII!$Q$59&gt;=$AE$12),"NM",$D23/[28]SII!$Q$59)</f>
        <v>#NAME?</v>
      </c>
      <c r="O23" s="94" t="e">
        <f aca="false">IF(G23/[28]SII!O$28&gt;=$AE$12,"NM",G23/[28]SII!O$28)</f>
        <v>#NAME?</v>
      </c>
      <c r="P23" s="94" t="e">
        <f aca="false">IF(H23/[28]SII!P$28&gt;=$AE$12,"NM",H23/[28]SII!P$28)</f>
        <v>#NAME?</v>
      </c>
      <c r="Q23" s="94" t="e">
        <f aca="false">IF(H23/[28]SII!$Q$28&gt;=$AE$12,"NM",H23/[28]SII!$Q$28)</f>
        <v>#NAME?</v>
      </c>
      <c r="R23" s="29" t="n">
        <f aca="false">[28]SII!$J$132</f>
        <v>0.322533666222946</v>
      </c>
      <c r="S23" s="94" t="e">
        <f aca="false">G23/[26]SLB!$I$97</f>
        <v>#NAME?</v>
      </c>
      <c r="T23" s="29" t="e">
        <f aca="false">FDS(B23,"ib_div_yld",0)/100</f>
        <v>#NAME?</v>
      </c>
      <c r="U23" s="95" t="n">
        <f aca="false">[28]SII!$S$305</f>
        <v>0</v>
      </c>
      <c r="V23" s="29" t="str">
        <f aca="false">[28]SII!$T$305</f>
        <v>NA</v>
      </c>
      <c r="W23" s="85" t="str">
        <f aca="false">IF(ISERROR(((([28]SII!$Q$282/[28]SII!$Q$285)*H23)/U23)),"NA",((([28]SII!$Q$282/[28]SII!$Q$285)*H23)/U23))</f>
        <v>NA</v>
      </c>
      <c r="X23" s="93" t="s">
        <v>51</v>
      </c>
      <c r="Y23" s="94" t="str">
        <f aca="false">IF(ISERROR(((([28]SII!$Q$282/[28]SII!$Q$285)*G23)/X23)),"NA",((([28]SII!$Q$282/[28]SII!$Q$285)*G23)/X23))</f>
        <v>NA</v>
      </c>
      <c r="Z23" s="130" t="n">
        <f aca="false">[28]SII!$S$56</f>
        <v>50.8539225424799</v>
      </c>
      <c r="AA23" s="86"/>
      <c r="AB23" s="11"/>
      <c r="AC23" s="88"/>
      <c r="AD23" s="89"/>
      <c r="AE23" s="40"/>
    </row>
    <row r="24" customFormat="false" ht="12.95" hidden="false" customHeight="true" outlineLevel="0" collapsed="false">
      <c r="A24" s="90" t="str">
        <f aca="false">[29]SESI!$D$305</f>
        <v>Superior Energy Services, Inc.</v>
      </c>
      <c r="B24" s="91" t="str">
        <f aca="false">[29]SESI!$E$305</f>
        <v>SESI</v>
      </c>
      <c r="C24" s="133" t="n">
        <f aca="false">[29]SESI!$D$9</f>
        <v>37106</v>
      </c>
      <c r="D24" s="85" t="e">
        <f aca="false">FDS(B24,"ib_price",$B$6)</f>
        <v>#NAME?</v>
      </c>
      <c r="E24" s="85" t="e">
        <f aca="false">FDS(B24,"ib_price_high_52w",$B$6)</f>
        <v>#NAME?</v>
      </c>
      <c r="F24" s="85" t="e">
        <f aca="false">FDS(B24,"ib_price_low_52w",$B$6)</f>
        <v>#NAME?</v>
      </c>
      <c r="G24" s="93" t="e">
        <f aca="false">D24*Z24</f>
        <v>#NAME?</v>
      </c>
      <c r="H24" s="93" t="e">
        <f aca="false">G24+[29]SESI!$J$123</f>
        <v>#NAME?</v>
      </c>
      <c r="I24" s="94" t="e">
        <f aca="false">IF(OR($G$24/[29]SESI!$O$46&lt;=0,$G$24/[29]SESI!$O$46&gt;=$AE$12),"NM",$G$24/[29]SESI!$O$46)</f>
        <v>#NAME?</v>
      </c>
      <c r="J24" s="94" t="e">
        <f aca="false">IF(OR(D24/[29]SESI!$P$58&lt;=0,D24/[29]SESI!$P$58&gt;=AE12),"NM",D24/[29]SESI!$P$58)</f>
        <v>#NAME?</v>
      </c>
      <c r="K24" s="94" t="e">
        <f aca="false">IF(OR(D24/[29]SESI!$Q$58&lt;=0,D24/[29]SESI!$Q$58&gt;=[27]output!$AI$13),"NM",D24/[29]SESI!$Q$58)</f>
        <v>#NAME?</v>
      </c>
      <c r="L24" s="94" t="e">
        <f aca="false">IF(OR($G$24/[29]SESI!$O$52&lt;=0,$G$24/[29]SESI!$O$52&gt;=$AE$12),"NM",$G$24/[29]SESI!$O$52)</f>
        <v>#NAME?</v>
      </c>
      <c r="M24" s="94" t="e">
        <f aca="false">IF(OR($D24/[29]SESI!$P$59&lt;=0,$D24/[29]SESI!$P$59&gt;=$AE$12),"NM",$D24/[29]SESI!$P$59)</f>
        <v>#NAME?</v>
      </c>
      <c r="N24" s="94" t="e">
        <f aca="false">IF(OR($D24/[29]SESI!$Q$59&lt;=0,$D24/[29]SESI!$Q$59&gt;=$AE$12),"NM",$D24/[29]SESI!$Q$59)</f>
        <v>#NAME?</v>
      </c>
      <c r="O24" s="94" t="e">
        <f aca="false">IF(G24/[29]SESI!O$28&gt;=$AE$12,"NM",G24/[29]SESI!O$28)</f>
        <v>#NAME?</v>
      </c>
      <c r="P24" s="94" t="e">
        <f aca="false">IF(H24/[29]SESI!P$28&gt;=$AE$12,"NM",H24/[29]SESI!P$28)</f>
        <v>#NAME?</v>
      </c>
      <c r="Q24" s="94" t="e">
        <f aca="false">IF(H24/[29]SESI!$Q$28&gt;=$AE$12,"NM",H24/[29]SESI!$Q$28)</f>
        <v>#NAME?</v>
      </c>
      <c r="R24" s="29" t="n">
        <f aca="false">[29]SESI!$J$132</f>
        <v>0.530966656839685</v>
      </c>
      <c r="S24" s="94" t="e">
        <f aca="false">G24/[29]SESI!$I$97</f>
        <v>#NAME?</v>
      </c>
      <c r="T24" s="29" t="e">
        <f aca="false">FDS(B24,"ib_div_yld",0)/100</f>
        <v>#NAME?</v>
      </c>
      <c r="U24" s="95" t="n">
        <f aca="false">[29]SESI!$S$305</f>
        <v>0</v>
      </c>
      <c r="V24" s="29" t="str">
        <f aca="false">[29]SESI!$T$305</f>
        <v>NA</v>
      </c>
      <c r="W24" s="85" t="str">
        <f aca="false">IF(ISERROR(((([29]SESI!$Q$282/[29]SESI!$Q$285)*G24)/T24)),"NA",((([29]SESI!$Q$282/[29]SESI!$Q$285)*G24)/T24))</f>
        <v>NA</v>
      </c>
      <c r="X24" s="93" t="s">
        <v>51</v>
      </c>
      <c r="Y24" s="94" t="str">
        <f aca="false">IF(ISERROR(((([29]SESI!$Q$282/[29]SESI!$Q$285)*G24)/X24)),"NA",((([29]SESI!$Q$282/[29]SESI!$Q$285)*G24)/X24))</f>
        <v>NA</v>
      </c>
      <c r="Z24" s="130" t="n">
        <f aca="false">[29]SESI!$S$56</f>
        <v>68.8918140462725</v>
      </c>
      <c r="AA24" s="86"/>
      <c r="AB24" s="11"/>
      <c r="AC24" s="88"/>
      <c r="AD24" s="89"/>
      <c r="AE24" s="40"/>
    </row>
    <row r="25" customFormat="false" ht="12.95" hidden="false" customHeight="true" outlineLevel="0" collapsed="false">
      <c r="A25" s="90" t="str">
        <f aca="false">[30]TEO!$D$305</f>
        <v>Tesco Corporation</v>
      </c>
      <c r="B25" s="91" t="str">
        <f aca="false">[30]TEO!$E$305</f>
        <v>*TEO</v>
      </c>
      <c r="C25" s="133" t="n">
        <f aca="false">[30]TEO!$D$9</f>
        <v>37099</v>
      </c>
      <c r="D25" s="85" t="e">
        <f aca="false">FDS(B25,"ib_price",$B$6)</f>
        <v>#NAME?</v>
      </c>
      <c r="E25" s="85" t="e">
        <f aca="false">FDS(B25,"ib_price_high_52w",$B$6)</f>
        <v>#NAME?</v>
      </c>
      <c r="F25" s="85" t="e">
        <f aca="false">FDS(B25,"ib_price_low_52w",$B$6)</f>
        <v>#NAME?</v>
      </c>
      <c r="G25" s="93" t="e">
        <f aca="false">D25*Z25</f>
        <v>#NAME?</v>
      </c>
      <c r="H25" s="93" t="e">
        <f aca="false">G25+[30]TEO!$J$123</f>
        <v>#NAME?</v>
      </c>
      <c r="I25" s="94" t="e">
        <f aca="false">IF(OR($G$25/[30]TEO!$O$46&lt;=0,$G$25/[30]TEO!$O$46&gt;=$AE$12),"NM",$G$25/[30]TEO!$O$46)</f>
        <v>#NAME?</v>
      </c>
      <c r="J25" s="94" t="e">
        <f aca="false">IF(OR(D25/[30]TEO!$P$58&lt;=0,D25/[30]TEO!$P$58&gt;=AE12),"NM",D25/[30]TEO!$P$58)</f>
        <v>#NAME?</v>
      </c>
      <c r="K25" s="94" t="e">
        <f aca="false">IF(OR($D25/[30]TEO!$Q$58&lt;=0,$D25/[30]TEO!$Q$58&gt;=$AE$12),"NM",$D25/[30]TEO!$Q$58)</f>
        <v>#NAME?</v>
      </c>
      <c r="L25" s="94" t="e">
        <f aca="false">IF(OR($G$25/[30]TEO!$O$52&lt;=0,$G$25/[30]TEO!$O$52&gt;=$AE$12),"NM",$G$25/[30]TEO!$O$52)</f>
        <v>#NAME?</v>
      </c>
      <c r="M25" s="94" t="e">
        <f aca="false">IF(OR($D25/[30]TEO!$P$59&lt;=0,$D25/[30]TEO!$P$59&gt;=$AE$12),"NM",$D25/[30]TEO!$P$59)</f>
        <v>#NAME?</v>
      </c>
      <c r="N25" s="94" t="e">
        <f aca="false">IF(OR($D25/[30]TEO!$Q$59&lt;=0,$D25/[30]TEO!$Q$59&gt;=$AE$12),"NM",$D25/[30]TEO!$Q$59)</f>
        <v>#NAME?</v>
      </c>
      <c r="O25" s="94" t="e">
        <f aca="false">IF(G25/[30]TEO!O$28&gt;=$AE$12,"NM",G25/[30]TEO!O$28)</f>
        <v>#NAME?</v>
      </c>
      <c r="P25" s="94" t="e">
        <f aca="false">IF(H25/[30]TEO!P$28&gt;=$AE$12,"NM",H25/[30]TEO!P$28)</f>
        <v>#NAME?</v>
      </c>
      <c r="Q25" s="94" t="e">
        <f aca="false">IF(H25/[30]TEO!$Q$28&gt;=$AE$12,"NM",H25/[30]TEO!$Q$28)</f>
        <v>#NAME?</v>
      </c>
      <c r="R25" s="29" t="n">
        <f aca="false">[30]TEO!$J$132</f>
        <v>0.269355282696267</v>
      </c>
      <c r="S25" s="94" t="e">
        <f aca="false">G25/[30]TEO!$I$97</f>
        <v>#NAME?</v>
      </c>
      <c r="T25" s="29" t="e">
        <f aca="false">FDS(B25,"ib_div_yld",0)/100</f>
        <v>#NAME?</v>
      </c>
      <c r="U25" s="95" t="n">
        <f aca="false">[30]TEO!$S$305</f>
        <v>0</v>
      </c>
      <c r="V25" s="29" t="str">
        <f aca="false">[30]TEO!$T$305</f>
        <v>NA</v>
      </c>
      <c r="W25" s="85" t="str">
        <f aca="false">IF(ISERROR(((([30]TEO!$Q$282/[30]TEO!$Q$285)*H25)/U25)),"NA",((([30]TEO!$Q$282/[30]TEO!$Q$285)*H25)/U25))</f>
        <v>NA</v>
      </c>
      <c r="X25" s="93" t="s">
        <v>51</v>
      </c>
      <c r="Y25" s="94" t="str">
        <f aca="false">IF(ISERROR(((([30]TEO!$Q$282/[30]TEO!$Q$285)*G25)/X25)),"NA",((([30]TEO!$Q$282/[30]TEO!$Q$285)*G25)/X25))</f>
        <v>NA</v>
      </c>
      <c r="Z25" s="130" t="n">
        <f aca="false">[30]TEO!$S$56</f>
        <v>32.7521437277868</v>
      </c>
      <c r="AA25" s="86"/>
      <c r="AB25" s="11"/>
      <c r="AC25" s="88"/>
      <c r="AD25" s="89"/>
      <c r="AE25" s="40"/>
    </row>
    <row r="26" customFormat="false" ht="12.95" hidden="false" customHeight="true" outlineLevel="0" collapsed="false">
      <c r="A26" s="90" t="str">
        <f aca="false">[31]UCO!$D$305</f>
        <v>Universal Compression, Inc.</v>
      </c>
      <c r="B26" s="91" t="str">
        <f aca="false">[31]UCO!$E$305</f>
        <v>UCO</v>
      </c>
      <c r="C26" s="133" t="n">
        <f aca="false">[31]UCO!$D$9</f>
        <v>37106</v>
      </c>
      <c r="D26" s="85" t="e">
        <f aca="false">FDS(B26,"ib_price",$B$6)</f>
        <v>#NAME?</v>
      </c>
      <c r="E26" s="85" t="e">
        <f aca="false">FDS(B26,"ib_price_high_52w",$B$6)</f>
        <v>#NAME?</v>
      </c>
      <c r="F26" s="85" t="e">
        <f aca="false">FDS(B26,"ib_price_low_52w",$B$6)</f>
        <v>#NAME?</v>
      </c>
      <c r="G26" s="93" t="e">
        <f aca="false">D26*Z26</f>
        <v>#NAME?</v>
      </c>
      <c r="H26" s="93" t="e">
        <f aca="false">G26+[31]UCO!$J$123</f>
        <v>#NAME?</v>
      </c>
      <c r="I26" s="94" t="e">
        <f aca="false">IF(OR($G$25/[30]TEO!$O$46&lt;=0,$G$25/[30]TEO!$O$46&gt;=$AE$12),"NM",$G$25/[30]TEO!$O$46)</f>
        <v>#NAME?</v>
      </c>
      <c r="J26" s="94" t="e">
        <f aca="false">IF(OR(D26/[31]UCO!$P$58&lt;=0,D26/[31]UCO!$P$58&gt;=AE12),"NM",D26/[31]UCO!$P$58)</f>
        <v>#NAME?</v>
      </c>
      <c r="K26" s="94" t="e">
        <f aca="false">IF(OR($D26/[31]UCO!$Q$58&lt;=0,$D26/[31]UCO!$Q$58&gt;=$AE$12),"NM",$D26/[31]UCO!$Q$58)</f>
        <v>#NAME?</v>
      </c>
      <c r="L26" s="94" t="e">
        <f aca="false">IF(OR($G$25/[30]TEO!$O$52&lt;=0,$G$25/[30]TEO!$O$52&gt;=$AE$12),"NM",$G$25/[30]TEO!$O$52)</f>
        <v>#NAME?</v>
      </c>
      <c r="M26" s="94" t="e">
        <f aca="false">IF(OR($D26/[31]UCO!$P$59&lt;=0,$D26/[31]UCO!$P$59&gt;=$AE$12),"NM",$D26/[31]UCO!$P$59)</f>
        <v>#NAME?</v>
      </c>
      <c r="N26" s="94" t="e">
        <f aca="false">IF(OR($D26/[31]UCO!$Q$59&lt;=0,$D26/[31]UCO!$Q$59&gt;=$AE$12),"NM",$D26/[31]UCO!$Q$59)</f>
        <v>#NAME?</v>
      </c>
      <c r="O26" s="94" t="e">
        <f aca="false">IF(G26/[30]TEO!O$28&gt;=$AE$12,"NM",G26/[30]TEO!O$28)</f>
        <v>#NAME?</v>
      </c>
      <c r="P26" s="94" t="e">
        <f aca="false">IF(H26/[31]UCO!P$28&gt;=$AE$12,"NM",H26/[31]UCO!P$28)</f>
        <v>#NAME?</v>
      </c>
      <c r="Q26" s="94" t="e">
        <f aca="false">IF(H26/[31]UCO!$Q$28&gt;=$AE$12,"NM",H26/[31]UCO!$Q$28)</f>
        <v>#NAME?</v>
      </c>
      <c r="R26" s="29" t="n">
        <f aca="false">[31]UCO!$J$132</f>
        <v>0.481500201162627</v>
      </c>
      <c r="S26" s="94" t="e">
        <f aca="false">G26/[31]UCO!$I$97</f>
        <v>#NAME?</v>
      </c>
      <c r="T26" s="29" t="e">
        <f aca="false">FDS(B26,"ib_div_yld",0)/100</f>
        <v>#NAME?</v>
      </c>
      <c r="U26" s="95" t="n">
        <f aca="false">[31]UCO!$S$305</f>
        <v>0</v>
      </c>
      <c r="V26" s="29" t="str">
        <f aca="false">[31]UCO!$T$305</f>
        <v>NA</v>
      </c>
      <c r="W26" s="85" t="str">
        <f aca="false">IF(ISERROR(((([31]UCO!$Q$282/[31]UCO!$Q$285)*H26)/U26)),"NA",((([31]UCO!$Q$282/[31]UCO!$Q$285)*H26)/U26))</f>
        <v>NA</v>
      </c>
      <c r="X26" s="93" t="s">
        <v>51</v>
      </c>
      <c r="Y26" s="94" t="str">
        <f aca="false">IF(ISERROR(((([31]UCO!$Q$282/[31]UCO!$Q$285)*G26)/X26)),"NA",((([31]UCO!$Q$282/[31]UCO!$Q$285)*G26)/X26))</f>
        <v>NA</v>
      </c>
      <c r="Z26" s="130" t="n">
        <f aca="false">[31]UCO!$S$56</f>
        <v>30.256493</v>
      </c>
      <c r="AA26" s="86"/>
      <c r="AB26" s="11"/>
      <c r="AC26" s="88"/>
      <c r="AD26" s="89"/>
      <c r="AE26" s="40"/>
    </row>
    <row r="27" customFormat="false" ht="12.95" hidden="false" customHeight="true" outlineLevel="0" collapsed="false">
      <c r="A27" s="90" t="str">
        <f aca="false">[32]VRC!$D$305</f>
        <v>Varco International, Inc.</v>
      </c>
      <c r="B27" s="91" t="str">
        <f aca="false">[32]VRC!$E$305</f>
        <v>VRC</v>
      </c>
      <c r="C27" s="133" t="n">
        <f aca="false">[32]VRC!$D$9</f>
        <v>37106</v>
      </c>
      <c r="D27" s="85" t="e">
        <f aca="false">FDS(B27,"ib_price",$B$6)</f>
        <v>#NAME?</v>
      </c>
      <c r="E27" s="85" t="e">
        <f aca="false">FDS(B27,"ib_price_high_52w",$B$6)</f>
        <v>#NAME?</v>
      </c>
      <c r="F27" s="85" t="e">
        <f aca="false">FDS(B27,"ib_price_low_52w",$B$6)</f>
        <v>#NAME?</v>
      </c>
      <c r="G27" s="93" t="e">
        <f aca="false">D27*Z27</f>
        <v>#NAME?</v>
      </c>
      <c r="H27" s="93" t="e">
        <f aca="false">G27+[32]VRC!$J$123</f>
        <v>#NAME?</v>
      </c>
      <c r="I27" s="94" t="e">
        <f aca="false">IF(OR($G$25/[30]TEO!$O$46&lt;=0,$G$25/[30]TEO!$O$46&gt;=$AE$12),"NM",$G$25/[30]TEO!$O$46)</f>
        <v>#NAME?</v>
      </c>
      <c r="J27" s="94" t="e">
        <f aca="false">IF(OR(D27/[32]VRC!$P$58&lt;=0,D27/[32]VRC!$P$58&gt;=AE12),"NM",D27/[32]VRC!$P$58)</f>
        <v>#NAME?</v>
      </c>
      <c r="K27" s="94" t="e">
        <f aca="false">IF(OR($D27/[32]VRC!$Q$58&lt;=0,$D27/[32]VRC!$Q$58&gt;=$AE$12),"NM",$D27/[32]VRC!$Q$58)</f>
        <v>#NAME?</v>
      </c>
      <c r="L27" s="94" t="e">
        <f aca="false">IF(OR($G$25/[30]TEO!$O$52&lt;=0,$G$25/[30]TEO!$O$52&gt;=$AE$12),"NM",$G$25/[30]TEO!$O$52)</f>
        <v>#NAME?</v>
      </c>
      <c r="M27" s="94" t="e">
        <f aca="false">IF(OR($D27/[32]VRC!$P$59&lt;=0,$D27/[32]VRC!$P$59&gt;=$AE$12),"NM",$D27/[32]VRC!$P$59)</f>
        <v>#NAME?</v>
      </c>
      <c r="N27" s="94" t="e">
        <f aca="false">IF(OR($D27/[32]VRC!$Q$59&lt;=0,$D27/[32]VRC!$Q$59&gt;=$AE$12),"NM",$D27/[32]VRC!$Q$59)</f>
        <v>#NAME?</v>
      </c>
      <c r="O27" s="94" t="e">
        <f aca="false">IF(G27/[30]TEO!O$28&gt;=$AE$12,"NM",G27/[30]TEO!O$28)</f>
        <v>#NAME?</v>
      </c>
      <c r="P27" s="94" t="e">
        <f aca="false">IF(H27/[32]VRC!P$28&gt;=$AE$12,"NM",H27/[32]VRC!P$28)</f>
        <v>#NAME?</v>
      </c>
      <c r="Q27" s="94" t="e">
        <f aca="false">IF(H27/[32]VRC!$Q$28&gt;=$AE$12,"NM",H27/[32]VRC!$Q$28)</f>
        <v>#NAME?</v>
      </c>
      <c r="R27" s="29" t="n">
        <f aca="false">[32]VRC!$J$132</f>
        <v>0.347773902822997</v>
      </c>
      <c r="S27" s="94" t="e">
        <f aca="false">G27/[32]VRC!$I$97</f>
        <v>#NAME?</v>
      </c>
      <c r="T27" s="29" t="e">
        <f aca="false">FDS(B27,"ib_div_yld",0)/100</f>
        <v>#NAME?</v>
      </c>
      <c r="U27" s="95" t="n">
        <f aca="false">[32]VRC!$S$305</f>
        <v>0</v>
      </c>
      <c r="V27" s="29" t="str">
        <f aca="false">[32]VRC!$T$305</f>
        <v>NA</v>
      </c>
      <c r="W27" s="85" t="str">
        <f aca="false">IF(ISERROR(((([32]VRC!$Q$282/[32]VRC!$Q$285)*H27)/U27)),"NA",((([32]VRC!$Q$282/[32]VRC!$Q$285)*H27)/U27))</f>
        <v>NA</v>
      </c>
      <c r="X27" s="93" t="s">
        <v>51</v>
      </c>
      <c r="Y27" s="94" t="str">
        <f aca="false">IF(ISERROR(((([32]VRC!$Q$282/[32]VRC!$Q$285)*G27)/X27)),"NA",((([32]VRC!$Q$282/[32]VRC!$Q$285)*G27)/X27))</f>
        <v>NA</v>
      </c>
      <c r="Z27" s="130" t="n">
        <f aca="false">[32]VRC!$S$56</f>
        <v>96.8725074631711</v>
      </c>
      <c r="AA27" s="86"/>
      <c r="AB27" s="11"/>
      <c r="AC27" s="88"/>
      <c r="AD27" s="89"/>
      <c r="AE27" s="40"/>
    </row>
    <row r="28" customFormat="false" ht="12.95" hidden="false" customHeight="true" outlineLevel="0" collapsed="false">
      <c r="A28" s="90" t="str">
        <f aca="false">[33]WHES!$D$305</f>
        <v>W-H Energy Services, Inc.</v>
      </c>
      <c r="B28" s="91" t="str">
        <f aca="false">[33]WHES!$E$305</f>
        <v>WHES</v>
      </c>
      <c r="C28" s="133" t="n">
        <f aca="false">[33]WHES!$D$9</f>
        <v>37106</v>
      </c>
      <c r="D28" s="85" t="e">
        <f aca="false">FDS(B28,"ib_price",$B$6)</f>
        <v>#NAME?</v>
      </c>
      <c r="E28" s="85" t="e">
        <f aca="false">FDS(B28,"ib_price_high_52w",$B$6)</f>
        <v>#NAME?</v>
      </c>
      <c r="F28" s="85" t="e">
        <f aca="false">FDS(B28,"ib_price_low_52w",$B$6)</f>
        <v>#NAME?</v>
      </c>
      <c r="G28" s="93" t="e">
        <f aca="false">D28*Z28</f>
        <v>#NAME?</v>
      </c>
      <c r="H28" s="93" t="e">
        <f aca="false">G28+[33]WHES!$J$123</f>
        <v>#NAME?</v>
      </c>
      <c r="I28" s="94" t="e">
        <f aca="false">IF(OR($G$25/[30]TEO!$O$46&lt;=0,$G$25/[30]TEO!$O$46&gt;=$AE$12),"NM",$G$25/[30]TEO!$O$46)</f>
        <v>#NAME?</v>
      </c>
      <c r="J28" s="94" t="e">
        <f aca="false">IF(OR(D28/[33]WHES!$P$58&lt;=0,D28/[33]WHES!$P$58&gt;=AE12),"NM",D28/[33]WHES!$P$58)</f>
        <v>#NAME?</v>
      </c>
      <c r="K28" s="94" t="e">
        <f aca="false">IF(OR($D28/[33]WHES!$Q$58&lt;=0,$D28/[33]WHES!$Q$58&gt;=$AE$12),"NM",$D28/[33]WHES!$Q$58)</f>
        <v>#NAME?</v>
      </c>
      <c r="L28" s="94" t="e">
        <f aca="false">IF(OR($G$25/[30]TEO!$O$52&lt;=0,$G$25/[30]TEO!$O$52&gt;=$AE$12),"NM",$G$25/[30]TEO!$O$52)</f>
        <v>#NAME?</v>
      </c>
      <c r="M28" s="94" t="e">
        <f aca="false">IF(OR($D28/[33]WHES!$P$59&lt;=0,$D28/[33]WHES!$P$59&gt;=$AE$12),"NM",$D28/[33]WHES!$P$59)</f>
        <v>#NAME?</v>
      </c>
      <c r="N28" s="94" t="e">
        <f aca="false">IF(OR($D28/[33]WHES!$Q$59&lt;=0,$D28/[33]WHES!$Q$59&gt;=$AE$12),"NM",$D28/[33]WHES!$Q$59)</f>
        <v>#NAME?</v>
      </c>
      <c r="O28" s="94" t="e">
        <f aca="false">IF(G28/[30]TEO!O$28&gt;=$AE$12,"NM",G28/[30]TEO!O$28)</f>
        <v>#NAME?</v>
      </c>
      <c r="P28" s="94" t="e">
        <f aca="false">IF(H28/[33]WHES!P$28&gt;=$AE$12,"NM",H28/[33]WHES!P$28)</f>
        <v>#NAME?</v>
      </c>
      <c r="Q28" s="94" t="e">
        <f aca="false">IF(H28/[33]WHES!$Q$28&gt;=$AE$12,"NM",H28/[33]WHES!$Q$28)</f>
        <v>#NAME?</v>
      </c>
      <c r="R28" s="29" t="n">
        <f aca="false">[33]WHES!$J$132</f>
        <v>0.445143434111969</v>
      </c>
      <c r="S28" s="94" t="e">
        <f aca="false">G28/[33]WHES!$I$97</f>
        <v>#NAME?</v>
      </c>
      <c r="T28" s="29" t="e">
        <f aca="false">FDS(B28,"ib_div_yld",0)/100</f>
        <v>#NAME?</v>
      </c>
      <c r="U28" s="95" t="n">
        <f aca="false">[33]WHES!$S$305</f>
        <v>0</v>
      </c>
      <c r="V28" s="29" t="str">
        <f aca="false">[33]WHES!$T$305</f>
        <v>NA</v>
      </c>
      <c r="W28" s="85" t="str">
        <f aca="false">IF(ISERROR(((([33]WHES!$Q$282/[33]WHES!$Q$285)*H28)/U28)),"NA",((([33]WHES!$Q$282/[33]WHES!$Q$285)*H28)/U28))</f>
        <v>NA</v>
      </c>
      <c r="X28" s="93" t="s">
        <v>51</v>
      </c>
      <c r="Y28" s="94" t="str">
        <f aca="false">IF(ISERROR(((([33]WHES!$Q$282/[33]WHES!$Q$285)*G28)/X28)),"NA",((([33]WHES!$Q$282/[33]WHES!$Q$285)*G28)/X28))</f>
        <v>NA</v>
      </c>
      <c r="Z28" s="130" t="n">
        <f aca="false">[33]WHES!$S$56</f>
        <v>28.7184880314159</v>
      </c>
      <c r="AA28" s="86"/>
      <c r="AB28" s="11"/>
      <c r="AC28" s="88"/>
      <c r="AD28" s="89"/>
      <c r="AE28" s="40"/>
    </row>
    <row r="29" customFormat="false" ht="12.95" hidden="false" customHeight="true" outlineLevel="0" collapsed="false">
      <c r="A29" s="90" t="str">
        <f aca="false">[34]WFT!$D$305</f>
        <v>Weatherford International, Inc.</v>
      </c>
      <c r="B29" s="91" t="str">
        <f aca="false">[34]WFT!$E$305</f>
        <v>WFT</v>
      </c>
      <c r="C29" s="133" t="n">
        <f aca="false">[34]WFT!$D$9</f>
        <v>37106</v>
      </c>
      <c r="D29" s="85" t="e">
        <f aca="false">FDS(B29,"ib_price",$B$6)</f>
        <v>#NAME?</v>
      </c>
      <c r="E29" s="85" t="e">
        <f aca="false">FDS(B29,"ib_price_high_52w",$B$6)</f>
        <v>#NAME?</v>
      </c>
      <c r="F29" s="85" t="e">
        <f aca="false">FDS(B29,"ib_price_low_52w",$B$6)</f>
        <v>#NAME?</v>
      </c>
      <c r="G29" s="93" t="e">
        <f aca="false">D29*Z29</f>
        <v>#NAME?</v>
      </c>
      <c r="H29" s="93" t="e">
        <f aca="false">G29+[34]WFT!$J$123</f>
        <v>#NAME?</v>
      </c>
      <c r="I29" s="94" t="e">
        <f aca="false">IF(OR($G$25/[30]TEO!$O$46&lt;=0,$G$25/[30]TEO!$O$46&gt;=$AE$12),"NM",$G$25/[30]TEO!$O$46)</f>
        <v>#NAME?</v>
      </c>
      <c r="J29" s="94" t="e">
        <f aca="false">IF(OR(D29/[34]WFT!$P$58&lt;=0,D29/[34]WFT!$P$58&gt;=AE12),"NM",D29/[34]WFT!$P$58)</f>
        <v>#NAME?</v>
      </c>
      <c r="K29" s="94" t="e">
        <f aca="false">IF(OR($D29/[34]WFT!$Q$58&lt;=0,$D29/[34]WFT!$Q$58&gt;=$AE$12),"NM",$D29/[34]WFT!$Q$58)</f>
        <v>#NAME?</v>
      </c>
      <c r="L29" s="94" t="e">
        <f aca="false">IF(OR($G$25/[30]TEO!$O$52&lt;=0,$G$25/[30]TEO!$O$52&gt;=$AE$12),"NM",$G$25/[30]TEO!$O$52)</f>
        <v>#NAME?</v>
      </c>
      <c r="M29" s="94" t="e">
        <f aca="false">IF(OR($D29/[34]WFT!$P$59&lt;=0,$D29/[34]WFT!$P$59&gt;=$AE$12),"NM",$D29/[34]WFT!$P$59)</f>
        <v>#NAME?</v>
      </c>
      <c r="N29" s="94" t="e">
        <f aca="false">IF(OR($D29/[34]WFT!$Q$59&lt;=0,$D29/[34]WFT!$Q$59&gt;=$AE$12),"NM",$D29/[34]WFT!$Q$59)</f>
        <v>#NAME?</v>
      </c>
      <c r="O29" s="94" t="e">
        <f aca="false">IF(G29/[30]TEO!O$28&gt;=$AE$12,"NM",G29/[30]TEO!O$28)</f>
        <v>#NAME?</v>
      </c>
      <c r="P29" s="94" t="e">
        <f aca="false">IF(H29/[34]WFT!P$28&gt;=$AE$12,"NM",H29/[34]WFT!P$28)</f>
        <v>#NAME?</v>
      </c>
      <c r="Q29" s="94" t="e">
        <f aca="false">IF(H29/[34]WFT!$Q$28&gt;=$AE$12,"NM",H29/[34]WFT!$Q$28)</f>
        <v>#NAME?</v>
      </c>
      <c r="R29" s="29" t="n">
        <f aca="false">[34]WFT!$J$132</f>
        <v>0.514165715217746</v>
      </c>
      <c r="S29" s="94" t="e">
        <f aca="false">G29/[34]WFT!$I$97</f>
        <v>#NAME?</v>
      </c>
      <c r="T29" s="29" t="e">
        <f aca="false">FDS(B29,"ib_div_yld",0)/100</f>
        <v>#NAME?</v>
      </c>
      <c r="U29" s="95" t="n">
        <f aca="false">[34]WFT!$S$305</f>
        <v>0</v>
      </c>
      <c r="V29" s="29" t="str">
        <f aca="false">[34]WFT!$T$305</f>
        <v>NA</v>
      </c>
      <c r="W29" s="85" t="str">
        <f aca="false">IF(ISERROR(((([34]WFT!$Q$282/[34]WFT!$Q$285)*H29)/U29)),"NA",((([34]WFT!$Q$282/[34]WFT!$Q$285)*H29)/U29))</f>
        <v>NA</v>
      </c>
      <c r="X29" s="93" t="s">
        <v>51</v>
      </c>
      <c r="Y29" s="94" t="str">
        <f aca="false">IF(ISERROR(((([34]WFT!$Q$282/[34]WFT!$Q$285)*G29)/X29)),"NA",((([34]WFT!$Q$282/[34]WFT!$Q$285)*G29)/X29))</f>
        <v>NA</v>
      </c>
      <c r="Z29" s="130" t="n">
        <f aca="false">[34]WFT!$S$56</f>
        <v>114.3917006</v>
      </c>
      <c r="AA29" s="86"/>
      <c r="AB29" s="11"/>
      <c r="AC29" s="88"/>
      <c r="AD29" s="89"/>
      <c r="AE29" s="40"/>
    </row>
    <row r="30" customFormat="false" ht="13.5" hidden="false" customHeight="true" outlineLevel="0" collapsed="false">
      <c r="A30" s="90"/>
      <c r="B30" s="91"/>
      <c r="C30" s="133"/>
      <c r="D30" s="85"/>
      <c r="E30" s="85"/>
      <c r="F30" s="85"/>
      <c r="G30" s="93"/>
      <c r="H30" s="93"/>
      <c r="I30" s="94"/>
      <c r="J30" s="94"/>
      <c r="K30" s="94"/>
      <c r="L30" s="94"/>
      <c r="M30" s="94"/>
      <c r="N30" s="94"/>
      <c r="O30" s="94"/>
      <c r="P30" s="94"/>
      <c r="Q30" s="94"/>
      <c r="R30" s="29"/>
      <c r="S30" s="94"/>
      <c r="T30" s="29"/>
      <c r="U30" s="95"/>
      <c r="V30" s="29"/>
      <c r="W30" s="85"/>
      <c r="X30" s="93"/>
      <c r="Y30" s="94"/>
      <c r="Z30" s="130"/>
      <c r="AC30" s="88"/>
      <c r="AD30" s="89"/>
      <c r="AE30" s="40"/>
    </row>
    <row r="31" customFormat="false" ht="12.95" hidden="false" customHeight="true" outlineLevel="0" collapsed="false">
      <c r="A31" s="90"/>
      <c r="B31" s="91"/>
      <c r="C31" s="133"/>
      <c r="D31" s="85"/>
      <c r="E31" s="85"/>
      <c r="F31" s="85"/>
      <c r="G31" s="93"/>
      <c r="H31" s="93"/>
      <c r="I31" s="94"/>
      <c r="J31" s="94"/>
      <c r="K31" s="94"/>
      <c r="L31" s="94"/>
      <c r="M31" s="94"/>
      <c r="N31" s="94"/>
      <c r="O31" s="94"/>
      <c r="P31" s="94"/>
      <c r="Q31" s="94"/>
      <c r="R31" s="29"/>
      <c r="S31" s="94"/>
      <c r="T31" s="29"/>
      <c r="U31" s="95"/>
      <c r="V31" s="29"/>
      <c r="W31" s="85"/>
      <c r="X31" s="93"/>
      <c r="Y31" s="94"/>
      <c r="Z31" s="130"/>
      <c r="AC31" s="88"/>
      <c r="AD31" s="89"/>
      <c r="AE31" s="40"/>
    </row>
    <row r="32" customFormat="false" ht="12.95" hidden="false" customHeight="true" outlineLevel="0" collapsed="false">
      <c r="B32" s="11"/>
      <c r="C32" s="17"/>
      <c r="D32" s="85"/>
      <c r="E32" s="85"/>
      <c r="F32" s="85"/>
      <c r="G32" s="93"/>
      <c r="H32" s="93"/>
      <c r="I32" s="94"/>
      <c r="J32" s="94"/>
      <c r="K32" s="94"/>
      <c r="L32" s="94"/>
      <c r="M32" s="94"/>
      <c r="N32" s="94"/>
      <c r="O32" s="94"/>
      <c r="P32" s="94"/>
      <c r="Q32" s="94"/>
      <c r="R32" s="29"/>
      <c r="S32" s="94"/>
      <c r="T32" s="29"/>
      <c r="U32" s="95"/>
      <c r="V32" s="29"/>
      <c r="W32" s="85"/>
      <c r="X32" s="134"/>
      <c r="Y32" s="94"/>
      <c r="Z32" s="130"/>
      <c r="AC32" s="88"/>
      <c r="AD32" s="89"/>
      <c r="AE32" s="40"/>
    </row>
    <row r="33" customFormat="false" ht="12.95" hidden="false" customHeight="true" outlineLevel="0" collapsed="false">
      <c r="B33" s="39"/>
      <c r="C33" s="39"/>
      <c r="D33" s="39"/>
      <c r="E33" s="39"/>
      <c r="F33" s="39"/>
      <c r="G33" s="39"/>
      <c r="H33" s="40" t="s">
        <v>56</v>
      </c>
      <c r="I33" s="39"/>
      <c r="J33" s="94" t="e">
        <f aca="false">AVERAGE(J11:J29)</f>
        <v>#NAME?</v>
      </c>
      <c r="K33" s="94" t="e">
        <f aca="false">AVERAGE(K11:K29)</f>
        <v>#NAME?</v>
      </c>
      <c r="L33" s="94" t="e">
        <f aca="false">AVERAGE(L11:L29)</f>
        <v>#NAME?</v>
      </c>
      <c r="M33" s="94" t="e">
        <f aca="false">AVERAGE(M11:M29)</f>
        <v>#NAME?</v>
      </c>
      <c r="N33" s="94" t="e">
        <f aca="false">AVERAGE(N11:N29)</f>
        <v>#NAME?</v>
      </c>
      <c r="O33" s="94" t="e">
        <f aca="false">AVERAGE(O11:O29)</f>
        <v>#NAME?</v>
      </c>
      <c r="P33" s="94" t="e">
        <f aca="false">AVERAGE(P11:P29)</f>
        <v>#NAME?</v>
      </c>
      <c r="Q33" s="94" t="e">
        <f aca="false">AVERAGE(Q11:Q29)</f>
        <v>#NAME?</v>
      </c>
      <c r="R33" s="29" t="n">
        <f aca="false">AVERAGE(R11:R29)</f>
        <v>0.348067903333158</v>
      </c>
      <c r="S33" s="94" t="e">
        <f aca="false">AVERAGE(S11:S29)</f>
        <v>#NAME?</v>
      </c>
      <c r="T33" s="29" t="e">
        <f aca="false">AVERAGE(T11:T29)</f>
        <v>#NAME?</v>
      </c>
      <c r="U33" s="95"/>
      <c r="V33" s="29" t="str">
        <f aca="false">[34]WFT!$T$305</f>
        <v>NA</v>
      </c>
      <c r="W33" s="85" t="str">
        <f aca="false">IF(ISERROR(((([34]WFT!$Q$282/[34]WFT!$Q$285)*H33)/U33)),"NA",((([34]WFT!$Q$282/[34]WFT!$Q$285)*H33)/U33))</f>
        <v>NA</v>
      </c>
      <c r="X33" s="93"/>
      <c r="Y33" s="94" t="str">
        <f aca="false">IF(ISERROR(((([34]WFT!$Q$282/[34]WFT!$Q$285)*G33)/X33)),"NA",((([34]WFT!$Q$282/[34]WFT!$Q$285)*G33)/X33))</f>
        <v>NA</v>
      </c>
      <c r="Z33" s="39"/>
      <c r="AA33" s="86"/>
      <c r="AB33" s="11"/>
      <c r="AC33" s="88"/>
      <c r="AD33" s="89"/>
      <c r="AE33" s="40"/>
    </row>
    <row r="34" customFormat="false" ht="12.95" hidden="false" customHeight="true" outlineLevel="0" collapsed="false">
      <c r="B34" s="39"/>
      <c r="C34" s="39"/>
      <c r="D34" s="39"/>
      <c r="E34" s="39"/>
      <c r="F34" s="39"/>
      <c r="G34" s="39"/>
      <c r="H34" s="40" t="s">
        <v>57</v>
      </c>
      <c r="I34" s="39"/>
      <c r="J34" s="94" t="e">
        <f aca="false">MEDIAN(J11:J29)</f>
        <v>#NAME?</v>
      </c>
      <c r="K34" s="94" t="e">
        <f aca="false">MEDIAN(K11:K29)</f>
        <v>#NAME?</v>
      </c>
      <c r="L34" s="94" t="e">
        <f aca="false">MEDIAN(L11:L29)</f>
        <v>#NAME?</v>
      </c>
      <c r="M34" s="94" t="e">
        <f aca="false">MEDIAN(M11:M29)</f>
        <v>#NAME?</v>
      </c>
      <c r="N34" s="94" t="e">
        <f aca="false">MEDIAN(N11:N29)</f>
        <v>#NAME?</v>
      </c>
      <c r="O34" s="94" t="e">
        <f aca="false">MEDIAN(O11:O29)</f>
        <v>#NAME?</v>
      </c>
      <c r="P34" s="94" t="e">
        <f aca="false">MEDIAN(P11:P29)</f>
        <v>#NAME?</v>
      </c>
      <c r="Q34" s="94" t="e">
        <f aca="false">MEDIAN(Q11:Q29)</f>
        <v>#NAME?</v>
      </c>
      <c r="R34" s="29" t="n">
        <f aca="false">MEDIAN(R11:R29)</f>
        <v>0.347773902822997</v>
      </c>
      <c r="S34" s="94" t="e">
        <f aca="false">MEDIAN(S11:S29)</f>
        <v>#NAME?</v>
      </c>
      <c r="T34" s="29" t="e">
        <f aca="false">MEDIAN(T11:T29)</f>
        <v>#NAME?</v>
      </c>
      <c r="U34" s="95"/>
      <c r="V34" s="29" t="str">
        <f aca="false">[34]WFT!$T$305</f>
        <v>NA</v>
      </c>
      <c r="W34" s="85" t="str">
        <f aca="false">IF(ISERROR(((([34]WFT!$Q$282/[34]WFT!$Q$285)*H34)/U34)),"NA",((([34]WFT!$Q$282/[34]WFT!$Q$285)*H34)/U34))</f>
        <v>NA</v>
      </c>
      <c r="X34" s="93"/>
      <c r="Y34" s="94" t="str">
        <f aca="false">IF(ISERROR(((([34]WFT!$Q$282/[34]WFT!$Q$285)*G34)/X34)),"NA",((([34]WFT!$Q$282/[34]WFT!$Q$285)*G34)/X34))</f>
        <v>NA</v>
      </c>
      <c r="Z34" s="39"/>
      <c r="AA34" s="86"/>
      <c r="AB34" s="11"/>
      <c r="AC34" s="88"/>
      <c r="AD34" s="89"/>
      <c r="AE34" s="40"/>
    </row>
    <row r="35" customFormat="false" ht="12.95" hidden="false" customHeight="true" outlineLevel="0" collapsed="false">
      <c r="B35" s="39"/>
      <c r="C35" s="39"/>
      <c r="D35" s="39"/>
      <c r="E35" s="39"/>
      <c r="F35" s="39"/>
      <c r="G35" s="39"/>
      <c r="H35" s="40" t="s">
        <v>26</v>
      </c>
      <c r="I35" s="39"/>
      <c r="J35" s="94" t="e">
        <f aca="false">MAX(J11:J29)</f>
        <v>#NAME?</v>
      </c>
      <c r="K35" s="94" t="e">
        <f aca="false">MAX(K11:K29)</f>
        <v>#NAME?</v>
      </c>
      <c r="L35" s="94" t="e">
        <f aca="false">MAX(L11:L29)</f>
        <v>#NAME?</v>
      </c>
      <c r="M35" s="94" t="e">
        <f aca="false">MAX(M11:M29)</f>
        <v>#NAME?</v>
      </c>
      <c r="N35" s="94" t="e">
        <f aca="false">MAX(N11:N29)</f>
        <v>#NAME?</v>
      </c>
      <c r="O35" s="94" t="e">
        <f aca="false">MAX(O11:O29)</f>
        <v>#NAME?</v>
      </c>
      <c r="P35" s="94" t="e">
        <f aca="false">MAX(P11:P29)</f>
        <v>#NAME?</v>
      </c>
      <c r="Q35" s="94" t="e">
        <f aca="false">MAX(Q11:Q29)</f>
        <v>#NAME?</v>
      </c>
      <c r="R35" s="29" t="n">
        <f aca="false">MAX(R11:R29)</f>
        <v>0.615953781378697</v>
      </c>
      <c r="S35" s="94" t="e">
        <f aca="false">MAX(S11:S29)</f>
        <v>#NAME?</v>
      </c>
      <c r="T35" s="29" t="e">
        <f aca="false">MAX(T11:T29)</f>
        <v>#NAME?</v>
      </c>
      <c r="U35" s="95"/>
      <c r="V35" s="29" t="str">
        <f aca="false">[34]WFT!$T$305</f>
        <v>NA</v>
      </c>
      <c r="W35" s="85" t="str">
        <f aca="false">IF(ISERROR(((([34]WFT!$Q$282/[34]WFT!$Q$285)*H35)/U35)),"NA",((([34]WFT!$Q$282/[34]WFT!$Q$285)*H35)/U35))</f>
        <v>NA</v>
      </c>
      <c r="X35" s="93"/>
      <c r="Y35" s="94" t="str">
        <f aca="false">IF(ISERROR(((([34]WFT!$Q$282/[34]WFT!$Q$285)*G35)/X35)),"NA",((([34]WFT!$Q$282/[34]WFT!$Q$285)*G35)/X35))</f>
        <v>NA</v>
      </c>
      <c r="Z35" s="39"/>
    </row>
    <row r="36" customFormat="false" ht="12.95" hidden="false" customHeight="true" outlineLevel="0" collapsed="false">
      <c r="B36" s="39"/>
      <c r="C36" s="39"/>
      <c r="D36" s="39"/>
      <c r="E36" s="39"/>
      <c r="F36" s="39"/>
      <c r="G36" s="39"/>
      <c r="H36" s="40" t="s">
        <v>27</v>
      </c>
      <c r="I36" s="39"/>
      <c r="J36" s="94" t="e">
        <f aca="false">MIN(J11:J29)</f>
        <v>#NAME?</v>
      </c>
      <c r="K36" s="94" t="e">
        <f aca="false">MIN(K11:K29)</f>
        <v>#NAME?</v>
      </c>
      <c r="L36" s="94" t="e">
        <f aca="false">MIN(L11:L29)</f>
        <v>#NAME?</v>
      </c>
      <c r="M36" s="94" t="e">
        <f aca="false">MIN(M11:M29)</f>
        <v>#NAME?</v>
      </c>
      <c r="N36" s="94" t="e">
        <f aca="false">MIN(N11:N29)</f>
        <v>#NAME?</v>
      </c>
      <c r="O36" s="94" t="e">
        <f aca="false">MIN(O11:O29)</f>
        <v>#NAME?</v>
      </c>
      <c r="P36" s="94" t="e">
        <f aca="false">MIN(P11:P29)</f>
        <v>#NAME?</v>
      </c>
      <c r="Q36" s="94" t="e">
        <f aca="false">MIN(Q11:Q29)</f>
        <v>#NAME?</v>
      </c>
      <c r="R36" s="29" t="n">
        <f aca="false">MIN(R11:R29)</f>
        <v>0.0327164701574951</v>
      </c>
      <c r="S36" s="94" t="e">
        <f aca="false">MIN(S11:S29)</f>
        <v>#NAME?</v>
      </c>
      <c r="T36" s="29" t="e">
        <f aca="false">MIN(T11:T29)</f>
        <v>#NAME?</v>
      </c>
      <c r="U36" s="95"/>
      <c r="V36" s="29" t="str">
        <f aca="false">[34]WFT!$T$305</f>
        <v>NA</v>
      </c>
      <c r="W36" s="85" t="str">
        <f aca="false">IF(ISERROR(((([34]WFT!$Q$282/[34]WFT!$Q$285)*H36)/U36)),"NA",((([34]WFT!$Q$282/[34]WFT!$Q$285)*H36)/U36))</f>
        <v>NA</v>
      </c>
      <c r="X36" s="93"/>
      <c r="Y36" s="94" t="str">
        <f aca="false">IF(ISERROR(((([34]WFT!$Q$282/[34]WFT!$Q$285)*G36)/X36)),"NA",((([34]WFT!$Q$282/[34]WFT!$Q$285)*G36)/X36))</f>
        <v>NA</v>
      </c>
      <c r="Z36" s="39"/>
    </row>
    <row r="37" customFormat="false" ht="12.95" hidden="false" customHeight="true" outlineLevel="0" collapsed="false"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customFormat="false" ht="12.95" hidden="false" customHeight="true" outlineLevel="0" collapsed="false">
      <c r="B38" s="39"/>
      <c r="C38" s="39"/>
      <c r="D38" s="39"/>
      <c r="U38" s="13" t="s">
        <v>58</v>
      </c>
      <c r="V38" s="13"/>
      <c r="W38" s="13"/>
      <c r="X38" s="13"/>
      <c r="Y38" s="13"/>
    </row>
    <row r="39" customFormat="false" ht="12.95" hidden="false" customHeight="true" outlineLevel="0" collapsed="false">
      <c r="A39" s="43"/>
      <c r="B39" s="13" t="s">
        <v>191</v>
      </c>
      <c r="C39" s="13"/>
      <c r="D39" s="13" t="s">
        <v>60</v>
      </c>
      <c r="E39" s="13"/>
      <c r="F39" s="13"/>
      <c r="G39" s="13" t="s">
        <v>61</v>
      </c>
      <c r="H39" s="13"/>
      <c r="J39" s="13" t="s">
        <v>62</v>
      </c>
      <c r="K39" s="13"/>
      <c r="P39" s="13" t="s">
        <v>63</v>
      </c>
      <c r="Q39" s="13"/>
      <c r="R39" s="13"/>
      <c r="S39" s="13"/>
      <c r="U39" s="13" t="s">
        <v>64</v>
      </c>
      <c r="V39" s="13"/>
      <c r="W39" s="13"/>
      <c r="X39" s="13"/>
      <c r="Y39" s="13"/>
    </row>
    <row r="40" customFormat="false" ht="4.5" hidden="false" customHeight="true" outlineLevel="0" collapsed="false">
      <c r="A40" s="43"/>
      <c r="B40" s="79" t="s">
        <v>40</v>
      </c>
      <c r="C40" s="79"/>
      <c r="D40" s="79" t="s">
        <v>40</v>
      </c>
      <c r="E40" s="79"/>
      <c r="F40" s="79"/>
      <c r="G40" s="79" t="s">
        <v>40</v>
      </c>
      <c r="H40" s="79"/>
      <c r="J40" s="79" t="s">
        <v>40</v>
      </c>
      <c r="K40" s="79"/>
      <c r="P40" s="79" t="s">
        <v>40</v>
      </c>
      <c r="Q40" s="79"/>
      <c r="R40" s="79"/>
      <c r="S40" s="79"/>
      <c r="U40" s="79" t="s">
        <v>40</v>
      </c>
      <c r="V40" s="79"/>
      <c r="W40" s="79"/>
      <c r="X40" s="79"/>
      <c r="Y40" s="79"/>
    </row>
    <row r="41" customFormat="false" ht="12.95" hidden="false" customHeight="true" outlineLevel="0" collapsed="false">
      <c r="B41" s="11"/>
      <c r="C41" s="11"/>
      <c r="D41" s="13" t="s">
        <v>65</v>
      </c>
      <c r="E41" s="13" t="s">
        <v>66</v>
      </c>
      <c r="F41" s="13" t="s">
        <v>8</v>
      </c>
      <c r="G41" s="11" t="s">
        <v>67</v>
      </c>
      <c r="P41" s="13" t="s">
        <v>68</v>
      </c>
      <c r="Q41" s="13"/>
      <c r="R41" s="13" t="s">
        <v>69</v>
      </c>
      <c r="S41" s="13" t="s">
        <v>70</v>
      </c>
      <c r="U41" s="13" t="s">
        <v>71</v>
      </c>
      <c r="V41" s="13" t="s">
        <v>72</v>
      </c>
      <c r="W41" s="13" t="s">
        <v>73</v>
      </c>
      <c r="X41" s="13" t="s">
        <v>74</v>
      </c>
      <c r="Y41" s="13" t="s">
        <v>75</v>
      </c>
    </row>
    <row r="42" customFormat="false" ht="12.95" hidden="false" customHeight="true" outlineLevel="0" collapsed="false">
      <c r="A42" s="11" t="s">
        <v>22</v>
      </c>
      <c r="B42" s="11" t="s">
        <v>76</v>
      </c>
      <c r="C42" s="11" t="s">
        <v>77</v>
      </c>
      <c r="D42" s="11" t="s">
        <v>78</v>
      </c>
      <c r="E42" s="11" t="s">
        <v>79</v>
      </c>
      <c r="F42" s="11" t="s">
        <v>80</v>
      </c>
      <c r="G42" s="11" t="s">
        <v>81</v>
      </c>
      <c r="H42" s="11" t="s">
        <v>8</v>
      </c>
      <c r="J42" s="11" t="s">
        <v>488</v>
      </c>
      <c r="K42" s="11" t="s">
        <v>83</v>
      </c>
      <c r="P42" s="11" t="s">
        <v>84</v>
      </c>
      <c r="Q42" s="11" t="s">
        <v>85</v>
      </c>
      <c r="R42" s="11" t="s">
        <v>86</v>
      </c>
      <c r="S42" s="11" t="s">
        <v>87</v>
      </c>
      <c r="U42" s="11" t="s">
        <v>88</v>
      </c>
      <c r="V42" s="11" t="s">
        <v>89</v>
      </c>
      <c r="W42" s="11" t="s">
        <v>90</v>
      </c>
      <c r="X42" s="11" t="s">
        <v>91</v>
      </c>
      <c r="Y42" s="11" t="s">
        <v>92</v>
      </c>
      <c r="AA42" s="44"/>
    </row>
    <row r="43" customFormat="false" ht="3.6" hidden="false" customHeight="true" outlineLevel="0" collapsed="false">
      <c r="A43" s="78" t="s">
        <v>40</v>
      </c>
      <c r="B43" s="78" t="s">
        <v>40</v>
      </c>
      <c r="C43" s="78" t="s">
        <v>40</v>
      </c>
      <c r="D43" s="78" t="s">
        <v>40</v>
      </c>
      <c r="E43" s="78" t="s">
        <v>40</v>
      </c>
      <c r="F43" s="78" t="s">
        <v>40</v>
      </c>
      <c r="G43" s="78" t="s">
        <v>40</v>
      </c>
      <c r="H43" s="78" t="s">
        <v>40</v>
      </c>
      <c r="J43" s="78" t="s">
        <v>40</v>
      </c>
      <c r="K43" s="78" t="s">
        <v>40</v>
      </c>
      <c r="P43" s="78" t="s">
        <v>40</v>
      </c>
      <c r="Q43" s="78" t="s">
        <v>40</v>
      </c>
      <c r="R43" s="78" t="s">
        <v>40</v>
      </c>
      <c r="S43" s="78" t="s">
        <v>40</v>
      </c>
      <c r="U43" s="78" t="s">
        <v>40</v>
      </c>
      <c r="V43" s="78" t="s">
        <v>40</v>
      </c>
      <c r="W43" s="78" t="s">
        <v>40</v>
      </c>
      <c r="X43" s="78" t="s">
        <v>40</v>
      </c>
      <c r="Y43" s="78" t="s">
        <v>40</v>
      </c>
      <c r="AA43" s="44"/>
    </row>
    <row r="44" customFormat="false" ht="12.75" hidden="false" customHeight="false" outlineLevel="0" collapsed="false">
      <c r="A44" s="10" t="str">
        <f aca="false">[15]BHI!$D$305</f>
        <v>Baker Hughes Incorporated</v>
      </c>
      <c r="B44" s="10" t="s">
        <v>489</v>
      </c>
      <c r="C44" s="40" t="s">
        <v>490</v>
      </c>
      <c r="D44" s="40" t="str">
        <f aca="false">[15]BHI!$V$16</f>
        <v>CSFB / G. Hall</v>
      </c>
      <c r="E44" s="40" t="str">
        <f aca="false">[15]BHI!$U$11</f>
        <v>Buy</v>
      </c>
      <c r="F44" s="17" t="n">
        <f aca="false">[15]BHI!$U$12</f>
        <v>37106</v>
      </c>
      <c r="G44" s="11" t="str">
        <f aca="false">[15]BHI!$F$113</f>
        <v>A2/A</v>
      </c>
      <c r="H44" s="17" t="n">
        <f aca="false">[15]BHI!$F$114</f>
        <v>37041</v>
      </c>
      <c r="I44" s="11"/>
      <c r="J44" s="29" t="e">
        <f aca="false">H88</f>
        <v>#NAME?</v>
      </c>
      <c r="K44" s="29" t="e">
        <f aca="false">S88</f>
        <v>#NAME?</v>
      </c>
      <c r="L44" s="11"/>
      <c r="M44" s="11"/>
      <c r="N44" s="11"/>
      <c r="O44" s="11"/>
      <c r="P44" s="29" t="str">
        <f aca="false">[15]BHI!$K$286</f>
        <v>NA</v>
      </c>
      <c r="Q44" s="94" t="str">
        <f aca="false">[15]BHI!$Q$263</f>
        <v>NA</v>
      </c>
      <c r="R44" s="85" t="s">
        <v>51</v>
      </c>
      <c r="S44" s="85" t="s">
        <v>51</v>
      </c>
      <c r="T44" s="11"/>
      <c r="U44" s="127" t="n">
        <v>0</v>
      </c>
      <c r="V44" s="127" t="n">
        <v>0</v>
      </c>
      <c r="W44" s="128" t="n">
        <v>0</v>
      </c>
      <c r="X44" s="127" t="n">
        <v>0</v>
      </c>
      <c r="Y44" s="127" t="n">
        <v>0</v>
      </c>
      <c r="Z44" s="11"/>
      <c r="AA44" s="44"/>
    </row>
    <row r="45" customFormat="false" ht="12.75" hidden="false" customHeight="false" outlineLevel="0" collapsed="false">
      <c r="A45" s="10" t="str">
        <f aca="false">[16]BJS!$D$305</f>
        <v>BJ Services Company</v>
      </c>
      <c r="B45" s="10" t="s">
        <v>489</v>
      </c>
      <c r="C45" s="40" t="s">
        <v>490</v>
      </c>
      <c r="D45" s="40" t="str">
        <f aca="false">[16]BJS!$V$16</f>
        <v>CSFB / G. Hall</v>
      </c>
      <c r="E45" s="40" t="str">
        <f aca="false">[16]BJS!$U$11</f>
        <v>Buy</v>
      </c>
      <c r="F45" s="17" t="n">
        <f aca="false">[16]BJS!$U$12</f>
        <v>37106</v>
      </c>
      <c r="G45" s="11" t="str">
        <f aca="false">[16]BJS!$F$113</f>
        <v>Baa2 / BBB+</v>
      </c>
      <c r="H45" s="17" t="n">
        <f aca="false">[16]BJS!$F$114</f>
        <v>37040</v>
      </c>
      <c r="I45" s="11"/>
      <c r="J45" s="29" t="e">
        <f aca="false">H89</f>
        <v>#NAME?</v>
      </c>
      <c r="K45" s="29" t="e">
        <f aca="false">S89</f>
        <v>#NAME?</v>
      </c>
      <c r="L45" s="11"/>
      <c r="M45" s="11"/>
      <c r="N45" s="119"/>
      <c r="O45" s="11"/>
      <c r="P45" s="29" t="str">
        <f aca="false">[16]BJS!$K$286</f>
        <v>NA</v>
      </c>
      <c r="Q45" s="94" t="str">
        <f aca="false">[16]BJS!$Q$263</f>
        <v>NA</v>
      </c>
      <c r="R45" s="85" t="s">
        <v>51</v>
      </c>
      <c r="S45" s="85" t="s">
        <v>51</v>
      </c>
      <c r="T45" s="120"/>
      <c r="U45" s="127" t="n">
        <v>0</v>
      </c>
      <c r="V45" s="127" t="n">
        <v>0</v>
      </c>
      <c r="W45" s="128" t="n">
        <v>0</v>
      </c>
      <c r="X45" s="127" t="n">
        <v>0</v>
      </c>
      <c r="Y45" s="127" t="n">
        <v>0</v>
      </c>
      <c r="Z45" s="51"/>
      <c r="AA45" s="13"/>
    </row>
    <row r="46" customFormat="false" ht="13.5" hidden="false" customHeight="true" outlineLevel="0" collapsed="false">
      <c r="A46" s="10" t="str">
        <f aca="false">[17]CAM!$D$305</f>
        <v>Cooper Cameron Corporation</v>
      </c>
      <c r="B46" s="10" t="s">
        <v>489</v>
      </c>
      <c r="C46" s="40" t="s">
        <v>490</v>
      </c>
      <c r="D46" s="40" t="str">
        <f aca="false">[17]CAM!$V$16</f>
        <v>CSFB / G. Hall</v>
      </c>
      <c r="E46" s="40" t="str">
        <f aca="false">[17]CAM!$U$11</f>
        <v>Buy</v>
      </c>
      <c r="F46" s="17" t="n">
        <f aca="false">[17]CAM!$U$12</f>
        <v>37106</v>
      </c>
      <c r="G46" s="11" t="str">
        <f aca="false">[17]CAM!$F$113</f>
        <v>Baa1/A-</v>
      </c>
      <c r="H46" s="17" t="n">
        <f aca="false">[17]CAM!$F$114</f>
        <v>37040</v>
      </c>
      <c r="I46" s="11"/>
      <c r="J46" s="29" t="e">
        <f aca="false">H90</f>
        <v>#NAME?</v>
      </c>
      <c r="K46" s="29" t="e">
        <f aca="false">S90</f>
        <v>#NAME?</v>
      </c>
      <c r="L46" s="11"/>
      <c r="M46" s="11"/>
      <c r="N46" s="119"/>
      <c r="O46" s="11"/>
      <c r="P46" s="29" t="str">
        <f aca="false">[17]CAM!$K$286</f>
        <v>NA</v>
      </c>
      <c r="Q46" s="94" t="str">
        <f aca="false">[17]CAM!$Q$263</f>
        <v>NA</v>
      </c>
      <c r="R46" s="85" t="s">
        <v>51</v>
      </c>
      <c r="S46" s="85" t="s">
        <v>51</v>
      </c>
      <c r="T46" s="120"/>
      <c r="U46" s="127" t="n">
        <v>0</v>
      </c>
      <c r="V46" s="127" t="n">
        <v>0</v>
      </c>
      <c r="W46" s="128" t="n">
        <v>0</v>
      </c>
      <c r="X46" s="127" t="n">
        <v>0</v>
      </c>
      <c r="Y46" s="127" t="n">
        <v>0</v>
      </c>
      <c r="Z46" s="51"/>
      <c r="AA46" s="44"/>
    </row>
    <row r="47" customFormat="false" ht="12.95" hidden="false" customHeight="true" outlineLevel="0" collapsed="false">
      <c r="A47" s="10" t="str">
        <f aca="false">[18]CLB!$D$305</f>
        <v>Core Laboratories N.V.</v>
      </c>
      <c r="B47" s="10" t="s">
        <v>491</v>
      </c>
      <c r="C47" s="40" t="s">
        <v>492</v>
      </c>
      <c r="D47" s="40" t="str">
        <f aca="false">[18]CLB!$V$16</f>
        <v>CSFB / G. Hall</v>
      </c>
      <c r="E47" s="40" t="str">
        <f aca="false">[18]CLB!$U$11</f>
        <v>Buy</v>
      </c>
      <c r="F47" s="17" t="n">
        <f aca="false">[18]CLB!$U$12</f>
        <v>37106</v>
      </c>
      <c r="G47" s="11" t="str">
        <f aca="false">[18]CLB!$F$113</f>
        <v>NR/NR</v>
      </c>
      <c r="H47" s="17" t="n">
        <f aca="false">[18]CLB!$F$114</f>
        <v>37035</v>
      </c>
      <c r="I47" s="11"/>
      <c r="J47" s="29" t="e">
        <f aca="false">H91</f>
        <v>#NAME?</v>
      </c>
      <c r="K47" s="29" t="e">
        <f aca="false">S91</f>
        <v>#NAME?</v>
      </c>
      <c r="L47" s="11"/>
      <c r="M47" s="11"/>
      <c r="N47" s="119"/>
      <c r="O47" s="11"/>
      <c r="P47" s="29" t="str">
        <f aca="false">[18]CLB!$K$286</f>
        <v>NA</v>
      </c>
      <c r="Q47" s="94" t="str">
        <f aca="false">[18]CLB!$Q$263</f>
        <v>NA</v>
      </c>
      <c r="R47" s="85" t="s">
        <v>51</v>
      </c>
      <c r="S47" s="85" t="s">
        <v>51</v>
      </c>
      <c r="T47" s="120"/>
      <c r="U47" s="127" t="n">
        <v>0</v>
      </c>
      <c r="V47" s="127" t="n">
        <v>0</v>
      </c>
      <c r="W47" s="128" t="n">
        <v>0</v>
      </c>
      <c r="X47" s="127" t="n">
        <v>0</v>
      </c>
      <c r="Y47" s="127" t="n">
        <v>0</v>
      </c>
      <c r="Z47" s="51"/>
      <c r="AA47" s="13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  <c r="IJ47" s="11"/>
      <c r="IK47" s="11"/>
      <c r="IL47" s="11"/>
      <c r="IM47" s="11"/>
      <c r="IN47" s="11"/>
      <c r="IO47" s="11"/>
      <c r="IP47" s="11"/>
      <c r="IQ47" s="11"/>
      <c r="IR47" s="11"/>
      <c r="IS47" s="11"/>
      <c r="IT47" s="11"/>
      <c r="IU47" s="11"/>
      <c r="IV47" s="11"/>
      <c r="IW47" s="11"/>
    </row>
    <row r="48" customFormat="false" ht="12.95" hidden="false" customHeight="true" outlineLevel="0" collapsed="false">
      <c r="A48" s="10" t="str">
        <f aca="false">[19]EFX!$D$305</f>
        <v>Enerflex Systems Ltd.</v>
      </c>
      <c r="B48" s="10" t="s">
        <v>491</v>
      </c>
      <c r="C48" s="40" t="s">
        <v>492</v>
      </c>
      <c r="D48" s="40" t="str">
        <f aca="false">[19]EFX!$V$16</f>
        <v>CIBC World Markets</v>
      </c>
      <c r="E48" s="40" t="str">
        <f aca="false">[19]EFX!$U$11</f>
        <v>Buy</v>
      </c>
      <c r="F48" s="17" t="n">
        <f aca="false">[19]EFX!$U$12</f>
        <v>37011</v>
      </c>
      <c r="G48" s="11" t="str">
        <f aca="false">[19]EFX!$F$113</f>
        <v>NR/NR</v>
      </c>
      <c r="H48" s="17" t="n">
        <f aca="false">[19]EFX!$F$114</f>
        <v>37035</v>
      </c>
      <c r="I48" s="11"/>
      <c r="J48" s="29" t="e">
        <f aca="false">H92</f>
        <v>#NAME?</v>
      </c>
      <c r="K48" s="29" t="e">
        <f aca="false">S92</f>
        <v>#NAME?</v>
      </c>
      <c r="L48" s="11"/>
      <c r="M48" s="11"/>
      <c r="N48" s="119"/>
      <c r="O48" s="11"/>
      <c r="P48" s="29" t="str">
        <f aca="false">[19]EFX!$K$286</f>
        <v>NA</v>
      </c>
      <c r="Q48" s="94" t="str">
        <f aca="false">[19]EFX!$Q$263</f>
        <v>NA</v>
      </c>
      <c r="R48" s="85" t="s">
        <v>51</v>
      </c>
      <c r="S48" s="85" t="s">
        <v>51</v>
      </c>
      <c r="T48" s="120"/>
      <c r="U48" s="127" t="n">
        <v>0</v>
      </c>
      <c r="V48" s="127" t="n">
        <v>0</v>
      </c>
      <c r="W48" s="128" t="n">
        <v>0</v>
      </c>
      <c r="X48" s="127" t="n">
        <v>0</v>
      </c>
      <c r="Y48" s="127" t="n">
        <v>0</v>
      </c>
      <c r="Z48" s="51"/>
      <c r="AA48" s="135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  <c r="IJ48" s="11"/>
      <c r="IK48" s="11"/>
      <c r="IL48" s="11"/>
      <c r="IM48" s="11"/>
      <c r="IN48" s="11"/>
      <c r="IO48" s="11"/>
      <c r="IP48" s="11"/>
      <c r="IQ48" s="11"/>
      <c r="IR48" s="11"/>
      <c r="IS48" s="11"/>
      <c r="IT48" s="11"/>
      <c r="IU48" s="11"/>
      <c r="IV48" s="11"/>
      <c r="IW48" s="11"/>
    </row>
    <row r="49" customFormat="false" ht="12.95" hidden="false" customHeight="true" outlineLevel="0" collapsed="false">
      <c r="A49" s="10" t="str">
        <f aca="false">[20]GRP!$D$305</f>
        <v>Grant Prideco, Inc.</v>
      </c>
      <c r="B49" s="10" t="s">
        <v>491</v>
      </c>
      <c r="C49" s="40" t="s">
        <v>492</v>
      </c>
      <c r="D49" s="40" t="str">
        <f aca="false">[20]GRP!$V$16</f>
        <v>CSFB / G. Hall</v>
      </c>
      <c r="E49" s="40" t="str">
        <f aca="false">[20]GRP!$U$11</f>
        <v>Buy</v>
      </c>
      <c r="F49" s="17" t="n">
        <f aca="false">[20]GRP!$U$12</f>
        <v>37106</v>
      </c>
      <c r="G49" s="11" t="str">
        <f aca="false">[20]GRP!$F$113</f>
        <v>BB-/Ba3</v>
      </c>
      <c r="H49" s="17" t="n">
        <f aca="false">[20]GRP!$F$114</f>
        <v>37035</v>
      </c>
      <c r="I49" s="11"/>
      <c r="J49" s="29" t="e">
        <f aca="false">H93</f>
        <v>#NAME?</v>
      </c>
      <c r="K49" s="29" t="e">
        <f aca="false">S93</f>
        <v>#NAME?</v>
      </c>
      <c r="L49" s="11"/>
      <c r="M49" s="11"/>
      <c r="N49" s="119"/>
      <c r="O49" s="11"/>
      <c r="P49" s="29" t="str">
        <f aca="false">[20]GRP!$K$286</f>
        <v>NA</v>
      </c>
      <c r="Q49" s="94" t="str">
        <f aca="false">[20]GRP!$Q$263</f>
        <v>NA</v>
      </c>
      <c r="R49" s="85" t="s">
        <v>51</v>
      </c>
      <c r="S49" s="85" t="s">
        <v>51</v>
      </c>
      <c r="T49" s="120"/>
      <c r="U49" s="127" t="n">
        <v>0</v>
      </c>
      <c r="V49" s="127" t="n">
        <v>0</v>
      </c>
      <c r="W49" s="128" t="n">
        <v>0</v>
      </c>
      <c r="X49" s="127" t="n">
        <v>0</v>
      </c>
      <c r="Y49" s="127" t="n">
        <v>0</v>
      </c>
      <c r="Z49" s="51"/>
      <c r="AA49" s="135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  <c r="IV49" s="11"/>
      <c r="IW49" s="11"/>
    </row>
    <row r="50" customFormat="false" ht="12.95" hidden="false" customHeight="true" outlineLevel="0" collapsed="false">
      <c r="A50" s="10" t="str">
        <f aca="false">[21]HAL!$D$305</f>
        <v>Halliburton Company</v>
      </c>
      <c r="B50" s="10" t="s">
        <v>489</v>
      </c>
      <c r="C50" s="40" t="s">
        <v>490</v>
      </c>
      <c r="D50" s="40" t="str">
        <f aca="false">[21]HAL!$V$16</f>
        <v>CSFB / G. Hall</v>
      </c>
      <c r="E50" s="40" t="str">
        <f aca="false">[21]HAL!$U$11</f>
        <v>Buy</v>
      </c>
      <c r="F50" s="17" t="n">
        <f aca="false">[21]HAL!$U$12</f>
        <v>37106</v>
      </c>
      <c r="G50" s="11" t="str">
        <f aca="false">[21]HAL!$F$113</f>
        <v>A1 / A+</v>
      </c>
      <c r="H50" s="17" t="n">
        <f aca="false">[21]HAL!$F$114</f>
        <v>37040</v>
      </c>
      <c r="I50" s="11"/>
      <c r="J50" s="29" t="e">
        <f aca="false">H94</f>
        <v>#NAME?</v>
      </c>
      <c r="K50" s="29" t="e">
        <f aca="false">S94</f>
        <v>#NAME?</v>
      </c>
      <c r="L50" s="11"/>
      <c r="M50" s="11"/>
      <c r="N50" s="119"/>
      <c r="O50" s="11"/>
      <c r="P50" s="29" t="str">
        <f aca="false">[21]HAL!$K$286</f>
        <v>NA</v>
      </c>
      <c r="Q50" s="94" t="str">
        <f aca="false">[21]HAL!$Q$263</f>
        <v>NA</v>
      </c>
      <c r="R50" s="85" t="s">
        <v>51</v>
      </c>
      <c r="S50" s="85" t="s">
        <v>51</v>
      </c>
      <c r="T50" s="120"/>
      <c r="U50" s="127" t="n">
        <v>0</v>
      </c>
      <c r="V50" s="127" t="n">
        <v>0</v>
      </c>
      <c r="W50" s="128" t="n">
        <v>0</v>
      </c>
      <c r="X50" s="127" t="n">
        <v>0</v>
      </c>
      <c r="Y50" s="127" t="n">
        <v>0</v>
      </c>
      <c r="Z50" s="51"/>
      <c r="AA50" s="135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2.95" hidden="false" customHeight="true" outlineLevel="0" collapsed="false">
      <c r="A51" s="10" t="str">
        <f aca="false">[22]HC!$D$305</f>
        <v>Hanover Compressor Company</v>
      </c>
      <c r="B51" s="10" t="s">
        <v>489</v>
      </c>
      <c r="C51" s="40" t="s">
        <v>490</v>
      </c>
      <c r="D51" s="40" t="str">
        <f aca="false">[22]HC!$V$16</f>
        <v>CSFB / G. Hall</v>
      </c>
      <c r="E51" s="40" t="str">
        <f aca="false">[22]HC!$U$11</f>
        <v>Buy</v>
      </c>
      <c r="F51" s="17" t="n">
        <f aca="false">[22]HC!$U$12</f>
        <v>37106</v>
      </c>
      <c r="G51" s="11" t="str">
        <f aca="false">[22]HC!$F$113</f>
        <v>Ba2 / BB+</v>
      </c>
      <c r="H51" s="17" t="n">
        <f aca="false">[22]HC!$F$114</f>
        <v>37040</v>
      </c>
      <c r="I51" s="11"/>
      <c r="J51" s="29" t="e">
        <f aca="false">H95</f>
        <v>#NAME?</v>
      </c>
      <c r="K51" s="29" t="e">
        <f aca="false">S95</f>
        <v>#NAME?</v>
      </c>
      <c r="L51" s="11"/>
      <c r="M51" s="11"/>
      <c r="N51" s="119"/>
      <c r="O51" s="11"/>
      <c r="P51" s="29" t="str">
        <f aca="false">[22]HC!$K$286</f>
        <v>NA</v>
      </c>
      <c r="Q51" s="94" t="str">
        <f aca="false">[22]HC!$Q$263</f>
        <v>NA</v>
      </c>
      <c r="R51" s="85" t="s">
        <v>51</v>
      </c>
      <c r="S51" s="85" t="s">
        <v>51</v>
      </c>
      <c r="T51" s="120"/>
      <c r="U51" s="127" t="n">
        <v>0</v>
      </c>
      <c r="V51" s="127" t="n">
        <v>0</v>
      </c>
      <c r="W51" s="128" t="n">
        <v>0</v>
      </c>
      <c r="X51" s="127" t="n">
        <v>0</v>
      </c>
      <c r="Y51" s="127" t="n">
        <v>0</v>
      </c>
      <c r="Z51" s="51"/>
      <c r="AA51" s="135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2.95" hidden="false" customHeight="true" outlineLevel="0" collapsed="false">
      <c r="A52" s="10" t="str">
        <f aca="false">[23]HYDL!$D$305</f>
        <v>Hydril Company</v>
      </c>
      <c r="B52" s="10" t="s">
        <v>491</v>
      </c>
      <c r="C52" s="40" t="s">
        <v>492</v>
      </c>
      <c r="D52" s="40" t="str">
        <f aca="false">[23]HYDL!$V$16</f>
        <v>CSFB / G. Hall</v>
      </c>
      <c r="E52" s="40" t="str">
        <f aca="false">+[23]HYDL!$U$11</f>
        <v>Buy</v>
      </c>
      <c r="F52" s="17" t="n">
        <f aca="false">+[23]HYDL!$U$12</f>
        <v>37106</v>
      </c>
      <c r="G52" s="11" t="str">
        <f aca="false">+[23]HYDL!$F$113</f>
        <v>NR/NR</v>
      </c>
      <c r="H52" s="17" t="n">
        <f aca="false">+[23]HYDL!$F$114</f>
        <v>37035</v>
      </c>
      <c r="I52" s="11"/>
      <c r="J52" s="29" t="e">
        <f aca="false">H96</f>
        <v>#NAME?</v>
      </c>
      <c r="K52" s="29" t="e">
        <f aca="false">S96</f>
        <v>#NAME?</v>
      </c>
      <c r="L52" s="11"/>
      <c r="M52" s="11"/>
      <c r="N52" s="119"/>
      <c r="O52" s="11"/>
      <c r="P52" s="29" t="str">
        <f aca="false">+[23]HYDL!$K$286</f>
        <v>NA</v>
      </c>
      <c r="Q52" s="94" t="str">
        <f aca="false">+[23]HYDL!$Q$263</f>
        <v>NA</v>
      </c>
      <c r="R52" s="85" t="s">
        <v>51</v>
      </c>
      <c r="S52" s="85" t="s">
        <v>51</v>
      </c>
      <c r="T52" s="120"/>
      <c r="U52" s="127" t="n">
        <v>0</v>
      </c>
      <c r="V52" s="127" t="n">
        <v>0</v>
      </c>
      <c r="W52" s="128" t="n">
        <v>0</v>
      </c>
      <c r="X52" s="127" t="n">
        <v>0</v>
      </c>
      <c r="Y52" s="127" t="n">
        <v>0</v>
      </c>
      <c r="Z52" s="51"/>
      <c r="AA52" s="135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2.95" hidden="false" customHeight="true" outlineLevel="0" collapsed="false">
      <c r="A53" s="10" t="str">
        <f aca="false">[24]IO!$D$305</f>
        <v>Input/Output, Inc.</v>
      </c>
      <c r="B53" s="10" t="s">
        <v>491</v>
      </c>
      <c r="C53" s="40" t="s">
        <v>492</v>
      </c>
      <c r="D53" s="40" t="str">
        <f aca="false">[24]IO!$V$16</f>
        <v>SSB</v>
      </c>
      <c r="E53" s="40" t="str">
        <f aca="false">[24]IO!$U$11</f>
        <v>Buy</v>
      </c>
      <c r="F53" s="17" t="n">
        <f aca="false">[24]IO!$U$12</f>
        <v>37013</v>
      </c>
      <c r="G53" s="11" t="str">
        <f aca="false">[24]IO!$F$113</f>
        <v>NR/NR</v>
      </c>
      <c r="H53" s="17" t="n">
        <f aca="false">[24]IO!$F$114</f>
        <v>37035</v>
      </c>
      <c r="I53" s="11"/>
      <c r="J53" s="29" t="e">
        <f aca="false">H97</f>
        <v>#NAME?</v>
      </c>
      <c r="K53" s="29" t="e">
        <f aca="false">S97</f>
        <v>#NAME?</v>
      </c>
      <c r="L53" s="11"/>
      <c r="M53" s="11"/>
      <c r="N53" s="119"/>
      <c r="O53" s="11"/>
      <c r="P53" s="29" t="str">
        <f aca="false">[24]IO!$K$286</f>
        <v>NA</v>
      </c>
      <c r="Q53" s="94" t="str">
        <f aca="false">[24]IO!$Q$263</f>
        <v>NA</v>
      </c>
      <c r="R53" s="85" t="s">
        <v>51</v>
      </c>
      <c r="S53" s="85" t="s">
        <v>51</v>
      </c>
      <c r="T53" s="120"/>
      <c r="U53" s="127" t="n">
        <v>0</v>
      </c>
      <c r="V53" s="127" t="n">
        <v>0</v>
      </c>
      <c r="W53" s="128" t="n">
        <v>0</v>
      </c>
      <c r="X53" s="127" t="n">
        <v>0</v>
      </c>
      <c r="Y53" s="127" t="n">
        <v>0</v>
      </c>
      <c r="Z53" s="51"/>
      <c r="AA53" s="135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12.95" hidden="false" customHeight="true" outlineLevel="0" collapsed="false">
      <c r="A54" s="10" t="str">
        <f aca="false">[25]NOI!$D$305</f>
        <v>National-Oilwell, Inc.</v>
      </c>
      <c r="B54" s="10" t="s">
        <v>489</v>
      </c>
      <c r="C54" s="40" t="s">
        <v>490</v>
      </c>
      <c r="D54" s="40" t="str">
        <f aca="false">[25]NOI!$V$16</f>
        <v>MSDW / Slorer</v>
      </c>
      <c r="E54" s="40" t="str">
        <f aca="false">[25]NOI!$U$11</f>
        <v>Buy</v>
      </c>
      <c r="F54" s="17" t="n">
        <f aca="false">[25]NOI!$U$12</f>
        <v>37098</v>
      </c>
      <c r="G54" s="11" t="str">
        <f aca="false">[25]NOI!$F$113</f>
        <v>Baa2 /BBB+</v>
      </c>
      <c r="H54" s="17" t="n">
        <f aca="false">[25]NOI!$F$114</f>
        <v>37040</v>
      </c>
      <c r="I54" s="11"/>
      <c r="J54" s="29" t="e">
        <f aca="false">H98</f>
        <v>#NAME?</v>
      </c>
      <c r="K54" s="29" t="e">
        <f aca="false">S98</f>
        <v>#NAME?</v>
      </c>
      <c r="L54" s="11"/>
      <c r="M54" s="11"/>
      <c r="N54" s="119"/>
      <c r="O54" s="11"/>
      <c r="P54" s="29" t="str">
        <f aca="false">[25]NOI!$K$286</f>
        <v>NA</v>
      </c>
      <c r="Q54" s="94" t="str">
        <f aca="false">[25]NOI!$Q$263</f>
        <v>NA</v>
      </c>
      <c r="R54" s="85" t="s">
        <v>51</v>
      </c>
      <c r="S54" s="85" t="s">
        <v>51</v>
      </c>
      <c r="T54" s="120"/>
      <c r="U54" s="127" t="n">
        <v>0</v>
      </c>
      <c r="V54" s="127" t="n">
        <v>0</v>
      </c>
      <c r="W54" s="128" t="n">
        <v>0</v>
      </c>
      <c r="X54" s="127" t="n">
        <v>0</v>
      </c>
      <c r="Y54" s="127" t="n">
        <v>0</v>
      </c>
      <c r="Z54" s="51"/>
      <c r="AA54" s="135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12.95" hidden="false" customHeight="true" outlineLevel="0" collapsed="false">
      <c r="A55" s="10" t="str">
        <f aca="false">[26]SLB!$D$305</f>
        <v>Schlumberger Limited</v>
      </c>
      <c r="B55" s="10" t="s">
        <v>489</v>
      </c>
      <c r="C55" s="40" t="s">
        <v>490</v>
      </c>
      <c r="D55" s="40" t="str">
        <f aca="false">[26]SLB!$V$16</f>
        <v>CSFB / G. Hall</v>
      </c>
      <c r="E55" s="40" t="str">
        <f aca="false">[26]SLB!$U$11</f>
        <v>Hold</v>
      </c>
      <c r="F55" s="17" t="n">
        <f aca="false">+[26]SLB!$U$12</f>
        <v>37106</v>
      </c>
      <c r="G55" s="11" t="str">
        <f aca="false">+[26]SLB!$F$113</f>
        <v>NR/NR</v>
      </c>
      <c r="H55" s="17" t="n">
        <f aca="false">+[26]SLB!$F$114</f>
        <v>37064</v>
      </c>
      <c r="I55" s="11"/>
      <c r="J55" s="29" t="e">
        <f aca="false">H99</f>
        <v>#NAME?</v>
      </c>
      <c r="K55" s="29" t="e">
        <f aca="false">S99</f>
        <v>#NAME?</v>
      </c>
      <c r="L55" s="11"/>
      <c r="M55" s="11"/>
      <c r="N55" s="119"/>
      <c r="O55" s="11"/>
      <c r="P55" s="29" t="str">
        <f aca="false">+[26]SLB!$K$286</f>
        <v>NA</v>
      </c>
      <c r="Q55" s="94" t="str">
        <f aca="false">+[26]SLB!$Q$263</f>
        <v>NA</v>
      </c>
      <c r="R55" s="85" t="s">
        <v>51</v>
      </c>
      <c r="S55" s="85" t="s">
        <v>51</v>
      </c>
      <c r="T55" s="120"/>
      <c r="U55" s="127" t="n">
        <v>0</v>
      </c>
      <c r="V55" s="127" t="n">
        <v>0</v>
      </c>
      <c r="W55" s="128" t="n">
        <v>0</v>
      </c>
      <c r="X55" s="127" t="n">
        <v>0</v>
      </c>
      <c r="Y55" s="127" t="n">
        <v>0</v>
      </c>
      <c r="Z55" s="51"/>
      <c r="AA55" s="135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12.95" hidden="false" customHeight="true" outlineLevel="0" collapsed="false">
      <c r="A56" s="10" t="str">
        <f aca="false">[28]SII!$D$305</f>
        <v>Smith International, Inc.</v>
      </c>
      <c r="B56" s="10" t="s">
        <v>489</v>
      </c>
      <c r="C56" s="40" t="s">
        <v>490</v>
      </c>
      <c r="D56" s="40" t="str">
        <f aca="false">[28]SII!$V$16</f>
        <v>CSFB / G. Hall</v>
      </c>
      <c r="E56" s="40" t="str">
        <f aca="false">[28]SII!$U$11</f>
        <v>Buy</v>
      </c>
      <c r="F56" s="17" t="n">
        <f aca="false">[28]SII!$U$12</f>
        <v>37106</v>
      </c>
      <c r="G56" s="11" t="str">
        <f aca="false">[28]SII!$F$113</f>
        <v>Baa1 / BBB+</v>
      </c>
      <c r="H56" s="17" t="n">
        <f aca="false">[28]SII!$F$114</f>
        <v>37040</v>
      </c>
      <c r="I56" s="11"/>
      <c r="J56" s="29" t="e">
        <f aca="false">H100</f>
        <v>#NAME?</v>
      </c>
      <c r="K56" s="29" t="e">
        <f aca="false">S100</f>
        <v>#NAME?</v>
      </c>
      <c r="L56" s="11"/>
      <c r="M56" s="11"/>
      <c r="N56" s="119"/>
      <c r="O56" s="11"/>
      <c r="P56" s="29" t="str">
        <f aca="false">IF([28]SII!$K$286&lt;0,"NM",[28]SII!$K$286)</f>
        <v>NA</v>
      </c>
      <c r="Q56" s="94" t="str">
        <f aca="false">[28]SII!$Q$263</f>
        <v>NA</v>
      </c>
      <c r="R56" s="85" t="s">
        <v>51</v>
      </c>
      <c r="S56" s="85" t="s">
        <v>51</v>
      </c>
      <c r="T56" s="120"/>
      <c r="U56" s="127" t="n">
        <v>0</v>
      </c>
      <c r="V56" s="127" t="n">
        <v>0</v>
      </c>
      <c r="W56" s="128" t="n">
        <v>0</v>
      </c>
      <c r="X56" s="127" t="n">
        <v>0</v>
      </c>
      <c r="Y56" s="127" t="n">
        <v>0</v>
      </c>
      <c r="Z56" s="11"/>
      <c r="AA56" s="135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12.95" hidden="false" customHeight="true" outlineLevel="0" collapsed="false">
      <c r="A57" s="10" t="str">
        <f aca="false">[29]SESI!$D$305</f>
        <v>Superior Energy Services, Inc.</v>
      </c>
      <c r="B57" s="10" t="s">
        <v>491</v>
      </c>
      <c r="C57" s="40" t="s">
        <v>492</v>
      </c>
      <c r="D57" s="40" t="str">
        <f aca="false">[29]SESI!$V$16</f>
        <v>CSFB / G. Hall</v>
      </c>
      <c r="E57" s="40" t="str">
        <f aca="false">[29]SESI!$U$11</f>
        <v>Buy</v>
      </c>
      <c r="F57" s="17" t="n">
        <f aca="false">[29]SESI!$U$12</f>
        <v>37106</v>
      </c>
      <c r="G57" s="11" t="str">
        <f aca="false">[29]SESI!$F$113</f>
        <v>BB-/Ba1</v>
      </c>
      <c r="H57" s="17" t="n">
        <f aca="false">[29]SESI!$F$114</f>
        <v>37035</v>
      </c>
      <c r="I57" s="11"/>
      <c r="J57" s="29" t="e">
        <f aca="false">H101</f>
        <v>#NAME?</v>
      </c>
      <c r="K57" s="29" t="e">
        <f aca="false">S101</f>
        <v>#NAME?</v>
      </c>
      <c r="L57" s="11"/>
      <c r="M57" s="11"/>
      <c r="N57" s="11"/>
      <c r="O57" s="11"/>
      <c r="P57" s="29" t="str">
        <f aca="false">[29]SESI!$K$286</f>
        <v>NA</v>
      </c>
      <c r="Q57" s="94" t="str">
        <f aca="false">[29]SESI!$Q$263</f>
        <v>NA</v>
      </c>
      <c r="R57" s="85" t="s">
        <v>51</v>
      </c>
      <c r="S57" s="85" t="s">
        <v>51</v>
      </c>
      <c r="T57" s="120"/>
      <c r="U57" s="127" t="n">
        <v>0</v>
      </c>
      <c r="V57" s="127" t="n">
        <v>0</v>
      </c>
      <c r="W57" s="128" t="n">
        <v>0</v>
      </c>
      <c r="X57" s="127" t="n">
        <v>0</v>
      </c>
      <c r="Y57" s="127" t="n">
        <v>0</v>
      </c>
      <c r="Z57" s="11"/>
      <c r="AA57" s="135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12.95" hidden="false" customHeight="true" outlineLevel="0" collapsed="false">
      <c r="A58" s="10" t="str">
        <f aca="false">[30]TEO!$D$305</f>
        <v>Tesco Corporation</v>
      </c>
      <c r="B58" s="10" t="s">
        <v>491</v>
      </c>
      <c r="C58" s="40" t="s">
        <v>492</v>
      </c>
      <c r="D58" s="40" t="str">
        <f aca="false">[30]TEO!$V$16</f>
        <v>CIBC World Markets</v>
      </c>
      <c r="E58" s="40" t="str">
        <f aca="false">[30]TEO!$U$11</f>
        <v>Buy</v>
      </c>
      <c r="F58" s="17" t="n">
        <f aca="false">[30]TEO!$U$12</f>
        <v>37025</v>
      </c>
      <c r="G58" s="11" t="str">
        <f aca="false">[30]TEO!$F$113</f>
        <v>NR/NR</v>
      </c>
      <c r="H58" s="17" t="n">
        <f aca="false">[30]TEO!$F$114</f>
        <v>37035</v>
      </c>
      <c r="I58" s="11"/>
      <c r="J58" s="29" t="e">
        <f aca="false">H102</f>
        <v>#NAME?</v>
      </c>
      <c r="K58" s="29" t="e">
        <f aca="false">S102</f>
        <v>#NAME?</v>
      </c>
      <c r="L58" s="11"/>
      <c r="M58" s="11"/>
      <c r="N58" s="11"/>
      <c r="O58" s="11"/>
      <c r="P58" s="11" t="str">
        <f aca="false">[30]TEO!$K$286</f>
        <v>NA</v>
      </c>
      <c r="Q58" s="94" t="str">
        <f aca="false">[30]TEO!$Q$263</f>
        <v>NA</v>
      </c>
      <c r="R58" s="85" t="s">
        <v>51</v>
      </c>
      <c r="S58" s="85" t="s">
        <v>51</v>
      </c>
      <c r="T58" s="120"/>
      <c r="U58" s="127" t="n">
        <v>0</v>
      </c>
      <c r="V58" s="127" t="n">
        <v>0</v>
      </c>
      <c r="W58" s="128" t="n">
        <v>0</v>
      </c>
      <c r="X58" s="127" t="n">
        <v>0</v>
      </c>
      <c r="Y58" s="127" t="n">
        <v>0</v>
      </c>
      <c r="Z58" s="11"/>
      <c r="AA58" s="135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12.95" hidden="false" customHeight="true" outlineLevel="0" collapsed="false">
      <c r="A59" s="10" t="str">
        <f aca="false">[31]UCO!$D$305</f>
        <v>Universal Compression, Inc.</v>
      </c>
      <c r="B59" s="10" t="s">
        <v>491</v>
      </c>
      <c r="C59" s="40" t="s">
        <v>492</v>
      </c>
      <c r="D59" s="40" t="str">
        <f aca="false">[31]UCO!$V$16</f>
        <v>Deutsche Bank</v>
      </c>
      <c r="E59" s="40" t="str">
        <f aca="false">[31]UCO!$U$11</f>
        <v>Buy</v>
      </c>
      <c r="F59" s="17" t="n">
        <f aca="false">[31]UCO!$U$12</f>
        <v>37106</v>
      </c>
      <c r="G59" s="11" t="str">
        <f aca="false">[31]UCO!$F$113</f>
        <v>B+/B1</v>
      </c>
      <c r="H59" s="17" t="n">
        <f aca="false">[31]UCO!$F$114</f>
        <v>37035</v>
      </c>
      <c r="I59" s="11"/>
      <c r="J59" s="29" t="e">
        <f aca="false">H103</f>
        <v>#NAME?</v>
      </c>
      <c r="K59" s="29" t="e">
        <f aca="false">S103</f>
        <v>#NAME?</v>
      </c>
      <c r="L59" s="11"/>
      <c r="M59" s="11"/>
      <c r="N59" s="11"/>
      <c r="O59" s="11"/>
      <c r="P59" s="11" t="str">
        <f aca="false">[31]UCO!$K$286</f>
        <v>NA</v>
      </c>
      <c r="Q59" s="94" t="str">
        <f aca="false">[31]UCO!$Q$263</f>
        <v>NA</v>
      </c>
      <c r="R59" s="85" t="s">
        <v>51</v>
      </c>
      <c r="S59" s="85" t="s">
        <v>51</v>
      </c>
      <c r="T59" s="120"/>
      <c r="U59" s="127" t="n">
        <v>0</v>
      </c>
      <c r="V59" s="127" t="n">
        <v>0</v>
      </c>
      <c r="W59" s="128" t="n">
        <v>0</v>
      </c>
      <c r="X59" s="127" t="n">
        <v>0</v>
      </c>
      <c r="Y59" s="127" t="n">
        <v>0</v>
      </c>
      <c r="Z59" s="11"/>
      <c r="AA59" s="135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  <c r="II59" s="11"/>
      <c r="IJ59" s="11"/>
      <c r="IK59" s="11"/>
      <c r="IL59" s="11"/>
      <c r="IM59" s="11"/>
      <c r="IN59" s="11"/>
      <c r="IO59" s="11"/>
      <c r="IP59" s="11"/>
      <c r="IQ59" s="11"/>
      <c r="IR59" s="11"/>
      <c r="IS59" s="11"/>
      <c r="IT59" s="11"/>
      <c r="IU59" s="11"/>
      <c r="IV59" s="11"/>
      <c r="IW59" s="11"/>
    </row>
    <row r="60" customFormat="false" ht="12.95" hidden="false" customHeight="true" outlineLevel="0" collapsed="false">
      <c r="A60" s="10" t="str">
        <f aca="false">[32]VRC!$D$305</f>
        <v>Varco International, Inc.</v>
      </c>
      <c r="B60" s="10" t="s">
        <v>491</v>
      </c>
      <c r="C60" s="40" t="s">
        <v>492</v>
      </c>
      <c r="D60" s="40" t="str">
        <f aca="false">[32]VRC!$V$16</f>
        <v>CSFB / G.Hall</v>
      </c>
      <c r="E60" s="142" t="str">
        <f aca="false">[32]VRC!$U$11</f>
        <v>Buy</v>
      </c>
      <c r="F60" s="17" t="n">
        <f aca="false">[32]VRC!$U$12</f>
        <v>37106</v>
      </c>
      <c r="G60" s="11" t="str">
        <f aca="false">[32]VRC!$F$113</f>
        <v>BBB+/Baa2</v>
      </c>
      <c r="H60" s="17" t="n">
        <f aca="false">[32]VRC!$F$114</f>
        <v>37035</v>
      </c>
      <c r="I60" s="11"/>
      <c r="J60" s="29" t="e">
        <f aca="false">H104</f>
        <v>#NAME?</v>
      </c>
      <c r="K60" s="29" t="e">
        <f aca="false">S104</f>
        <v>#NAME?</v>
      </c>
      <c r="L60" s="11"/>
      <c r="M60" s="11"/>
      <c r="N60" s="11"/>
      <c r="O60" s="11"/>
      <c r="P60" s="11" t="str">
        <f aca="false">[32]VRC!$K$286</f>
        <v>NA</v>
      </c>
      <c r="Q60" s="94" t="str">
        <f aca="false">[32]VRC!$Q$263</f>
        <v>NA</v>
      </c>
      <c r="R60" s="85" t="s">
        <v>51</v>
      </c>
      <c r="S60" s="85" t="s">
        <v>51</v>
      </c>
      <c r="T60" s="120"/>
      <c r="U60" s="127"/>
      <c r="V60" s="127"/>
      <c r="W60" s="128"/>
      <c r="X60" s="127"/>
      <c r="Y60" s="127"/>
      <c r="Z60" s="11"/>
      <c r="AA60" s="135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  <c r="IE60" s="11"/>
      <c r="IF60" s="11"/>
      <c r="IG60" s="11"/>
      <c r="IH60" s="11"/>
      <c r="II60" s="11"/>
      <c r="IJ60" s="11"/>
      <c r="IK60" s="11"/>
      <c r="IL60" s="11"/>
      <c r="IM60" s="11"/>
      <c r="IN60" s="11"/>
      <c r="IO60" s="11"/>
      <c r="IP60" s="11"/>
      <c r="IQ60" s="11"/>
      <c r="IR60" s="11"/>
      <c r="IS60" s="11"/>
      <c r="IT60" s="11"/>
      <c r="IU60" s="11"/>
      <c r="IV60" s="11"/>
      <c r="IW60" s="11"/>
    </row>
    <row r="61" customFormat="false" ht="12.95" hidden="false" customHeight="true" outlineLevel="0" collapsed="false">
      <c r="A61" s="10" t="str">
        <f aca="false">[33]WHES!$D$305</f>
        <v>W-H Energy Services, Inc.</v>
      </c>
      <c r="B61" s="10" t="s">
        <v>491</v>
      </c>
      <c r="C61" s="40" t="s">
        <v>492</v>
      </c>
      <c r="D61" s="40" t="str">
        <f aca="false">[33]WHES!$V$16</f>
        <v>CSFB / G. Hall</v>
      </c>
      <c r="E61" s="40" t="str">
        <f aca="false">[33]WHES!$U$11</f>
        <v>Buy</v>
      </c>
      <c r="F61" s="17" t="n">
        <f aca="false">[33]WHES!$U$12</f>
        <v>37106</v>
      </c>
      <c r="G61" s="11" t="str">
        <f aca="false">[33]WHES!$F$113</f>
        <v>NR/NR</v>
      </c>
      <c r="H61" s="17" t="n">
        <f aca="false">[33]WHES!$F$114</f>
        <v>37035</v>
      </c>
      <c r="I61" s="11"/>
      <c r="J61" s="29" t="e">
        <f aca="false">H105</f>
        <v>#NAME?</v>
      </c>
      <c r="K61" s="29" t="e">
        <f aca="false">S105</f>
        <v>#NAME?</v>
      </c>
      <c r="L61" s="11"/>
      <c r="M61" s="11"/>
      <c r="N61" s="11"/>
      <c r="O61" s="11"/>
      <c r="P61" s="11" t="str">
        <f aca="false">[33]WHES!$K$286</f>
        <v>NA</v>
      </c>
      <c r="Q61" s="94" t="str">
        <f aca="false">[33]WHES!$Q$263</f>
        <v>NA</v>
      </c>
      <c r="R61" s="85" t="s">
        <v>51</v>
      </c>
      <c r="S61" s="85" t="s">
        <v>51</v>
      </c>
      <c r="T61" s="120"/>
      <c r="U61" s="127" t="n">
        <v>0</v>
      </c>
      <c r="V61" s="127" t="n">
        <v>0</v>
      </c>
      <c r="W61" s="128" t="n">
        <v>0</v>
      </c>
      <c r="X61" s="127" t="n">
        <v>0</v>
      </c>
      <c r="Y61" s="127" t="n">
        <v>0</v>
      </c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  <c r="IE61" s="11"/>
      <c r="IF61" s="11"/>
      <c r="IG61" s="11"/>
      <c r="IH61" s="11"/>
      <c r="II61" s="11"/>
      <c r="IJ61" s="11"/>
      <c r="IK61" s="11"/>
      <c r="IL61" s="11"/>
      <c r="IM61" s="11"/>
      <c r="IN61" s="11"/>
      <c r="IO61" s="11"/>
      <c r="IP61" s="11"/>
      <c r="IQ61" s="11"/>
      <c r="IR61" s="11"/>
      <c r="IS61" s="11"/>
      <c r="IT61" s="11"/>
      <c r="IU61" s="11"/>
      <c r="IV61" s="11"/>
      <c r="IW61" s="11"/>
    </row>
    <row r="62" customFormat="false" ht="12.95" hidden="false" customHeight="true" outlineLevel="0" collapsed="false">
      <c r="A62" s="10" t="str">
        <f aca="false">[34]WFT!$D$305</f>
        <v>Weatherford International, Inc.</v>
      </c>
      <c r="B62" s="10" t="s">
        <v>489</v>
      </c>
      <c r="C62" s="40" t="s">
        <v>490</v>
      </c>
      <c r="D62" s="40" t="str">
        <f aca="false">[34]WFT!$V$16</f>
        <v>CSFB / G. Hall</v>
      </c>
      <c r="E62" s="40" t="str">
        <f aca="false">[34]WFT!$U$11</f>
        <v>Buy</v>
      </c>
      <c r="F62" s="17" t="n">
        <f aca="false">[34]WFT!$U$12</f>
        <v>37106</v>
      </c>
      <c r="G62" s="11" t="str">
        <f aca="false">[34]WFT!$F$113</f>
        <v>Baa1/BBB+</v>
      </c>
      <c r="H62" s="17" t="n">
        <f aca="false">[34]WFT!$F$114</f>
        <v>37040</v>
      </c>
      <c r="I62" s="11"/>
      <c r="J62" s="29" t="e">
        <f aca="false">H106</f>
        <v>#NAME?</v>
      </c>
      <c r="K62" s="29" t="e">
        <f aca="false">S106</f>
        <v>#NAME?</v>
      </c>
      <c r="L62" s="11"/>
      <c r="M62" s="11"/>
      <c r="N62" s="11"/>
      <c r="O62" s="11"/>
      <c r="P62" s="11" t="str">
        <f aca="false">[34]WFT!$K$286</f>
        <v>NA</v>
      </c>
      <c r="Q62" s="94" t="str">
        <f aca="false">[34]WFT!$Q$263</f>
        <v>NA</v>
      </c>
      <c r="R62" s="85" t="s">
        <v>51</v>
      </c>
      <c r="S62" s="85" t="s">
        <v>51</v>
      </c>
      <c r="T62" s="120"/>
      <c r="U62" s="127" t="n">
        <v>0</v>
      </c>
      <c r="V62" s="127" t="n">
        <v>0</v>
      </c>
      <c r="W62" s="128" t="n">
        <v>0</v>
      </c>
      <c r="X62" s="127" t="n">
        <v>0</v>
      </c>
      <c r="Y62" s="127" t="n">
        <v>0</v>
      </c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  <c r="II62" s="11"/>
      <c r="IJ62" s="11"/>
      <c r="IK62" s="11"/>
      <c r="IL62" s="11"/>
      <c r="IM62" s="11"/>
      <c r="IN62" s="11"/>
      <c r="IO62" s="11"/>
      <c r="IP62" s="11"/>
      <c r="IQ62" s="11"/>
      <c r="IR62" s="11"/>
      <c r="IS62" s="11"/>
      <c r="IT62" s="11"/>
      <c r="IU62" s="11"/>
      <c r="IV62" s="11"/>
      <c r="IW62" s="11"/>
    </row>
    <row r="63" customFormat="false" ht="12.95" hidden="false" customHeight="true" outlineLevel="0" collapsed="false">
      <c r="C63" s="40"/>
      <c r="D63" s="40"/>
      <c r="E63" s="40"/>
      <c r="F63" s="17"/>
      <c r="G63" s="11"/>
      <c r="H63" s="17"/>
      <c r="I63" s="11"/>
      <c r="J63" s="29"/>
      <c r="K63" s="29"/>
      <c r="L63" s="11"/>
      <c r="M63" s="11"/>
      <c r="N63" s="11"/>
      <c r="O63" s="11"/>
      <c r="P63" s="11"/>
      <c r="Q63" s="11"/>
      <c r="R63" s="11"/>
      <c r="S63" s="11"/>
      <c r="T63" s="120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  <c r="IE63" s="11"/>
      <c r="IF63" s="11"/>
      <c r="IG63" s="11"/>
      <c r="IH63" s="11"/>
      <c r="II63" s="11"/>
      <c r="IJ63" s="11"/>
      <c r="IK63" s="11"/>
      <c r="IL63" s="11"/>
      <c r="IM63" s="11"/>
      <c r="IN63" s="11"/>
      <c r="IO63" s="11"/>
      <c r="IP63" s="11"/>
      <c r="IQ63" s="11"/>
      <c r="IR63" s="11"/>
      <c r="IS63" s="11"/>
      <c r="IT63" s="11"/>
      <c r="IU63" s="11"/>
      <c r="IV63" s="11"/>
      <c r="IW63" s="11"/>
    </row>
    <row r="64" customFormat="false" ht="12.95" hidden="false" customHeight="true" outlineLevel="0" collapsed="false">
      <c r="C64" s="40"/>
      <c r="D64" s="40"/>
      <c r="E64" s="40"/>
      <c r="F64" s="17"/>
      <c r="G64" s="11"/>
      <c r="H64" s="17"/>
      <c r="I64" s="11"/>
      <c r="J64" s="29"/>
      <c r="K64" s="29"/>
      <c r="L64" s="11"/>
      <c r="M64" s="11"/>
      <c r="N64" s="11"/>
      <c r="O64" s="11"/>
      <c r="P64" s="11"/>
      <c r="Q64" s="11"/>
      <c r="R64" s="11"/>
      <c r="S64" s="11"/>
      <c r="T64" s="120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  <c r="IE64" s="11"/>
      <c r="IF64" s="11"/>
      <c r="IG64" s="11"/>
      <c r="IH64" s="11"/>
      <c r="II64" s="11"/>
      <c r="IJ64" s="11"/>
      <c r="IK64" s="11"/>
      <c r="IL64" s="11"/>
      <c r="IM64" s="11"/>
      <c r="IN64" s="11"/>
      <c r="IO64" s="11"/>
      <c r="IP64" s="11"/>
      <c r="IQ64" s="11"/>
      <c r="IR64" s="11"/>
      <c r="IS64" s="11"/>
      <c r="IT64" s="11"/>
      <c r="IU64" s="11"/>
      <c r="IV64" s="11"/>
      <c r="IW64" s="11"/>
    </row>
    <row r="65" customFormat="false" ht="12.95" hidden="false" customHeight="true" outlineLevel="0" collapsed="false">
      <c r="C65" s="40"/>
      <c r="D65" s="40"/>
      <c r="E65" s="40"/>
      <c r="F65" s="17"/>
      <c r="G65" s="11"/>
      <c r="H65" s="17"/>
      <c r="I65" s="11"/>
      <c r="J65" s="29"/>
      <c r="K65" s="29"/>
      <c r="L65" s="11"/>
      <c r="M65" s="11"/>
      <c r="N65" s="11"/>
      <c r="O65" s="11"/>
      <c r="P65" s="11"/>
      <c r="Q65" s="11"/>
      <c r="R65" s="11"/>
      <c r="S65" s="11"/>
      <c r="T65" s="120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  <c r="IE65" s="11"/>
      <c r="IF65" s="11"/>
      <c r="IG65" s="11"/>
      <c r="IH65" s="11"/>
      <c r="II65" s="11"/>
      <c r="IJ65" s="11"/>
      <c r="IK65" s="11"/>
      <c r="IL65" s="11"/>
      <c r="IM65" s="11"/>
      <c r="IN65" s="11"/>
      <c r="IO65" s="11"/>
      <c r="IP65" s="11"/>
      <c r="IQ65" s="11"/>
      <c r="IR65" s="11"/>
      <c r="IS65" s="11"/>
      <c r="IT65" s="11"/>
      <c r="IU65" s="11"/>
      <c r="IV65" s="11"/>
      <c r="IW65" s="11"/>
    </row>
    <row r="66" customFormat="false" ht="12.95" hidden="false" customHeight="true" outlineLevel="0" collapsed="false">
      <c r="A66" s="11"/>
      <c r="B66" s="121"/>
      <c r="C66" s="121"/>
      <c r="D66" s="11"/>
      <c r="E66" s="121"/>
      <c r="F66" s="11"/>
      <c r="G66" s="11"/>
      <c r="H66" s="11"/>
      <c r="I66" s="11"/>
      <c r="J66" s="11"/>
      <c r="K66" s="11"/>
      <c r="L66" s="11"/>
      <c r="M66" s="11"/>
      <c r="N66" s="40" t="s">
        <v>56</v>
      </c>
      <c r="O66" s="11"/>
      <c r="P66" s="11" t="str">
        <f aca="false">[34]WFT!$K$286</f>
        <v>NA</v>
      </c>
      <c r="Q66" s="94" t="str">
        <f aca="false">[34]WFT!$Q$263</f>
        <v>NA</v>
      </c>
      <c r="R66" s="85" t="s">
        <v>51</v>
      </c>
      <c r="S66" s="40"/>
      <c r="T66" s="120"/>
      <c r="U66" s="127"/>
      <c r="V66" s="127"/>
      <c r="W66" s="128"/>
      <c r="X66" s="127"/>
      <c r="Y66" s="127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  <c r="IE66" s="11"/>
      <c r="IF66" s="11"/>
      <c r="IG66" s="11"/>
      <c r="IH66" s="11"/>
      <c r="II66" s="11"/>
      <c r="IJ66" s="11"/>
      <c r="IK66" s="11"/>
      <c r="IL66" s="11"/>
      <c r="IM66" s="11"/>
      <c r="IN66" s="11"/>
      <c r="IO66" s="11"/>
      <c r="IP66" s="11"/>
      <c r="IQ66" s="11"/>
      <c r="IR66" s="11"/>
      <c r="IS66" s="11"/>
      <c r="IT66" s="11"/>
      <c r="IU66" s="11"/>
      <c r="IV66" s="11"/>
      <c r="IW66" s="11"/>
    </row>
    <row r="67" customFormat="false" ht="12.95" hidden="false" customHeight="true" outlineLevel="0" collapsed="false">
      <c r="A67" s="11"/>
      <c r="B67" s="121"/>
      <c r="C67" s="121"/>
      <c r="D67" s="121"/>
      <c r="E67" s="11"/>
      <c r="F67" s="11"/>
      <c r="G67" s="11"/>
      <c r="H67" s="11"/>
      <c r="I67" s="11"/>
      <c r="J67" s="11"/>
      <c r="K67" s="11"/>
      <c r="L67" s="11"/>
      <c r="M67" s="11"/>
      <c r="N67" s="40" t="s">
        <v>57</v>
      </c>
      <c r="O67" s="11"/>
      <c r="P67" s="11" t="str">
        <f aca="false">[34]WFT!$K$286</f>
        <v>NA</v>
      </c>
      <c r="Q67" s="94" t="str">
        <f aca="false">[34]WFT!$Q$263</f>
        <v>NA</v>
      </c>
      <c r="R67" s="85" t="s">
        <v>51</v>
      </c>
      <c r="S67" s="40"/>
      <c r="T67" s="120"/>
      <c r="U67" s="127"/>
      <c r="V67" s="127"/>
      <c r="W67" s="128"/>
      <c r="X67" s="127"/>
      <c r="Y67" s="127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  <c r="IE67" s="11"/>
      <c r="IF67" s="11"/>
      <c r="IG67" s="11"/>
      <c r="IH67" s="11"/>
      <c r="II67" s="11"/>
      <c r="IJ67" s="11"/>
      <c r="IK67" s="11"/>
      <c r="IL67" s="11"/>
      <c r="IM67" s="11"/>
      <c r="IN67" s="11"/>
      <c r="IO67" s="11"/>
      <c r="IP67" s="11"/>
      <c r="IQ67" s="11"/>
      <c r="IR67" s="11"/>
      <c r="IS67" s="11"/>
      <c r="IT67" s="11"/>
      <c r="IU67" s="11"/>
      <c r="IV67" s="11"/>
      <c r="IW67" s="11"/>
    </row>
    <row r="68" customFormat="false" ht="12.95" hidden="false" customHeight="true" outlineLevel="0" collapsed="false">
      <c r="A68" s="11"/>
      <c r="B68" s="121"/>
      <c r="C68" s="121"/>
      <c r="D68" s="121"/>
      <c r="E68" s="11"/>
      <c r="F68" s="11"/>
      <c r="G68" s="11"/>
      <c r="H68" s="11"/>
      <c r="I68" s="11"/>
      <c r="J68" s="11"/>
      <c r="K68" s="11"/>
      <c r="L68" s="11"/>
      <c r="M68" s="11"/>
      <c r="N68" s="40" t="s">
        <v>26</v>
      </c>
      <c r="O68" s="11"/>
      <c r="P68" s="11" t="str">
        <f aca="false">[34]WFT!$K$286</f>
        <v>NA</v>
      </c>
      <c r="Q68" s="94" t="str">
        <f aca="false">[34]WFT!$Q$263</f>
        <v>NA</v>
      </c>
      <c r="R68" s="85" t="s">
        <v>51</v>
      </c>
      <c r="S68" s="40"/>
      <c r="T68" s="120"/>
      <c r="U68" s="127"/>
      <c r="V68" s="127"/>
      <c r="W68" s="128"/>
      <c r="X68" s="127"/>
      <c r="Y68" s="127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  <c r="II68" s="11"/>
      <c r="IJ68" s="11"/>
      <c r="IK68" s="11"/>
      <c r="IL68" s="11"/>
      <c r="IM68" s="11"/>
      <c r="IN68" s="11"/>
      <c r="IO68" s="11"/>
      <c r="IP68" s="11"/>
      <c r="IQ68" s="11"/>
      <c r="IR68" s="11"/>
      <c r="IS68" s="11"/>
      <c r="IT68" s="11"/>
      <c r="IU68" s="11"/>
      <c r="IV68" s="11"/>
      <c r="IW68" s="11"/>
    </row>
    <row r="69" customFormat="false" ht="12.95" hidden="false" customHeight="true" outlineLevel="0" collapsed="false">
      <c r="A69" s="11"/>
      <c r="B69" s="121"/>
      <c r="C69" s="121"/>
      <c r="D69" s="121"/>
      <c r="E69" s="11"/>
      <c r="F69" s="11"/>
      <c r="G69" s="11"/>
      <c r="H69" s="11"/>
      <c r="I69" s="11"/>
      <c r="J69" s="11"/>
      <c r="K69" s="11"/>
      <c r="L69" s="11"/>
      <c r="M69" s="11"/>
      <c r="N69" s="40" t="s">
        <v>27</v>
      </c>
      <c r="O69" s="11"/>
      <c r="P69" s="11" t="str">
        <f aca="false">[34]WFT!$K$286</f>
        <v>NA</v>
      </c>
      <c r="Q69" s="94" t="str">
        <f aca="false">[34]WFT!$Q$263</f>
        <v>NA</v>
      </c>
      <c r="R69" s="85" t="s">
        <v>51</v>
      </c>
      <c r="S69" s="40"/>
      <c r="T69" s="120"/>
      <c r="U69" s="127"/>
      <c r="V69" s="127"/>
      <c r="W69" s="128"/>
      <c r="X69" s="127"/>
      <c r="Y69" s="127"/>
      <c r="Z69" s="5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  <c r="II69" s="11"/>
      <c r="IJ69" s="11"/>
      <c r="IK69" s="11"/>
      <c r="IL69" s="11"/>
      <c r="IM69" s="11"/>
      <c r="IN69" s="11"/>
      <c r="IO69" s="11"/>
      <c r="IP69" s="11"/>
      <c r="IQ69" s="11"/>
      <c r="IR69" s="11"/>
      <c r="IS69" s="11"/>
      <c r="IT69" s="11"/>
      <c r="IU69" s="11"/>
      <c r="IV69" s="11"/>
      <c r="IW69" s="11"/>
    </row>
    <row r="70" customFormat="false" ht="12.95" hidden="false" customHeight="true" outlineLevel="0" collapsed="false">
      <c r="A70" s="66" t="s">
        <v>104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5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  <c r="IE70" s="11"/>
      <c r="IF70" s="11"/>
      <c r="IG70" s="11"/>
      <c r="IH70" s="11"/>
      <c r="II70" s="11"/>
      <c r="IJ70" s="11"/>
      <c r="IK70" s="11"/>
      <c r="IL70" s="11"/>
      <c r="IM70" s="11"/>
      <c r="IN70" s="11"/>
      <c r="IO70" s="11"/>
      <c r="IP70" s="11"/>
      <c r="IQ70" s="11"/>
      <c r="IR70" s="11"/>
      <c r="IS70" s="11"/>
      <c r="IT70" s="11"/>
      <c r="IU70" s="11"/>
      <c r="IV70" s="11"/>
      <c r="IW70" s="11"/>
    </row>
    <row r="71" customFormat="false" ht="12.95" hidden="false" customHeight="true" outlineLevel="0" collapsed="false">
      <c r="A71" s="40" t="s">
        <v>493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5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  <c r="IE71" s="11"/>
      <c r="IF71" s="11"/>
      <c r="IG71" s="11"/>
      <c r="IH71" s="11"/>
      <c r="II71" s="11"/>
      <c r="IJ71" s="11"/>
      <c r="IK71" s="11"/>
      <c r="IL71" s="11"/>
      <c r="IM71" s="11"/>
      <c r="IN71" s="11"/>
      <c r="IO71" s="11"/>
      <c r="IP71" s="11"/>
      <c r="IQ71" s="11"/>
      <c r="IR71" s="11"/>
      <c r="IS71" s="11"/>
      <c r="IT71" s="11"/>
      <c r="IU71" s="11"/>
      <c r="IV71" s="11"/>
      <c r="IW71" s="11"/>
    </row>
    <row r="72" customFormat="false" ht="12.95" hidden="false" customHeight="true" outlineLevel="0" collapsed="false">
      <c r="A72" s="40" t="s">
        <v>242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5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  <c r="II72" s="11"/>
      <c r="IJ72" s="11"/>
      <c r="IK72" s="11"/>
      <c r="IL72" s="11"/>
      <c r="IM72" s="11"/>
      <c r="IN72" s="11"/>
      <c r="IO72" s="11"/>
      <c r="IP72" s="11"/>
      <c r="IQ72" s="11"/>
      <c r="IR72" s="11"/>
      <c r="IS72" s="11"/>
      <c r="IT72" s="11"/>
      <c r="IU72" s="11"/>
      <c r="IV72" s="11"/>
      <c r="IW72" s="11"/>
    </row>
    <row r="73" customFormat="false" ht="12.95" hidden="false" customHeight="true" outlineLevel="0" collapsed="false">
      <c r="A73" s="40" t="s">
        <v>243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  <c r="IE73" s="11"/>
      <c r="IF73" s="11"/>
      <c r="IG73" s="11"/>
      <c r="IH73" s="11"/>
      <c r="II73" s="11"/>
      <c r="IJ73" s="11"/>
      <c r="IK73" s="11"/>
      <c r="IL73" s="11"/>
      <c r="IM73" s="11"/>
      <c r="IN73" s="11"/>
      <c r="IO73" s="11"/>
      <c r="IP73" s="11"/>
      <c r="IQ73" s="11"/>
      <c r="IR73" s="11"/>
      <c r="IS73" s="11"/>
      <c r="IT73" s="11"/>
      <c r="IU73" s="11"/>
      <c r="IV73" s="11"/>
      <c r="IW73" s="11"/>
    </row>
    <row r="74" customFormat="false" ht="12.95" hidden="false" customHeight="true" outlineLevel="0" collapsed="false">
      <c r="A74" s="40" t="s">
        <v>244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  <c r="II74" s="11"/>
      <c r="IJ74" s="11"/>
      <c r="IK74" s="11"/>
      <c r="IL74" s="11"/>
      <c r="IM74" s="11"/>
      <c r="IN74" s="11"/>
      <c r="IO74" s="11"/>
      <c r="IP74" s="11"/>
      <c r="IQ74" s="11"/>
      <c r="IR74" s="11"/>
      <c r="IS74" s="11"/>
      <c r="IT74" s="11"/>
      <c r="IU74" s="11"/>
      <c r="IV74" s="11"/>
      <c r="IW74" s="11"/>
    </row>
    <row r="75" customFormat="false" ht="12.95" hidden="false" customHeight="true" outlineLevel="0" collapsed="false">
      <c r="A75" s="40" t="s">
        <v>243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  <c r="IE75" s="11"/>
      <c r="IF75" s="11"/>
      <c r="IG75" s="11"/>
      <c r="IH75" s="11"/>
      <c r="II75" s="11"/>
      <c r="IJ75" s="11"/>
      <c r="IK75" s="11"/>
      <c r="IL75" s="11"/>
      <c r="IM75" s="11"/>
      <c r="IN75" s="11"/>
      <c r="IO75" s="11"/>
      <c r="IP75" s="11"/>
      <c r="IQ75" s="11"/>
      <c r="IR75" s="11"/>
      <c r="IS75" s="11"/>
      <c r="IT75" s="11"/>
      <c r="IU75" s="11"/>
      <c r="IV75" s="11"/>
      <c r="IW75" s="11"/>
    </row>
    <row r="76" customFormat="false" ht="12.95" hidden="false" customHeight="true" outlineLevel="0" collapsed="false">
      <c r="A76" s="40" t="s">
        <v>246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  <c r="IE76" s="11"/>
      <c r="IF76" s="11"/>
      <c r="IG76" s="11"/>
      <c r="IH76" s="11"/>
      <c r="II76" s="11"/>
      <c r="IJ76" s="11"/>
      <c r="IK76" s="11"/>
      <c r="IL76" s="11"/>
      <c r="IM76" s="11"/>
      <c r="IN76" s="11"/>
      <c r="IO76" s="11"/>
      <c r="IP76" s="11"/>
      <c r="IQ76" s="11"/>
      <c r="IR76" s="11"/>
      <c r="IS76" s="11"/>
      <c r="IT76" s="11"/>
      <c r="IU76" s="11"/>
      <c r="IV76" s="11"/>
      <c r="IW76" s="11"/>
    </row>
    <row r="77" customFormat="false" ht="12.95" hidden="false" customHeight="true" outlineLevel="0" collapsed="false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  <c r="II77" s="11"/>
      <c r="IJ77" s="11"/>
      <c r="IK77" s="11"/>
      <c r="IL77" s="11"/>
      <c r="IM77" s="11"/>
      <c r="IN77" s="11"/>
      <c r="IO77" s="11"/>
      <c r="IP77" s="11"/>
      <c r="IQ77" s="11"/>
      <c r="IR77" s="11"/>
      <c r="IS77" s="11"/>
      <c r="IT77" s="11"/>
      <c r="IU77" s="11"/>
      <c r="IV77" s="11"/>
      <c r="IW77" s="11"/>
    </row>
    <row r="78" customFormat="false" ht="12.95" hidden="false" customHeight="true" outlineLevel="0" collapsed="false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  <c r="II78" s="11"/>
      <c r="IJ78" s="11"/>
      <c r="IK78" s="11"/>
      <c r="IL78" s="11"/>
      <c r="IM78" s="11"/>
      <c r="IN78" s="11"/>
      <c r="IO78" s="11"/>
      <c r="IP78" s="11"/>
      <c r="IQ78" s="11"/>
      <c r="IR78" s="11"/>
      <c r="IS78" s="11"/>
      <c r="IT78" s="11"/>
      <c r="IU78" s="11"/>
      <c r="IV78" s="11"/>
      <c r="IW78" s="11"/>
    </row>
    <row r="79" customFormat="false" ht="12.95" hidden="false" customHeight="true" outlineLevel="0" collapsed="false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  <c r="IE79" s="11"/>
      <c r="IF79" s="11"/>
      <c r="IG79" s="11"/>
      <c r="IH79" s="11"/>
      <c r="II79" s="11"/>
      <c r="IJ79" s="11"/>
      <c r="IK79" s="11"/>
      <c r="IL79" s="11"/>
      <c r="IM79" s="11"/>
      <c r="IN79" s="11"/>
      <c r="IO79" s="11"/>
      <c r="IP79" s="11"/>
      <c r="IQ79" s="11"/>
      <c r="IR79" s="11"/>
      <c r="IS79" s="11"/>
      <c r="IT79" s="11"/>
      <c r="IU79" s="11"/>
      <c r="IV79" s="11"/>
      <c r="IW79" s="11"/>
    </row>
    <row r="80" customFormat="false" ht="12.95" hidden="false" customHeight="true" outlineLevel="0" collapsed="false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  <c r="IE80" s="11"/>
      <c r="IF80" s="11"/>
      <c r="IG80" s="11"/>
      <c r="IH80" s="11"/>
      <c r="II80" s="11"/>
      <c r="IJ80" s="11"/>
      <c r="IK80" s="11"/>
      <c r="IL80" s="11"/>
      <c r="IM80" s="11"/>
      <c r="IN80" s="11"/>
      <c r="IO80" s="11"/>
      <c r="IP80" s="11"/>
      <c r="IQ80" s="11"/>
      <c r="IR80" s="11"/>
      <c r="IS80" s="11"/>
      <c r="IT80" s="11"/>
      <c r="IU80" s="11"/>
      <c r="IV80" s="11"/>
      <c r="IW80" s="11"/>
    </row>
    <row r="81" customFormat="false" ht="12.95" hidden="false" customHeight="true" outlineLevel="0" collapsed="false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1"/>
      <c r="CC81" s="11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  <c r="IE81" s="11"/>
      <c r="IF81" s="11"/>
      <c r="IG81" s="11"/>
      <c r="IH81" s="11"/>
      <c r="II81" s="11"/>
      <c r="IJ81" s="11"/>
      <c r="IK81" s="11"/>
      <c r="IL81" s="11"/>
      <c r="IM81" s="11"/>
      <c r="IN81" s="11"/>
      <c r="IO81" s="11"/>
      <c r="IP81" s="11"/>
      <c r="IQ81" s="11"/>
      <c r="IR81" s="11"/>
      <c r="IS81" s="11"/>
      <c r="IT81" s="11"/>
      <c r="IU81" s="11"/>
      <c r="IV81" s="11"/>
      <c r="IW81" s="11"/>
    </row>
    <row r="82" customFormat="false" ht="12.95" hidden="false" customHeight="true" outlineLevel="0" collapsed="false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1"/>
      <c r="CC82" s="11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  <c r="IE82" s="11"/>
      <c r="IF82" s="11"/>
      <c r="IG82" s="11"/>
      <c r="IH82" s="11"/>
      <c r="II82" s="11"/>
      <c r="IJ82" s="11"/>
      <c r="IK82" s="11"/>
      <c r="IL82" s="11"/>
      <c r="IM82" s="11"/>
      <c r="IN82" s="11"/>
      <c r="IO82" s="11"/>
      <c r="IP82" s="11"/>
      <c r="IQ82" s="11"/>
      <c r="IR82" s="11"/>
      <c r="IS82" s="11"/>
      <c r="IT82" s="11"/>
      <c r="IU82" s="11"/>
      <c r="IV82" s="11"/>
      <c r="IW82" s="11"/>
    </row>
    <row r="83" customFormat="false" ht="12.95" hidden="false" customHeight="true" outlineLevel="0" collapsed="false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  <c r="IE83" s="11"/>
      <c r="IF83" s="11"/>
      <c r="IG83" s="11"/>
      <c r="IH83" s="11"/>
      <c r="II83" s="11"/>
      <c r="IJ83" s="11"/>
      <c r="IK83" s="11"/>
      <c r="IL83" s="11"/>
      <c r="IM83" s="11"/>
      <c r="IN83" s="11"/>
      <c r="IO83" s="11"/>
      <c r="IP83" s="11"/>
      <c r="IQ83" s="11"/>
      <c r="IR83" s="11"/>
      <c r="IS83" s="11"/>
      <c r="IT83" s="11"/>
      <c r="IU83" s="11"/>
      <c r="IV83" s="11"/>
      <c r="IW83" s="11"/>
    </row>
    <row r="84" customFormat="false" ht="12.95" hidden="false" customHeight="true" outlineLevel="0" collapsed="false">
      <c r="A84" s="11"/>
      <c r="B84" s="11"/>
      <c r="C84" s="11"/>
      <c r="D84" s="11"/>
      <c r="E84" s="11"/>
      <c r="F84" s="11"/>
      <c r="G84" s="119" t="n">
        <v>36815</v>
      </c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  <c r="IG84" s="11"/>
      <c r="IH84" s="11"/>
      <c r="II84" s="11"/>
      <c r="IJ84" s="11"/>
      <c r="IK84" s="11"/>
      <c r="IL84" s="11"/>
      <c r="IM84" s="11"/>
      <c r="IN84" s="11"/>
      <c r="IO84" s="11"/>
      <c r="IP84" s="11"/>
      <c r="IQ84" s="11"/>
      <c r="IR84" s="11"/>
      <c r="IS84" s="11"/>
      <c r="IT84" s="11"/>
      <c r="IU84" s="11"/>
      <c r="IV84" s="11"/>
      <c r="IW84" s="11"/>
    </row>
    <row r="85" customFormat="false" ht="12.95" hidden="false" customHeight="true" outlineLevel="0" collapsed="false">
      <c r="A85" s="11"/>
      <c r="B85" s="11"/>
      <c r="C85" s="11"/>
      <c r="D85" s="11"/>
      <c r="E85" s="11"/>
      <c r="F85" s="11"/>
      <c r="G85" s="119" t="n">
        <v>36796</v>
      </c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  <c r="IE85" s="11"/>
      <c r="IF85" s="11"/>
      <c r="IG85" s="11"/>
      <c r="IH85" s="11"/>
      <c r="II85" s="11"/>
      <c r="IJ85" s="11"/>
      <c r="IK85" s="11"/>
      <c r="IL85" s="11"/>
      <c r="IM85" s="11"/>
      <c r="IN85" s="11"/>
      <c r="IO85" s="11"/>
      <c r="IP85" s="11"/>
      <c r="IQ85" s="11"/>
      <c r="IR85" s="11"/>
      <c r="IS85" s="11"/>
      <c r="IT85" s="11"/>
      <c r="IU85" s="11"/>
      <c r="IV85" s="11"/>
      <c r="IW85" s="11"/>
    </row>
    <row r="86" customFormat="false" ht="12.95" hidden="false" customHeight="true" outlineLevel="0" collapsed="false">
      <c r="A86" s="11"/>
      <c r="B86" s="11"/>
      <c r="C86" s="11"/>
      <c r="D86" s="11"/>
      <c r="E86" s="11"/>
      <c r="F86" s="17" t="n">
        <f aca="false">B6</f>
        <v>37106</v>
      </c>
      <c r="G86" s="17" t="n">
        <f aca="false">F86-365</f>
        <v>36741</v>
      </c>
      <c r="H86" s="11"/>
      <c r="I86" s="11"/>
      <c r="J86" s="11"/>
      <c r="K86" s="11"/>
      <c r="L86" s="11"/>
      <c r="M86" s="11"/>
      <c r="N86" s="11"/>
      <c r="O86" s="11"/>
      <c r="P86" s="11"/>
      <c r="Q86" s="17" t="n">
        <v>36892</v>
      </c>
      <c r="R86" s="17" t="n">
        <f aca="false">F86</f>
        <v>37106</v>
      </c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  <c r="IE86" s="11"/>
      <c r="IF86" s="11"/>
      <c r="IG86" s="11"/>
      <c r="IH86" s="11"/>
      <c r="II86" s="11"/>
      <c r="IJ86" s="11"/>
      <c r="IK86" s="11"/>
      <c r="IL86" s="11"/>
      <c r="IM86" s="11"/>
      <c r="IN86" s="11"/>
      <c r="IO86" s="11"/>
      <c r="IP86" s="11"/>
      <c r="IQ86" s="11"/>
      <c r="IR86" s="11"/>
      <c r="IS86" s="11"/>
      <c r="IT86" s="11"/>
      <c r="IU86" s="11"/>
      <c r="IV86" s="11"/>
      <c r="IW86" s="11"/>
    </row>
    <row r="87" customFormat="false" ht="12.95" hidden="false" customHeight="true" outlineLevel="0" collapsed="false">
      <c r="A87" s="11"/>
      <c r="B87" s="11"/>
      <c r="C87" s="11"/>
      <c r="D87" s="11"/>
      <c r="E87" s="11"/>
      <c r="F87" s="11"/>
      <c r="G87" s="11"/>
      <c r="H87" s="11" t="s">
        <v>82</v>
      </c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 t="s">
        <v>83</v>
      </c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  <c r="BZ87" s="11"/>
      <c r="CA87" s="11"/>
      <c r="CB87" s="11"/>
      <c r="CC87" s="11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  <c r="IE87" s="11"/>
      <c r="IF87" s="11"/>
      <c r="IG87" s="11"/>
      <c r="IH87" s="11"/>
      <c r="II87" s="11"/>
      <c r="IJ87" s="11"/>
      <c r="IK87" s="11"/>
      <c r="IL87" s="11"/>
      <c r="IM87" s="11"/>
      <c r="IN87" s="11"/>
      <c r="IO87" s="11"/>
      <c r="IP87" s="11"/>
      <c r="IQ87" s="11"/>
      <c r="IR87" s="11"/>
      <c r="IS87" s="11"/>
      <c r="IT87" s="11"/>
      <c r="IU87" s="11"/>
      <c r="IV87" s="11"/>
      <c r="IW87" s="11"/>
    </row>
    <row r="88" customFormat="false" ht="12.95" hidden="false" customHeight="true" outlineLevel="0" collapsed="false">
      <c r="A88" s="11"/>
      <c r="B88" s="11"/>
      <c r="C88" s="11"/>
      <c r="D88" s="11"/>
      <c r="E88" s="11" t="str">
        <f aca="false">B11</f>
        <v>BHI</v>
      </c>
      <c r="F88" s="85" t="e">
        <f aca="false">FDS(E88,"ib_price",$F$86)</f>
        <v>#NAME?</v>
      </c>
      <c r="G88" s="85" t="e">
        <f aca="false">FDS(E88,"ib_price",$G$86)</f>
        <v>#NAME?</v>
      </c>
      <c r="H88" s="136" t="e">
        <f aca="false">(F88-G88)/G88</f>
        <v>#NAME?</v>
      </c>
      <c r="I88" s="11"/>
      <c r="J88" s="11"/>
      <c r="K88" s="11"/>
      <c r="L88" s="11"/>
      <c r="M88" s="11"/>
      <c r="N88" s="11"/>
      <c r="O88" s="11"/>
      <c r="P88" s="11" t="str">
        <f aca="false">E88</f>
        <v>BHI</v>
      </c>
      <c r="Q88" s="85" t="e">
        <f aca="false">FDS(P88,"ib_price",$Q$86)</f>
        <v>#NAME?</v>
      </c>
      <c r="R88" s="85" t="e">
        <f aca="false">FDS(P88,"ib_price",$R$86)</f>
        <v>#NAME?</v>
      </c>
      <c r="S88" s="136" t="e">
        <f aca="false">(R88-Q88)/Q88</f>
        <v>#NAME?</v>
      </c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  <c r="BZ88" s="11"/>
      <c r="CA88" s="11"/>
      <c r="CB88" s="11"/>
      <c r="CC88" s="11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  <c r="IE88" s="11"/>
      <c r="IF88" s="11"/>
      <c r="IG88" s="11"/>
      <c r="IH88" s="11"/>
      <c r="II88" s="11"/>
      <c r="IJ88" s="11"/>
      <c r="IK88" s="11"/>
      <c r="IL88" s="11"/>
      <c r="IM88" s="11"/>
      <c r="IN88" s="11"/>
      <c r="IO88" s="11"/>
      <c r="IP88" s="11"/>
      <c r="IQ88" s="11"/>
      <c r="IR88" s="11"/>
      <c r="IS88" s="11"/>
      <c r="IT88" s="11"/>
      <c r="IU88" s="11"/>
      <c r="IV88" s="11"/>
      <c r="IW88" s="11"/>
    </row>
    <row r="89" customFormat="false" ht="12.95" hidden="false" customHeight="true" outlineLevel="0" collapsed="false">
      <c r="A89" s="11"/>
      <c r="B89" s="11"/>
      <c r="C89" s="11"/>
      <c r="D89" s="11"/>
      <c r="E89" s="11" t="str">
        <f aca="false">B12</f>
        <v>BJS</v>
      </c>
      <c r="F89" s="85" t="e">
        <f aca="false">FDS(E89,"ib_price",$F$86)</f>
        <v>#NAME?</v>
      </c>
      <c r="G89" s="85" t="e">
        <f aca="false">FDS(E89,"ib_price",$G$86)</f>
        <v>#NAME?</v>
      </c>
      <c r="H89" s="136" t="e">
        <f aca="false">(F89-G89)/G89</f>
        <v>#NAME?</v>
      </c>
      <c r="I89" s="11"/>
      <c r="J89" s="11"/>
      <c r="K89" s="11"/>
      <c r="L89" s="11"/>
      <c r="M89" s="11"/>
      <c r="N89" s="11"/>
      <c r="O89" s="11"/>
      <c r="P89" s="11" t="str">
        <f aca="false">E89</f>
        <v>BJS</v>
      </c>
      <c r="Q89" s="85" t="e">
        <f aca="false">FDS(P89,"ib_price",$Q$86)</f>
        <v>#NAME?</v>
      </c>
      <c r="R89" s="85" t="e">
        <f aca="false">FDS(P89,"ib_price",$R$86)</f>
        <v>#NAME?</v>
      </c>
      <c r="S89" s="136" t="e">
        <f aca="false">(R89-Q89)/Q89</f>
        <v>#NAME?</v>
      </c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  <c r="IE89" s="11"/>
      <c r="IF89" s="11"/>
      <c r="IG89" s="11"/>
      <c r="IH89" s="11"/>
      <c r="II89" s="11"/>
      <c r="IJ89" s="11"/>
      <c r="IK89" s="11"/>
      <c r="IL89" s="11"/>
      <c r="IM89" s="11"/>
      <c r="IN89" s="11"/>
      <c r="IO89" s="11"/>
      <c r="IP89" s="11"/>
      <c r="IQ89" s="11"/>
      <c r="IR89" s="11"/>
      <c r="IS89" s="11"/>
      <c r="IT89" s="11"/>
      <c r="IU89" s="11"/>
      <c r="IV89" s="11"/>
      <c r="IW89" s="11"/>
    </row>
    <row r="90" customFormat="false" ht="12.95" hidden="false" customHeight="true" outlineLevel="0" collapsed="false">
      <c r="A90" s="11"/>
      <c r="B90" s="11"/>
      <c r="C90" s="11"/>
      <c r="D90" s="11"/>
      <c r="E90" s="11" t="str">
        <f aca="false">B13</f>
        <v>CAM</v>
      </c>
      <c r="F90" s="85" t="e">
        <f aca="false">FDS(E90,"ib_price",$F$86)</f>
        <v>#NAME?</v>
      </c>
      <c r="G90" s="85" t="e">
        <f aca="false">FDS(E90,"ib_price",$G$86)</f>
        <v>#NAME?</v>
      </c>
      <c r="H90" s="136" t="e">
        <f aca="false">(F90-G90)/G90</f>
        <v>#NAME?</v>
      </c>
      <c r="I90" s="11"/>
      <c r="J90" s="11"/>
      <c r="K90" s="11"/>
      <c r="L90" s="11"/>
      <c r="M90" s="11"/>
      <c r="N90" s="11"/>
      <c r="O90" s="11"/>
      <c r="P90" s="11" t="str">
        <f aca="false">E90</f>
        <v>CAM</v>
      </c>
      <c r="Q90" s="85" t="e">
        <f aca="false">FDS(P90,"ib_price",$Q$86)</f>
        <v>#NAME?</v>
      </c>
      <c r="R90" s="85" t="e">
        <f aca="false">FDS(P90,"ib_price",$R$86)</f>
        <v>#NAME?</v>
      </c>
      <c r="S90" s="136" t="e">
        <f aca="false">(R90-Q90)/Q90</f>
        <v>#NAME?</v>
      </c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  <c r="II90" s="11"/>
      <c r="IJ90" s="11"/>
      <c r="IK90" s="11"/>
      <c r="IL90" s="11"/>
      <c r="IM90" s="11"/>
      <c r="IN90" s="11"/>
      <c r="IO90" s="11"/>
      <c r="IP90" s="11"/>
      <c r="IQ90" s="11"/>
      <c r="IR90" s="11"/>
      <c r="IS90" s="11"/>
      <c r="IT90" s="11"/>
      <c r="IU90" s="11"/>
      <c r="IV90" s="11"/>
      <c r="IW90" s="11"/>
    </row>
    <row r="91" customFormat="false" ht="12.95" hidden="false" customHeight="true" outlineLevel="0" collapsed="false">
      <c r="A91" s="11"/>
      <c r="B91" s="11"/>
      <c r="C91" s="11"/>
      <c r="D91" s="11"/>
      <c r="E91" s="11" t="str">
        <f aca="false">B14</f>
        <v>CLB </v>
      </c>
      <c r="F91" s="85" t="e">
        <f aca="false">FDS(E91,"ib_price",$F$86)</f>
        <v>#NAME?</v>
      </c>
      <c r="G91" s="85" t="e">
        <f aca="false">FDS(E91,"ib_price",$G$86)</f>
        <v>#NAME?</v>
      </c>
      <c r="H91" s="136" t="e">
        <f aca="false">(F91-G91)/G91</f>
        <v>#NAME?</v>
      </c>
      <c r="I91" s="11"/>
      <c r="J91" s="11"/>
      <c r="K91" s="11"/>
      <c r="L91" s="11"/>
      <c r="M91" s="11"/>
      <c r="N91" s="11"/>
      <c r="O91" s="11"/>
      <c r="P91" s="11" t="str">
        <f aca="false">E91</f>
        <v>CLB </v>
      </c>
      <c r="Q91" s="85" t="e">
        <f aca="false">FDS(P91,"ib_price",$Q$86)</f>
        <v>#NAME?</v>
      </c>
      <c r="R91" s="85" t="e">
        <f aca="false">FDS(P91,"ib_price",$R$86)</f>
        <v>#NAME?</v>
      </c>
      <c r="S91" s="136" t="e">
        <f aca="false">(R91-Q91)/Q91</f>
        <v>#NAME?</v>
      </c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  <c r="BZ91" s="11"/>
      <c r="CA91" s="11"/>
      <c r="CB91" s="11"/>
      <c r="CC91" s="11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  <c r="IE91" s="11"/>
      <c r="IF91" s="11"/>
      <c r="IG91" s="11"/>
      <c r="IH91" s="11"/>
      <c r="II91" s="11"/>
      <c r="IJ91" s="11"/>
      <c r="IK91" s="11"/>
      <c r="IL91" s="11"/>
      <c r="IM91" s="11"/>
      <c r="IN91" s="11"/>
      <c r="IO91" s="11"/>
      <c r="IP91" s="11"/>
      <c r="IQ91" s="11"/>
      <c r="IR91" s="11"/>
      <c r="IS91" s="11"/>
      <c r="IT91" s="11"/>
      <c r="IU91" s="11"/>
      <c r="IV91" s="11"/>
      <c r="IW91" s="11"/>
    </row>
    <row r="92" customFormat="false" ht="12.95" hidden="false" customHeight="true" outlineLevel="0" collapsed="false">
      <c r="A92" s="11"/>
      <c r="B92" s="11"/>
      <c r="C92" s="11"/>
      <c r="D92" s="11"/>
      <c r="E92" s="11" t="str">
        <f aca="false">B15</f>
        <v>*EFX</v>
      </c>
      <c r="F92" s="85" t="e">
        <f aca="false">FDS(E92,"ib_price",$F$86)</f>
        <v>#NAME?</v>
      </c>
      <c r="G92" s="85" t="e">
        <f aca="false">FDS(E92,"ib_price",$G$86)</f>
        <v>#NAME?</v>
      </c>
      <c r="H92" s="136" t="e">
        <f aca="false">(F92-G92)/G92</f>
        <v>#NAME?</v>
      </c>
      <c r="I92" s="11"/>
      <c r="J92" s="11"/>
      <c r="K92" s="11"/>
      <c r="L92" s="11"/>
      <c r="M92" s="11"/>
      <c r="N92" s="11"/>
      <c r="O92" s="11"/>
      <c r="P92" s="11" t="str">
        <f aca="false">E92</f>
        <v>*EFX</v>
      </c>
      <c r="Q92" s="85" t="e">
        <f aca="false">FDS(P92,"ib_price",$Q$86)</f>
        <v>#NAME?</v>
      </c>
      <c r="R92" s="85" t="e">
        <f aca="false">FDS(P92,"ib_price",$R$86)</f>
        <v>#NAME?</v>
      </c>
      <c r="S92" s="136" t="e">
        <f aca="false">(R92-Q92)/Q92</f>
        <v>#NAME?</v>
      </c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  <c r="IE92" s="11"/>
      <c r="IF92" s="11"/>
      <c r="IG92" s="11"/>
      <c r="IH92" s="11"/>
      <c r="II92" s="11"/>
      <c r="IJ92" s="11"/>
      <c r="IK92" s="11"/>
      <c r="IL92" s="11"/>
      <c r="IM92" s="11"/>
      <c r="IN92" s="11"/>
      <c r="IO92" s="11"/>
      <c r="IP92" s="11"/>
      <c r="IQ92" s="11"/>
      <c r="IR92" s="11"/>
      <c r="IS92" s="11"/>
      <c r="IT92" s="11"/>
      <c r="IU92" s="11"/>
      <c r="IV92" s="11"/>
      <c r="IW92" s="11"/>
    </row>
    <row r="93" customFormat="false" ht="12.95" hidden="false" customHeight="true" outlineLevel="0" collapsed="false">
      <c r="A93" s="11"/>
      <c r="B93" s="11"/>
      <c r="C93" s="11"/>
      <c r="D93" s="11"/>
      <c r="E93" s="11" t="str">
        <f aca="false">B16</f>
        <v>GRP</v>
      </c>
      <c r="F93" s="85" t="e">
        <f aca="false">FDS(E93,"ib_price",$F$86)</f>
        <v>#NAME?</v>
      </c>
      <c r="G93" s="85" t="e">
        <f aca="false">FDS(E93,"ib_price",$G$86)</f>
        <v>#NAME?</v>
      </c>
      <c r="H93" s="136" t="e">
        <f aca="false">(F93-G93)/G93</f>
        <v>#NAME?</v>
      </c>
      <c r="I93" s="11"/>
      <c r="J93" s="11"/>
      <c r="K93" s="11"/>
      <c r="L93" s="11"/>
      <c r="M93" s="11"/>
      <c r="N93" s="11"/>
      <c r="O93" s="11"/>
      <c r="P93" s="11" t="str">
        <f aca="false">E93</f>
        <v>GRP</v>
      </c>
      <c r="Q93" s="85" t="e">
        <f aca="false">FDS(P93,"ib_price",$Q$86)</f>
        <v>#NAME?</v>
      </c>
      <c r="R93" s="85" t="e">
        <f aca="false">FDS(P93,"ib_price",$R$86)</f>
        <v>#NAME?</v>
      </c>
      <c r="S93" s="136" t="e">
        <f aca="false">(R93-Q93)/Q93</f>
        <v>#NAME?</v>
      </c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  <c r="IE93" s="11"/>
      <c r="IF93" s="11"/>
      <c r="IG93" s="11"/>
      <c r="IH93" s="11"/>
      <c r="II93" s="11"/>
      <c r="IJ93" s="11"/>
      <c r="IK93" s="11"/>
      <c r="IL93" s="11"/>
      <c r="IM93" s="11"/>
      <c r="IN93" s="11"/>
      <c r="IO93" s="11"/>
      <c r="IP93" s="11"/>
      <c r="IQ93" s="11"/>
      <c r="IR93" s="11"/>
      <c r="IS93" s="11"/>
      <c r="IT93" s="11"/>
      <c r="IU93" s="11"/>
      <c r="IV93" s="11"/>
      <c r="IW93" s="11"/>
    </row>
    <row r="94" customFormat="false" ht="12.95" hidden="false" customHeight="true" outlineLevel="0" collapsed="false">
      <c r="A94" s="11"/>
      <c r="B94" s="11"/>
      <c r="C94" s="11"/>
      <c r="D94" s="11"/>
      <c r="E94" s="11" t="str">
        <f aca="false">B17</f>
        <v>HAL</v>
      </c>
      <c r="F94" s="85" t="e">
        <f aca="false">FDS(E94,"ib_price",$F$86)</f>
        <v>#NAME?</v>
      </c>
      <c r="G94" s="85" t="e">
        <f aca="false">FDS(E94,"ib_price",$G$86)</f>
        <v>#NAME?</v>
      </c>
      <c r="H94" s="136" t="e">
        <f aca="false">(F94-G94)/G94</f>
        <v>#NAME?</v>
      </c>
      <c r="I94" s="11"/>
      <c r="J94" s="11"/>
      <c r="K94" s="11"/>
      <c r="L94" s="11"/>
      <c r="M94" s="11"/>
      <c r="N94" s="11"/>
      <c r="O94" s="11"/>
      <c r="P94" s="11" t="str">
        <f aca="false">E94</f>
        <v>HAL</v>
      </c>
      <c r="Q94" s="85" t="e">
        <f aca="false">FDS(P94,"ib_price",$Q$86)</f>
        <v>#NAME?</v>
      </c>
      <c r="R94" s="85" t="e">
        <f aca="false">FDS(P94,"ib_price",$R$86)</f>
        <v>#NAME?</v>
      </c>
      <c r="S94" s="136" t="e">
        <f aca="false">(R94-Q94)/Q94</f>
        <v>#NAME?</v>
      </c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  <c r="IG94" s="11"/>
      <c r="IH94" s="11"/>
      <c r="II94" s="11"/>
      <c r="IJ94" s="11"/>
      <c r="IK94" s="11"/>
      <c r="IL94" s="11"/>
      <c r="IM94" s="11"/>
      <c r="IN94" s="11"/>
      <c r="IO94" s="11"/>
      <c r="IP94" s="11"/>
      <c r="IQ94" s="11"/>
      <c r="IR94" s="11"/>
      <c r="IS94" s="11"/>
      <c r="IT94" s="11"/>
      <c r="IU94" s="11"/>
      <c r="IV94" s="11"/>
      <c r="IW94" s="11"/>
    </row>
    <row r="95" customFormat="false" ht="12.95" hidden="false" customHeight="true" outlineLevel="0" collapsed="false">
      <c r="E95" s="11" t="str">
        <f aca="false">B18</f>
        <v>HC</v>
      </c>
      <c r="F95" s="85" t="e">
        <f aca="false">FDS(E95,"ib_price",$F$86)</f>
        <v>#NAME?</v>
      </c>
      <c r="G95" s="85" t="e">
        <f aca="false">FDS(E95,"ib_price",$G$86)</f>
        <v>#NAME?</v>
      </c>
      <c r="H95" s="136" t="e">
        <f aca="false">(F95-G95)/G95</f>
        <v>#NAME?</v>
      </c>
      <c r="P95" s="11" t="str">
        <f aca="false">E95</f>
        <v>HC</v>
      </c>
      <c r="Q95" s="85" t="e">
        <f aca="false">FDS(P95,"ib_price",$Q$86)</f>
        <v>#NAME?</v>
      </c>
      <c r="R95" s="85" t="e">
        <f aca="false">FDS(P95,"ib_price",$R$86)</f>
        <v>#NAME?</v>
      </c>
      <c r="S95" s="136" t="e">
        <f aca="false">(R95-Q95)/Q95</f>
        <v>#NAME?</v>
      </c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  <c r="CA95" s="11"/>
      <c r="CB95" s="11"/>
      <c r="CC95" s="11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  <c r="IE95" s="11"/>
      <c r="IF95" s="11"/>
      <c r="IG95" s="11"/>
      <c r="IH95" s="11"/>
      <c r="II95" s="11"/>
      <c r="IJ95" s="11"/>
      <c r="IK95" s="11"/>
      <c r="IL95" s="11"/>
      <c r="IM95" s="11"/>
      <c r="IN95" s="11"/>
      <c r="IO95" s="11"/>
      <c r="IP95" s="11"/>
      <c r="IQ95" s="11"/>
      <c r="IR95" s="11"/>
      <c r="IS95" s="11"/>
      <c r="IT95" s="11"/>
      <c r="IU95" s="11"/>
      <c r="IV95" s="11"/>
      <c r="IW95" s="11"/>
    </row>
    <row r="96" customFormat="false" ht="12.95" hidden="false" customHeight="true" outlineLevel="0" collapsed="false">
      <c r="E96" s="11" t="str">
        <f aca="false">B19</f>
        <v>HYDL</v>
      </c>
      <c r="F96" s="85" t="e">
        <f aca="false">FDS(E96,"ib_price",$F$86)</f>
        <v>#NAME?</v>
      </c>
      <c r="G96" s="85" t="e">
        <f aca="false">FDS(E96,"ib_price",$G$85)</f>
        <v>#NAME?</v>
      </c>
      <c r="H96" s="136" t="e">
        <f aca="false">(F96-G96)/G96</f>
        <v>#NAME?</v>
      </c>
      <c r="P96" s="11" t="str">
        <f aca="false">E96</f>
        <v>HYDL</v>
      </c>
      <c r="Q96" s="85" t="e">
        <f aca="false">FDS(P96,"ib_price",$Q$86)</f>
        <v>#NAME?</v>
      </c>
      <c r="R96" s="85" t="e">
        <f aca="false">FDS(P96,"ib_price",$R$86)</f>
        <v>#NAME?</v>
      </c>
      <c r="S96" s="136" t="e">
        <f aca="false">(R96-Q96)/Q96</f>
        <v>#NAME?</v>
      </c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  <c r="CA96" s="11"/>
      <c r="CB96" s="11"/>
      <c r="CC96" s="11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  <c r="IE96" s="11"/>
      <c r="IF96" s="11"/>
      <c r="IG96" s="11"/>
      <c r="IH96" s="11"/>
      <c r="II96" s="11"/>
      <c r="IJ96" s="11"/>
      <c r="IK96" s="11"/>
      <c r="IL96" s="11"/>
      <c r="IM96" s="11"/>
      <c r="IN96" s="11"/>
      <c r="IO96" s="11"/>
      <c r="IP96" s="11"/>
      <c r="IQ96" s="11"/>
      <c r="IR96" s="11"/>
      <c r="IS96" s="11"/>
      <c r="IT96" s="11"/>
      <c r="IU96" s="11"/>
      <c r="IV96" s="11"/>
      <c r="IW96" s="11"/>
    </row>
    <row r="97" customFormat="false" ht="12.95" hidden="false" customHeight="true" outlineLevel="0" collapsed="false">
      <c r="E97" s="11" t="str">
        <f aca="false">B20</f>
        <v>IO</v>
      </c>
      <c r="F97" s="85" t="e">
        <f aca="false">FDS(E97,"ib_price",$F$86)</f>
        <v>#NAME?</v>
      </c>
      <c r="G97" s="85" t="e">
        <f aca="false">FDS(E97,"ib_price",$G$86)</f>
        <v>#NAME?</v>
      </c>
      <c r="H97" s="136" t="e">
        <f aca="false">(F97-G97)/G97</f>
        <v>#NAME?</v>
      </c>
      <c r="P97" s="11" t="str">
        <f aca="false">E97</f>
        <v>IO</v>
      </c>
      <c r="Q97" s="85" t="e">
        <f aca="false">FDS(P97,"ib_price",$Q$86)</f>
        <v>#NAME?</v>
      </c>
      <c r="R97" s="85" t="e">
        <f aca="false">FDS(P97,"ib_price",$R$86)</f>
        <v>#NAME?</v>
      </c>
      <c r="S97" s="136" t="e">
        <f aca="false">(R97-Q97)/Q97</f>
        <v>#NAME?</v>
      </c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  <c r="IE97" s="11"/>
      <c r="IF97" s="11"/>
      <c r="IG97" s="11"/>
      <c r="IH97" s="11"/>
      <c r="II97" s="11"/>
      <c r="IJ97" s="11"/>
      <c r="IK97" s="11"/>
      <c r="IL97" s="11"/>
      <c r="IM97" s="11"/>
      <c r="IN97" s="11"/>
      <c r="IO97" s="11"/>
      <c r="IP97" s="11"/>
      <c r="IQ97" s="11"/>
      <c r="IR97" s="11"/>
      <c r="IS97" s="11"/>
      <c r="IT97" s="11"/>
      <c r="IU97" s="11"/>
      <c r="IV97" s="11"/>
      <c r="IW97" s="11"/>
    </row>
    <row r="98" customFormat="false" ht="12.95" hidden="false" customHeight="true" outlineLevel="0" collapsed="false">
      <c r="E98" s="11" t="str">
        <f aca="false">B21</f>
        <v>NOI</v>
      </c>
      <c r="F98" s="85" t="e">
        <f aca="false">FDS(E98,"ib_price",$F$86)</f>
        <v>#NAME?</v>
      </c>
      <c r="G98" s="85" t="e">
        <f aca="false">FDS(E98,"ib_price",$G$86)</f>
        <v>#NAME?</v>
      </c>
      <c r="H98" s="136" t="e">
        <f aca="false">(F98-G98)/G98</f>
        <v>#NAME?</v>
      </c>
      <c r="P98" s="11" t="str">
        <f aca="false">E98</f>
        <v>NOI</v>
      </c>
      <c r="Q98" s="85" t="e">
        <f aca="false">FDS(P98,"ib_price",$Q$86)</f>
        <v>#NAME?</v>
      </c>
      <c r="R98" s="85" t="e">
        <f aca="false">FDS(P98,"ib_price",$R$86)</f>
        <v>#NAME?</v>
      </c>
      <c r="S98" s="136" t="e">
        <f aca="false">(R98-Q98)/Q98</f>
        <v>#NAME?</v>
      </c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  <c r="II98" s="11"/>
      <c r="IJ98" s="11"/>
      <c r="IK98" s="11"/>
      <c r="IL98" s="11"/>
      <c r="IM98" s="11"/>
      <c r="IN98" s="11"/>
      <c r="IO98" s="11"/>
      <c r="IP98" s="11"/>
      <c r="IQ98" s="11"/>
      <c r="IR98" s="11"/>
      <c r="IS98" s="11"/>
      <c r="IT98" s="11"/>
      <c r="IU98" s="11"/>
      <c r="IV98" s="11"/>
      <c r="IW98" s="11"/>
    </row>
    <row r="99" customFormat="false" ht="12.95" hidden="false" customHeight="true" outlineLevel="0" collapsed="false">
      <c r="E99" s="11" t="str">
        <f aca="false">B22</f>
        <v>SLB</v>
      </c>
      <c r="F99" s="85" t="e">
        <f aca="false">FDS(E99,"ib_price",$F$86)</f>
        <v>#NAME?</v>
      </c>
      <c r="G99" s="85" t="e">
        <f aca="false">FDS(E99,"ib_price",$G$86)</f>
        <v>#NAME?</v>
      </c>
      <c r="H99" s="136" t="e">
        <f aca="false">(F99-G99)/G99</f>
        <v>#NAME?</v>
      </c>
      <c r="P99" s="11" t="str">
        <f aca="false">E99</f>
        <v>SLB</v>
      </c>
      <c r="Q99" s="85" t="e">
        <f aca="false">FDS(P99,"ib_price",$Q$86)</f>
        <v>#NAME?</v>
      </c>
      <c r="R99" s="85" t="e">
        <f aca="false">FDS(P99,"ib_price",$R$86)</f>
        <v>#NAME?</v>
      </c>
      <c r="S99" s="136" t="e">
        <f aca="false">(R99-Q99)/Q99</f>
        <v>#NAME?</v>
      </c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  <c r="IG99" s="11"/>
      <c r="IH99" s="11"/>
      <c r="II99" s="11"/>
      <c r="IJ99" s="11"/>
      <c r="IK99" s="11"/>
      <c r="IL99" s="11"/>
      <c r="IM99" s="11"/>
      <c r="IN99" s="11"/>
      <c r="IO99" s="11"/>
      <c r="IP99" s="11"/>
      <c r="IQ99" s="11"/>
      <c r="IR99" s="11"/>
      <c r="IS99" s="11"/>
      <c r="IT99" s="11"/>
      <c r="IU99" s="11"/>
      <c r="IV99" s="11"/>
      <c r="IW99" s="11"/>
    </row>
    <row r="100" customFormat="false" ht="12.95" hidden="false" customHeight="true" outlineLevel="0" collapsed="false">
      <c r="E100" s="11" t="str">
        <f aca="false">B23</f>
        <v>SII</v>
      </c>
      <c r="F100" s="85" t="e">
        <f aca="false">FDS(E100,"ib_price",$F$86)</f>
        <v>#NAME?</v>
      </c>
      <c r="G100" s="85" t="e">
        <f aca="false">FDS(E100,"ib_price",$G$86)</f>
        <v>#NAME?</v>
      </c>
      <c r="H100" s="136" t="e">
        <f aca="false">(F100-G100)/G100</f>
        <v>#NAME?</v>
      </c>
      <c r="P100" s="11" t="str">
        <f aca="false">E100</f>
        <v>SII</v>
      </c>
      <c r="Q100" s="85" t="e">
        <f aca="false">FDS(P100,"ib_price",$Q$86)</f>
        <v>#NAME?</v>
      </c>
      <c r="R100" s="85" t="e">
        <f aca="false">FDS(P100,"ib_price",$R$86)</f>
        <v>#NAME?</v>
      </c>
      <c r="S100" s="136" t="e">
        <f aca="false">(R100-Q100)/Q100</f>
        <v>#NAME?</v>
      </c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  <c r="IE100" s="11"/>
      <c r="IF100" s="11"/>
      <c r="IG100" s="11"/>
      <c r="IH100" s="11"/>
      <c r="II100" s="11"/>
      <c r="IJ100" s="11"/>
      <c r="IK100" s="11"/>
      <c r="IL100" s="11"/>
      <c r="IM100" s="11"/>
      <c r="IN100" s="11"/>
      <c r="IO100" s="11"/>
      <c r="IP100" s="11"/>
      <c r="IQ100" s="11"/>
      <c r="IR100" s="11"/>
      <c r="IS100" s="11"/>
      <c r="IT100" s="11"/>
      <c r="IU100" s="11"/>
      <c r="IV100" s="11"/>
      <c r="IW100" s="11"/>
    </row>
    <row r="101" customFormat="false" ht="12.95" hidden="false" customHeight="true" outlineLevel="0" collapsed="false">
      <c r="E101" s="11" t="str">
        <f aca="false">B24</f>
        <v>SESI</v>
      </c>
      <c r="F101" s="85" t="e">
        <f aca="false">FDS(E101,"ib_price",$F$86)</f>
        <v>#NAME?</v>
      </c>
      <c r="G101" s="85" t="e">
        <f aca="false">FDS(E101,"ib_price",$G$86)</f>
        <v>#NAME?</v>
      </c>
      <c r="H101" s="136" t="e">
        <f aca="false">(F101-G101)/G101</f>
        <v>#NAME?</v>
      </c>
      <c r="P101" s="11" t="str">
        <f aca="false">E101</f>
        <v>SESI</v>
      </c>
      <c r="Q101" s="85" t="e">
        <f aca="false">FDS(P101,"ib_price",$Q$86)</f>
        <v>#NAME?</v>
      </c>
      <c r="R101" s="85" t="e">
        <f aca="false">FDS(P101,"ib_price",$R$86)</f>
        <v>#NAME?</v>
      </c>
      <c r="S101" s="136" t="e">
        <f aca="false">(R101-Q101)/Q101</f>
        <v>#NAME?</v>
      </c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  <c r="II101" s="11"/>
      <c r="IJ101" s="11"/>
      <c r="IK101" s="11"/>
      <c r="IL101" s="11"/>
      <c r="IM101" s="11"/>
      <c r="IN101" s="11"/>
      <c r="IO101" s="11"/>
      <c r="IP101" s="11"/>
      <c r="IQ101" s="11"/>
      <c r="IR101" s="11"/>
      <c r="IS101" s="11"/>
      <c r="IT101" s="11"/>
      <c r="IU101" s="11"/>
      <c r="IV101" s="11"/>
      <c r="IW101" s="11"/>
    </row>
    <row r="102" customFormat="false" ht="12.95" hidden="false" customHeight="true" outlineLevel="0" collapsed="false">
      <c r="E102" s="11" t="str">
        <f aca="false">B25</f>
        <v>*TEO</v>
      </c>
      <c r="F102" s="85" t="e">
        <f aca="false">FDS(E102,"ib_price",$F$86)</f>
        <v>#NAME?</v>
      </c>
      <c r="G102" s="85" t="e">
        <f aca="false">FDS(E102,"ib_price",$G$86)</f>
        <v>#NAME?</v>
      </c>
      <c r="H102" s="136" t="e">
        <f aca="false">(F102-G102)/G102</f>
        <v>#NAME?</v>
      </c>
      <c r="P102" s="11" t="str">
        <f aca="false">E102</f>
        <v>*TEO</v>
      </c>
      <c r="Q102" s="85" t="e">
        <f aca="false">FDS(P102,"ib_price",$Q$86)</f>
        <v>#NAME?</v>
      </c>
      <c r="R102" s="85" t="e">
        <f aca="false">FDS(P102,"ib_price",$R$86)</f>
        <v>#NAME?</v>
      </c>
      <c r="S102" s="136" t="e">
        <f aca="false">(R102-Q102)/Q102</f>
        <v>#NAME?</v>
      </c>
    </row>
    <row r="103" customFormat="false" ht="12.95" hidden="false" customHeight="true" outlineLevel="0" collapsed="false">
      <c r="E103" s="11" t="str">
        <f aca="false">B26</f>
        <v>UCO</v>
      </c>
      <c r="F103" s="85" t="e">
        <f aca="false">FDS(E103,"ib_price",$F$86)</f>
        <v>#NAME?</v>
      </c>
      <c r="G103" s="85" t="e">
        <f aca="false">FDS(E103,"ib_price",$G$86)</f>
        <v>#NAME?</v>
      </c>
      <c r="H103" s="136" t="e">
        <f aca="false">(F103-G103)/G103</f>
        <v>#NAME?</v>
      </c>
      <c r="P103" s="11" t="str">
        <f aca="false">E103</f>
        <v>UCO</v>
      </c>
      <c r="Q103" s="85" t="e">
        <f aca="false">FDS(P103,"ib_price",$Q$86)</f>
        <v>#NAME?</v>
      </c>
      <c r="R103" s="85" t="e">
        <f aca="false">FDS(P103,"ib_price",$R$86)</f>
        <v>#NAME?</v>
      </c>
      <c r="S103" s="136" t="e">
        <f aca="false">(R103-Q103)/Q103</f>
        <v>#NAME?</v>
      </c>
    </row>
    <row r="104" customFormat="false" ht="12.95" hidden="false" customHeight="true" outlineLevel="0" collapsed="false">
      <c r="E104" s="11" t="str">
        <f aca="false">B27</f>
        <v>VRC</v>
      </c>
      <c r="F104" s="85" t="e">
        <f aca="false">FDS(E104,"ib_price",$F$86)</f>
        <v>#NAME?</v>
      </c>
      <c r="G104" s="85" t="e">
        <f aca="false">FDS(E104,"ib_price",$G$86)</f>
        <v>#NAME?</v>
      </c>
      <c r="H104" s="136" t="e">
        <f aca="false">(F104-G104)/G104</f>
        <v>#NAME?</v>
      </c>
      <c r="P104" s="11" t="str">
        <f aca="false">E104</f>
        <v>VRC</v>
      </c>
      <c r="Q104" s="85" t="e">
        <f aca="false">FDS(P104,"ib_price",$Q$86)</f>
        <v>#NAME?</v>
      </c>
      <c r="R104" s="85" t="e">
        <f aca="false">FDS(P104,"ib_price",$R$86)</f>
        <v>#NAME?</v>
      </c>
      <c r="S104" s="136" t="e">
        <f aca="false">(R104-Q104)/Q104</f>
        <v>#NAME?</v>
      </c>
    </row>
    <row r="105" customFormat="false" ht="12.95" hidden="false" customHeight="true" outlineLevel="0" collapsed="false">
      <c r="E105" s="11" t="str">
        <f aca="false">B28</f>
        <v>WHES</v>
      </c>
      <c r="F105" s="85" t="e">
        <f aca="false">FDS(E105,"ib_price",$F$86)</f>
        <v>#NAME?</v>
      </c>
      <c r="G105" s="85" t="e">
        <f aca="false">FDS(E105,"ib_price",$G$84)</f>
        <v>#NAME?</v>
      </c>
      <c r="H105" s="136" t="e">
        <f aca="false">(F105-G105)/G105</f>
        <v>#NAME?</v>
      </c>
      <c r="P105" s="11" t="str">
        <f aca="false">E105</f>
        <v>WHES</v>
      </c>
      <c r="Q105" s="85" t="e">
        <f aca="false">FDS(P105,"ib_price",$Q$86)</f>
        <v>#NAME?</v>
      </c>
      <c r="R105" s="85" t="e">
        <f aca="false">FDS(P105,"ib_price",$R$86)</f>
        <v>#NAME?</v>
      </c>
      <c r="S105" s="136" t="e">
        <f aca="false">(R105-Q105)/Q105</f>
        <v>#NAME?</v>
      </c>
    </row>
    <row r="106" customFormat="false" ht="12.95" hidden="false" customHeight="true" outlineLevel="0" collapsed="false">
      <c r="E106" s="11" t="str">
        <f aca="false">B29</f>
        <v>WFT</v>
      </c>
      <c r="F106" s="85" t="e">
        <f aca="false">FDS(E106,"ib_price",$F$86)</f>
        <v>#NAME?</v>
      </c>
      <c r="G106" s="85" t="e">
        <f aca="false">FDS(E106,"ib_price",$G$86)</f>
        <v>#NAME?</v>
      </c>
      <c r="H106" s="136" t="e">
        <f aca="false">(F106-G106)/G106</f>
        <v>#NAME?</v>
      </c>
      <c r="P106" s="11" t="str">
        <f aca="false">E106</f>
        <v>WFT</v>
      </c>
      <c r="Q106" s="85" t="e">
        <f aca="false">FDS(P106,"ib_price",$Q$86)</f>
        <v>#NAME?</v>
      </c>
      <c r="R106" s="85" t="e">
        <f aca="false">FDS(P106,"ib_price",$R$86)</f>
        <v>#NAME?</v>
      </c>
      <c r="S106" s="136" t="e">
        <f aca="false">(R106-Q106)/Q106</f>
        <v>#NAME?</v>
      </c>
    </row>
    <row r="107" customFormat="false" ht="12.95" hidden="false" customHeight="true" outlineLevel="0" collapsed="false">
      <c r="E107" s="11"/>
      <c r="F107" s="85"/>
      <c r="G107" s="85"/>
      <c r="H107" s="136"/>
      <c r="P107" s="11"/>
      <c r="Q107" s="85"/>
      <c r="R107" s="85"/>
      <c r="S107" s="136"/>
    </row>
    <row r="108" customFormat="false" ht="12.95" hidden="false" customHeight="true" outlineLevel="0" collapsed="false">
      <c r="E108" s="11"/>
      <c r="F108" s="85"/>
      <c r="G108" s="85"/>
      <c r="H108" s="136"/>
      <c r="P108" s="11"/>
      <c r="Q108" s="85"/>
      <c r="R108" s="85"/>
      <c r="S108" s="136"/>
    </row>
    <row r="109" customFormat="false" ht="12.95" hidden="false" customHeight="true" outlineLevel="0" collapsed="false">
      <c r="E109" s="11"/>
      <c r="F109" s="85"/>
      <c r="G109" s="85"/>
      <c r="H109" s="136"/>
      <c r="P109" s="11"/>
      <c r="Q109" s="85"/>
      <c r="R109" s="85"/>
      <c r="S109" s="136"/>
    </row>
    <row r="110" customFormat="false" ht="12.95" hidden="false" customHeight="true" outlineLevel="0" collapsed="false">
      <c r="E110" s="11"/>
      <c r="F110" s="85"/>
      <c r="G110" s="85"/>
      <c r="H110" s="136"/>
      <c r="P110" s="11"/>
      <c r="Q110" s="85"/>
      <c r="R110" s="85"/>
      <c r="S110" s="136"/>
    </row>
    <row r="111" customFormat="false" ht="12.95" hidden="false" customHeight="true" outlineLevel="0" collapsed="false">
      <c r="E111" s="11"/>
      <c r="F111" s="85"/>
      <c r="G111" s="85"/>
      <c r="H111" s="136"/>
      <c r="P111" s="11"/>
      <c r="Q111" s="85"/>
      <c r="R111" s="85"/>
      <c r="S111" s="136"/>
    </row>
    <row r="112" customFormat="false" ht="12.95" hidden="false" customHeight="true" outlineLevel="0" collapsed="false">
      <c r="E112" s="11"/>
      <c r="F112" s="85"/>
      <c r="G112" s="85"/>
      <c r="H112" s="136"/>
      <c r="P112" s="11"/>
      <c r="Q112" s="85"/>
      <c r="R112" s="85"/>
      <c r="S112" s="136"/>
    </row>
    <row r="113" customFormat="false" ht="12.95" hidden="false" customHeight="true" outlineLevel="0" collapsed="false">
      <c r="E113" s="11"/>
      <c r="F113" s="85"/>
      <c r="G113" s="85"/>
      <c r="H113" s="136"/>
      <c r="P113" s="11"/>
      <c r="Q113" s="85"/>
      <c r="R113" s="85"/>
      <c r="S113" s="136"/>
    </row>
    <row r="114" customFormat="false" ht="12.95" hidden="false" customHeight="true" outlineLevel="0" collapsed="false">
      <c r="E114" s="11"/>
      <c r="F114" s="85"/>
      <c r="G114" s="85"/>
      <c r="H114" s="136"/>
      <c r="P114" s="11"/>
      <c r="Q114" s="85"/>
      <c r="R114" s="85"/>
      <c r="S114" s="136"/>
    </row>
    <row r="115" customFormat="false" ht="12.95" hidden="false" customHeight="true" outlineLevel="0" collapsed="false">
      <c r="E115" s="11"/>
      <c r="F115" s="85"/>
      <c r="G115" s="85"/>
      <c r="H115" s="136"/>
      <c r="P115" s="11"/>
      <c r="Q115" s="85"/>
      <c r="R115" s="85"/>
      <c r="S115" s="136"/>
    </row>
    <row r="116" customFormat="false" ht="12.95" hidden="false" customHeight="true" outlineLevel="0" collapsed="false">
      <c r="E116" s="11"/>
      <c r="F116" s="85"/>
      <c r="G116" s="85"/>
      <c r="H116" s="136"/>
      <c r="P116" s="11"/>
      <c r="Q116" s="85"/>
      <c r="R116" s="85"/>
      <c r="S116" s="136"/>
    </row>
    <row r="117" customFormat="false" ht="12.95" hidden="false" customHeight="true" outlineLevel="0" collapsed="false">
      <c r="E117" s="11"/>
      <c r="F117" s="85"/>
      <c r="G117" s="85"/>
      <c r="H117" s="136"/>
      <c r="P117" s="11"/>
      <c r="Q117" s="85"/>
      <c r="R117" s="85"/>
      <c r="S117" s="136"/>
    </row>
    <row r="118" customFormat="false" ht="12.95" hidden="false" customHeight="true" outlineLevel="0" collapsed="false">
      <c r="E118" s="11"/>
      <c r="F118" s="85"/>
      <c r="G118" s="85"/>
      <c r="H118" s="136"/>
      <c r="P118" s="11"/>
      <c r="Q118" s="85"/>
      <c r="R118" s="85"/>
      <c r="S118" s="136"/>
    </row>
    <row r="119" customFormat="false" ht="12.95" hidden="false" customHeight="true" outlineLevel="0" collapsed="false">
      <c r="E119" s="11"/>
      <c r="F119" s="85"/>
      <c r="G119" s="85"/>
      <c r="H119" s="136"/>
      <c r="P119" s="11"/>
      <c r="Q119" s="85"/>
      <c r="R119" s="85"/>
      <c r="S119" s="136"/>
    </row>
    <row r="120" customFormat="false" ht="12.95" hidden="false" customHeight="true" outlineLevel="0" collapsed="false">
      <c r="E120" s="11"/>
      <c r="F120" s="85"/>
      <c r="G120" s="85"/>
      <c r="H120" s="136"/>
    </row>
    <row r="121" customFormat="false" ht="12.95" hidden="false" customHeight="true" outlineLevel="0" collapsed="false">
      <c r="E121" s="11"/>
      <c r="F121" s="85"/>
      <c r="G121" s="85"/>
      <c r="H121" s="136"/>
    </row>
    <row r="122" customFormat="false" ht="12.95" hidden="false" customHeight="true" outlineLevel="0" collapsed="false">
      <c r="E122" s="11"/>
      <c r="F122" s="85"/>
      <c r="G122" s="85"/>
      <c r="H122" s="136"/>
    </row>
    <row r="123" customFormat="false" ht="12.95" hidden="false" customHeight="true" outlineLevel="0" collapsed="false"/>
    <row r="124" customFormat="false" ht="12.95" hidden="false" customHeight="true" outlineLevel="0" collapsed="false"/>
    <row r="125" customFormat="false" ht="12.95" hidden="false" customHeight="true" outlineLevel="0" collapsed="false"/>
    <row r="126" customFormat="false" ht="12.95" hidden="false" customHeight="true" outlineLevel="0" collapsed="false"/>
    <row r="127" customFormat="false" ht="12.95" hidden="false" customHeight="true" outlineLevel="0" collapsed="false"/>
    <row r="128" customFormat="false" ht="12.95" hidden="false" customHeight="true" outlineLevel="0" collapsed="false"/>
    <row r="129" customFormat="false" ht="12.95" hidden="false" customHeight="true" outlineLevel="0" collapsed="false"/>
    <row r="130" customFormat="false" ht="12.95" hidden="false" customHeight="true" outlineLevel="0" collapsed="false"/>
    <row r="131" customFormat="false" ht="12.95" hidden="false" customHeight="true" outlineLevel="0" collapsed="false"/>
    <row r="132" customFormat="false" ht="12.95" hidden="false" customHeight="true" outlineLevel="0" collapsed="false"/>
    <row r="133" customFormat="false" ht="12.95" hidden="false" customHeight="true" outlineLevel="0" collapsed="false"/>
    <row r="134" customFormat="false" ht="12.95" hidden="false" customHeight="true" outlineLevel="0" collapsed="false"/>
    <row r="135" customFormat="false" ht="12.95" hidden="false" customHeight="true" outlineLevel="0" collapsed="false"/>
    <row r="136" customFormat="false" ht="12.95" hidden="false" customHeight="true" outlineLevel="0" collapsed="false"/>
    <row r="137" customFormat="false" ht="12.95" hidden="false" customHeight="true" outlineLevel="0" collapsed="false"/>
    <row r="138" customFormat="false" ht="12.95" hidden="false" customHeight="true" outlineLevel="0" collapsed="false"/>
    <row r="139" customFormat="false" ht="12.95" hidden="false" customHeight="true" outlineLevel="0" collapsed="false"/>
    <row r="140" customFormat="false" ht="12.95" hidden="false" customHeight="true" outlineLevel="0" collapsed="false"/>
    <row r="141" customFormat="false" ht="12.95" hidden="false" customHeight="true" outlineLevel="0" collapsed="false"/>
    <row r="142" customFormat="false" ht="12.95" hidden="false" customHeight="true" outlineLevel="0" collapsed="false"/>
    <row r="143" customFormat="false" ht="12.95" hidden="false" customHeight="true" outlineLevel="0" collapsed="false"/>
  </sheetData>
  <mergeCells count="19">
    <mergeCell ref="U7:W7"/>
    <mergeCell ref="X7:Y7"/>
    <mergeCell ref="E8:F8"/>
    <mergeCell ref="I8:K8"/>
    <mergeCell ref="L8:N8"/>
    <mergeCell ref="O8:Q8"/>
    <mergeCell ref="U38:Y38"/>
    <mergeCell ref="B39:C39"/>
    <mergeCell ref="D39:F39"/>
    <mergeCell ref="G39:H39"/>
    <mergeCell ref="J39:K39"/>
    <mergeCell ref="P39:S39"/>
    <mergeCell ref="U39:Y39"/>
    <mergeCell ref="B40:C40"/>
    <mergeCell ref="D40:F40"/>
    <mergeCell ref="G40:H40"/>
    <mergeCell ref="J40:K40"/>
    <mergeCell ref="P40:S40"/>
    <mergeCell ref="U40:Y40"/>
  </mergeCells>
  <printOptions headings="false" gridLines="false" gridLinesSet="true" horizontalCentered="false" verticalCentered="false"/>
  <pageMargins left="0" right="0" top="0.3" bottom="0.4" header="0.511811023622047" footer="0.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&amp;L&amp;"Arial,Bold"CREDIT SUISSE FIRST BOSTON&amp;CPage &amp;P&amp;R&amp;D &amp;T &amp;F &amp;A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"/>
  <sheetViews>
    <sheetView showFormulas="false" showGridLines="true" showRowColHeaders="true" showZeros="true" rightToLeft="false" tabSelected="false" showOutlineSymbols="true" defaultGridColor="true" view="normal" topLeftCell="B2" colorId="64" zoomScale="50" zoomScaleNormal="50" zoomScalePageLayoutView="100" workbookViewId="0">
      <selection pane="topLeft" activeCell="B2" activeCellId="0" sqref="B2"/>
    </sheetView>
  </sheetViews>
  <sheetFormatPr defaultColWidth="17.41796875" defaultRowHeight="12.75" customHeight="true" zeroHeight="false" outlineLevelRow="1" outlineLevelCol="1"/>
  <cols>
    <col collapsed="false" customWidth="false" hidden="true" outlineLevel="1" max="1" min="1" style="10" width="17.42"/>
    <col collapsed="false" customWidth="false" hidden="false" outlineLevel="0" max="7" min="2" style="10" width="17.42"/>
    <col collapsed="false" customWidth="false" hidden="true" outlineLevel="1" max="10" min="8" style="10" width="17.42"/>
    <col collapsed="false" customWidth="false" hidden="false" outlineLevel="0" max="257" min="11" style="10" width="17.42"/>
  </cols>
  <sheetData>
    <row r="1" customFormat="false" ht="12.75" hidden="true" customHeight="false" outlineLevel="1" collapsed="false">
      <c r="A1" s="72"/>
      <c r="B1" s="72" t="s">
        <v>137</v>
      </c>
      <c r="C1" s="72" t="s">
        <v>494</v>
      </c>
      <c r="D1" s="72"/>
      <c r="E1" s="188" t="s">
        <v>495</v>
      </c>
      <c r="F1" s="188" t="s">
        <v>496</v>
      </c>
      <c r="G1" s="188" t="s">
        <v>497</v>
      </c>
      <c r="H1" s="188" t="s">
        <v>498</v>
      </c>
      <c r="I1" s="188" t="s">
        <v>499</v>
      </c>
      <c r="J1" s="72" t="s">
        <v>143</v>
      </c>
      <c r="K1" s="72"/>
      <c r="L1" s="72"/>
      <c r="M1" s="188" t="s">
        <v>500</v>
      </c>
      <c r="N1" s="72" t="s">
        <v>501</v>
      </c>
      <c r="O1" s="188" t="s">
        <v>502</v>
      </c>
      <c r="P1" s="188" t="s">
        <v>503</v>
      </c>
      <c r="Q1" s="188" t="s">
        <v>504</v>
      </c>
      <c r="R1" s="188" t="s">
        <v>505</v>
      </c>
      <c r="S1" s="72" t="s">
        <v>150</v>
      </c>
      <c r="T1" s="72" t="s">
        <v>506</v>
      </c>
      <c r="U1" s="72" t="s">
        <v>507</v>
      </c>
      <c r="V1" s="72"/>
      <c r="W1" s="72"/>
      <c r="X1" s="72"/>
      <c r="Y1" s="72"/>
      <c r="Z1" s="72"/>
      <c r="AA1" s="72" t="s">
        <v>508</v>
      </c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IB1" s="72"/>
      <c r="IC1" s="72"/>
      <c r="ID1" s="72"/>
      <c r="IE1" s="72"/>
      <c r="IF1" s="72"/>
      <c r="IG1" s="72"/>
      <c r="IH1" s="72"/>
      <c r="II1" s="72"/>
      <c r="IJ1" s="72"/>
      <c r="IK1" s="72"/>
      <c r="IL1" s="72"/>
      <c r="IM1" s="72"/>
      <c r="IN1" s="72"/>
      <c r="IO1" s="72"/>
      <c r="IP1" s="72"/>
      <c r="IQ1" s="72"/>
      <c r="IR1" s="72"/>
      <c r="IS1" s="72"/>
      <c r="IT1" s="72"/>
      <c r="IU1" s="72"/>
      <c r="IV1" s="72"/>
      <c r="IW1" s="72"/>
    </row>
    <row r="2" customFormat="false" ht="18" hidden="false" customHeight="false" outlineLevel="0" collapsed="false">
      <c r="B2" s="73" t="s">
        <v>509</v>
      </c>
      <c r="C2" s="73"/>
      <c r="D2" s="73"/>
    </row>
    <row r="3" customFormat="false" ht="15" hidden="false" customHeight="true" outlineLevel="0" collapsed="false">
      <c r="B3" s="3" t="s">
        <v>1</v>
      </c>
      <c r="C3" s="3"/>
      <c r="D3" s="3"/>
      <c r="W3" s="189"/>
      <c r="X3" s="189"/>
      <c r="Y3" s="189"/>
      <c r="Z3" s="189"/>
      <c r="AA3" s="110"/>
      <c r="AB3" s="111"/>
      <c r="AC3" s="112"/>
      <c r="AD3" s="113"/>
      <c r="AE3" s="114"/>
      <c r="AF3" s="115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  <c r="CW3" s="72"/>
      <c r="CX3" s="72"/>
      <c r="CY3" s="72"/>
      <c r="CZ3" s="72"/>
      <c r="DA3" s="72"/>
      <c r="DB3" s="72"/>
      <c r="DC3" s="72"/>
      <c r="DD3" s="72"/>
      <c r="DE3" s="72"/>
      <c r="DF3" s="72"/>
      <c r="DG3" s="72"/>
      <c r="DH3" s="72"/>
      <c r="DI3" s="72"/>
      <c r="DJ3" s="72"/>
      <c r="DK3" s="72"/>
      <c r="DL3" s="72"/>
      <c r="DM3" s="72"/>
      <c r="DN3" s="72"/>
      <c r="DO3" s="72"/>
      <c r="DP3" s="72"/>
      <c r="DQ3" s="72"/>
      <c r="DR3" s="72"/>
      <c r="DS3" s="72"/>
      <c r="DT3" s="72"/>
      <c r="DU3" s="72"/>
      <c r="DV3" s="72"/>
      <c r="DW3" s="72"/>
      <c r="DX3" s="72"/>
      <c r="DY3" s="72"/>
      <c r="DZ3" s="72"/>
      <c r="EA3" s="72"/>
      <c r="EB3" s="72"/>
      <c r="EC3" s="72"/>
      <c r="ED3" s="72"/>
      <c r="EE3" s="72"/>
      <c r="EF3" s="72"/>
      <c r="EG3" s="72"/>
      <c r="EH3" s="72"/>
      <c r="EI3" s="72"/>
      <c r="EJ3" s="72"/>
      <c r="EK3" s="72"/>
      <c r="EL3" s="72"/>
      <c r="EM3" s="72"/>
      <c r="EN3" s="72"/>
      <c r="EO3" s="72"/>
      <c r="EP3" s="72"/>
      <c r="EQ3" s="72"/>
      <c r="ER3" s="72"/>
      <c r="ES3" s="72"/>
      <c r="ET3" s="72"/>
      <c r="EU3" s="72"/>
      <c r="EV3" s="72"/>
      <c r="EW3" s="72"/>
      <c r="EX3" s="72"/>
      <c r="EY3" s="72"/>
      <c r="EZ3" s="72"/>
      <c r="FA3" s="72"/>
      <c r="FB3" s="72"/>
      <c r="FC3" s="72"/>
      <c r="FD3" s="72"/>
      <c r="FE3" s="72"/>
      <c r="FF3" s="72"/>
      <c r="FG3" s="72"/>
      <c r="FH3" s="72"/>
      <c r="FI3" s="72"/>
      <c r="FJ3" s="72"/>
      <c r="FK3" s="72"/>
      <c r="FL3" s="72"/>
      <c r="FM3" s="72"/>
      <c r="FN3" s="72"/>
      <c r="FO3" s="72"/>
      <c r="FP3" s="72"/>
      <c r="FQ3" s="72"/>
      <c r="FR3" s="72"/>
      <c r="FS3" s="72"/>
      <c r="FT3" s="72"/>
      <c r="FU3" s="72"/>
      <c r="FV3" s="72"/>
      <c r="FW3" s="72"/>
      <c r="FX3" s="72"/>
      <c r="FY3" s="72"/>
      <c r="FZ3" s="72"/>
      <c r="GA3" s="72"/>
      <c r="GB3" s="72"/>
      <c r="GC3" s="72"/>
      <c r="GD3" s="72"/>
      <c r="GE3" s="72"/>
      <c r="GF3" s="72"/>
      <c r="GG3" s="72"/>
      <c r="GH3" s="72"/>
      <c r="GI3" s="72"/>
      <c r="GJ3" s="72"/>
      <c r="GK3" s="72"/>
      <c r="GL3" s="72"/>
      <c r="GM3" s="72"/>
      <c r="GN3" s="72"/>
      <c r="GO3" s="72"/>
      <c r="GP3" s="72"/>
      <c r="GQ3" s="72"/>
      <c r="GR3" s="72"/>
      <c r="GS3" s="72"/>
      <c r="GT3" s="72"/>
      <c r="GU3" s="72"/>
      <c r="GV3" s="72"/>
      <c r="GW3" s="72"/>
      <c r="GX3" s="72"/>
      <c r="GY3" s="72"/>
      <c r="GZ3" s="72"/>
      <c r="HA3" s="72"/>
      <c r="HB3" s="72"/>
      <c r="HC3" s="72"/>
      <c r="HD3" s="72"/>
      <c r="HE3" s="72"/>
      <c r="HF3" s="72"/>
      <c r="HG3" s="72"/>
      <c r="HH3" s="72"/>
      <c r="HI3" s="72"/>
      <c r="HJ3" s="72"/>
      <c r="HK3" s="72"/>
      <c r="HL3" s="72"/>
      <c r="HM3" s="72"/>
      <c r="HN3" s="72"/>
      <c r="HO3" s="72"/>
      <c r="HP3" s="72"/>
      <c r="HQ3" s="72"/>
      <c r="HR3" s="72"/>
      <c r="HS3" s="72"/>
      <c r="HT3" s="72"/>
      <c r="HU3" s="72"/>
      <c r="HV3" s="72"/>
      <c r="HW3" s="72"/>
      <c r="HX3" s="72"/>
      <c r="HY3" s="72"/>
      <c r="HZ3" s="72"/>
      <c r="IA3" s="72"/>
      <c r="IB3" s="72"/>
      <c r="IC3" s="72"/>
      <c r="ID3" s="72"/>
      <c r="IE3" s="72"/>
      <c r="IF3" s="72"/>
      <c r="IG3" s="72"/>
      <c r="IH3" s="72"/>
      <c r="II3" s="72"/>
      <c r="IJ3" s="72"/>
      <c r="IK3" s="72"/>
      <c r="IL3" s="72"/>
      <c r="IM3" s="72"/>
      <c r="IN3" s="72"/>
      <c r="IO3" s="72"/>
      <c r="IP3" s="72"/>
      <c r="IQ3" s="72"/>
      <c r="IR3" s="72"/>
      <c r="IS3" s="72"/>
      <c r="IT3" s="72"/>
      <c r="IU3" s="72"/>
      <c r="IV3" s="72"/>
    </row>
    <row r="4" customFormat="false" ht="12.75" hidden="false" customHeight="false" outlineLevel="0" collapsed="false">
      <c r="B4" s="74" t="s">
        <v>2</v>
      </c>
      <c r="C4" s="74"/>
      <c r="D4" s="74"/>
      <c r="W4" s="43"/>
      <c r="X4" s="43"/>
      <c r="Y4" s="43"/>
      <c r="Z4" s="43"/>
      <c r="AB4" s="86"/>
      <c r="AC4" s="11"/>
      <c r="AD4" s="88"/>
      <c r="AE4" s="89"/>
      <c r="AF4" s="40"/>
    </row>
    <row r="5" customFormat="false" ht="12.75" hidden="false" customHeight="false" outlineLevel="0" collapsed="false">
      <c r="B5" s="74"/>
      <c r="C5" s="74"/>
      <c r="D5" s="74"/>
      <c r="W5" s="43"/>
      <c r="X5" s="43"/>
      <c r="Y5" s="43"/>
      <c r="Z5" s="43"/>
      <c r="AB5" s="86"/>
      <c r="AC5" s="11"/>
      <c r="AD5" s="88"/>
      <c r="AE5" s="89"/>
      <c r="AF5" s="40"/>
    </row>
    <row r="6" customFormat="false" ht="12.75" hidden="false" customHeight="false" outlineLevel="0" collapsed="false">
      <c r="B6" s="74"/>
      <c r="C6" s="74"/>
      <c r="D6" s="74"/>
    </row>
    <row r="7" customFormat="false" ht="12.75" hidden="false" customHeight="false" outlineLevel="0" collapsed="false">
      <c r="B7" s="75" t="s">
        <v>3</v>
      </c>
      <c r="C7" s="76" t="n">
        <v>37108</v>
      </c>
      <c r="D7" s="77"/>
    </row>
    <row r="8" customFormat="false" ht="12.75" hidden="false" customHeight="false" outlineLevel="0" collapsed="false">
      <c r="L8" s="11" t="s">
        <v>4</v>
      </c>
      <c r="V8" s="11" t="s">
        <v>7</v>
      </c>
    </row>
    <row r="9" customFormat="false" ht="12.75" hidden="false" customHeight="false" outlineLevel="0" collapsed="false">
      <c r="D9" s="11" t="s">
        <v>8</v>
      </c>
      <c r="E9" s="11" t="s">
        <v>9</v>
      </c>
      <c r="F9" s="13" t="s">
        <v>10</v>
      </c>
      <c r="G9" s="13"/>
      <c r="I9" s="11"/>
      <c r="J9" s="11"/>
      <c r="K9" s="11" t="s">
        <v>11</v>
      </c>
      <c r="L9" s="11" t="s">
        <v>11</v>
      </c>
      <c r="M9" s="12" t="s">
        <v>160</v>
      </c>
      <c r="N9" s="12"/>
      <c r="O9" s="12" t="s">
        <v>161</v>
      </c>
      <c r="P9" s="12"/>
      <c r="Q9" s="12" t="s">
        <v>14</v>
      </c>
      <c r="R9" s="12"/>
      <c r="S9" s="13" t="s">
        <v>15</v>
      </c>
      <c r="T9" s="13" t="s">
        <v>16</v>
      </c>
      <c r="U9" s="11" t="s">
        <v>17</v>
      </c>
      <c r="V9" s="11" t="s">
        <v>21</v>
      </c>
    </row>
    <row r="10" customFormat="false" ht="12.75" hidden="false" customHeight="false" outlineLevel="0" collapsed="false">
      <c r="A10" s="13" t="s">
        <v>23</v>
      </c>
      <c r="B10" s="13" t="s">
        <v>22</v>
      </c>
      <c r="C10" s="13" t="s">
        <v>23</v>
      </c>
      <c r="D10" s="13" t="s">
        <v>24</v>
      </c>
      <c r="E10" s="13" t="s">
        <v>25</v>
      </c>
      <c r="F10" s="13" t="s">
        <v>26</v>
      </c>
      <c r="G10" s="13" t="s">
        <v>27</v>
      </c>
      <c r="H10" s="13" t="s">
        <v>162</v>
      </c>
      <c r="I10" s="13" t="s">
        <v>163</v>
      </c>
      <c r="J10" s="13" t="s">
        <v>164</v>
      </c>
      <c r="K10" s="13" t="s">
        <v>28</v>
      </c>
      <c r="L10" s="13" t="s">
        <v>28</v>
      </c>
      <c r="M10" s="13" t="s">
        <v>30</v>
      </c>
      <c r="N10" s="13" t="s">
        <v>31</v>
      </c>
      <c r="O10" s="13" t="s">
        <v>30</v>
      </c>
      <c r="P10" s="13" t="s">
        <v>31</v>
      </c>
      <c r="Q10" s="13" t="s">
        <v>30</v>
      </c>
      <c r="R10" s="13" t="s">
        <v>31</v>
      </c>
      <c r="S10" s="13" t="s">
        <v>32</v>
      </c>
      <c r="T10" s="13" t="s">
        <v>33</v>
      </c>
      <c r="U10" s="13" t="s">
        <v>34</v>
      </c>
      <c r="V10" s="13" t="s">
        <v>39</v>
      </c>
      <c r="AA10" s="11"/>
      <c r="IW10" s="43"/>
    </row>
    <row r="11" customFormat="false" ht="4.9" hidden="false" customHeight="true" outlineLevel="0" collapsed="false">
      <c r="A11" s="79" t="s">
        <v>40</v>
      </c>
      <c r="B11" s="190" t="s">
        <v>40</v>
      </c>
      <c r="C11" s="79" t="s">
        <v>40</v>
      </c>
      <c r="D11" s="79" t="s">
        <v>40</v>
      </c>
      <c r="E11" s="79" t="s">
        <v>40</v>
      </c>
      <c r="F11" s="79" t="s">
        <v>40</v>
      </c>
      <c r="G11" s="79" t="s">
        <v>40</v>
      </c>
      <c r="H11" s="79"/>
      <c r="I11" s="79"/>
      <c r="J11" s="79"/>
      <c r="K11" s="79" t="s">
        <v>40</v>
      </c>
      <c r="L11" s="79" t="s">
        <v>40</v>
      </c>
      <c r="M11" s="79" t="s">
        <v>40</v>
      </c>
      <c r="N11" s="79" t="s">
        <v>40</v>
      </c>
      <c r="O11" s="79" t="s">
        <v>40</v>
      </c>
      <c r="P11" s="79" t="s">
        <v>40</v>
      </c>
      <c r="Q11" s="79" t="s">
        <v>40</v>
      </c>
      <c r="R11" s="79" t="s">
        <v>40</v>
      </c>
      <c r="S11" s="79" t="s">
        <v>40</v>
      </c>
      <c r="T11" s="79" t="s">
        <v>40</v>
      </c>
      <c r="U11" s="79" t="s">
        <v>40</v>
      </c>
      <c r="V11" s="79" t="s">
        <v>40</v>
      </c>
      <c r="AA11" s="51"/>
      <c r="IW11" s="43"/>
    </row>
    <row r="12" customFormat="false" ht="12.95" hidden="false" customHeight="true" outlineLevel="0" collapsed="false">
      <c r="A12" s="83" t="s">
        <v>510</v>
      </c>
      <c r="B12" s="191" t="s">
        <v>511</v>
      </c>
      <c r="C12" s="192" t="n">
        <v>515802</v>
      </c>
      <c r="D12" s="193" t="n">
        <v>37101</v>
      </c>
      <c r="E12" s="82" t="n">
        <v>8.99720087084018</v>
      </c>
      <c r="F12" s="82" t="n">
        <v>10.2745812413916</v>
      </c>
      <c r="G12" s="82" t="n">
        <v>6.27582529879593</v>
      </c>
      <c r="H12" s="82" t="n">
        <v>4594.15233</v>
      </c>
      <c r="I12" s="82" t="n">
        <v>3692.15233</v>
      </c>
      <c r="J12" s="82" t="n">
        <v>9.0028</v>
      </c>
      <c r="K12" s="82" t="n">
        <v>510.302609188253</v>
      </c>
      <c r="L12" s="82" t="n">
        <v>410.11155751544</v>
      </c>
      <c r="M12" s="83" t="n">
        <v>33.1707749458484</v>
      </c>
      <c r="N12" s="83" t="n">
        <v>16.5257278057554</v>
      </c>
      <c r="O12" s="83" t="n">
        <v>14.4697711181102</v>
      </c>
      <c r="P12" s="83" t="n">
        <v>9.78937210739398</v>
      </c>
      <c r="Q12" s="83" t="n">
        <v>10.2616796275709</v>
      </c>
      <c r="R12" s="83" t="n">
        <v>6.47632403087177</v>
      </c>
      <c r="S12" s="84" t="n">
        <v>0.146408334856516</v>
      </c>
      <c r="T12" s="83" t="n">
        <v>0.996130166955768</v>
      </c>
      <c r="U12" s="84" t="n">
        <v>0.06790123</v>
      </c>
      <c r="V12" s="82" t="n">
        <v>56.71793</v>
      </c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43"/>
    </row>
    <row r="13" customFormat="false" ht="12.95" hidden="false" customHeight="true" outlineLevel="0" collapsed="false">
      <c r="A13" s="83" t="s">
        <v>512</v>
      </c>
      <c r="B13" s="191" t="s">
        <v>513</v>
      </c>
      <c r="C13" s="192" t="s">
        <v>514</v>
      </c>
      <c r="D13" s="193" t="n">
        <v>37101</v>
      </c>
      <c r="E13" s="82" t="n">
        <v>41.3609616290728</v>
      </c>
      <c r="F13" s="82" t="n">
        <v>61.1114850622274</v>
      </c>
      <c r="G13" s="82" t="n">
        <v>34.4527067959514</v>
      </c>
      <c r="H13" s="82" t="n">
        <v>798.5478</v>
      </c>
      <c r="I13" s="82" t="n">
        <v>651.8478</v>
      </c>
      <c r="J13" s="82" t="n">
        <v>1.129084</v>
      </c>
      <c r="K13" s="82" t="n">
        <v>707.252781901081</v>
      </c>
      <c r="L13" s="82" t="n">
        <v>577.324450616606</v>
      </c>
      <c r="M13" s="83" t="n">
        <v>12.4384392523365</v>
      </c>
      <c r="N13" s="83" t="n">
        <v>11.9722308845577</v>
      </c>
      <c r="O13" s="83" t="n">
        <v>9.05382993197278</v>
      </c>
      <c r="P13" s="83" t="n">
        <v>8.70826390403489</v>
      </c>
      <c r="Q13" s="83" t="n">
        <v>7.37384389140271</v>
      </c>
      <c r="R13" s="83" t="n">
        <v>7.25080978865405</v>
      </c>
      <c r="S13" s="84" t="n">
        <v>0.230504093063335</v>
      </c>
      <c r="T13" s="83" t="n">
        <v>4.4711522956327</v>
      </c>
      <c r="U13" s="84" t="n">
        <v>0.0235546</v>
      </c>
      <c r="V13" s="82" t="n">
        <v>17.0995246252677</v>
      </c>
      <c r="AA13" s="51"/>
      <c r="IW13" s="43"/>
    </row>
    <row r="14" customFormat="false" ht="12.95" hidden="false" customHeight="true" outlineLevel="0" collapsed="false">
      <c r="A14" s="83" t="s">
        <v>515</v>
      </c>
      <c r="B14" s="191" t="s">
        <v>516</v>
      </c>
      <c r="C14" s="192" t="s">
        <v>517</v>
      </c>
      <c r="D14" s="193" t="n">
        <v>37101</v>
      </c>
      <c r="E14" s="82" t="n">
        <v>161.192612772832</v>
      </c>
      <c r="F14" s="82" t="n">
        <v>166.24095284319</v>
      </c>
      <c r="G14" s="82" t="n">
        <v>106.72368043476</v>
      </c>
      <c r="H14" s="82" t="n">
        <v>3471.58511204</v>
      </c>
      <c r="I14" s="82" t="n">
        <v>3655.98511204</v>
      </c>
      <c r="J14" s="82" t="n">
        <v>1.129084</v>
      </c>
      <c r="K14" s="82" t="n">
        <v>3074.69161908237</v>
      </c>
      <c r="L14" s="82" t="n">
        <v>3238.00984872693</v>
      </c>
      <c r="M14" s="83" t="n">
        <v>34.8964987398374</v>
      </c>
      <c r="N14" s="83" t="n">
        <v>22.8768519387075</v>
      </c>
      <c r="O14" s="83" t="n">
        <v>15.1804397701149</v>
      </c>
      <c r="P14" s="83" t="n">
        <v>11.5190052868165</v>
      </c>
      <c r="Q14" s="83" t="n">
        <v>12.2232869008358</v>
      </c>
      <c r="R14" s="83" t="n">
        <v>9.23228563646465</v>
      </c>
      <c r="S14" s="84" t="n">
        <v>0.365255216475226</v>
      </c>
      <c r="T14" s="83" t="n">
        <v>3.71729854592569</v>
      </c>
      <c r="U14" s="84" t="n">
        <v>0.006373627</v>
      </c>
      <c r="V14" s="82" t="n">
        <v>19.0746434727473</v>
      </c>
      <c r="AA14" s="51"/>
      <c r="AB14" s="44"/>
      <c r="IW14" s="43"/>
    </row>
    <row r="15" customFormat="false" ht="12.95" hidden="false" customHeight="true" outlineLevel="0" collapsed="false">
      <c r="A15" s="83" t="s">
        <v>518</v>
      </c>
      <c r="B15" s="191" t="s">
        <v>519</v>
      </c>
      <c r="C15" s="192" t="s">
        <v>520</v>
      </c>
      <c r="D15" s="193" t="n">
        <v>37101</v>
      </c>
      <c r="E15" s="82" t="n">
        <v>4.33198560447861</v>
      </c>
      <c r="F15" s="82" t="n">
        <v>5.09841382680944</v>
      </c>
      <c r="G15" s="82" t="n">
        <v>2.73248322744035</v>
      </c>
      <c r="H15" s="82" t="n">
        <v>2352.324</v>
      </c>
      <c r="I15" s="82" t="n">
        <v>4559.65</v>
      </c>
      <c r="J15" s="82" t="n">
        <v>9.0028</v>
      </c>
      <c r="K15" s="82" t="n">
        <v>261.288043719732</v>
      </c>
      <c r="L15" s="82" t="n">
        <v>506.470209268228</v>
      </c>
      <c r="M15" s="83" t="s">
        <v>169</v>
      </c>
      <c r="N15" s="83" t="n">
        <v>37.2793026941363</v>
      </c>
      <c r="O15" s="83" t="n">
        <v>16.7544444444445</v>
      </c>
      <c r="P15" s="83" t="n">
        <v>7.14557715674362</v>
      </c>
      <c r="Q15" s="83" t="n">
        <v>16.5324510514866</v>
      </c>
      <c r="R15" s="83" t="n">
        <v>10.1348077350522</v>
      </c>
      <c r="S15" s="84" t="n">
        <v>0.720097684094566</v>
      </c>
      <c r="T15" s="83" t="n">
        <v>2.53785654023006</v>
      </c>
      <c r="U15" s="84" t="n">
        <v>0</v>
      </c>
      <c r="V15" s="82" t="n">
        <v>60.316</v>
      </c>
      <c r="AA15" s="51"/>
      <c r="AB15" s="44"/>
      <c r="IW15" s="43"/>
    </row>
    <row r="16" customFormat="false" ht="12.95" hidden="false" customHeight="true" outlineLevel="0" collapsed="false">
      <c r="A16" s="83" t="s">
        <v>521</v>
      </c>
      <c r="B16" s="191" t="s">
        <v>522</v>
      </c>
      <c r="C16" s="192" t="s">
        <v>523</v>
      </c>
      <c r="D16" s="81" t="n">
        <v>37101</v>
      </c>
      <c r="E16" s="82" t="n">
        <v>7.82541841690428</v>
      </c>
      <c r="F16" s="82" t="n">
        <v>9.79070614717704</v>
      </c>
      <c r="G16" s="82" t="n">
        <v>5.64573566151085</v>
      </c>
      <c r="H16" s="82" t="n">
        <v>352.637823375</v>
      </c>
      <c r="I16" s="82" t="n">
        <v>423.143823375</v>
      </c>
      <c r="J16" s="82" t="n">
        <v>0.6996431</v>
      </c>
      <c r="K16" s="82" t="n">
        <v>504.025300006532</v>
      </c>
      <c r="L16" s="82" t="n">
        <v>604.79953761425</v>
      </c>
      <c r="M16" s="83" t="n">
        <v>25.8107142857143</v>
      </c>
      <c r="N16" s="83" t="n">
        <v>19.1190476190476</v>
      </c>
      <c r="O16" s="83" t="n">
        <v>11.4714285714286</v>
      </c>
      <c r="P16" s="83" t="n">
        <v>9.79268292682927</v>
      </c>
      <c r="Q16" s="83" t="n">
        <v>9.95632525588236</v>
      </c>
      <c r="R16" s="83" t="n">
        <v>8.4628764675</v>
      </c>
      <c r="S16" s="84" t="n">
        <v>0.50561316872428</v>
      </c>
      <c r="T16" s="83" t="n">
        <v>4.69576445630318</v>
      </c>
      <c r="U16" s="84" t="n">
        <v>0.01789954</v>
      </c>
      <c r="V16" s="82" t="n">
        <v>64.4087348630137</v>
      </c>
      <c r="AA16" s="51"/>
      <c r="AB16" s="13"/>
    </row>
    <row r="17" customFormat="false" ht="12.95" hidden="false" customHeight="true" outlineLevel="0" collapsed="false">
      <c r="A17" s="83" t="s">
        <v>524</v>
      </c>
      <c r="B17" s="191" t="s">
        <v>525</v>
      </c>
      <c r="C17" s="192" t="s">
        <v>526</v>
      </c>
      <c r="D17" s="81" t="n">
        <v>37101</v>
      </c>
      <c r="E17" s="82" t="n">
        <v>7.44212911538632</v>
      </c>
      <c r="F17" s="82" t="n">
        <v>9.83027502554761</v>
      </c>
      <c r="G17" s="82" t="n">
        <v>6.05367219087395</v>
      </c>
      <c r="H17" s="82" t="n">
        <v>4040.1</v>
      </c>
      <c r="I17" s="82" t="n">
        <v>10880.4</v>
      </c>
      <c r="J17" s="82" t="n">
        <v>9.0028</v>
      </c>
      <c r="K17" s="82" t="n">
        <v>448.760385657795</v>
      </c>
      <c r="L17" s="82" t="n">
        <v>1208.55733771715</v>
      </c>
      <c r="M17" s="83" t="n">
        <v>19.5173913043478</v>
      </c>
      <c r="N17" s="83" t="n">
        <v>5.69028169014085</v>
      </c>
      <c r="O17" s="83" t="n">
        <v>3.84405328258801</v>
      </c>
      <c r="P17" s="83" t="n">
        <v>2.51876558603491</v>
      </c>
      <c r="Q17" s="83" t="n">
        <v>7.78840372226199</v>
      </c>
      <c r="R17" s="83" t="n">
        <v>5.34138438880707</v>
      </c>
      <c r="S17" s="84" t="n">
        <v>0.544642410468615</v>
      </c>
      <c r="T17" s="83" t="n">
        <v>0.64427186323914</v>
      </c>
      <c r="U17" s="84" t="n">
        <v>0</v>
      </c>
      <c r="V17" s="82" t="n">
        <v>60.3</v>
      </c>
      <c r="AA17" s="51"/>
      <c r="AB17" s="44"/>
    </row>
    <row r="18" customFormat="false" ht="12.95" hidden="false" customHeight="true" outlineLevel="0" collapsed="false">
      <c r="A18" s="83" t="s">
        <v>527</v>
      </c>
      <c r="B18" s="191" t="s">
        <v>528</v>
      </c>
      <c r="C18" s="192" t="s">
        <v>529</v>
      </c>
      <c r="D18" s="81" t="n">
        <v>37101</v>
      </c>
      <c r="E18" s="82" t="n">
        <v>58.6758823967039</v>
      </c>
      <c r="F18" s="82" t="n">
        <v>67.0012306175079</v>
      </c>
      <c r="G18" s="82" t="n">
        <v>49.1548921682542</v>
      </c>
      <c r="H18" s="82" t="n">
        <v>874.542938755315</v>
      </c>
      <c r="I18" s="82" t="n">
        <v>1017.96257776862</v>
      </c>
      <c r="J18" s="82" t="n">
        <v>1.129084</v>
      </c>
      <c r="K18" s="82" t="n">
        <v>774.559677362637</v>
      </c>
      <c r="L18" s="82" t="n">
        <v>901.582679205989</v>
      </c>
      <c r="M18" s="83" t="n">
        <v>16.7606837606837</v>
      </c>
      <c r="N18" s="83" t="n">
        <v>15.1201201201201</v>
      </c>
      <c r="O18" s="83" t="n">
        <v>9.69831849653808</v>
      </c>
      <c r="P18" s="83" t="n">
        <v>8.97504456327986</v>
      </c>
      <c r="Q18" s="83" t="n">
        <v>7.48501895418099</v>
      </c>
      <c r="R18" s="83" t="n">
        <v>6.74147402495772</v>
      </c>
      <c r="S18" s="84" t="n">
        <v>0.611066035480154</v>
      </c>
      <c r="T18" s="83" t="n">
        <v>8.6201781983314</v>
      </c>
      <c r="U18" s="84" t="n">
        <v>0.02054793</v>
      </c>
      <c r="V18" s="82" t="n">
        <v>13.2006481321557</v>
      </c>
      <c r="AA18" s="51"/>
      <c r="AB18" s="44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</row>
    <row r="19" customFormat="false" ht="12.95" hidden="false" customHeight="true" outlineLevel="0" collapsed="false">
      <c r="A19" s="83" t="s">
        <v>530</v>
      </c>
      <c r="B19" s="191" t="s">
        <v>531</v>
      </c>
      <c r="C19" s="192" t="s">
        <v>532</v>
      </c>
      <c r="D19" s="193" t="n">
        <v>37101</v>
      </c>
      <c r="E19" s="82" t="n">
        <v>49.2434575284036</v>
      </c>
      <c r="F19" s="82" t="n">
        <v>81.4819746821665</v>
      </c>
      <c r="G19" s="82" t="n">
        <v>44.903629546292</v>
      </c>
      <c r="H19" s="82" t="n">
        <v>663.432337985984</v>
      </c>
      <c r="I19" s="82" t="n">
        <v>867.832337985984</v>
      </c>
      <c r="J19" s="82" t="n">
        <v>1.129084</v>
      </c>
      <c r="K19" s="82" t="n">
        <v>587.584571197523</v>
      </c>
      <c r="L19" s="82" t="n">
        <v>768.616274773165</v>
      </c>
      <c r="M19" s="83" t="n">
        <v>31.9772020725388</v>
      </c>
      <c r="N19" s="83" t="n">
        <v>11.4288888888889</v>
      </c>
      <c r="O19" s="83" t="n">
        <v>6.03874755381605</v>
      </c>
      <c r="P19" s="83" t="n">
        <v>4.13369055592766</v>
      </c>
      <c r="Q19" s="83" t="n">
        <v>6.57947185736152</v>
      </c>
      <c r="R19" s="83" t="n">
        <v>4.63338140942864</v>
      </c>
      <c r="S19" s="84" t="n">
        <v>0.451982228298018</v>
      </c>
      <c r="T19" s="83" t="n">
        <v>2.06870077326469</v>
      </c>
      <c r="U19" s="84" t="n">
        <v>0</v>
      </c>
      <c r="V19" s="82" t="n">
        <v>11.932236294712</v>
      </c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43"/>
    </row>
    <row r="20" customFormat="false" ht="12.95" hidden="false" customHeight="true" outlineLevel="0" collapsed="false">
      <c r="A20" s="83" t="s">
        <v>533</v>
      </c>
      <c r="B20" s="191" t="s">
        <v>534</v>
      </c>
      <c r="C20" s="192" t="s">
        <v>535</v>
      </c>
      <c r="D20" s="193" t="n">
        <v>37101</v>
      </c>
      <c r="E20" s="82" t="n">
        <v>46.6750038083969</v>
      </c>
      <c r="F20" s="82" t="n">
        <v>128.036000864418</v>
      </c>
      <c r="G20" s="82" t="n">
        <v>84.6091433409738</v>
      </c>
      <c r="H20" s="82" t="n">
        <v>1480.0648494</v>
      </c>
      <c r="I20" s="82" t="n">
        <v>1765.8058494</v>
      </c>
      <c r="J20" s="82" t="n">
        <v>1.129084</v>
      </c>
      <c r="K20" s="82" t="n">
        <v>1310.85450630777</v>
      </c>
      <c r="L20" s="82" t="n">
        <v>1563.92779403481</v>
      </c>
      <c r="M20" s="83" t="n">
        <v>18.2172839506173</v>
      </c>
      <c r="N20" s="83" t="n">
        <v>16.0391304347826</v>
      </c>
      <c r="O20" s="83" t="n">
        <v>8.28988764044944</v>
      </c>
      <c r="P20" s="83" t="n">
        <v>7.80740740740741</v>
      </c>
      <c r="Q20" s="83" t="n">
        <v>8.10002683211009</v>
      </c>
      <c r="R20" s="83" t="n">
        <v>7.7788803938326</v>
      </c>
      <c r="S20" s="84" t="n">
        <v>0.594201253617187</v>
      </c>
      <c r="T20" s="83" t="n">
        <v>3.74893577797141</v>
      </c>
      <c r="U20" s="84" t="n">
        <v>0.02580645</v>
      </c>
      <c r="V20" s="82" t="n">
        <v>28.084722</v>
      </c>
      <c r="AA20" s="5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43"/>
    </row>
    <row r="21" customFormat="false" ht="12.95" hidden="false" customHeight="true" outlineLevel="0" collapsed="false">
      <c r="A21" s="83" t="s">
        <v>536</v>
      </c>
      <c r="B21" s="191" t="s">
        <v>537</v>
      </c>
      <c r="C21" s="192" t="s">
        <v>538</v>
      </c>
      <c r="D21" s="193" t="n">
        <v>37101</v>
      </c>
      <c r="E21" s="82" t="n">
        <v>6.16474874483494</v>
      </c>
      <c r="F21" s="82" t="n">
        <v>12.4794897143111</v>
      </c>
      <c r="G21" s="82" t="n">
        <v>5.77598080597148</v>
      </c>
      <c r="H21" s="82" t="n">
        <v>5918.18256</v>
      </c>
      <c r="I21" s="82" t="n">
        <v>12024.18256</v>
      </c>
      <c r="J21" s="82" t="n">
        <v>9.0028</v>
      </c>
      <c r="K21" s="82" t="n">
        <v>657.371324476829</v>
      </c>
      <c r="L21" s="82" t="n">
        <v>1335.60476296263</v>
      </c>
      <c r="M21" s="83" t="n">
        <v>10.082082725724</v>
      </c>
      <c r="N21" s="83" t="n">
        <v>6.99548765957447</v>
      </c>
      <c r="O21" s="83" t="n">
        <v>3.65952421469206</v>
      </c>
      <c r="P21" s="83" t="n">
        <v>3.11581686848478</v>
      </c>
      <c r="Q21" s="83" t="n">
        <v>5.27353298539538</v>
      </c>
      <c r="R21" s="83" t="n">
        <v>4.50799781052</v>
      </c>
      <c r="S21" s="84" t="n">
        <v>0.55337147030185</v>
      </c>
      <c r="T21" s="83" t="n">
        <v>0.816413651538143</v>
      </c>
      <c r="U21" s="84" t="n">
        <v>0</v>
      </c>
      <c r="V21" s="82" t="n">
        <v>106.63392</v>
      </c>
      <c r="AA21" s="5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43"/>
    </row>
    <row r="22" customFormat="false" ht="12.95" hidden="false" customHeight="true" outlineLevel="0" collapsed="false">
      <c r="A22" s="105" t="s">
        <v>539</v>
      </c>
      <c r="B22" s="194" t="s">
        <v>540</v>
      </c>
      <c r="C22" s="195" t="s">
        <v>541</v>
      </c>
      <c r="D22" s="196" t="n">
        <v>37101</v>
      </c>
      <c r="E22" s="107" t="n">
        <v>5.61517123615249</v>
      </c>
      <c r="F22" s="107" t="n">
        <v>6.81968700605367</v>
      </c>
      <c r="G22" s="107" t="n">
        <v>4.31323094795931</v>
      </c>
      <c r="H22" s="107" t="n">
        <v>2789.74582</v>
      </c>
      <c r="I22" s="107" t="n">
        <v>3366.74582</v>
      </c>
      <c r="J22" s="107" t="n">
        <v>1.129084</v>
      </c>
      <c r="K22" s="107" t="n">
        <v>2470.80449284553</v>
      </c>
      <c r="L22" s="107" t="n">
        <v>2981.8382157572</v>
      </c>
      <c r="M22" s="105" t="n">
        <v>17.656619113924</v>
      </c>
      <c r="N22" s="105" t="n">
        <v>13.3353050669216</v>
      </c>
      <c r="O22" s="105" t="n">
        <v>9.14670760655738</v>
      </c>
      <c r="P22" s="105" t="n">
        <v>7.60563200654308</v>
      </c>
      <c r="Q22" s="105" t="n">
        <v>8.47619793554884</v>
      </c>
      <c r="R22" s="105" t="n">
        <v>7.14050014846236</v>
      </c>
      <c r="S22" s="106" t="n">
        <v>0.354640442532268</v>
      </c>
      <c r="T22" s="105" t="n">
        <v>2.65690078095238</v>
      </c>
      <c r="U22" s="106" t="n">
        <v>0.009779179</v>
      </c>
      <c r="V22" s="107" t="n">
        <v>440.023</v>
      </c>
      <c r="AA22" s="5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97"/>
    </row>
    <row r="23" customFormat="false" ht="12.95" hidden="false" customHeight="true" outlineLevel="0" collapsed="false">
      <c r="A23" s="83" t="s">
        <v>542</v>
      </c>
      <c r="B23" s="191" t="s">
        <v>543</v>
      </c>
      <c r="C23" s="192" t="s">
        <v>544</v>
      </c>
      <c r="D23" s="81" t="n">
        <v>37101</v>
      </c>
      <c r="E23" s="82" t="n">
        <v>11.5</v>
      </c>
      <c r="F23" s="82" t="n">
        <v>16</v>
      </c>
      <c r="G23" s="82" t="n">
        <v>8.375</v>
      </c>
      <c r="H23" s="82" t="n">
        <v>1005.8305314864</v>
      </c>
      <c r="I23" s="82" t="n">
        <v>1293.7795314864</v>
      </c>
      <c r="J23" s="82" t="n">
        <v>1</v>
      </c>
      <c r="K23" s="82" t="n">
        <v>1005.8305314864</v>
      </c>
      <c r="L23" s="82" t="n">
        <v>1293.7795314864</v>
      </c>
      <c r="M23" s="83" t="s">
        <v>169</v>
      </c>
      <c r="N23" s="83" t="n">
        <v>21.059375</v>
      </c>
      <c r="O23" s="83" t="n">
        <v>9.77124342253094</v>
      </c>
      <c r="P23" s="83" t="n">
        <v>7.10281926352175</v>
      </c>
      <c r="Q23" s="83" t="n">
        <v>9.09501365553245</v>
      </c>
      <c r="R23" s="83" t="n">
        <v>7.29643245260405</v>
      </c>
      <c r="S23" s="84" t="n">
        <v>0.305344018395518</v>
      </c>
      <c r="T23" s="83" t="n">
        <v>1.50247521691182</v>
      </c>
      <c r="U23" s="84" t="n">
        <v>0</v>
      </c>
      <c r="V23" s="82" t="n">
        <v>87.4635244770783</v>
      </c>
      <c r="W23" s="11"/>
      <c r="X23" s="11"/>
      <c r="Y23" s="11"/>
      <c r="Z23" s="11"/>
      <c r="AA23" s="5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</row>
    <row r="24" customFormat="false" ht="12.95" hidden="false" customHeight="true" outlineLevel="0" collapsed="false">
      <c r="A24" s="83"/>
      <c r="B24" s="80"/>
      <c r="C24" s="83"/>
      <c r="D24" s="81"/>
      <c r="E24" s="82"/>
      <c r="F24" s="82"/>
      <c r="G24" s="82"/>
      <c r="H24" s="82"/>
      <c r="I24" s="82"/>
      <c r="J24" s="82"/>
      <c r="K24" s="82"/>
      <c r="L24" s="82"/>
      <c r="M24" s="83"/>
      <c r="N24" s="83"/>
      <c r="O24" s="83"/>
      <c r="P24" s="83"/>
      <c r="Q24" s="83"/>
      <c r="R24" s="83"/>
      <c r="S24" s="84"/>
      <c r="T24" s="83"/>
      <c r="U24" s="84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</row>
    <row r="25" customFormat="false" ht="12.95" hidden="false" customHeight="true" outlineLevel="0" collapsed="false">
      <c r="B25" s="90"/>
      <c r="C25" s="91"/>
      <c r="D25" s="92"/>
      <c r="E25" s="85"/>
      <c r="F25" s="85"/>
      <c r="G25" s="85"/>
      <c r="H25" s="85"/>
      <c r="I25" s="85"/>
      <c r="J25" s="85"/>
      <c r="K25" s="93"/>
      <c r="L25" s="93"/>
      <c r="M25" s="94"/>
      <c r="N25" s="94"/>
      <c r="O25" s="94"/>
      <c r="P25" s="94"/>
      <c r="Q25" s="94"/>
      <c r="R25" s="94"/>
      <c r="S25" s="29"/>
      <c r="T25" s="94"/>
      <c r="U25" s="29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</row>
    <row r="26" customFormat="false" ht="13.5" hidden="false" customHeight="true" outlineLevel="0" collapsed="false">
      <c r="C26" s="39"/>
      <c r="D26" s="39"/>
      <c r="E26" s="39"/>
      <c r="F26" s="39"/>
      <c r="G26" s="39"/>
      <c r="H26" s="39"/>
      <c r="I26" s="39"/>
      <c r="J26" s="39"/>
      <c r="K26" s="39"/>
      <c r="L26" s="96" t="s">
        <v>56</v>
      </c>
      <c r="M26" s="97" t="n">
        <v>24.9388149087581</v>
      </c>
      <c r="N26" s="97" t="n">
        <v>17.5015564551693</v>
      </c>
      <c r="O26" s="97" t="n">
        <v>10.8138791461266</v>
      </c>
      <c r="P26" s="97" t="n">
        <v>7.82280026088259</v>
      </c>
      <c r="Q26" s="97" t="n">
        <v>9.77506015762286</v>
      </c>
      <c r="R26" s="97" t="n">
        <v>7.28416793521702</v>
      </c>
      <c r="S26" s="98" t="n">
        <v>0.446946146432589</v>
      </c>
      <c r="T26" s="97" t="n">
        <v>3.46891910498533</v>
      </c>
      <c r="U26" s="198" t="n">
        <v>0.0186672933333333</v>
      </c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</row>
    <row r="27" customFormat="false" ht="12.95" hidden="false" customHeight="true" outlineLevel="0" collapsed="false">
      <c r="C27" s="39"/>
      <c r="D27" s="39"/>
      <c r="E27" s="39"/>
      <c r="F27" s="39"/>
      <c r="G27" s="39"/>
      <c r="H27" s="39"/>
      <c r="I27" s="39"/>
      <c r="J27" s="39"/>
      <c r="K27" s="39"/>
      <c r="L27" s="102" t="s">
        <v>57</v>
      </c>
      <c r="M27" s="83" t="n">
        <v>25.8107142857143</v>
      </c>
      <c r="N27" s="83" t="n">
        <v>15.8229239629378</v>
      </c>
      <c r="O27" s="83" t="n">
        <v>10.5848735339833</v>
      </c>
      <c r="P27" s="83" t="n">
        <v>8.84165423365737</v>
      </c>
      <c r="Q27" s="83" t="n">
        <v>8.87236448907217</v>
      </c>
      <c r="R27" s="83" t="n">
        <v>6.99614190680589</v>
      </c>
      <c r="S27" s="84" t="n">
        <v>0.478797698511149</v>
      </c>
      <c r="T27" s="83" t="n">
        <v>3.12757754307787</v>
      </c>
      <c r="U27" s="199" t="n">
        <v>0.010273965</v>
      </c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</row>
    <row r="28" customFormat="false" ht="12.95" hidden="false" customHeight="true" outlineLevel="0" collapsed="false">
      <c r="C28" s="39"/>
      <c r="D28" s="39"/>
      <c r="E28" s="39"/>
      <c r="F28" s="39"/>
      <c r="G28" s="39"/>
      <c r="H28" s="39"/>
      <c r="I28" s="39"/>
      <c r="J28" s="39"/>
      <c r="K28" s="39"/>
      <c r="L28" s="102" t="s">
        <v>26</v>
      </c>
      <c r="M28" s="83" t="n">
        <v>34.8964987398374</v>
      </c>
      <c r="N28" s="83" t="n">
        <v>37.2793026941363</v>
      </c>
      <c r="O28" s="83" t="n">
        <v>16.7544444444445</v>
      </c>
      <c r="P28" s="83" t="n">
        <v>11.5190052868165</v>
      </c>
      <c r="Q28" s="83" t="n">
        <v>16.5324510514866</v>
      </c>
      <c r="R28" s="83" t="n">
        <v>10.1348077350522</v>
      </c>
      <c r="S28" s="84" t="n">
        <v>0.720097684094566</v>
      </c>
      <c r="T28" s="83" t="n">
        <v>8.6201781983314</v>
      </c>
      <c r="U28" s="199" t="n">
        <v>0.06790123</v>
      </c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</row>
    <row r="29" customFormat="false" ht="12.95" hidden="false" customHeight="true" outlineLevel="0" collapsed="false">
      <c r="C29" s="39"/>
      <c r="D29" s="39"/>
      <c r="E29" s="39"/>
      <c r="F29" s="39"/>
      <c r="G29" s="39"/>
      <c r="H29" s="39"/>
      <c r="I29" s="39"/>
      <c r="J29" s="39"/>
      <c r="K29" s="39"/>
      <c r="L29" s="104" t="s">
        <v>27</v>
      </c>
      <c r="M29" s="105" t="n">
        <v>12.4384392523365</v>
      </c>
      <c r="N29" s="105" t="n">
        <v>5.69028169014085</v>
      </c>
      <c r="O29" s="105" t="n">
        <v>3.84405328258801</v>
      </c>
      <c r="P29" s="105" t="n">
        <v>2.51876558603491</v>
      </c>
      <c r="Q29" s="105" t="n">
        <v>6.57947185736152</v>
      </c>
      <c r="R29" s="105" t="n">
        <v>4.63338140942864</v>
      </c>
      <c r="S29" s="106" t="n">
        <v>0.146408334856516</v>
      </c>
      <c r="T29" s="105" t="n">
        <v>0.64427186323914</v>
      </c>
      <c r="U29" s="200" t="n">
        <v>0</v>
      </c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</row>
    <row r="30" customFormat="false" ht="12.95" hidden="false" customHeight="true" outlineLevel="0" collapsed="false"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</row>
    <row r="31" customFormat="false" ht="12.95" hidden="true" customHeight="true" outlineLevel="1" collapsed="false">
      <c r="A31" s="72"/>
      <c r="B31" s="72"/>
      <c r="C31" s="110"/>
      <c r="D31" s="110"/>
      <c r="E31" s="110" t="s">
        <v>182</v>
      </c>
      <c r="F31" s="110" t="s">
        <v>183</v>
      </c>
      <c r="G31" s="110" t="s">
        <v>184</v>
      </c>
      <c r="H31" s="110"/>
      <c r="I31" s="110"/>
      <c r="J31" s="110"/>
      <c r="K31" s="110" t="s">
        <v>185</v>
      </c>
      <c r="L31" s="110" t="s">
        <v>545</v>
      </c>
      <c r="M31" s="110" t="s">
        <v>186</v>
      </c>
      <c r="N31" s="110" t="s">
        <v>187</v>
      </c>
      <c r="O31" s="110"/>
      <c r="P31" s="110"/>
      <c r="Q31" s="110" t="s">
        <v>188</v>
      </c>
      <c r="R31" s="110" t="s">
        <v>189</v>
      </c>
      <c r="S31" s="110" t="s">
        <v>190</v>
      </c>
      <c r="T31" s="110"/>
      <c r="U31" s="110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72"/>
      <c r="IW31" s="72"/>
    </row>
    <row r="32" customFormat="false" ht="12.95" hidden="false" customHeight="true" outlineLevel="0" collapsed="false">
      <c r="C32" s="39"/>
      <c r="D32" s="39"/>
      <c r="E32" s="39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</row>
    <row r="33" customFormat="false" ht="12.95" hidden="false" customHeight="true" outlineLevel="0" collapsed="false">
      <c r="B33" s="43"/>
      <c r="C33" s="13" t="s">
        <v>191</v>
      </c>
      <c r="D33" s="13"/>
      <c r="E33" s="13" t="s">
        <v>60</v>
      </c>
      <c r="F33" s="13"/>
      <c r="G33" s="13"/>
      <c r="H33" s="13"/>
      <c r="I33" s="13"/>
      <c r="J33" s="13"/>
      <c r="K33" s="13" t="s">
        <v>61</v>
      </c>
      <c r="L33" s="13"/>
      <c r="M33" s="13" t="s">
        <v>62</v>
      </c>
      <c r="N33" s="13"/>
      <c r="P33" s="43"/>
      <c r="Q33" s="13"/>
      <c r="R33" s="13"/>
      <c r="S33" s="13"/>
      <c r="T33" s="13"/>
      <c r="U33" s="43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</row>
    <row r="34" customFormat="false" ht="12.95" hidden="false" customHeight="true" outlineLevel="0" collapsed="false">
      <c r="B34" s="43"/>
      <c r="C34" s="79" t="s">
        <v>40</v>
      </c>
      <c r="D34" s="79"/>
      <c r="E34" s="79" t="s">
        <v>40</v>
      </c>
      <c r="F34" s="79"/>
      <c r="G34" s="79"/>
      <c r="H34" s="79"/>
      <c r="I34" s="79"/>
      <c r="J34" s="79"/>
      <c r="K34" s="79" t="s">
        <v>40</v>
      </c>
      <c r="L34" s="79"/>
      <c r="M34" s="79" t="s">
        <v>40</v>
      </c>
      <c r="N34" s="79"/>
      <c r="P34" s="43"/>
      <c r="Q34" s="13"/>
      <c r="R34" s="13"/>
      <c r="S34" s="13"/>
      <c r="T34" s="13"/>
      <c r="U34" s="43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</row>
    <row r="35" customFormat="false" ht="12.95" hidden="false" customHeight="true" outlineLevel="0" collapsed="false">
      <c r="C35" s="11"/>
      <c r="D35" s="11"/>
      <c r="E35" s="13" t="s">
        <v>65</v>
      </c>
      <c r="F35" s="13" t="s">
        <v>66</v>
      </c>
      <c r="G35" s="13" t="s">
        <v>8</v>
      </c>
      <c r="H35" s="13"/>
      <c r="I35" s="13"/>
      <c r="J35" s="13"/>
      <c r="K35" s="11"/>
      <c r="P35" s="43"/>
      <c r="Q35" s="13"/>
      <c r="R35" s="13"/>
      <c r="S35" s="13"/>
      <c r="T35" s="13"/>
      <c r="U35" s="43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</row>
    <row r="36" customFormat="false" ht="12.95" hidden="false" customHeight="true" outlineLevel="0" collapsed="false">
      <c r="B36" s="11" t="s">
        <v>22</v>
      </c>
      <c r="C36" s="11" t="s">
        <v>76</v>
      </c>
      <c r="D36" s="11" t="s">
        <v>77</v>
      </c>
      <c r="E36" s="11" t="s">
        <v>78</v>
      </c>
      <c r="F36" s="11" t="s">
        <v>79</v>
      </c>
      <c r="G36" s="11" t="s">
        <v>80</v>
      </c>
      <c r="H36" s="11"/>
      <c r="I36" s="11"/>
      <c r="J36" s="11"/>
      <c r="K36" s="11" t="s">
        <v>81</v>
      </c>
      <c r="L36" s="11" t="s">
        <v>8</v>
      </c>
      <c r="M36" s="11" t="s">
        <v>82</v>
      </c>
      <c r="N36" s="11" t="s">
        <v>83</v>
      </c>
      <c r="P36" s="43"/>
      <c r="Q36" s="13"/>
      <c r="R36" s="13"/>
      <c r="S36" s="13"/>
      <c r="T36" s="13"/>
      <c r="U36" s="43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  <c r="IJ36" s="11"/>
      <c r="IK36" s="11"/>
      <c r="IL36" s="11"/>
      <c r="IM36" s="11"/>
      <c r="IN36" s="11"/>
      <c r="IO36" s="11"/>
      <c r="IP36" s="11"/>
      <c r="IQ36" s="11"/>
      <c r="IR36" s="11"/>
      <c r="IS36" s="11"/>
      <c r="IT36" s="11"/>
      <c r="IU36" s="11"/>
    </row>
    <row r="37" customFormat="false" ht="12.95" hidden="false" customHeight="true" outlineLevel="0" collapsed="false">
      <c r="B37" s="78" t="s">
        <v>40</v>
      </c>
      <c r="C37" s="78" t="s">
        <v>40</v>
      </c>
      <c r="D37" s="78" t="s">
        <v>40</v>
      </c>
      <c r="E37" s="78" t="s">
        <v>40</v>
      </c>
      <c r="F37" s="78" t="s">
        <v>40</v>
      </c>
      <c r="G37" s="79" t="s">
        <v>40</v>
      </c>
      <c r="H37" s="79"/>
      <c r="I37" s="79"/>
      <c r="J37" s="79"/>
      <c r="K37" s="78" t="s">
        <v>40</v>
      </c>
      <c r="L37" s="78" t="s">
        <v>40</v>
      </c>
      <c r="M37" s="78" t="s">
        <v>40</v>
      </c>
      <c r="N37" s="78" t="s">
        <v>40</v>
      </c>
      <c r="P37" s="43"/>
      <c r="Q37" s="13"/>
      <c r="R37" s="13"/>
      <c r="S37" s="13"/>
      <c r="T37" s="13"/>
      <c r="U37" s="43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  <c r="IJ37" s="11"/>
      <c r="IK37" s="11"/>
      <c r="IL37" s="11"/>
      <c r="IM37" s="11"/>
      <c r="IN37" s="11"/>
      <c r="IO37" s="11"/>
      <c r="IP37" s="11"/>
      <c r="IQ37" s="11"/>
      <c r="IR37" s="11"/>
      <c r="IS37" s="11"/>
      <c r="IT37" s="11"/>
      <c r="IU37" s="11"/>
      <c r="IV37" s="11"/>
    </row>
    <row r="38" customFormat="false" ht="12.95" hidden="false" customHeight="true" outlineLevel="0" collapsed="false">
      <c r="B38" s="116" t="s">
        <v>511</v>
      </c>
      <c r="C38" s="10" t="s">
        <v>546</v>
      </c>
      <c r="D38" s="40" t="s">
        <v>547</v>
      </c>
      <c r="E38" s="82" t="s">
        <v>548</v>
      </c>
      <c r="F38" s="82" t="s">
        <v>96</v>
      </c>
      <c r="G38" s="117" t="n">
        <v>37090</v>
      </c>
      <c r="H38" s="82" t="e">
        <f aca="false"/>
        <v>#REF!</v>
      </c>
      <c r="I38" s="82" t="e">
        <f aca="false"/>
        <v>#REF!</v>
      </c>
      <c r="J38" s="82" t="e">
        <f aca="false"/>
        <v>#REF!</v>
      </c>
      <c r="K38" s="82" t="s">
        <v>232</v>
      </c>
      <c r="L38" s="201" t="n">
        <v>37041</v>
      </c>
      <c r="M38" s="84" t="n">
        <v>0.421052631578947</v>
      </c>
      <c r="N38" s="84" t="n">
        <v>0.08</v>
      </c>
      <c r="O38" s="11"/>
      <c r="P38" s="13"/>
      <c r="Q38" s="13"/>
      <c r="R38" s="13"/>
      <c r="S38" s="13"/>
      <c r="T38" s="13"/>
      <c r="U38" s="43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</row>
    <row r="39" customFormat="false" ht="12.95" hidden="false" customHeight="true" outlineLevel="0" collapsed="false">
      <c r="B39" s="116" t="s">
        <v>513</v>
      </c>
      <c r="C39" s="10" t="s">
        <v>546</v>
      </c>
      <c r="D39" s="40" t="s">
        <v>547</v>
      </c>
      <c r="E39" s="82" t="s">
        <v>549</v>
      </c>
      <c r="F39" s="82" t="s">
        <v>232</v>
      </c>
      <c r="G39" s="117" t="n">
        <v>36958</v>
      </c>
      <c r="H39" s="82" t="e">
        <f aca="false"/>
        <v>#REF!</v>
      </c>
      <c r="I39" s="82" t="e">
        <f aca="false"/>
        <v>#REF!</v>
      </c>
      <c r="J39" s="82" t="e">
        <f aca="false"/>
        <v>#REF!</v>
      </c>
      <c r="K39" s="82" t="s">
        <v>232</v>
      </c>
      <c r="L39" s="201" t="n">
        <v>37041</v>
      </c>
      <c r="M39" s="84" t="n">
        <v>-0.167557932263815</v>
      </c>
      <c r="N39" s="84" t="n">
        <v>-0.0270833333333333</v>
      </c>
      <c r="O39" s="11"/>
      <c r="P39" s="202"/>
      <c r="Q39" s="13"/>
      <c r="R39" s="13"/>
      <c r="S39" s="13"/>
      <c r="T39" s="13"/>
      <c r="U39" s="43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  <c r="IL39" s="11"/>
      <c r="IM39" s="11"/>
      <c r="IN39" s="11"/>
      <c r="IO39" s="11"/>
      <c r="IP39" s="11"/>
      <c r="IQ39" s="11"/>
      <c r="IR39" s="11"/>
      <c r="IS39" s="11"/>
      <c r="IT39" s="11"/>
      <c r="IU39" s="11"/>
      <c r="IV39" s="11"/>
    </row>
    <row r="40" customFormat="false" ht="12.95" hidden="false" customHeight="true" outlineLevel="0" collapsed="false">
      <c r="A40" s="11"/>
      <c r="B40" s="116" t="s">
        <v>516</v>
      </c>
      <c r="C40" s="10" t="s">
        <v>546</v>
      </c>
      <c r="D40" s="40" t="s">
        <v>547</v>
      </c>
      <c r="E40" s="82" t="s">
        <v>548</v>
      </c>
      <c r="F40" s="82" t="s">
        <v>232</v>
      </c>
      <c r="G40" s="117" t="n">
        <v>37027</v>
      </c>
      <c r="H40" s="82" t="e">
        <f aca="false"/>
        <v>#REF!</v>
      </c>
      <c r="I40" s="82" t="e">
        <f aca="false"/>
        <v>#REF!</v>
      </c>
      <c r="J40" s="82" t="e">
        <f aca="false"/>
        <v>#REF!</v>
      </c>
      <c r="K40" s="82" t="s">
        <v>550</v>
      </c>
      <c r="L40" s="201" t="n">
        <v>37032</v>
      </c>
      <c r="M40" s="84" t="n">
        <v>0.467741935483871</v>
      </c>
      <c r="N40" s="84" t="n">
        <v>-0.00655021834061145</v>
      </c>
      <c r="O40" s="11"/>
      <c r="P40" s="13"/>
      <c r="Q40" s="13"/>
      <c r="R40" s="13"/>
      <c r="S40" s="13"/>
      <c r="T40" s="13"/>
      <c r="U40" s="43"/>
      <c r="AB40" s="11"/>
      <c r="AC40" s="11"/>
      <c r="AD40" s="11"/>
      <c r="AE40" s="11"/>
      <c r="AF40" s="11"/>
      <c r="AG40" s="11"/>
      <c r="IW40" s="11"/>
    </row>
    <row r="41" customFormat="false" ht="12.95" hidden="false" customHeight="true" outlineLevel="0" collapsed="false">
      <c r="B41" s="116" t="s">
        <v>519</v>
      </c>
      <c r="C41" s="10" t="s">
        <v>546</v>
      </c>
      <c r="D41" s="40" t="s">
        <v>547</v>
      </c>
      <c r="E41" s="82" t="s">
        <v>548</v>
      </c>
      <c r="F41" s="82" t="s">
        <v>96</v>
      </c>
      <c r="G41" s="117" t="n">
        <v>37098</v>
      </c>
      <c r="H41" s="82" t="e">
        <f aca="false"/>
        <v>#REF!</v>
      </c>
      <c r="I41" s="82" t="e">
        <f aca="false"/>
        <v>#REF!</v>
      </c>
      <c r="J41" s="82" t="e">
        <f aca="false"/>
        <v>#REF!</v>
      </c>
      <c r="K41" s="82" t="s">
        <v>232</v>
      </c>
      <c r="L41" s="201" t="n">
        <v>37041</v>
      </c>
      <c r="M41" s="84" t="n">
        <v>-0.113636363636364</v>
      </c>
      <c r="N41" s="84" t="n">
        <v>0.00515463917525762</v>
      </c>
      <c r="O41" s="11"/>
      <c r="P41" s="202"/>
      <c r="Q41" s="13"/>
      <c r="R41" s="13"/>
      <c r="S41" s="13"/>
      <c r="T41" s="13"/>
      <c r="U41" s="43"/>
    </row>
    <row r="42" customFormat="false" ht="12.75" hidden="false" customHeight="true" outlineLevel="0" collapsed="false">
      <c r="B42" s="116" t="s">
        <v>522</v>
      </c>
      <c r="C42" s="10" t="s">
        <v>546</v>
      </c>
      <c r="D42" s="40" t="s">
        <v>547</v>
      </c>
      <c r="E42" s="82" t="s">
        <v>549</v>
      </c>
      <c r="F42" s="82" t="s">
        <v>232</v>
      </c>
      <c r="G42" s="117" t="n">
        <v>37049</v>
      </c>
      <c r="H42" s="82" t="e">
        <f aca="false"/>
        <v>#REF!</v>
      </c>
      <c r="I42" s="82" t="e">
        <f aca="false"/>
        <v>#REF!</v>
      </c>
      <c r="J42" s="82" t="e">
        <f aca="false"/>
        <v>#REF!</v>
      </c>
      <c r="K42" s="82" t="s">
        <v>232</v>
      </c>
      <c r="L42" s="201" t="n">
        <v>37041</v>
      </c>
      <c r="M42" s="84" t="n">
        <v>0.134715025906736</v>
      </c>
      <c r="N42" s="84" t="n">
        <v>0.0233644859813084</v>
      </c>
      <c r="O42" s="11"/>
      <c r="P42" s="202"/>
      <c r="Q42" s="84"/>
      <c r="R42" s="83"/>
      <c r="S42" s="118"/>
      <c r="T42" s="84"/>
      <c r="U42" s="135"/>
    </row>
    <row r="43" customFormat="false" ht="12.75" hidden="false" customHeight="false" outlineLevel="0" collapsed="false">
      <c r="B43" s="116" t="s">
        <v>525</v>
      </c>
      <c r="C43" s="10" t="s">
        <v>546</v>
      </c>
      <c r="D43" s="40" t="s">
        <v>547</v>
      </c>
      <c r="E43" s="82" t="s">
        <v>549</v>
      </c>
      <c r="F43" s="82" t="s">
        <v>232</v>
      </c>
      <c r="G43" s="117" t="n">
        <v>37027</v>
      </c>
      <c r="H43" s="82" t="e">
        <f aca="false"/>
        <v>#REF!</v>
      </c>
      <c r="I43" s="82" t="e">
        <f aca="false"/>
        <v>#REF!</v>
      </c>
      <c r="J43" s="82" t="e">
        <f aca="false"/>
        <v>#REF!</v>
      </c>
      <c r="K43" s="82" t="s">
        <v>232</v>
      </c>
      <c r="L43" s="201" t="n">
        <v>37041</v>
      </c>
      <c r="M43" s="84" t="n">
        <v>-0.0563380281690141</v>
      </c>
      <c r="N43" s="84" t="n">
        <v>-0.0563380281690141</v>
      </c>
      <c r="O43" s="11"/>
      <c r="P43" s="202"/>
      <c r="Q43" s="84"/>
      <c r="R43" s="83"/>
      <c r="S43" s="118"/>
      <c r="T43" s="84"/>
      <c r="U43" s="135"/>
    </row>
    <row r="44" customFormat="false" ht="12" hidden="false" customHeight="true" outlineLevel="0" collapsed="false">
      <c r="B44" s="116" t="s">
        <v>528</v>
      </c>
      <c r="C44" s="10" t="s">
        <v>546</v>
      </c>
      <c r="D44" s="40" t="s">
        <v>547</v>
      </c>
      <c r="E44" s="82" t="s">
        <v>549</v>
      </c>
      <c r="F44" s="82" t="s">
        <v>232</v>
      </c>
      <c r="G44" s="117" t="n">
        <v>37015</v>
      </c>
      <c r="H44" s="82" t="e">
        <f aca="false"/>
        <v>#REF!</v>
      </c>
      <c r="I44" s="82" t="e">
        <f aca="false"/>
        <v>#REF!</v>
      </c>
      <c r="J44" s="82" t="e">
        <f aca="false"/>
        <v>#REF!</v>
      </c>
      <c r="K44" s="82" t="s">
        <v>232</v>
      </c>
      <c r="L44" s="201" t="n">
        <v>37041</v>
      </c>
      <c r="M44" s="84" t="n">
        <v>-0.477166293396283</v>
      </c>
      <c r="N44" s="84" t="n">
        <v>-0.0111940298507463</v>
      </c>
      <c r="O44" s="11"/>
      <c r="P44" s="202"/>
      <c r="Q44" s="84"/>
      <c r="R44" s="83"/>
      <c r="S44" s="118"/>
      <c r="T44" s="84"/>
      <c r="U44" s="135"/>
    </row>
    <row r="45" customFormat="false" ht="12.75" hidden="false" customHeight="false" outlineLevel="0" collapsed="false">
      <c r="B45" s="116" t="s">
        <v>531</v>
      </c>
      <c r="C45" s="10" t="s">
        <v>546</v>
      </c>
      <c r="D45" s="40" t="s">
        <v>547</v>
      </c>
      <c r="E45" s="82" t="s">
        <v>549</v>
      </c>
      <c r="F45" s="82" t="s">
        <v>232</v>
      </c>
      <c r="G45" s="117" t="n">
        <v>37067</v>
      </c>
      <c r="H45" s="82" t="e">
        <f aca="false"/>
        <v>#REF!</v>
      </c>
      <c r="I45" s="82" t="e">
        <f aca="false"/>
        <v>#REF!</v>
      </c>
      <c r="J45" s="82" t="e">
        <f aca="false"/>
        <v>#REF!</v>
      </c>
      <c r="K45" s="82" t="s">
        <v>198</v>
      </c>
      <c r="L45" s="201" t="n">
        <v>36957</v>
      </c>
      <c r="M45" s="84" t="n">
        <v>-0.267457234940589</v>
      </c>
      <c r="N45" s="84" t="n">
        <v>0.00542501299814016</v>
      </c>
      <c r="O45" s="11"/>
      <c r="P45" s="202"/>
      <c r="Q45" s="84"/>
      <c r="R45" s="83"/>
      <c r="S45" s="118"/>
      <c r="T45" s="84"/>
      <c r="U45" s="135"/>
    </row>
    <row r="46" customFormat="false" ht="12.95" hidden="false" customHeight="true" outlineLevel="0" collapsed="false">
      <c r="A46" s="11"/>
      <c r="B46" s="116" t="s">
        <v>534</v>
      </c>
      <c r="C46" s="10" t="s">
        <v>546</v>
      </c>
      <c r="D46" s="40" t="s">
        <v>547</v>
      </c>
      <c r="E46" s="82" t="s">
        <v>548</v>
      </c>
      <c r="F46" s="82" t="s">
        <v>99</v>
      </c>
      <c r="G46" s="117" t="n">
        <v>37098</v>
      </c>
      <c r="H46" s="82" t="e">
        <f aca="false"/>
        <v>#REF!</v>
      </c>
      <c r="I46" s="82" t="e">
        <f aca="false"/>
        <v>#REF!</v>
      </c>
      <c r="J46" s="82" t="e">
        <f aca="false"/>
        <v>#REF!</v>
      </c>
      <c r="K46" s="82" t="s">
        <v>232</v>
      </c>
      <c r="L46" s="201" t="n">
        <v>37041</v>
      </c>
      <c r="M46" s="84" t="n">
        <v>0.0233009257909014</v>
      </c>
      <c r="N46" s="84" t="n">
        <v>-0.00846671823453464</v>
      </c>
      <c r="O46" s="11"/>
      <c r="P46" s="202"/>
      <c r="Q46" s="29"/>
      <c r="R46" s="203"/>
      <c r="S46" s="85"/>
      <c r="T46" s="181"/>
      <c r="U46" s="135"/>
      <c r="IW46" s="11"/>
    </row>
    <row r="47" customFormat="false" ht="12.95" hidden="false" customHeight="true" outlineLevel="0" collapsed="false">
      <c r="A47" s="11"/>
      <c r="B47" s="116" t="s">
        <v>537</v>
      </c>
      <c r="C47" s="10" t="s">
        <v>546</v>
      </c>
      <c r="D47" s="40" t="s">
        <v>547</v>
      </c>
      <c r="E47" s="82" t="s">
        <v>551</v>
      </c>
      <c r="F47" s="82" t="s">
        <v>96</v>
      </c>
      <c r="G47" s="117" t="n">
        <v>37098</v>
      </c>
      <c r="H47" s="82" t="e">
        <f aca="false"/>
        <v>#REF!</v>
      </c>
      <c r="I47" s="82" t="e">
        <f aca="false"/>
        <v>#REF!</v>
      </c>
      <c r="J47" s="82" t="e">
        <f aca="false"/>
        <v>#REF!</v>
      </c>
      <c r="K47" s="82" t="s">
        <v>202</v>
      </c>
      <c r="L47" s="201" t="n">
        <v>36958</v>
      </c>
      <c r="M47" s="84" t="n">
        <v>-0.45661049487804</v>
      </c>
      <c r="N47" s="84" t="n">
        <v>-0.00892857142857143</v>
      </c>
      <c r="O47" s="11"/>
      <c r="P47" s="181"/>
      <c r="Q47" s="83"/>
      <c r="R47" s="83"/>
      <c r="S47" s="83"/>
      <c r="T47" s="83"/>
      <c r="U47" s="135"/>
      <c r="IW47" s="11"/>
    </row>
    <row r="48" customFormat="false" ht="12.95" hidden="false" customHeight="true" outlineLevel="0" collapsed="false">
      <c r="A48" s="11"/>
      <c r="B48" s="116" t="s">
        <v>540</v>
      </c>
      <c r="C48" s="10" t="s">
        <v>546</v>
      </c>
      <c r="D48" s="40" t="s">
        <v>547</v>
      </c>
      <c r="E48" s="82" t="s">
        <v>548</v>
      </c>
      <c r="F48" s="82" t="s">
        <v>99</v>
      </c>
      <c r="G48" s="117" t="n">
        <v>37019</v>
      </c>
      <c r="H48" s="82" t="e">
        <f aca="false"/>
        <v>#REF!</v>
      </c>
      <c r="I48" s="82" t="e">
        <f aca="false"/>
        <v>#REF!</v>
      </c>
      <c r="J48" s="82" t="e">
        <f aca="false"/>
        <v>#REF!</v>
      </c>
      <c r="K48" s="82" t="s">
        <v>232</v>
      </c>
      <c r="L48" s="201" t="n">
        <v>37041</v>
      </c>
      <c r="M48" s="84" t="n">
        <v>0.0566666666666665</v>
      </c>
      <c r="N48" s="84" t="n">
        <v>0.00157978700272976</v>
      </c>
      <c r="O48" s="11"/>
      <c r="P48" s="181"/>
      <c r="Q48" s="83"/>
      <c r="R48" s="83"/>
      <c r="S48" s="83"/>
      <c r="T48" s="83"/>
      <c r="U48" s="135"/>
      <c r="IW48" s="11"/>
    </row>
    <row r="49" customFormat="false" ht="12.95" hidden="false" customHeight="true" outlineLevel="0" collapsed="false">
      <c r="A49" s="11"/>
      <c r="B49" s="116" t="s">
        <v>543</v>
      </c>
      <c r="C49" s="10" t="s">
        <v>546</v>
      </c>
      <c r="D49" s="40" t="s">
        <v>547</v>
      </c>
      <c r="E49" s="82" t="s">
        <v>549</v>
      </c>
      <c r="F49" s="82" t="s">
        <v>232</v>
      </c>
      <c r="G49" s="117" t="n">
        <v>37074</v>
      </c>
      <c r="H49" s="82" t="e">
        <f aca="false"/>
        <v>#REF!</v>
      </c>
      <c r="I49" s="82" t="e">
        <f aca="false"/>
        <v>#REF!</v>
      </c>
      <c r="J49" s="82" t="e">
        <f aca="false"/>
        <v>#REF!</v>
      </c>
      <c r="K49" s="82" t="s">
        <v>232</v>
      </c>
      <c r="L49" s="201" t="n">
        <v>37041</v>
      </c>
      <c r="M49" s="84" t="n">
        <v>-0.00540540540540541</v>
      </c>
      <c r="N49" s="84" t="n">
        <v>0.0213143872113677</v>
      </c>
      <c r="O49" s="11"/>
      <c r="P49" s="181"/>
      <c r="Q49" s="83"/>
      <c r="R49" s="83"/>
      <c r="S49" s="83"/>
      <c r="T49" s="83"/>
      <c r="U49" s="135"/>
      <c r="IW49" s="11"/>
    </row>
    <row r="50" customFormat="false" ht="12.95" hidden="false" customHeight="true" outlineLevel="0" collapsed="false">
      <c r="A50" s="11"/>
      <c r="B50" s="11"/>
      <c r="C50" s="121"/>
      <c r="D50" s="121"/>
      <c r="E50" s="12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81"/>
      <c r="Q50" s="83"/>
      <c r="R50" s="83"/>
      <c r="S50" s="83"/>
      <c r="T50" s="83"/>
      <c r="U50" s="135"/>
      <c r="IW50" s="11"/>
    </row>
    <row r="51" customFormat="false" ht="12.95" hidden="false" customHeight="true" outlineLevel="0" collapsed="false">
      <c r="A51" s="11"/>
      <c r="B51" s="18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IW51" s="11"/>
    </row>
    <row r="52" customFormat="false" ht="12.95" hidden="false" customHeight="true" outlineLevel="0" collapsed="false">
      <c r="A52" s="11"/>
      <c r="B52" s="40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IW52" s="11"/>
    </row>
    <row r="53" customFormat="false" ht="12.95" hidden="false" customHeight="true" outlineLevel="0" collapsed="false">
      <c r="A53" s="11"/>
      <c r="B53" s="40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IW53" s="11"/>
    </row>
    <row r="54" customFormat="false" ht="12.95" hidden="false" customHeight="true" outlineLevel="0" collapsed="false">
      <c r="A54" s="11"/>
      <c r="B54" s="40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IW54" s="11"/>
    </row>
    <row r="55" customFormat="false" ht="12.95" hidden="false" customHeight="true" outlineLevel="0" collapsed="false">
      <c r="A55" s="11"/>
      <c r="B55" s="40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IW55" s="11"/>
    </row>
    <row r="56" customFormat="false" ht="12.95" hidden="false" customHeight="true" outlineLevel="0" collapsed="false">
      <c r="A56" s="11"/>
      <c r="B56" s="40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IW56" s="11"/>
    </row>
    <row r="57" customFormat="false" ht="12.95" hidden="false" customHeight="true" outlineLevel="0" collapsed="false">
      <c r="A57" s="11"/>
      <c r="B57" s="40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IW57" s="11"/>
    </row>
    <row r="58" customFormat="false" ht="12.95" hidden="false" customHeight="true" outlineLevel="0" collapsed="false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IW58" s="11"/>
    </row>
    <row r="59" customFormat="false" ht="12.95" hidden="false" customHeight="true" outlineLevel="0" collapsed="false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IW59" s="11"/>
    </row>
    <row r="60" customFormat="false" ht="12.95" hidden="false" customHeight="true" outlineLevel="0" collapsed="false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IW60" s="11"/>
    </row>
    <row r="61" customFormat="false" ht="12.95" hidden="false" customHeight="true" outlineLevel="0" collapsed="false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IW61" s="11"/>
    </row>
    <row r="62" customFormat="false" ht="12.95" hidden="false" customHeight="true" outlineLevel="0" collapsed="false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IW62" s="11"/>
    </row>
    <row r="63" customFormat="false" ht="12.95" hidden="false" customHeight="true" outlineLevel="0" collapsed="false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IW63" s="11"/>
    </row>
    <row r="64" customFormat="false" ht="12.95" hidden="false" customHeight="true" outlineLevel="0" collapsed="false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IW64" s="11"/>
    </row>
    <row r="65" customFormat="false" ht="12.95" hidden="false" customHeight="true" outlineLevel="0" collapsed="false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IW65" s="11"/>
    </row>
    <row r="66" customFormat="false" ht="12.95" hidden="false" customHeight="true" outlineLevel="0" collapsed="false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IW66" s="11"/>
    </row>
    <row r="67" customFormat="false" ht="12.95" hidden="false" customHeight="true" outlineLevel="0" collapsed="false">
      <c r="A67" s="11"/>
      <c r="IW67" s="11"/>
    </row>
    <row r="68" customFormat="false" ht="12.95" hidden="false" customHeight="true" outlineLevel="0" collapsed="false"/>
    <row r="69" customFormat="false" ht="12.95" hidden="false" customHeight="true" outlineLevel="0" collapsed="false"/>
    <row r="70" customFormat="false" ht="12.95" hidden="false" customHeight="true" outlineLevel="0" collapsed="false"/>
    <row r="71" customFormat="false" ht="12.95" hidden="false" customHeight="true" outlineLevel="0" collapsed="false"/>
    <row r="72" customFormat="false" ht="12.95" hidden="false" customHeight="true" outlineLevel="0" collapsed="false"/>
    <row r="73" customFormat="false" ht="12.95" hidden="false" customHeight="true" outlineLevel="0" collapsed="false"/>
    <row r="74" customFormat="false" ht="12.95" hidden="false" customHeight="true" outlineLevel="0" collapsed="false"/>
    <row r="75" customFormat="false" ht="12.95" hidden="false" customHeight="true" outlineLevel="0" collapsed="false"/>
    <row r="76" customFormat="false" ht="12.95" hidden="false" customHeight="true" outlineLevel="0" collapsed="false"/>
    <row r="77" customFormat="false" ht="12.95" hidden="false" customHeight="true" outlineLevel="0" collapsed="false"/>
    <row r="78" customFormat="false" ht="12.95" hidden="false" customHeight="true" outlineLevel="0" collapsed="false"/>
    <row r="79" customFormat="false" ht="12.95" hidden="false" customHeight="true" outlineLevel="0" collapsed="false"/>
    <row r="80" customFormat="false" ht="12.95" hidden="false" customHeight="true" outlineLevel="0" collapsed="false"/>
    <row r="81" customFormat="false" ht="12.95" hidden="false" customHeight="true" outlineLevel="0" collapsed="false"/>
    <row r="82" customFormat="false" ht="12.95" hidden="false" customHeight="true" outlineLevel="0" collapsed="false"/>
    <row r="83" customFormat="false" ht="12.95" hidden="false" customHeight="true" outlineLevel="0" collapsed="false"/>
    <row r="84" customFormat="false" ht="12.95" hidden="false" customHeight="true" outlineLevel="0" collapsed="false"/>
    <row r="85" customFormat="false" ht="12.95" hidden="false" customHeight="true" outlineLevel="0" collapsed="false"/>
    <row r="86" customFormat="false" ht="12.95" hidden="false" customHeight="true" outlineLevel="0" collapsed="false"/>
    <row r="87" customFormat="false" ht="12.95" hidden="false" customHeight="true" outlineLevel="0" collapsed="false"/>
    <row r="88" customFormat="false" ht="12.95" hidden="false" customHeight="true" outlineLevel="0" collapsed="false"/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</sheetData>
  <mergeCells count="14">
    <mergeCell ref="F9:G9"/>
    <mergeCell ref="M9:N9"/>
    <mergeCell ref="O9:P9"/>
    <mergeCell ref="Q9:R9"/>
    <mergeCell ref="G11:J11"/>
    <mergeCell ref="C33:D33"/>
    <mergeCell ref="E33:J33"/>
    <mergeCell ref="K33:L33"/>
    <mergeCell ref="M33:N33"/>
    <mergeCell ref="C34:D34"/>
    <mergeCell ref="E34:J34"/>
    <mergeCell ref="K34:L34"/>
    <mergeCell ref="M34:N34"/>
    <mergeCell ref="G37:J37"/>
  </mergeCells>
  <printOptions headings="false" gridLines="false" gridLinesSet="true" horizontalCentered="false" verticalCentered="false"/>
  <pageMargins left="0" right="0.747916666666667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9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" width="29.71"/>
    <col collapsed="false" customWidth="true" hidden="false" outlineLevel="0" max="2" min="2" style="1" width="12.85"/>
    <col collapsed="false" customWidth="true" hidden="false" outlineLevel="0" max="3" min="3" style="1" width="14.41"/>
    <col collapsed="false" customWidth="true" hidden="false" outlineLevel="0" max="4" min="4" style="1" width="13.56"/>
    <col collapsed="false" customWidth="true" hidden="false" outlineLevel="0" max="5" min="5" style="1" width="14.41"/>
    <col collapsed="false" customWidth="true" hidden="false" outlineLevel="0" max="6" min="6" style="1" width="10.71"/>
    <col collapsed="false" customWidth="true" hidden="false" outlineLevel="0" max="7" min="7" style="1" width="11.7"/>
    <col collapsed="false" customWidth="true" hidden="false" outlineLevel="0" max="8" min="8" style="1" width="10.71"/>
    <col collapsed="false" customWidth="true" hidden="true" outlineLevel="1" max="9" min="9" style="1" width="8.7"/>
    <col collapsed="false" customWidth="true" hidden="false" outlineLevel="0" max="11" min="10" style="1" width="8.7"/>
    <col collapsed="false" customWidth="true" hidden="true" outlineLevel="1" max="12" min="12" style="1" width="8.7"/>
    <col collapsed="false" customWidth="true" hidden="false" outlineLevel="0" max="14" min="13" style="1" width="8.7"/>
    <col collapsed="false" customWidth="true" hidden="true" outlineLevel="1" max="15" min="15" style="1" width="8.7"/>
    <col collapsed="false" customWidth="true" hidden="false" outlineLevel="0" max="17" min="16" style="1" width="8.7"/>
    <col collapsed="false" customWidth="true" hidden="false" outlineLevel="0" max="25" min="18" style="1" width="9.7"/>
    <col collapsed="false" customWidth="true" hidden="false" outlineLevel="0" max="26" min="26" style="1" width="10.71"/>
    <col collapsed="false" customWidth="false" hidden="false" outlineLevel="0" max="27" min="27" style="1" width="9.14"/>
    <col collapsed="false" customWidth="true" hidden="false" outlineLevel="0" max="30" min="28" style="1" width="10.71"/>
    <col collapsed="false" customWidth="true" hidden="false" outlineLevel="0" max="31" min="31" style="1" width="15.7"/>
    <col collapsed="false" customWidth="false" hidden="false" outlineLevel="0" max="257" min="32" style="1" width="9.14"/>
  </cols>
  <sheetData>
    <row r="1" customFormat="false" ht="18" hidden="false" customHeight="false" outlineLevel="0" collapsed="false">
      <c r="A1" s="2" t="s">
        <v>552</v>
      </c>
      <c r="B1" s="2"/>
      <c r="C1" s="2"/>
    </row>
    <row r="2" customFormat="false" ht="15" hidden="false" customHeight="true" outlineLevel="0" collapsed="false">
      <c r="A2" s="3" t="s">
        <v>1</v>
      </c>
      <c r="B2" s="3"/>
      <c r="C2" s="3"/>
      <c r="AF2" s="4"/>
    </row>
    <row r="3" customFormat="false" ht="12.75" hidden="false" customHeight="false" outlineLevel="0" collapsed="false">
      <c r="A3" s="5" t="s">
        <v>2</v>
      </c>
      <c r="B3" s="5"/>
      <c r="C3" s="5"/>
      <c r="AF3" s="4"/>
    </row>
    <row r="4" customFormat="false" ht="12.75" hidden="false" customHeight="false" outlineLevel="0" collapsed="false">
      <c r="A4" s="5"/>
      <c r="B4" s="5"/>
      <c r="C4" s="5"/>
      <c r="AF4" s="4"/>
    </row>
    <row r="5" customFormat="false" ht="12.75" hidden="false" customHeight="false" outlineLevel="0" collapsed="false">
      <c r="A5" s="5"/>
      <c r="B5" s="5"/>
      <c r="C5" s="5"/>
      <c r="AF5" s="4"/>
    </row>
    <row r="6" customFormat="false" ht="12.75" hidden="false" customHeight="false" outlineLevel="0" collapsed="false">
      <c r="A6" s="7" t="s">
        <v>3</v>
      </c>
      <c r="B6" s="204" t="n">
        <v>37106</v>
      </c>
      <c r="C6" s="9"/>
    </row>
    <row r="7" customFormat="false" ht="12.75" hidden="false" customHeight="false" outlineLevel="0" collapsed="false">
      <c r="D7" s="10"/>
      <c r="E7" s="10"/>
      <c r="F7" s="10"/>
      <c r="G7" s="10"/>
      <c r="H7" s="11" t="s">
        <v>4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2" t="s">
        <v>5</v>
      </c>
      <c r="V7" s="12"/>
      <c r="W7" s="12"/>
      <c r="X7" s="12" t="s">
        <v>6</v>
      </c>
      <c r="Y7" s="12"/>
      <c r="Z7" s="11" t="s">
        <v>7</v>
      </c>
    </row>
    <row r="8" customFormat="false" ht="12.75" hidden="false" customHeight="false" outlineLevel="0" collapsed="false">
      <c r="A8" s="10"/>
      <c r="B8" s="10"/>
      <c r="C8" s="11" t="s">
        <v>8</v>
      </c>
      <c r="D8" s="11" t="s">
        <v>9</v>
      </c>
      <c r="E8" s="13" t="s">
        <v>10</v>
      </c>
      <c r="F8" s="13"/>
      <c r="G8" s="11" t="s">
        <v>11</v>
      </c>
      <c r="H8" s="11" t="s">
        <v>11</v>
      </c>
      <c r="I8" s="12" t="s">
        <v>12</v>
      </c>
      <c r="J8" s="12"/>
      <c r="K8" s="12"/>
      <c r="L8" s="12" t="s">
        <v>13</v>
      </c>
      <c r="M8" s="12"/>
      <c r="N8" s="12"/>
      <c r="O8" s="12" t="s">
        <v>14</v>
      </c>
      <c r="P8" s="12"/>
      <c r="Q8" s="12"/>
      <c r="R8" s="13" t="s">
        <v>15</v>
      </c>
      <c r="S8" s="13" t="s">
        <v>16</v>
      </c>
      <c r="T8" s="11" t="s">
        <v>17</v>
      </c>
      <c r="U8" s="11" t="s">
        <v>18</v>
      </c>
      <c r="V8" s="11"/>
      <c r="W8" s="11" t="s">
        <v>19</v>
      </c>
      <c r="X8" s="11" t="s">
        <v>18</v>
      </c>
      <c r="Y8" s="11" t="s">
        <v>20</v>
      </c>
      <c r="Z8" s="11" t="s">
        <v>21</v>
      </c>
      <c r="AA8" s="13"/>
    </row>
    <row r="9" customFormat="false" ht="12.75" hidden="false" customHeight="false" outlineLevel="0" collapsed="false">
      <c r="A9" s="11" t="s">
        <v>22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29</v>
      </c>
      <c r="J9" s="11" t="s">
        <v>30</v>
      </c>
      <c r="K9" s="11" t="s">
        <v>31</v>
      </c>
      <c r="L9" s="11" t="s">
        <v>29</v>
      </c>
      <c r="M9" s="11" t="s">
        <v>30</v>
      </c>
      <c r="N9" s="11" t="s">
        <v>31</v>
      </c>
      <c r="O9" s="11" t="s">
        <v>29</v>
      </c>
      <c r="P9" s="11" t="s">
        <v>30</v>
      </c>
      <c r="Q9" s="11" t="s">
        <v>31</v>
      </c>
      <c r="R9" s="11" t="s">
        <v>32</v>
      </c>
      <c r="S9" s="11" t="s">
        <v>33</v>
      </c>
      <c r="T9" s="11" t="s">
        <v>34</v>
      </c>
      <c r="U9" s="11" t="s">
        <v>35</v>
      </c>
      <c r="V9" s="11" t="s">
        <v>36</v>
      </c>
      <c r="W9" s="11" t="s">
        <v>37</v>
      </c>
      <c r="X9" s="11" t="s">
        <v>38</v>
      </c>
      <c r="Y9" s="11" t="s">
        <v>6</v>
      </c>
      <c r="Z9" s="11" t="s">
        <v>39</v>
      </c>
      <c r="AA9" s="13"/>
    </row>
    <row r="10" customFormat="false" ht="4.9" hidden="false" customHeight="true" outlineLevel="0" collapsed="false">
      <c r="A10" s="14" t="s">
        <v>40</v>
      </c>
      <c r="B10" s="14" t="s">
        <v>40</v>
      </c>
      <c r="C10" s="14" t="s">
        <v>40</v>
      </c>
      <c r="D10" s="14" t="s">
        <v>40</v>
      </c>
      <c r="E10" s="14" t="s">
        <v>40</v>
      </c>
      <c r="F10" s="14" t="s">
        <v>40</v>
      </c>
      <c r="G10" s="14" t="s">
        <v>40</v>
      </c>
      <c r="H10" s="14" t="s">
        <v>40</v>
      </c>
      <c r="I10" s="14" t="s">
        <v>40</v>
      </c>
      <c r="J10" s="14" t="s">
        <v>40</v>
      </c>
      <c r="K10" s="14" t="s">
        <v>40</v>
      </c>
      <c r="L10" s="14" t="s">
        <v>40</v>
      </c>
      <c r="M10" s="14" t="s">
        <v>40</v>
      </c>
      <c r="N10" s="14" t="s">
        <v>40</v>
      </c>
      <c r="O10" s="14" t="s">
        <v>40</v>
      </c>
      <c r="P10" s="14" t="s">
        <v>40</v>
      </c>
      <c r="Q10" s="14" t="s">
        <v>40</v>
      </c>
      <c r="R10" s="14" t="s">
        <v>40</v>
      </c>
      <c r="S10" s="14" t="s">
        <v>40</v>
      </c>
      <c r="T10" s="14" t="s">
        <v>40</v>
      </c>
      <c r="U10" s="14" t="s">
        <v>40</v>
      </c>
      <c r="V10" s="14" t="s">
        <v>40</v>
      </c>
      <c r="W10" s="14" t="s">
        <v>40</v>
      </c>
      <c r="X10" s="14" t="s">
        <v>40</v>
      </c>
      <c r="Y10" s="14" t="s">
        <v>40</v>
      </c>
      <c r="Z10" s="14" t="s">
        <v>40</v>
      </c>
      <c r="AA10" s="15"/>
    </row>
    <row r="11" customFormat="false" ht="12.95" hidden="false" customHeight="true" outlineLevel="0" collapsed="false">
      <c r="A11" s="10" t="s">
        <v>553</v>
      </c>
      <c r="B11" s="16" t="s">
        <v>554</v>
      </c>
      <c r="C11" s="25" t="n">
        <v>37106</v>
      </c>
      <c r="D11" s="18" t="n">
        <v>79.5</v>
      </c>
      <c r="E11" s="18" t="n">
        <v>81.6</v>
      </c>
      <c r="F11" s="18" t="n">
        <v>52.875</v>
      </c>
      <c r="G11" s="19" t="n">
        <v>2995.54856454993</v>
      </c>
      <c r="H11" s="19" t="n">
        <v>2505.34856454993</v>
      </c>
      <c r="I11" s="21" t="n">
        <v>14.3259137472498</v>
      </c>
      <c r="J11" s="21" t="n">
        <v>34.3288286284203</v>
      </c>
      <c r="K11" s="21" t="n">
        <v>23.0236124566812</v>
      </c>
      <c r="L11" s="21" t="e">
        <f aca="false"/>
        <v>#DIV/0!</v>
      </c>
      <c r="M11" s="21" t="n">
        <v>14.9801273319086</v>
      </c>
      <c r="N11" s="21" t="n">
        <v>11.5929024815426</v>
      </c>
      <c r="O11" s="21" t="n">
        <v>15.6670950028762</v>
      </c>
      <c r="P11" s="21" t="n">
        <v>9.42916429013251</v>
      </c>
      <c r="Q11" s="21" t="n">
        <v>7.14330628040341</v>
      </c>
      <c r="R11" s="22" t="n">
        <v>0.077940379403794</v>
      </c>
      <c r="S11" s="21" t="n">
        <v>3.52168888378783</v>
      </c>
      <c r="T11" s="22" t="n">
        <v>0.0052163</v>
      </c>
      <c r="U11" s="23" t="n">
        <v>0</v>
      </c>
      <c r="V11" s="22" t="s">
        <v>51</v>
      </c>
      <c r="W11" s="18" t="s">
        <v>51</v>
      </c>
      <c r="X11" s="19" t="s">
        <v>51</v>
      </c>
      <c r="Y11" s="21" t="s">
        <v>51</v>
      </c>
      <c r="Z11" s="24" t="n">
        <v>37.6798561578608</v>
      </c>
    </row>
    <row r="12" customFormat="false" ht="12.95" hidden="false" customHeight="true" outlineLevel="0" collapsed="false">
      <c r="A12" s="10" t="s">
        <v>555</v>
      </c>
      <c r="B12" s="16" t="s">
        <v>556</v>
      </c>
      <c r="C12" s="25" t="n">
        <v>37106</v>
      </c>
      <c r="D12" s="18" t="n">
        <v>9.97</v>
      </c>
      <c r="E12" s="18" t="n">
        <v>17.7</v>
      </c>
      <c r="F12" s="18" t="n">
        <v>9.1875</v>
      </c>
      <c r="G12" s="19" t="n">
        <v>936.08843889</v>
      </c>
      <c r="H12" s="19" t="n">
        <v>1149.32443889</v>
      </c>
      <c r="I12" s="21" t="s">
        <v>169</v>
      </c>
      <c r="J12" s="21" t="n">
        <v>32.4896503496504</v>
      </c>
      <c r="K12" s="21" t="n">
        <v>15.70275</v>
      </c>
      <c r="L12" s="21" t="n">
        <v>49.1014289118616</v>
      </c>
      <c r="M12" s="21" t="n">
        <v>11.0777777777778</v>
      </c>
      <c r="N12" s="21" t="n">
        <v>7.44029850746269</v>
      </c>
      <c r="O12" s="21" t="n">
        <v>19.3258962960134</v>
      </c>
      <c r="P12" s="21" t="n">
        <v>9.86544582738198</v>
      </c>
      <c r="Q12" s="21" t="n">
        <v>6.65503438847713</v>
      </c>
      <c r="R12" s="22" t="n">
        <v>0.371851290823855</v>
      </c>
      <c r="S12" s="21" t="n">
        <v>2.43251054739309</v>
      </c>
      <c r="T12" s="22" t="n">
        <v>0</v>
      </c>
      <c r="U12" s="26" t="n">
        <v>0</v>
      </c>
      <c r="V12" s="22" t="s">
        <v>51</v>
      </c>
      <c r="W12" s="18" t="s">
        <v>51</v>
      </c>
      <c r="X12" s="19" t="s">
        <v>51</v>
      </c>
      <c r="Y12" s="21" t="s">
        <v>51</v>
      </c>
      <c r="Z12" s="27" t="n">
        <v>93.8905154353059</v>
      </c>
      <c r="AA12" s="28"/>
    </row>
    <row r="13" customFormat="false" ht="11.25" hidden="false" customHeight="true" outlineLevel="0" collapsed="false">
      <c r="A13" s="90" t="s">
        <v>557</v>
      </c>
      <c r="B13" s="16" t="s">
        <v>558</v>
      </c>
      <c r="C13" s="53" t="n">
        <v>37106</v>
      </c>
      <c r="D13" s="18" t="n">
        <v>10.83</v>
      </c>
      <c r="E13" s="18" t="n">
        <v>16.85</v>
      </c>
      <c r="F13" s="18" t="n">
        <v>7.3125</v>
      </c>
      <c r="G13" s="19" t="n">
        <v>662.7973506</v>
      </c>
      <c r="H13" s="19" t="n">
        <v>975.4673506</v>
      </c>
      <c r="I13" s="21" t="s">
        <v>169</v>
      </c>
      <c r="J13" s="21" t="n">
        <v>27.1201249999999</v>
      </c>
      <c r="K13" s="21" t="n">
        <v>8.31268199233718</v>
      </c>
      <c r="L13" s="21" t="n">
        <v>9.48733477446328</v>
      </c>
      <c r="M13" s="21" t="n">
        <v>7.64844888366627</v>
      </c>
      <c r="N13" s="21" t="n">
        <v>4.6063906581741</v>
      </c>
      <c r="O13" s="21" t="n">
        <v>10.6882111623557</v>
      </c>
      <c r="P13" s="21" t="n">
        <v>7.79127276837061</v>
      </c>
      <c r="Q13" s="21" t="n">
        <v>4.8386277311508</v>
      </c>
      <c r="R13" s="22" t="n">
        <v>0.320693211616213</v>
      </c>
      <c r="S13" s="21" t="n">
        <v>0.846343966646662</v>
      </c>
      <c r="T13" s="22" t="n">
        <v>0</v>
      </c>
      <c r="U13" s="26" t="n">
        <v>0</v>
      </c>
      <c r="V13" s="22" t="s">
        <v>51</v>
      </c>
      <c r="W13" s="18" t="s">
        <v>51</v>
      </c>
      <c r="X13" s="19" t="s">
        <v>51</v>
      </c>
      <c r="Y13" s="21" t="s">
        <v>51</v>
      </c>
      <c r="Z13" s="27" t="n">
        <v>61.2001247091413</v>
      </c>
      <c r="AA13" s="28"/>
    </row>
    <row r="14" customFormat="false" ht="12.95" hidden="false" customHeight="true" outlineLevel="0" collapsed="false">
      <c r="A14" s="10" t="s">
        <v>559</v>
      </c>
      <c r="B14" s="16" t="s">
        <v>560</v>
      </c>
      <c r="C14" s="25" t="n">
        <v>37106</v>
      </c>
      <c r="D14" s="18" t="n">
        <v>9.57</v>
      </c>
      <c r="E14" s="18" t="n">
        <v>19.25</v>
      </c>
      <c r="F14" s="18" t="n">
        <v>7.85</v>
      </c>
      <c r="G14" s="19" t="n">
        <v>979.47023559</v>
      </c>
      <c r="H14" s="19" t="n">
        <v>3118.10423559</v>
      </c>
      <c r="I14" s="21" t="n">
        <v>29.3399427489961</v>
      </c>
      <c r="J14" s="21" t="n">
        <v>17.5307334525939</v>
      </c>
      <c r="K14" s="21" t="n">
        <v>9.14149253731343</v>
      </c>
      <c r="L14" s="21" t="n">
        <v>3.28743975726054</v>
      </c>
      <c r="M14" s="21" t="n">
        <v>2.60054347826087</v>
      </c>
      <c r="N14" s="21" t="n">
        <v>2.1079295154185</v>
      </c>
      <c r="O14" s="21" t="n">
        <v>2.4545050384413</v>
      </c>
      <c r="P14" s="21" t="n">
        <v>6.20271381657052</v>
      </c>
      <c r="Q14" s="21" t="n">
        <v>5.08580041688142</v>
      </c>
      <c r="R14" s="22" t="n">
        <v>0.607935289937423</v>
      </c>
      <c r="S14" s="21" t="n">
        <v>0.668175355545581</v>
      </c>
      <c r="T14" s="22" t="n">
        <v>0</v>
      </c>
      <c r="U14" s="26" t="n">
        <v>0</v>
      </c>
      <c r="V14" s="22" t="s">
        <v>51</v>
      </c>
      <c r="W14" s="18" t="s">
        <v>51</v>
      </c>
      <c r="X14" s="19" t="s">
        <v>51</v>
      </c>
      <c r="Y14" s="21" t="s">
        <v>51</v>
      </c>
      <c r="Z14" s="27" t="n">
        <v>102.347987</v>
      </c>
      <c r="AA14" s="28"/>
    </row>
    <row r="15" customFormat="false" ht="12.95" hidden="false" customHeight="true" outlineLevel="0" collapsed="false">
      <c r="A15" s="90" t="s">
        <v>561</v>
      </c>
      <c r="B15" s="36" t="s">
        <v>562</v>
      </c>
      <c r="C15" s="53" t="n">
        <v>37106</v>
      </c>
      <c r="D15" s="18" t="n">
        <v>45.92</v>
      </c>
      <c r="E15" s="18" t="n">
        <v>54.5</v>
      </c>
      <c r="F15" s="18" t="n">
        <v>38.875</v>
      </c>
      <c r="G15" s="19" t="n">
        <v>950.980122843251</v>
      </c>
      <c r="H15" s="19" t="n">
        <v>1142.12252284325</v>
      </c>
      <c r="I15" s="21" t="s">
        <v>169</v>
      </c>
      <c r="J15" s="21" t="n">
        <v>14.877684732996</v>
      </c>
      <c r="K15" s="21" t="n">
        <v>10.8778371276567</v>
      </c>
      <c r="L15" s="21" t="n">
        <v>13.2286384719578</v>
      </c>
      <c r="M15" s="21" t="n">
        <v>8.18983754817628</v>
      </c>
      <c r="N15" s="21" t="n">
        <v>6.68946956478813</v>
      </c>
      <c r="O15" s="21" t="n">
        <v>9.6115879447676</v>
      </c>
      <c r="P15" s="21" t="n">
        <v>8.02257100562687</v>
      </c>
      <c r="Q15" s="21" t="n">
        <v>6.41302936320404</v>
      </c>
      <c r="R15" s="22" t="n">
        <v>0.400786673091693</v>
      </c>
      <c r="S15" s="21" t="n">
        <v>1.72106900860598</v>
      </c>
      <c r="T15" s="22" t="n">
        <v>0</v>
      </c>
      <c r="U15" s="26" t="n">
        <v>0</v>
      </c>
      <c r="V15" s="22" t="s">
        <v>51</v>
      </c>
      <c r="W15" s="18" t="s">
        <v>51</v>
      </c>
      <c r="X15" s="19" t="s">
        <v>51</v>
      </c>
      <c r="Y15" s="21" t="s">
        <v>51</v>
      </c>
      <c r="Z15" s="27" t="n">
        <v>20.7094974486771</v>
      </c>
      <c r="AA15" s="28"/>
    </row>
    <row r="16" customFormat="false" ht="12.95" hidden="false" customHeight="true" outlineLevel="0" collapsed="false">
      <c r="A16" s="90" t="s">
        <v>563</v>
      </c>
      <c r="B16" s="36" t="s">
        <v>564</v>
      </c>
      <c r="C16" s="53" t="n">
        <v>37106</v>
      </c>
      <c r="D16" s="18" t="n">
        <v>34.13</v>
      </c>
      <c r="E16" s="18" t="n">
        <v>52.95</v>
      </c>
      <c r="F16" s="18" t="n">
        <v>31.76</v>
      </c>
      <c r="G16" s="19" t="n">
        <v>2066.33876753</v>
      </c>
      <c r="H16" s="19" t="n">
        <v>2019.18576753</v>
      </c>
      <c r="I16" s="21" t="n">
        <v>29.1979112351079</v>
      </c>
      <c r="J16" s="21" t="n">
        <v>11.7251326915195</v>
      </c>
      <c r="K16" s="21" t="n">
        <v>9.39789819707595</v>
      </c>
      <c r="L16" s="21" t="n">
        <v>13.242841918963</v>
      </c>
      <c r="M16" s="21" t="n">
        <v>6.0650582875374</v>
      </c>
      <c r="N16" s="21" t="n">
        <v>6.36579713908895</v>
      </c>
      <c r="O16" s="21" t="n">
        <v>12.7635290222615</v>
      </c>
      <c r="P16" s="21" t="n">
        <v>6.36004989895472</v>
      </c>
      <c r="Q16" s="21" t="n">
        <v>5.17477489768833</v>
      </c>
      <c r="R16" s="22" t="n">
        <v>0</v>
      </c>
      <c r="S16" s="21" t="n">
        <v>1.75360147964934</v>
      </c>
      <c r="T16" s="22" t="n">
        <v>0.01812141</v>
      </c>
      <c r="U16" s="26" t="n">
        <v>0</v>
      </c>
      <c r="V16" s="22" t="s">
        <v>51</v>
      </c>
      <c r="W16" s="18" t="s">
        <v>51</v>
      </c>
      <c r="X16" s="19" t="s">
        <v>51</v>
      </c>
      <c r="Y16" s="21" t="s">
        <v>51</v>
      </c>
      <c r="Z16" s="27" t="n">
        <v>60.543181</v>
      </c>
      <c r="AA16" s="28"/>
    </row>
    <row r="17" customFormat="false" ht="12.95" hidden="false" customHeight="true" outlineLevel="0" collapsed="false">
      <c r="A17" s="10" t="s">
        <v>565</v>
      </c>
      <c r="B17" s="16" t="s">
        <v>566</v>
      </c>
      <c r="C17" s="25" t="n">
        <v>37106</v>
      </c>
      <c r="D17" s="18" t="n">
        <v>9.4</v>
      </c>
      <c r="E17" s="18" t="n">
        <v>19.375</v>
      </c>
      <c r="F17" s="18" t="n">
        <v>9.1</v>
      </c>
      <c r="G17" s="19" t="n">
        <v>348.18901282</v>
      </c>
      <c r="H17" s="19" t="n">
        <v>648.97001282</v>
      </c>
      <c r="I17" s="21" t="s">
        <v>169</v>
      </c>
      <c r="J17" s="21" t="n">
        <v>10.976582278481</v>
      </c>
      <c r="K17" s="21" t="n">
        <v>4.94102564102564</v>
      </c>
      <c r="L17" s="21" t="s">
        <v>169</v>
      </c>
      <c r="M17" s="21" t="n">
        <v>4.25339366515837</v>
      </c>
      <c r="N17" s="21" t="n">
        <v>2.83132530120482</v>
      </c>
      <c r="O17" s="21" t="n">
        <v>5.1153864988908</v>
      </c>
      <c r="P17" s="21" t="n">
        <v>5.51376391520816</v>
      </c>
      <c r="Q17" s="21" t="n">
        <v>3.82421928591632</v>
      </c>
      <c r="R17" s="22" t="n">
        <v>0.519729360835409</v>
      </c>
      <c r="S17" s="21" t="n">
        <v>1.17942616437289</v>
      </c>
      <c r="T17" s="22" t="n">
        <v>0</v>
      </c>
      <c r="U17" s="26" t="n">
        <v>0</v>
      </c>
      <c r="V17" s="22" t="s">
        <v>51</v>
      </c>
      <c r="W17" s="18" t="s">
        <v>51</v>
      </c>
      <c r="X17" s="19" t="s">
        <v>51</v>
      </c>
      <c r="Y17" s="21" t="s">
        <v>51</v>
      </c>
      <c r="Z17" s="27" t="n">
        <v>37.0413843425532</v>
      </c>
      <c r="AA17" s="28"/>
    </row>
    <row r="18" customFormat="false" ht="12.95" hidden="false" customHeight="true" outlineLevel="0" collapsed="false">
      <c r="A18" s="90" t="s">
        <v>567</v>
      </c>
      <c r="B18" s="36" t="s">
        <v>568</v>
      </c>
      <c r="C18" s="53" t="n">
        <v>37106</v>
      </c>
      <c r="D18" s="18" t="n">
        <v>16.29</v>
      </c>
      <c r="E18" s="18" t="n">
        <v>39.8</v>
      </c>
      <c r="F18" s="18" t="n">
        <v>13</v>
      </c>
      <c r="G18" s="19" t="n">
        <v>538.373843866818</v>
      </c>
      <c r="H18" s="19" t="n">
        <v>577.075843866818</v>
      </c>
      <c r="I18" s="21" t="n">
        <v>35.7099904849722</v>
      </c>
      <c r="J18" s="21" t="n">
        <v>17.4722335873082</v>
      </c>
      <c r="K18" s="21" t="n">
        <v>11.0407339353213</v>
      </c>
      <c r="L18" s="21" t="n">
        <v>6.44601243241841</v>
      </c>
      <c r="M18" s="21" t="n">
        <v>5.12762183355285</v>
      </c>
      <c r="N18" s="21" t="n">
        <v>4.47417028338014</v>
      </c>
      <c r="O18" s="21" t="n">
        <v>5.00966663130838</v>
      </c>
      <c r="P18" s="21" t="n">
        <v>4.68755762311806</v>
      </c>
      <c r="Q18" s="21" t="n">
        <v>3.76492131152631</v>
      </c>
      <c r="R18" s="22" t="n">
        <v>0.216967841325479</v>
      </c>
      <c r="S18" s="21" t="n">
        <v>1.10448574267518</v>
      </c>
      <c r="T18" s="22" t="n">
        <v>0</v>
      </c>
      <c r="U18" s="26" t="n">
        <v>0</v>
      </c>
      <c r="V18" s="22" t="s">
        <v>51</v>
      </c>
      <c r="W18" s="18" t="s">
        <v>51</v>
      </c>
      <c r="X18" s="19" t="s">
        <v>51</v>
      </c>
      <c r="Y18" s="21" t="s">
        <v>51</v>
      </c>
      <c r="Z18" s="27" t="n">
        <v>33.0493458481779</v>
      </c>
      <c r="AA18" s="28"/>
    </row>
    <row r="19" customFormat="false" ht="12.95" hidden="false" customHeight="true" outlineLevel="0" collapsed="false">
      <c r="A19" s="35"/>
      <c r="B19" s="36"/>
      <c r="C19" s="53"/>
      <c r="D19" s="18"/>
      <c r="E19" s="18"/>
      <c r="F19" s="18"/>
      <c r="G19" s="19"/>
      <c r="H19" s="19"/>
      <c r="I19" s="21"/>
      <c r="J19" s="21"/>
      <c r="K19" s="21"/>
      <c r="L19" s="21"/>
      <c r="M19" s="21"/>
      <c r="N19" s="21"/>
      <c r="O19" s="21"/>
      <c r="P19" s="21"/>
      <c r="Q19" s="21"/>
      <c r="R19" s="22"/>
      <c r="S19" s="21"/>
      <c r="T19" s="22"/>
      <c r="U19" s="26"/>
      <c r="V19" s="22"/>
      <c r="W19" s="18"/>
      <c r="X19" s="19"/>
      <c r="Y19" s="21"/>
      <c r="Z19" s="27"/>
      <c r="AA19" s="28"/>
      <c r="AB19" s="16"/>
      <c r="AC19" s="69"/>
      <c r="AD19" s="70"/>
    </row>
    <row r="20" customFormat="false" ht="12.95" hidden="false" customHeight="true" outlineLevel="0" collapsed="false">
      <c r="B20" s="16"/>
      <c r="C20" s="25"/>
      <c r="D20" s="18"/>
      <c r="E20" s="18"/>
      <c r="F20" s="18"/>
      <c r="G20" s="19"/>
      <c r="H20" s="19"/>
      <c r="I20" s="21"/>
      <c r="J20" s="21"/>
      <c r="K20" s="21"/>
      <c r="L20" s="21"/>
      <c r="M20" s="21"/>
      <c r="N20" s="21"/>
      <c r="O20" s="21"/>
      <c r="P20" s="21"/>
      <c r="Q20" s="21"/>
      <c r="R20" s="22"/>
      <c r="S20" s="21"/>
      <c r="T20" s="22"/>
      <c r="U20" s="26"/>
      <c r="V20" s="22"/>
      <c r="W20" s="18"/>
      <c r="X20" s="37"/>
      <c r="Y20" s="21"/>
      <c r="Z20" s="27"/>
      <c r="AA20" s="28"/>
      <c r="AB20" s="16"/>
      <c r="AC20" s="69"/>
      <c r="AD20" s="70"/>
    </row>
    <row r="21" customFormat="false" ht="12.95" hidden="false" customHeight="true" outlineLevel="0" collapsed="false">
      <c r="B21" s="30"/>
      <c r="C21" s="30"/>
      <c r="D21" s="30"/>
      <c r="E21" s="30"/>
      <c r="F21" s="30"/>
      <c r="G21" s="39"/>
      <c r="H21" s="40" t="s">
        <v>56</v>
      </c>
      <c r="I21" s="30"/>
      <c r="J21" s="21" t="n">
        <v>20.8151213401212</v>
      </c>
      <c r="K21" s="21" t="n">
        <v>11.5547539859264</v>
      </c>
      <c r="L21" s="21" t="e">
        <f aca="false"/>
        <v>#DIV/0!</v>
      </c>
      <c r="M21" s="21" t="n">
        <v>7.49285110075481</v>
      </c>
      <c r="N21" s="21" t="n">
        <v>5.76353543138249</v>
      </c>
      <c r="O21" s="21" t="n">
        <v>10.0794846996144</v>
      </c>
      <c r="P21" s="21" t="n">
        <v>7.23406739317043</v>
      </c>
      <c r="Q21" s="21" t="n">
        <v>5.36246420940597</v>
      </c>
      <c r="R21" s="22" t="n">
        <v>0.314488005879233</v>
      </c>
      <c r="S21" s="21" t="n">
        <v>1.65341264358457</v>
      </c>
      <c r="T21" s="22" t="n">
        <v>0.00291721375</v>
      </c>
      <c r="U21" s="26"/>
      <c r="V21" s="22" t="s">
        <v>51</v>
      </c>
      <c r="W21" s="22" t="s">
        <v>51</v>
      </c>
      <c r="X21" s="19"/>
      <c r="Y21" s="22" t="s">
        <v>51</v>
      </c>
      <c r="Z21" s="30"/>
      <c r="AA21" s="28"/>
      <c r="AB21" s="16"/>
      <c r="AC21" s="69"/>
      <c r="AD21" s="70"/>
    </row>
    <row r="22" customFormat="false" ht="12.95" hidden="false" customHeight="true" outlineLevel="0" collapsed="false">
      <c r="B22" s="30"/>
      <c r="C22" s="30"/>
      <c r="D22" s="30"/>
      <c r="E22" s="30"/>
      <c r="F22" s="30"/>
      <c r="G22" s="39"/>
      <c r="H22" s="40" t="s">
        <v>57</v>
      </c>
      <c r="I22" s="30"/>
      <c r="J22" s="21" t="n">
        <v>17.5014835199511</v>
      </c>
      <c r="K22" s="21" t="n">
        <v>10.1378676623663</v>
      </c>
      <c r="L22" s="21" t="e">
        <f aca="false"/>
        <v>#DIV/0!</v>
      </c>
      <c r="M22" s="21" t="n">
        <v>6.85675358560184</v>
      </c>
      <c r="N22" s="21" t="n">
        <v>5.48609389863153</v>
      </c>
      <c r="O22" s="21" t="n">
        <v>10.1498995535616</v>
      </c>
      <c r="P22" s="21" t="n">
        <v>7.07566133366266</v>
      </c>
      <c r="Q22" s="21" t="n">
        <v>5.13028765728488</v>
      </c>
      <c r="R22" s="22" t="n">
        <v>0.346272251220034</v>
      </c>
      <c r="S22" s="21" t="n">
        <v>1.45024758648943</v>
      </c>
      <c r="T22" s="22" t="n">
        <v>0</v>
      </c>
      <c r="U22" s="26"/>
      <c r="V22" s="22" t="s">
        <v>51</v>
      </c>
      <c r="W22" s="22" t="s">
        <v>51</v>
      </c>
      <c r="X22" s="19"/>
      <c r="Y22" s="22" t="s">
        <v>51</v>
      </c>
      <c r="Z22" s="30"/>
      <c r="AA22" s="28"/>
      <c r="AB22" s="16"/>
      <c r="AC22" s="69"/>
      <c r="AD22" s="70"/>
    </row>
    <row r="23" customFormat="false" ht="12.95" hidden="false" customHeight="true" outlineLevel="0" collapsed="false">
      <c r="B23" s="30"/>
      <c r="C23" s="30"/>
      <c r="D23" s="30"/>
      <c r="E23" s="30"/>
      <c r="F23" s="30"/>
      <c r="G23" s="39"/>
      <c r="H23" s="40" t="s">
        <v>26</v>
      </c>
      <c r="I23" s="30"/>
      <c r="J23" s="21" t="n">
        <v>34.3288286284203</v>
      </c>
      <c r="K23" s="21" t="n">
        <v>23.0236124566812</v>
      </c>
      <c r="L23" s="21" t="e">
        <f aca="false"/>
        <v>#DIV/0!</v>
      </c>
      <c r="M23" s="21" t="n">
        <v>14.9801273319086</v>
      </c>
      <c r="N23" s="21" t="n">
        <v>11.5929024815426</v>
      </c>
      <c r="O23" s="21" t="n">
        <v>19.3258962960134</v>
      </c>
      <c r="P23" s="21" t="n">
        <v>9.86544582738198</v>
      </c>
      <c r="Q23" s="21" t="n">
        <v>7.14330628040341</v>
      </c>
      <c r="R23" s="22" t="n">
        <v>0.607935289937423</v>
      </c>
      <c r="S23" s="21" t="n">
        <v>3.52168888378783</v>
      </c>
      <c r="T23" s="22" t="n">
        <v>0.01812141</v>
      </c>
      <c r="U23" s="26"/>
      <c r="V23" s="22" t="s">
        <v>51</v>
      </c>
      <c r="W23" s="22" t="s">
        <v>51</v>
      </c>
      <c r="X23" s="19"/>
      <c r="Y23" s="22" t="s">
        <v>51</v>
      </c>
      <c r="Z23" s="30"/>
      <c r="AA23" s="28"/>
      <c r="AB23" s="16"/>
      <c r="AC23" s="69"/>
      <c r="AD23" s="70"/>
    </row>
    <row r="24" customFormat="false" ht="12.95" hidden="false" customHeight="true" outlineLevel="0" collapsed="false">
      <c r="B24" s="30"/>
      <c r="C24" s="30"/>
      <c r="D24" s="30"/>
      <c r="E24" s="30"/>
      <c r="F24" s="30"/>
      <c r="G24" s="39"/>
      <c r="H24" s="40" t="s">
        <v>27</v>
      </c>
      <c r="I24" s="30"/>
      <c r="J24" s="21" t="n">
        <v>10.976582278481</v>
      </c>
      <c r="K24" s="21" t="n">
        <v>4.94102564102564</v>
      </c>
      <c r="L24" s="21" t="e">
        <f aca="false"/>
        <v>#DIV/0!</v>
      </c>
      <c r="M24" s="21" t="n">
        <v>2.60054347826087</v>
      </c>
      <c r="N24" s="21" t="n">
        <v>2.1079295154185</v>
      </c>
      <c r="O24" s="21" t="n">
        <v>2.4545050384413</v>
      </c>
      <c r="P24" s="21" t="n">
        <v>4.68755762311806</v>
      </c>
      <c r="Q24" s="21" t="n">
        <v>3.76492131152631</v>
      </c>
      <c r="R24" s="22" t="n">
        <v>0</v>
      </c>
      <c r="S24" s="21" t="n">
        <v>0.668175355545581</v>
      </c>
      <c r="T24" s="22" t="n">
        <v>0</v>
      </c>
      <c r="U24" s="26"/>
      <c r="V24" s="22" t="s">
        <v>51</v>
      </c>
      <c r="W24" s="22" t="s">
        <v>51</v>
      </c>
      <c r="X24" s="19"/>
      <c r="Y24" s="22" t="s">
        <v>51</v>
      </c>
      <c r="Z24" s="30"/>
      <c r="AA24" s="28"/>
      <c r="AB24" s="16"/>
      <c r="AC24" s="69"/>
      <c r="AD24" s="70"/>
    </row>
    <row r="25" customFormat="false" ht="12.95" hidden="false" customHeight="true" outlineLevel="0" collapsed="false"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28"/>
      <c r="AB25" s="16"/>
      <c r="AC25" s="69"/>
      <c r="AD25" s="70"/>
    </row>
    <row r="26" customFormat="false" ht="12.95" hidden="false" customHeight="true" outlineLevel="0" collapsed="false">
      <c r="B26" s="30"/>
      <c r="C26" s="30"/>
      <c r="D26" s="30"/>
      <c r="U26" s="13" t="s">
        <v>58</v>
      </c>
      <c r="V26" s="13"/>
      <c r="W26" s="13"/>
      <c r="X26" s="13"/>
      <c r="Y26" s="13"/>
      <c r="AA26" s="28"/>
      <c r="AB26" s="16"/>
      <c r="AC26" s="69"/>
      <c r="AD26" s="70"/>
      <c r="AE26" s="15"/>
    </row>
    <row r="27" customFormat="false" ht="12.95" hidden="false" customHeight="true" outlineLevel="0" collapsed="false">
      <c r="A27" s="43"/>
      <c r="B27" s="13" t="s">
        <v>59</v>
      </c>
      <c r="C27" s="13"/>
      <c r="D27" s="13" t="s">
        <v>60</v>
      </c>
      <c r="E27" s="13"/>
      <c r="F27" s="13"/>
      <c r="G27" s="13" t="s">
        <v>61</v>
      </c>
      <c r="H27" s="13"/>
      <c r="J27" s="13" t="s">
        <v>62</v>
      </c>
      <c r="K27" s="13"/>
      <c r="P27" s="13" t="s">
        <v>63</v>
      </c>
      <c r="Q27" s="13"/>
      <c r="R27" s="13"/>
      <c r="S27" s="13"/>
      <c r="U27" s="13" t="s">
        <v>64</v>
      </c>
      <c r="V27" s="13"/>
      <c r="W27" s="13"/>
      <c r="X27" s="13"/>
      <c r="Y27" s="13"/>
      <c r="AA27" s="28"/>
      <c r="AB27" s="16"/>
      <c r="AC27" s="69"/>
      <c r="AD27" s="70"/>
      <c r="AE27" s="15"/>
    </row>
    <row r="28" customFormat="false" ht="4.5" hidden="false" customHeight="true" outlineLevel="0" collapsed="false">
      <c r="A28" s="43"/>
      <c r="B28" s="45" t="s">
        <v>40</v>
      </c>
      <c r="C28" s="45"/>
      <c r="D28" s="45" t="s">
        <v>40</v>
      </c>
      <c r="E28" s="45"/>
      <c r="F28" s="45"/>
      <c r="G28" s="45" t="s">
        <v>40</v>
      </c>
      <c r="H28" s="45"/>
      <c r="J28" s="45" t="s">
        <v>40</v>
      </c>
      <c r="K28" s="45"/>
      <c r="P28" s="45" t="s">
        <v>40</v>
      </c>
      <c r="Q28" s="45"/>
      <c r="R28" s="45"/>
      <c r="S28" s="45"/>
      <c r="U28" s="45" t="s">
        <v>40</v>
      </c>
      <c r="V28" s="45"/>
      <c r="W28" s="45"/>
      <c r="X28" s="45"/>
      <c r="Y28" s="45"/>
      <c r="AC28" s="69"/>
      <c r="AD28" s="70"/>
      <c r="AE28" s="15"/>
    </row>
    <row r="29" customFormat="false" ht="12.95" hidden="false" customHeight="true" outlineLevel="0" collapsed="false">
      <c r="A29" s="10"/>
      <c r="B29" s="16"/>
      <c r="C29" s="16"/>
      <c r="D29" s="13" t="s">
        <v>65</v>
      </c>
      <c r="E29" s="13" t="s">
        <v>66</v>
      </c>
      <c r="F29" s="13" t="s">
        <v>8</v>
      </c>
      <c r="G29" s="16" t="s">
        <v>67</v>
      </c>
      <c r="P29" s="13" t="s">
        <v>68</v>
      </c>
      <c r="Q29" s="13"/>
      <c r="R29" s="13" t="s">
        <v>69</v>
      </c>
      <c r="S29" s="13" t="s">
        <v>70</v>
      </c>
      <c r="U29" s="13" t="s">
        <v>71</v>
      </c>
      <c r="V29" s="13" t="s">
        <v>72</v>
      </c>
      <c r="W29" s="13" t="s">
        <v>73</v>
      </c>
      <c r="X29" s="13" t="s">
        <v>74</v>
      </c>
      <c r="Y29" s="13" t="s">
        <v>75</v>
      </c>
      <c r="AC29" s="69"/>
      <c r="AD29" s="70"/>
      <c r="AE29" s="15"/>
    </row>
    <row r="30" customFormat="false" ht="12.95" hidden="false" customHeight="true" outlineLevel="0" collapsed="false">
      <c r="A30" s="11" t="s">
        <v>22</v>
      </c>
      <c r="B30" s="16" t="s">
        <v>76</v>
      </c>
      <c r="C30" s="16" t="s">
        <v>77</v>
      </c>
      <c r="D30" s="11" t="s">
        <v>78</v>
      </c>
      <c r="E30" s="11" t="s">
        <v>79</v>
      </c>
      <c r="F30" s="11" t="s">
        <v>80</v>
      </c>
      <c r="G30" s="16" t="s">
        <v>81</v>
      </c>
      <c r="H30" s="16" t="s">
        <v>8</v>
      </c>
      <c r="J30" s="11" t="s">
        <v>82</v>
      </c>
      <c r="K30" s="11" t="s">
        <v>83</v>
      </c>
      <c r="P30" s="11" t="s">
        <v>84</v>
      </c>
      <c r="Q30" s="11" t="s">
        <v>85</v>
      </c>
      <c r="R30" s="11" t="s">
        <v>86</v>
      </c>
      <c r="S30" s="11" t="s">
        <v>87</v>
      </c>
      <c r="U30" s="11" t="s">
        <v>88</v>
      </c>
      <c r="V30" s="11" t="s">
        <v>89</v>
      </c>
      <c r="W30" s="11" t="s">
        <v>90</v>
      </c>
      <c r="X30" s="11" t="s">
        <v>91</v>
      </c>
      <c r="Y30" s="11" t="s">
        <v>92</v>
      </c>
      <c r="AC30" s="69"/>
      <c r="AD30" s="70"/>
      <c r="AE30" s="15"/>
    </row>
    <row r="31" customFormat="false" ht="3.75" hidden="false" customHeight="true" outlineLevel="0" collapsed="false">
      <c r="A31" s="14" t="s">
        <v>40</v>
      </c>
      <c r="B31" s="14" t="s">
        <v>40</v>
      </c>
      <c r="C31" s="14" t="s">
        <v>40</v>
      </c>
      <c r="D31" s="14" t="s">
        <v>40</v>
      </c>
      <c r="E31" s="14" t="s">
        <v>40</v>
      </c>
      <c r="F31" s="14" t="s">
        <v>40</v>
      </c>
      <c r="G31" s="14" t="s">
        <v>40</v>
      </c>
      <c r="H31" s="14" t="s">
        <v>40</v>
      </c>
      <c r="J31" s="14" t="s">
        <v>40</v>
      </c>
      <c r="K31" s="14" t="s">
        <v>40</v>
      </c>
      <c r="P31" s="14" t="s">
        <v>40</v>
      </c>
      <c r="Q31" s="14" t="s">
        <v>40</v>
      </c>
      <c r="R31" s="14" t="s">
        <v>40</v>
      </c>
      <c r="S31" s="14" t="s">
        <v>40</v>
      </c>
      <c r="U31" s="14" t="s">
        <v>40</v>
      </c>
      <c r="V31" s="14" t="s">
        <v>40</v>
      </c>
      <c r="W31" s="14" t="s">
        <v>40</v>
      </c>
      <c r="X31" s="14" t="s">
        <v>40</v>
      </c>
      <c r="Y31" s="14" t="s">
        <v>40</v>
      </c>
      <c r="AC31" s="69"/>
      <c r="AD31" s="70"/>
      <c r="AE31" s="15"/>
    </row>
    <row r="32" customFormat="false" ht="12.95" hidden="false" customHeight="true" outlineLevel="0" collapsed="false">
      <c r="A32" s="1" t="s">
        <v>553</v>
      </c>
      <c r="B32" s="1" t="s">
        <v>569</v>
      </c>
      <c r="C32" s="15" t="s">
        <v>570</v>
      </c>
      <c r="D32" s="15" t="s">
        <v>123</v>
      </c>
      <c r="E32" s="25" t="s">
        <v>99</v>
      </c>
      <c r="F32" s="25" t="n">
        <v>37040</v>
      </c>
      <c r="G32" s="16" t="s">
        <v>571</v>
      </c>
      <c r="H32" s="25" t="n">
        <v>37040</v>
      </c>
      <c r="I32" s="16"/>
      <c r="J32" s="22" t="n">
        <v>0.394736842105263</v>
      </c>
      <c r="K32" s="22" t="n">
        <v>0.26441351888668</v>
      </c>
      <c r="L32" s="16"/>
      <c r="M32" s="16"/>
      <c r="N32" s="16"/>
      <c r="O32" s="16"/>
      <c r="P32" s="22" t="s">
        <v>51</v>
      </c>
      <c r="Q32" s="21" t="s">
        <v>51</v>
      </c>
      <c r="R32" s="22" t="s">
        <v>51</v>
      </c>
      <c r="S32" s="15" t="s">
        <v>51</v>
      </c>
      <c r="T32" s="16"/>
      <c r="U32" s="23" t="n">
        <v>0</v>
      </c>
      <c r="V32" s="23" t="n">
        <v>0</v>
      </c>
      <c r="W32" s="24" t="n">
        <v>0</v>
      </c>
      <c r="X32" s="23" t="n">
        <v>0</v>
      </c>
      <c r="Y32" s="23" t="n">
        <v>0</v>
      </c>
      <c r="Z32" s="16"/>
      <c r="AA32" s="28"/>
      <c r="AB32" s="16"/>
      <c r="AC32" s="69"/>
      <c r="AD32" s="70"/>
      <c r="AE32" s="15"/>
    </row>
    <row r="33" customFormat="false" ht="12.95" hidden="false" customHeight="true" outlineLevel="0" collapsed="false">
      <c r="A33" s="10" t="s">
        <v>555</v>
      </c>
      <c r="B33" s="1" t="s">
        <v>569</v>
      </c>
      <c r="C33" s="15" t="s">
        <v>570</v>
      </c>
      <c r="D33" s="15" t="s">
        <v>123</v>
      </c>
      <c r="E33" s="25" t="s">
        <v>99</v>
      </c>
      <c r="F33" s="25" t="n">
        <v>37040</v>
      </c>
      <c r="G33" s="16" t="s">
        <v>414</v>
      </c>
      <c r="H33" s="25" t="n">
        <v>37040</v>
      </c>
      <c r="I33" s="16"/>
      <c r="J33" s="22" t="n">
        <v>-0.0884571428571428</v>
      </c>
      <c r="K33" s="22" t="n">
        <v>-0.271598173515982</v>
      </c>
      <c r="L33" s="16"/>
      <c r="M33" s="16"/>
      <c r="N33" s="49"/>
      <c r="O33" s="16"/>
      <c r="P33" s="22" t="s">
        <v>51</v>
      </c>
      <c r="Q33" s="21" t="s">
        <v>51</v>
      </c>
      <c r="R33" s="22" t="s">
        <v>51</v>
      </c>
      <c r="S33" s="15" t="s">
        <v>51</v>
      </c>
      <c r="T33" s="50"/>
      <c r="U33" s="23" t="n">
        <v>0</v>
      </c>
      <c r="V33" s="23" t="n">
        <v>0</v>
      </c>
      <c r="W33" s="24" t="n">
        <v>0</v>
      </c>
      <c r="X33" s="23" t="n">
        <v>0</v>
      </c>
      <c r="Y33" s="23" t="n">
        <v>0</v>
      </c>
      <c r="Z33" s="51"/>
      <c r="AA33" s="28"/>
      <c r="AB33" s="16"/>
      <c r="AC33" s="69"/>
      <c r="AD33" s="70"/>
      <c r="AE33" s="15"/>
    </row>
    <row r="34" customFormat="false" ht="12.95" hidden="false" customHeight="true" outlineLevel="0" collapsed="false">
      <c r="A34" s="10" t="s">
        <v>557</v>
      </c>
      <c r="B34" s="1" t="s">
        <v>569</v>
      </c>
      <c r="C34" s="15" t="s">
        <v>570</v>
      </c>
      <c r="D34" s="15" t="s">
        <v>333</v>
      </c>
      <c r="E34" s="25" t="s">
        <v>130</v>
      </c>
      <c r="F34" s="25" t="n">
        <v>37020</v>
      </c>
      <c r="G34" s="16" t="s">
        <v>572</v>
      </c>
      <c r="H34" s="25" t="n">
        <v>37040</v>
      </c>
      <c r="I34" s="16"/>
      <c r="J34" s="22" t="n">
        <v>0.444</v>
      </c>
      <c r="K34" s="22" t="n">
        <v>0.00744186046511629</v>
      </c>
      <c r="L34" s="16"/>
      <c r="M34" s="16"/>
      <c r="N34" s="16"/>
      <c r="O34" s="16"/>
      <c r="P34" s="16" t="s">
        <v>51</v>
      </c>
      <c r="Q34" s="21" t="s">
        <v>51</v>
      </c>
      <c r="R34" s="22" t="s">
        <v>51</v>
      </c>
      <c r="S34" s="15" t="s">
        <v>51</v>
      </c>
      <c r="T34" s="50"/>
      <c r="U34" s="23" t="n">
        <v>0</v>
      </c>
      <c r="V34" s="23" t="n">
        <v>0</v>
      </c>
      <c r="W34" s="24" t="n">
        <v>0</v>
      </c>
      <c r="X34" s="23" t="n">
        <v>0</v>
      </c>
      <c r="Y34" s="23" t="n">
        <v>0</v>
      </c>
      <c r="Z34" s="16"/>
      <c r="AA34" s="28"/>
      <c r="AB34" s="16"/>
      <c r="AC34" s="69"/>
      <c r="AD34" s="70"/>
      <c r="AE34" s="15"/>
    </row>
    <row r="35" customFormat="false" ht="12.95" hidden="false" customHeight="true" outlineLevel="0" collapsed="false">
      <c r="A35" s="10" t="s">
        <v>559</v>
      </c>
      <c r="B35" s="1" t="s">
        <v>569</v>
      </c>
      <c r="C35" s="15" t="s">
        <v>570</v>
      </c>
      <c r="D35" s="15" t="s">
        <v>333</v>
      </c>
      <c r="E35" s="25" t="s">
        <v>130</v>
      </c>
      <c r="F35" s="25" t="n">
        <v>37013</v>
      </c>
      <c r="G35" s="16" t="s">
        <v>131</v>
      </c>
      <c r="H35" s="25" t="n">
        <v>37040</v>
      </c>
      <c r="I35" s="16"/>
      <c r="J35" s="22" t="n">
        <v>-0.439120879120879</v>
      </c>
      <c r="K35" s="22" t="n">
        <v>-0.28112676056338</v>
      </c>
      <c r="L35" s="16"/>
      <c r="M35" s="16"/>
      <c r="N35" s="49"/>
      <c r="O35" s="16"/>
      <c r="P35" s="22" t="s">
        <v>51</v>
      </c>
      <c r="Q35" s="21" t="s">
        <v>51</v>
      </c>
      <c r="R35" s="22" t="s">
        <v>51</v>
      </c>
      <c r="S35" s="15" t="s">
        <v>51</v>
      </c>
      <c r="T35" s="50"/>
      <c r="U35" s="23" t="n">
        <v>0</v>
      </c>
      <c r="V35" s="23" t="n">
        <v>0</v>
      </c>
      <c r="W35" s="24" t="n">
        <v>0</v>
      </c>
      <c r="X35" s="23" t="n">
        <v>0</v>
      </c>
      <c r="Y35" s="23" t="n">
        <v>0</v>
      </c>
      <c r="Z35" s="51"/>
    </row>
    <row r="36" customFormat="false" ht="12.95" hidden="false" customHeight="true" outlineLevel="0" collapsed="false">
      <c r="A36" s="10" t="s">
        <v>561</v>
      </c>
      <c r="B36" s="1" t="s">
        <v>569</v>
      </c>
      <c r="C36" s="15" t="s">
        <v>570</v>
      </c>
      <c r="D36" s="15" t="s">
        <v>123</v>
      </c>
      <c r="E36" s="25" t="s">
        <v>99</v>
      </c>
      <c r="F36" s="25" t="n">
        <v>37081</v>
      </c>
      <c r="G36" s="16" t="s">
        <v>573</v>
      </c>
      <c r="H36" s="25" t="n">
        <v>37040</v>
      </c>
      <c r="I36" s="16"/>
      <c r="J36" s="22" t="n">
        <v>0.142643856920684</v>
      </c>
      <c r="K36" s="22" t="n">
        <v>-0.127410926365796</v>
      </c>
      <c r="L36" s="16"/>
      <c r="M36" s="16"/>
      <c r="N36" s="49"/>
      <c r="O36" s="16"/>
      <c r="P36" s="22" t="s">
        <v>51</v>
      </c>
      <c r="Q36" s="21" t="s">
        <v>51</v>
      </c>
      <c r="R36" s="22" t="s">
        <v>51</v>
      </c>
      <c r="S36" s="15" t="s">
        <v>51</v>
      </c>
      <c r="T36" s="50"/>
      <c r="U36" s="23" t="n">
        <v>0</v>
      </c>
      <c r="V36" s="23" t="n">
        <v>0</v>
      </c>
      <c r="W36" s="24" t="n">
        <v>0</v>
      </c>
      <c r="X36" s="23" t="n">
        <v>0</v>
      </c>
      <c r="Y36" s="23" t="n">
        <v>0</v>
      </c>
      <c r="Z36" s="51"/>
    </row>
    <row r="37" customFormat="false" ht="12.95" hidden="false" customHeight="true" outlineLevel="0" collapsed="false">
      <c r="A37" s="10" t="s">
        <v>563</v>
      </c>
      <c r="B37" s="1" t="s">
        <v>569</v>
      </c>
      <c r="C37" s="15" t="s">
        <v>570</v>
      </c>
      <c r="D37" s="15" t="s">
        <v>123</v>
      </c>
      <c r="E37" s="25" t="s">
        <v>99</v>
      </c>
      <c r="F37" s="25" t="n">
        <v>37040</v>
      </c>
      <c r="G37" s="16" t="s">
        <v>414</v>
      </c>
      <c r="H37" s="25" t="n">
        <v>37040</v>
      </c>
      <c r="I37" s="16"/>
      <c r="J37" s="22" t="n">
        <v>0.0481381957773513</v>
      </c>
      <c r="K37" s="22" t="n">
        <v>-0.23087323943662</v>
      </c>
      <c r="L37" s="16"/>
      <c r="M37" s="16"/>
      <c r="N37" s="49"/>
      <c r="O37" s="16"/>
      <c r="P37" s="22" t="s">
        <v>51</v>
      </c>
      <c r="Q37" s="21" t="s">
        <v>51</v>
      </c>
      <c r="R37" s="22" t="s">
        <v>51</v>
      </c>
      <c r="S37" s="15" t="s">
        <v>51</v>
      </c>
      <c r="T37" s="50"/>
      <c r="U37" s="23" t="n">
        <v>0</v>
      </c>
      <c r="V37" s="23" t="n">
        <v>0</v>
      </c>
      <c r="W37" s="24" t="n">
        <v>0</v>
      </c>
      <c r="X37" s="23" t="n">
        <v>0</v>
      </c>
      <c r="Y37" s="23" t="n">
        <v>0</v>
      </c>
      <c r="Z37" s="51"/>
    </row>
    <row r="38" customFormat="false" ht="12.95" hidden="false" customHeight="true" outlineLevel="0" collapsed="false">
      <c r="A38" s="10" t="s">
        <v>565</v>
      </c>
      <c r="B38" s="1" t="s">
        <v>569</v>
      </c>
      <c r="C38" s="15" t="s">
        <v>570</v>
      </c>
      <c r="D38" s="15" t="s">
        <v>345</v>
      </c>
      <c r="E38" s="25" t="s">
        <v>128</v>
      </c>
      <c r="F38" s="25" t="n">
        <v>37050</v>
      </c>
      <c r="G38" s="16" t="s">
        <v>574</v>
      </c>
      <c r="H38" s="25" t="n">
        <v>37040</v>
      </c>
      <c r="I38" s="16"/>
      <c r="J38" s="22" t="n">
        <v>-0.0481012658227848</v>
      </c>
      <c r="K38" s="22" t="n">
        <v>-0.391093117408907</v>
      </c>
      <c r="L38" s="16"/>
      <c r="M38" s="16"/>
      <c r="N38" s="49"/>
      <c r="O38" s="16"/>
      <c r="P38" s="22" t="s">
        <v>51</v>
      </c>
      <c r="Q38" s="21" t="s">
        <v>51</v>
      </c>
      <c r="R38" s="22" t="s">
        <v>51</v>
      </c>
      <c r="S38" s="15" t="s">
        <v>51</v>
      </c>
      <c r="T38" s="50"/>
      <c r="U38" s="23" t="n">
        <v>0</v>
      </c>
      <c r="V38" s="23" t="n">
        <v>0</v>
      </c>
      <c r="W38" s="24" t="n">
        <v>0</v>
      </c>
      <c r="X38" s="23" t="n">
        <v>0</v>
      </c>
      <c r="Y38" s="23" t="n">
        <v>0</v>
      </c>
      <c r="Z38" s="51"/>
    </row>
    <row r="39" customFormat="false" ht="12.95" hidden="false" customHeight="true" outlineLevel="0" collapsed="false">
      <c r="A39" s="10" t="s">
        <v>567</v>
      </c>
      <c r="B39" s="1" t="s">
        <v>569</v>
      </c>
      <c r="C39" s="15" t="s">
        <v>570</v>
      </c>
      <c r="D39" s="15" t="s">
        <v>345</v>
      </c>
      <c r="E39" s="25" t="s">
        <v>128</v>
      </c>
      <c r="F39" s="25" t="n">
        <v>37028</v>
      </c>
      <c r="G39" s="16" t="s">
        <v>272</v>
      </c>
      <c r="H39" s="25" t="n">
        <v>37040</v>
      </c>
      <c r="I39" s="16"/>
      <c r="J39" s="22" t="n">
        <v>-0.278005540166205</v>
      </c>
      <c r="K39" s="22" t="n">
        <v>-0.495665634674923</v>
      </c>
      <c r="L39" s="16"/>
      <c r="M39" s="16"/>
      <c r="N39" s="49"/>
      <c r="O39" s="16"/>
      <c r="P39" s="22" t="s">
        <v>51</v>
      </c>
      <c r="Q39" s="21" t="s">
        <v>51</v>
      </c>
      <c r="R39" s="22" t="s">
        <v>51</v>
      </c>
      <c r="S39" s="15" t="s">
        <v>51</v>
      </c>
      <c r="T39" s="50"/>
      <c r="U39" s="23" t="n">
        <v>0</v>
      </c>
      <c r="V39" s="23" t="n">
        <v>0</v>
      </c>
      <c r="W39" s="24" t="n">
        <v>0</v>
      </c>
      <c r="X39" s="23" t="n">
        <v>0</v>
      </c>
      <c r="Y39" s="23" t="n">
        <v>0</v>
      </c>
      <c r="Z39" s="51"/>
    </row>
    <row r="40" customFormat="false" ht="12.75" hidden="false" customHeight="false" outlineLevel="0" collapsed="false">
      <c r="C40" s="15"/>
      <c r="D40" s="15"/>
      <c r="E40" s="15"/>
      <c r="F40" s="25"/>
      <c r="G40" s="16"/>
      <c r="H40" s="25"/>
      <c r="I40" s="16"/>
      <c r="J40" s="22"/>
      <c r="K40" s="22"/>
      <c r="L40" s="16"/>
      <c r="M40" s="16"/>
      <c r="N40" s="16"/>
      <c r="O40" s="16"/>
      <c r="P40" s="16"/>
      <c r="Q40" s="16"/>
      <c r="R40" s="16"/>
      <c r="S40" s="16"/>
      <c r="T40" s="50"/>
      <c r="U40" s="16"/>
      <c r="V40" s="16"/>
      <c r="W40" s="16"/>
      <c r="X40" s="16"/>
      <c r="Y40" s="16"/>
      <c r="Z40" s="16"/>
      <c r="AA40" s="44"/>
    </row>
    <row r="41" customFormat="false" ht="12.95" hidden="false" customHeight="true" outlineLevel="0" collapsed="false">
      <c r="C41" s="15"/>
      <c r="D41" s="15"/>
      <c r="E41" s="15"/>
      <c r="F41" s="16"/>
      <c r="G41" s="16"/>
      <c r="H41" s="25"/>
      <c r="I41" s="16"/>
      <c r="J41" s="22"/>
      <c r="K41" s="22"/>
      <c r="L41" s="16"/>
      <c r="M41" s="16"/>
      <c r="N41" s="16"/>
      <c r="O41" s="16"/>
      <c r="P41" s="16"/>
      <c r="Q41" s="16"/>
      <c r="R41" s="16"/>
      <c r="S41" s="16"/>
      <c r="T41" s="50"/>
      <c r="U41" s="16"/>
      <c r="V41" s="16"/>
      <c r="W41" s="16"/>
      <c r="X41" s="16"/>
      <c r="Y41" s="16"/>
      <c r="AA41" s="4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</row>
    <row r="42" customFormat="false" ht="12.95" hidden="false" customHeight="true" outlineLevel="0" collapsed="false">
      <c r="A42" s="16"/>
      <c r="B42" s="58"/>
      <c r="C42" s="58"/>
      <c r="D42" s="16"/>
      <c r="E42" s="58"/>
      <c r="F42" s="16"/>
      <c r="G42" s="16"/>
      <c r="H42" s="16"/>
      <c r="I42" s="16"/>
      <c r="J42" s="16"/>
      <c r="K42" s="16"/>
      <c r="L42" s="16"/>
      <c r="M42" s="16"/>
      <c r="N42" s="40" t="s">
        <v>56</v>
      </c>
      <c r="O42" s="16"/>
      <c r="P42" s="22" t="s">
        <v>51</v>
      </c>
      <c r="Q42" s="22" t="s">
        <v>51</v>
      </c>
      <c r="R42" s="22" t="s">
        <v>51</v>
      </c>
      <c r="S42" s="15"/>
      <c r="T42" s="50"/>
      <c r="U42" s="23"/>
      <c r="V42" s="23"/>
      <c r="W42" s="24"/>
      <c r="X42" s="23"/>
      <c r="Y42" s="23"/>
      <c r="Z42" s="16"/>
      <c r="AA42" s="52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2.95" hidden="false" customHeight="true" outlineLevel="0" collapsed="false">
      <c r="A43" s="16"/>
      <c r="B43" s="58"/>
      <c r="C43" s="58"/>
      <c r="D43" s="58"/>
      <c r="E43" s="16"/>
      <c r="F43" s="16"/>
      <c r="G43" s="16"/>
      <c r="H43" s="16"/>
      <c r="I43" s="16"/>
      <c r="J43" s="16"/>
      <c r="K43" s="16"/>
      <c r="L43" s="16"/>
      <c r="M43" s="16"/>
      <c r="N43" s="40" t="s">
        <v>57</v>
      </c>
      <c r="O43" s="16"/>
      <c r="P43" s="22" t="s">
        <v>51</v>
      </c>
      <c r="Q43" s="22" t="s">
        <v>51</v>
      </c>
      <c r="R43" s="22" t="s">
        <v>51</v>
      </c>
      <c r="S43" s="15"/>
      <c r="T43" s="50"/>
      <c r="U43" s="23"/>
      <c r="V43" s="23"/>
      <c r="W43" s="24"/>
      <c r="X43" s="23"/>
      <c r="Y43" s="23"/>
      <c r="Z43" s="16"/>
      <c r="AA43" s="52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2.95" hidden="false" customHeight="true" outlineLevel="0" collapsed="false">
      <c r="A44" s="16"/>
      <c r="B44" s="58"/>
      <c r="C44" s="58"/>
      <c r="D44" s="58"/>
      <c r="E44" s="16"/>
      <c r="F44" s="16"/>
      <c r="G44" s="16"/>
      <c r="H44" s="16"/>
      <c r="I44" s="16"/>
      <c r="J44" s="16"/>
      <c r="K44" s="16"/>
      <c r="L44" s="16"/>
      <c r="M44" s="16"/>
      <c r="N44" s="40" t="s">
        <v>26</v>
      </c>
      <c r="O44" s="16"/>
      <c r="P44" s="22" t="s">
        <v>51</v>
      </c>
      <c r="Q44" s="22" t="s">
        <v>51</v>
      </c>
      <c r="R44" s="22" t="s">
        <v>51</v>
      </c>
      <c r="S44" s="15"/>
      <c r="T44" s="50"/>
      <c r="U44" s="23"/>
      <c r="V44" s="23"/>
      <c r="W44" s="24"/>
      <c r="X44" s="23"/>
      <c r="Y44" s="23"/>
      <c r="Z44" s="16"/>
      <c r="AA44" s="52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6"/>
      <c r="IM44" s="16"/>
      <c r="IN44" s="16"/>
      <c r="IO44" s="16"/>
      <c r="IP44" s="16"/>
      <c r="IQ44" s="16"/>
      <c r="IR44" s="16"/>
      <c r="IS44" s="16"/>
      <c r="IT44" s="16"/>
      <c r="IU44" s="16"/>
      <c r="IV44" s="16"/>
      <c r="IW44" s="16"/>
    </row>
    <row r="45" customFormat="false" ht="12.95" hidden="false" customHeight="true" outlineLevel="0" collapsed="false">
      <c r="A45" s="16"/>
      <c r="B45" s="58"/>
      <c r="C45" s="58"/>
      <c r="D45" s="58"/>
      <c r="E45" s="16"/>
      <c r="F45" s="16"/>
      <c r="G45" s="16"/>
      <c r="H45" s="16"/>
      <c r="I45" s="16"/>
      <c r="J45" s="16"/>
      <c r="K45" s="16"/>
      <c r="L45" s="16"/>
      <c r="M45" s="16"/>
      <c r="N45" s="40" t="s">
        <v>27</v>
      </c>
      <c r="O45" s="16"/>
      <c r="P45" s="22" t="s">
        <v>51</v>
      </c>
      <c r="Q45" s="22" t="s">
        <v>51</v>
      </c>
      <c r="R45" s="22" t="s">
        <v>51</v>
      </c>
      <c r="S45" s="15"/>
      <c r="T45" s="50"/>
      <c r="U45" s="23"/>
      <c r="V45" s="23"/>
      <c r="W45" s="24"/>
      <c r="X45" s="23"/>
      <c r="Y45" s="23"/>
      <c r="Z45" s="16"/>
      <c r="AA45" s="52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6"/>
      <c r="IM45" s="16"/>
      <c r="IN45" s="16"/>
      <c r="IO45" s="16"/>
      <c r="IP45" s="16"/>
      <c r="IQ45" s="16"/>
      <c r="IR45" s="16"/>
      <c r="IS45" s="16"/>
      <c r="IT45" s="16"/>
      <c r="IU45" s="16"/>
      <c r="IV45" s="16"/>
      <c r="IW45" s="16"/>
    </row>
    <row r="46" customFormat="false" ht="12.95" hidden="false" customHeight="true" outlineLevel="0" collapsed="false">
      <c r="A46" s="61" t="s">
        <v>104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51"/>
      <c r="AA46" s="48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  <c r="IQ46" s="16"/>
      <c r="IR46" s="16"/>
      <c r="IS46" s="16"/>
      <c r="IT46" s="16"/>
      <c r="IU46" s="16"/>
      <c r="IV46" s="16"/>
      <c r="IW46" s="16"/>
    </row>
    <row r="47" customFormat="false" ht="12.95" hidden="false" customHeight="true" outlineLevel="0" collapsed="false">
      <c r="A47" s="15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51"/>
      <c r="AA47" s="52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</row>
    <row r="48" customFormat="false" ht="12.75" hidden="false" customHeight="false" outlineLevel="0" collapsed="false">
      <c r="A48" s="15"/>
      <c r="B48" s="16"/>
      <c r="C48" s="16"/>
      <c r="D48" s="16"/>
      <c r="E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51"/>
    </row>
    <row r="49" customFormat="false" ht="12.95" hidden="false" customHeight="true" outlineLevel="0" collapsed="false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51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2.95" hidden="false" customHeight="true" outlineLevel="0" collapsed="false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2.95" hidden="false" customHeight="true" outlineLevel="0" collapsed="false">
      <c r="A51" s="15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2.95" hidden="false" customHeight="true" outlineLevel="0" collapsed="false">
      <c r="A52" s="15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2.95" hidden="false" customHeight="true" outlineLevel="0" collapsed="false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12.95" hidden="false" customHeight="true" outlineLevel="0" collapsed="false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12.95" hidden="false" customHeight="true" outlineLevel="0" collapsed="false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12.95" hidden="false" customHeight="true" outlineLevel="0" collapsed="false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12.95" hidden="false" customHeight="true" outlineLevel="0" collapsed="false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12.95" hidden="false" customHeight="true" outlineLevel="0" collapsed="false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12.95" hidden="false" customHeight="true" outlineLevel="0" collapsed="false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</row>
    <row r="60" customFormat="false" ht="12.95" hidden="false" customHeight="true" outlineLevel="0" collapsed="false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</row>
    <row r="61" customFormat="false" ht="12.95" hidden="false" customHeight="true" outlineLevel="0" collapsed="false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6"/>
      <c r="IM61" s="16"/>
      <c r="IN61" s="16"/>
      <c r="IO61" s="16"/>
      <c r="IP61" s="16"/>
      <c r="IQ61" s="16"/>
      <c r="IR61" s="16"/>
      <c r="IS61" s="16"/>
      <c r="IT61" s="16"/>
      <c r="IU61" s="16"/>
      <c r="IV61" s="16"/>
      <c r="IW61" s="16"/>
    </row>
    <row r="62" customFormat="false" ht="12.95" hidden="false" customHeight="true" outlineLevel="0" collapsed="false"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</row>
    <row r="63" customFormat="false" ht="12.95" hidden="false" customHeight="true" outlineLevel="0" collapsed="false"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</row>
    <row r="64" customFormat="false" ht="12.95" hidden="false" customHeight="true" outlineLevel="0" collapsed="false"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</row>
    <row r="65" customFormat="false" ht="12.95" hidden="false" customHeight="true" outlineLevel="0" collapsed="false"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6"/>
      <c r="IM65" s="16"/>
      <c r="IN65" s="16"/>
      <c r="IO65" s="16"/>
      <c r="IP65" s="16"/>
      <c r="IQ65" s="16"/>
      <c r="IR65" s="16"/>
      <c r="IS65" s="16"/>
      <c r="IT65" s="16"/>
      <c r="IU65" s="16"/>
      <c r="IV65" s="16"/>
      <c r="IW65" s="16"/>
    </row>
    <row r="66" customFormat="false" ht="12.95" hidden="false" customHeight="true" outlineLevel="0" collapsed="false"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  <c r="GU66" s="16"/>
      <c r="GV66" s="16"/>
      <c r="GW66" s="16"/>
      <c r="GX66" s="16"/>
      <c r="GY66" s="16"/>
      <c r="GZ66" s="16"/>
      <c r="HA66" s="16"/>
      <c r="HB66" s="16"/>
      <c r="HC66" s="16"/>
      <c r="HD66" s="16"/>
      <c r="HE66" s="16"/>
      <c r="HF66" s="16"/>
      <c r="HG66" s="16"/>
      <c r="HH66" s="16"/>
      <c r="HI66" s="16"/>
      <c r="HJ66" s="16"/>
      <c r="HK66" s="16"/>
      <c r="HL66" s="16"/>
      <c r="HM66" s="16"/>
      <c r="HN66" s="16"/>
      <c r="HO66" s="16"/>
      <c r="HP66" s="16"/>
      <c r="HQ66" s="16"/>
      <c r="HR66" s="16"/>
      <c r="HS66" s="16"/>
      <c r="HT66" s="16"/>
      <c r="HU66" s="16"/>
      <c r="HV66" s="16"/>
      <c r="HW66" s="16"/>
      <c r="HX66" s="16"/>
      <c r="HY66" s="16"/>
      <c r="HZ66" s="16"/>
      <c r="IA66" s="16"/>
      <c r="IB66" s="16"/>
      <c r="IC66" s="16"/>
      <c r="ID66" s="16"/>
      <c r="IE66" s="16"/>
      <c r="IF66" s="16"/>
      <c r="IG66" s="16"/>
      <c r="IH66" s="16"/>
      <c r="II66" s="16"/>
      <c r="IJ66" s="16"/>
      <c r="IK66" s="16"/>
      <c r="IL66" s="16"/>
      <c r="IM66" s="16"/>
      <c r="IN66" s="16"/>
      <c r="IO66" s="16"/>
      <c r="IP66" s="16"/>
      <c r="IQ66" s="16"/>
      <c r="IR66" s="16"/>
      <c r="IS66" s="16"/>
      <c r="IT66" s="16"/>
      <c r="IU66" s="16"/>
      <c r="IV66" s="16"/>
      <c r="IW66" s="16"/>
    </row>
    <row r="67" customFormat="false" ht="12.95" hidden="false" customHeight="true" outlineLevel="0" collapsed="false"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</row>
    <row r="68" customFormat="false" ht="12.95" hidden="false" customHeight="true" outlineLevel="0" collapsed="false"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</row>
    <row r="69" customFormat="false" ht="12.95" hidden="false" customHeight="true" outlineLevel="0" collapsed="false"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  <c r="IU69" s="16"/>
      <c r="IV69" s="16"/>
      <c r="IW69" s="16"/>
    </row>
    <row r="70" customFormat="false" ht="12.95" hidden="false" customHeight="true" outlineLevel="0" collapsed="false"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</row>
    <row r="71" customFormat="false" ht="12.95" hidden="false" customHeight="true" outlineLevel="0" collapsed="false"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  <c r="FF71" s="16"/>
      <c r="FG71" s="16"/>
      <c r="FH71" s="16"/>
      <c r="FI71" s="16"/>
      <c r="FJ71" s="16"/>
      <c r="FK71" s="16"/>
      <c r="FL71" s="16"/>
      <c r="FM71" s="16"/>
      <c r="FN71" s="16"/>
      <c r="FO71" s="16"/>
      <c r="FP71" s="16"/>
      <c r="FQ71" s="16"/>
      <c r="FR71" s="16"/>
      <c r="FS71" s="16"/>
      <c r="FT71" s="16"/>
      <c r="FU71" s="16"/>
      <c r="FV71" s="16"/>
      <c r="FW71" s="16"/>
      <c r="FX71" s="16"/>
      <c r="FY71" s="16"/>
      <c r="FZ71" s="16"/>
      <c r="GA71" s="16"/>
      <c r="GB71" s="16"/>
      <c r="GC71" s="16"/>
      <c r="GD71" s="16"/>
      <c r="GE71" s="16"/>
      <c r="GF71" s="16"/>
      <c r="GG71" s="16"/>
      <c r="GH71" s="16"/>
      <c r="GI71" s="16"/>
      <c r="GJ71" s="16"/>
      <c r="GK71" s="16"/>
      <c r="GL71" s="16"/>
      <c r="GM71" s="16"/>
      <c r="GN71" s="16"/>
      <c r="GO71" s="16"/>
      <c r="GP71" s="16"/>
      <c r="GQ71" s="16"/>
      <c r="GR71" s="16"/>
      <c r="GS71" s="16"/>
      <c r="GT71" s="16"/>
      <c r="GU71" s="16"/>
      <c r="GV71" s="16"/>
      <c r="GW71" s="16"/>
      <c r="GX71" s="16"/>
      <c r="GY71" s="16"/>
      <c r="GZ71" s="16"/>
      <c r="HA71" s="16"/>
      <c r="HB71" s="16"/>
      <c r="HC71" s="16"/>
      <c r="HD71" s="16"/>
      <c r="HE71" s="16"/>
      <c r="HF71" s="16"/>
      <c r="HG71" s="16"/>
      <c r="HH71" s="16"/>
      <c r="HI71" s="16"/>
      <c r="HJ71" s="16"/>
      <c r="HK71" s="16"/>
      <c r="HL71" s="16"/>
      <c r="HM71" s="16"/>
      <c r="HN71" s="16"/>
      <c r="HO71" s="16"/>
      <c r="HP71" s="16"/>
      <c r="HQ71" s="16"/>
      <c r="HR71" s="16"/>
      <c r="HS71" s="16"/>
      <c r="HT71" s="16"/>
      <c r="HU71" s="16"/>
      <c r="HV71" s="16"/>
      <c r="HW71" s="16"/>
      <c r="HX71" s="16"/>
      <c r="HY71" s="16"/>
      <c r="HZ71" s="16"/>
      <c r="IA71" s="16"/>
      <c r="IB71" s="16"/>
      <c r="IC71" s="16"/>
      <c r="ID71" s="16"/>
      <c r="IE71" s="16"/>
      <c r="IF71" s="16"/>
      <c r="IG71" s="16"/>
      <c r="IH71" s="16"/>
      <c r="II71" s="16"/>
      <c r="IJ71" s="16"/>
      <c r="IK71" s="16"/>
      <c r="IL71" s="16"/>
      <c r="IM71" s="16"/>
      <c r="IN71" s="16"/>
      <c r="IO71" s="16"/>
      <c r="IP71" s="16"/>
      <c r="IQ71" s="16"/>
      <c r="IR71" s="16"/>
      <c r="IS71" s="16"/>
      <c r="IT71" s="16"/>
      <c r="IU71" s="16"/>
      <c r="IV71" s="16"/>
      <c r="IW71" s="16"/>
    </row>
    <row r="72" customFormat="false" ht="12.95" hidden="false" customHeight="true" outlineLevel="0" collapsed="false"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6"/>
      <c r="FI72" s="16"/>
      <c r="FJ72" s="16"/>
      <c r="FK72" s="16"/>
      <c r="FL72" s="16"/>
      <c r="FM72" s="16"/>
      <c r="FN72" s="16"/>
      <c r="FO72" s="16"/>
      <c r="FP72" s="16"/>
      <c r="FQ72" s="16"/>
      <c r="FR72" s="16"/>
      <c r="FS72" s="16"/>
      <c r="FT72" s="16"/>
      <c r="FU72" s="16"/>
      <c r="FV72" s="16"/>
      <c r="FW72" s="16"/>
      <c r="FX72" s="16"/>
      <c r="FY72" s="16"/>
      <c r="FZ72" s="16"/>
      <c r="GA72" s="16"/>
      <c r="GB72" s="16"/>
      <c r="GC72" s="16"/>
      <c r="GD72" s="16"/>
      <c r="GE72" s="16"/>
      <c r="GF72" s="16"/>
      <c r="GG72" s="16"/>
      <c r="GH72" s="16"/>
      <c r="GI72" s="16"/>
      <c r="GJ72" s="16"/>
      <c r="GK72" s="16"/>
      <c r="GL72" s="16"/>
      <c r="GM72" s="16"/>
      <c r="GN72" s="16"/>
      <c r="GO72" s="16"/>
      <c r="GP72" s="16"/>
      <c r="GQ72" s="16"/>
      <c r="GR72" s="16"/>
      <c r="GS72" s="16"/>
      <c r="GT72" s="16"/>
      <c r="GU72" s="16"/>
      <c r="GV72" s="16"/>
      <c r="GW72" s="16"/>
      <c r="GX72" s="16"/>
      <c r="GY72" s="16"/>
      <c r="GZ72" s="16"/>
      <c r="HA72" s="16"/>
      <c r="HB72" s="16"/>
      <c r="HC72" s="16"/>
      <c r="HD72" s="16"/>
      <c r="HE72" s="16"/>
      <c r="HF72" s="16"/>
      <c r="HG72" s="16"/>
      <c r="HH72" s="16"/>
      <c r="HI72" s="16"/>
      <c r="HJ72" s="16"/>
      <c r="HK72" s="16"/>
      <c r="HL72" s="16"/>
      <c r="HM72" s="16"/>
      <c r="HN72" s="16"/>
      <c r="HO72" s="16"/>
      <c r="HP72" s="16"/>
      <c r="HQ72" s="16"/>
      <c r="HR72" s="16"/>
      <c r="HS72" s="16"/>
      <c r="HT72" s="16"/>
      <c r="HU72" s="16"/>
      <c r="HV72" s="16"/>
      <c r="HW72" s="16"/>
      <c r="HX72" s="16"/>
      <c r="HY72" s="16"/>
      <c r="HZ72" s="16"/>
      <c r="IA72" s="16"/>
      <c r="IB72" s="16"/>
      <c r="IC72" s="16"/>
      <c r="ID72" s="16"/>
      <c r="IE72" s="16"/>
      <c r="IF72" s="16"/>
      <c r="IG72" s="16"/>
      <c r="IH72" s="16"/>
      <c r="II72" s="16"/>
      <c r="IJ72" s="16"/>
      <c r="IK72" s="16"/>
      <c r="IL72" s="16"/>
      <c r="IM72" s="16"/>
      <c r="IN72" s="16"/>
      <c r="IO72" s="16"/>
      <c r="IP72" s="16"/>
      <c r="IQ72" s="16"/>
      <c r="IR72" s="16"/>
      <c r="IS72" s="16"/>
      <c r="IT72" s="16"/>
      <c r="IU72" s="16"/>
      <c r="IV72" s="16"/>
      <c r="IW72" s="16"/>
    </row>
    <row r="73" customFormat="false" ht="12.95" hidden="false" customHeight="true" outlineLevel="0" collapsed="false"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  <c r="FF73" s="16"/>
      <c r="FG73" s="16"/>
      <c r="FH73" s="16"/>
      <c r="FI73" s="16"/>
      <c r="FJ73" s="16"/>
      <c r="FK73" s="16"/>
      <c r="FL73" s="16"/>
      <c r="FM73" s="16"/>
      <c r="FN73" s="16"/>
      <c r="FO73" s="16"/>
      <c r="FP73" s="16"/>
      <c r="FQ73" s="16"/>
      <c r="FR73" s="16"/>
      <c r="FS73" s="16"/>
      <c r="FT73" s="16"/>
      <c r="FU73" s="16"/>
      <c r="FV73" s="16"/>
      <c r="FW73" s="16"/>
      <c r="FX73" s="16"/>
      <c r="FY73" s="16"/>
      <c r="FZ73" s="16"/>
      <c r="GA73" s="16"/>
      <c r="GB73" s="16"/>
      <c r="GC73" s="16"/>
      <c r="GD73" s="16"/>
      <c r="GE73" s="16"/>
      <c r="GF73" s="16"/>
      <c r="GG73" s="16"/>
      <c r="GH73" s="16"/>
      <c r="GI73" s="16"/>
      <c r="GJ73" s="16"/>
      <c r="GK73" s="16"/>
      <c r="GL73" s="16"/>
      <c r="GM73" s="16"/>
      <c r="GN73" s="16"/>
      <c r="GO73" s="16"/>
      <c r="GP73" s="16"/>
      <c r="GQ73" s="16"/>
      <c r="GR73" s="16"/>
      <c r="GS73" s="16"/>
      <c r="GT73" s="16"/>
      <c r="GU73" s="16"/>
      <c r="GV73" s="16"/>
      <c r="GW73" s="16"/>
      <c r="GX73" s="16"/>
      <c r="GY73" s="16"/>
      <c r="GZ73" s="16"/>
      <c r="HA73" s="16"/>
      <c r="HB73" s="16"/>
      <c r="HC73" s="16"/>
      <c r="HD73" s="16"/>
      <c r="HE73" s="16"/>
      <c r="HF73" s="16"/>
      <c r="HG73" s="16"/>
      <c r="HH73" s="16"/>
      <c r="HI73" s="16"/>
      <c r="HJ73" s="16"/>
      <c r="HK73" s="16"/>
      <c r="HL73" s="16"/>
      <c r="HM73" s="16"/>
      <c r="HN73" s="16"/>
      <c r="HO73" s="16"/>
      <c r="HP73" s="16"/>
      <c r="HQ73" s="16"/>
      <c r="HR73" s="16"/>
      <c r="HS73" s="16"/>
      <c r="HT73" s="16"/>
      <c r="HU73" s="16"/>
      <c r="HV73" s="16"/>
      <c r="HW73" s="16"/>
      <c r="HX73" s="16"/>
      <c r="HY73" s="16"/>
      <c r="HZ73" s="16"/>
      <c r="IA73" s="16"/>
      <c r="IB73" s="16"/>
      <c r="IC73" s="16"/>
      <c r="ID73" s="16"/>
      <c r="IE73" s="16"/>
      <c r="IF73" s="16"/>
      <c r="IG73" s="16"/>
      <c r="IH73" s="16"/>
      <c r="II73" s="16"/>
      <c r="IJ73" s="16"/>
      <c r="IK73" s="16"/>
      <c r="IL73" s="16"/>
      <c r="IM73" s="16"/>
      <c r="IN73" s="16"/>
      <c r="IO73" s="16"/>
      <c r="IP73" s="16"/>
      <c r="IQ73" s="16"/>
      <c r="IR73" s="16"/>
      <c r="IS73" s="16"/>
      <c r="IT73" s="16"/>
      <c r="IU73" s="16"/>
      <c r="IV73" s="16"/>
      <c r="IW73" s="16"/>
    </row>
    <row r="74" customFormat="false" ht="12.95" hidden="false" customHeight="true" outlineLevel="0" collapsed="false"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DC74" s="16"/>
      <c r="DD74" s="16"/>
      <c r="DE74" s="16"/>
      <c r="DF74" s="16"/>
      <c r="DG74" s="16"/>
      <c r="DH74" s="16"/>
      <c r="DI74" s="16"/>
      <c r="DJ74" s="16"/>
      <c r="DK74" s="16"/>
      <c r="DL74" s="16"/>
      <c r="DM74" s="16"/>
      <c r="DN74" s="16"/>
      <c r="DO74" s="16"/>
      <c r="DP74" s="16"/>
      <c r="DQ74" s="16"/>
      <c r="DR74" s="16"/>
      <c r="DS74" s="16"/>
      <c r="DT74" s="16"/>
      <c r="DU74" s="16"/>
      <c r="DV74" s="16"/>
      <c r="DW74" s="16"/>
      <c r="DX74" s="16"/>
      <c r="DY74" s="16"/>
      <c r="DZ74" s="16"/>
      <c r="EA74" s="16"/>
      <c r="EB74" s="16"/>
      <c r="EC74" s="16"/>
      <c r="ED74" s="16"/>
      <c r="EE74" s="16"/>
      <c r="EF74" s="16"/>
      <c r="EG74" s="16"/>
      <c r="EH74" s="16"/>
      <c r="EI74" s="16"/>
      <c r="EJ74" s="16"/>
      <c r="EK74" s="16"/>
      <c r="EL74" s="16"/>
      <c r="EM74" s="16"/>
      <c r="EN74" s="16"/>
      <c r="EO74" s="16"/>
      <c r="EP74" s="16"/>
      <c r="EQ74" s="16"/>
      <c r="ER74" s="16"/>
      <c r="ES74" s="16"/>
      <c r="ET74" s="16"/>
      <c r="EU74" s="16"/>
      <c r="EV74" s="16"/>
      <c r="EW74" s="16"/>
      <c r="EX74" s="16"/>
      <c r="EY74" s="16"/>
      <c r="EZ74" s="16"/>
      <c r="FA74" s="16"/>
      <c r="FB74" s="16"/>
      <c r="FC74" s="16"/>
      <c r="FD74" s="16"/>
      <c r="FE74" s="16"/>
      <c r="FF74" s="16"/>
      <c r="FG74" s="16"/>
      <c r="FH74" s="16"/>
      <c r="FI74" s="16"/>
      <c r="FJ74" s="16"/>
      <c r="FK74" s="16"/>
      <c r="FL74" s="16"/>
      <c r="FM74" s="16"/>
      <c r="FN74" s="16"/>
      <c r="FO74" s="16"/>
      <c r="FP74" s="16"/>
      <c r="FQ74" s="16"/>
      <c r="FR74" s="16"/>
      <c r="FS74" s="16"/>
      <c r="FT74" s="16"/>
      <c r="FU74" s="16"/>
      <c r="FV74" s="16"/>
      <c r="FW74" s="16"/>
      <c r="FX74" s="16"/>
      <c r="FY74" s="16"/>
      <c r="FZ74" s="16"/>
      <c r="GA74" s="16"/>
      <c r="GB74" s="16"/>
      <c r="GC74" s="16"/>
      <c r="GD74" s="16"/>
      <c r="GE74" s="16"/>
      <c r="GF74" s="16"/>
      <c r="GG74" s="16"/>
      <c r="GH74" s="16"/>
      <c r="GI74" s="16"/>
      <c r="GJ74" s="16"/>
      <c r="GK74" s="16"/>
      <c r="GL74" s="16"/>
      <c r="GM74" s="16"/>
      <c r="GN74" s="16"/>
      <c r="GO74" s="16"/>
      <c r="GP74" s="16"/>
      <c r="GQ74" s="16"/>
      <c r="GR74" s="16"/>
      <c r="GS74" s="16"/>
      <c r="GT74" s="16"/>
      <c r="GU74" s="16"/>
      <c r="GV74" s="16"/>
      <c r="GW74" s="16"/>
      <c r="GX74" s="16"/>
      <c r="GY74" s="16"/>
      <c r="GZ74" s="16"/>
      <c r="HA74" s="16"/>
      <c r="HB74" s="16"/>
      <c r="HC74" s="16"/>
      <c r="HD74" s="16"/>
      <c r="HE74" s="16"/>
      <c r="HF74" s="16"/>
      <c r="HG74" s="16"/>
      <c r="HH74" s="16"/>
      <c r="HI74" s="16"/>
      <c r="HJ74" s="16"/>
      <c r="HK74" s="16"/>
      <c r="HL74" s="16"/>
      <c r="HM74" s="16"/>
      <c r="HN74" s="16"/>
      <c r="HO74" s="16"/>
      <c r="HP74" s="16"/>
      <c r="HQ74" s="16"/>
      <c r="HR74" s="16"/>
      <c r="HS74" s="16"/>
      <c r="HT74" s="16"/>
      <c r="HU74" s="16"/>
      <c r="HV74" s="16"/>
      <c r="HW74" s="16"/>
      <c r="HX74" s="16"/>
      <c r="HY74" s="16"/>
      <c r="HZ74" s="16"/>
      <c r="IA74" s="16"/>
      <c r="IB74" s="16"/>
      <c r="IC74" s="16"/>
      <c r="ID74" s="16"/>
      <c r="IE74" s="16"/>
      <c r="IF74" s="16"/>
      <c r="IG74" s="16"/>
      <c r="IH74" s="16"/>
      <c r="II74" s="16"/>
      <c r="IJ74" s="16"/>
      <c r="IK74" s="16"/>
      <c r="IL74" s="16"/>
      <c r="IM74" s="16"/>
      <c r="IN74" s="16"/>
      <c r="IO74" s="16"/>
      <c r="IP74" s="16"/>
      <c r="IQ74" s="16"/>
      <c r="IR74" s="16"/>
      <c r="IS74" s="16"/>
      <c r="IT74" s="16"/>
      <c r="IU74" s="16"/>
      <c r="IV74" s="16"/>
      <c r="IW74" s="16"/>
    </row>
    <row r="75" customFormat="false" ht="12.95" hidden="false" customHeight="true" outlineLevel="0" collapsed="false"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6"/>
      <c r="CU75" s="16"/>
      <c r="CV75" s="16"/>
      <c r="CW75" s="16"/>
      <c r="CX75" s="16"/>
      <c r="CY75" s="16"/>
      <c r="CZ75" s="16"/>
      <c r="DA75" s="16"/>
      <c r="DB75" s="16"/>
      <c r="DC75" s="16"/>
      <c r="DD75" s="16"/>
      <c r="DE75" s="16"/>
      <c r="DF75" s="16"/>
      <c r="DG75" s="16"/>
      <c r="DH75" s="16"/>
      <c r="DI75" s="16"/>
      <c r="DJ75" s="16"/>
      <c r="DK75" s="16"/>
      <c r="DL75" s="16"/>
      <c r="DM75" s="16"/>
      <c r="DN75" s="16"/>
      <c r="DO75" s="16"/>
      <c r="DP75" s="16"/>
      <c r="DQ75" s="16"/>
      <c r="DR75" s="16"/>
      <c r="DS75" s="16"/>
      <c r="DT75" s="16"/>
      <c r="DU75" s="16"/>
      <c r="DV75" s="16"/>
      <c r="DW75" s="16"/>
      <c r="DX75" s="16"/>
      <c r="DY75" s="16"/>
      <c r="DZ75" s="16"/>
      <c r="EA75" s="16"/>
      <c r="EB75" s="16"/>
      <c r="EC75" s="16"/>
      <c r="ED75" s="16"/>
      <c r="EE75" s="16"/>
      <c r="EF75" s="16"/>
      <c r="EG75" s="16"/>
      <c r="EH75" s="16"/>
      <c r="EI75" s="16"/>
      <c r="EJ75" s="16"/>
      <c r="EK75" s="16"/>
      <c r="EL75" s="16"/>
      <c r="EM75" s="16"/>
      <c r="EN75" s="16"/>
      <c r="EO75" s="16"/>
      <c r="EP75" s="16"/>
      <c r="EQ75" s="16"/>
      <c r="ER75" s="16"/>
      <c r="ES75" s="16"/>
      <c r="ET75" s="16"/>
      <c r="EU75" s="16"/>
      <c r="EV75" s="16"/>
      <c r="EW75" s="16"/>
      <c r="EX75" s="16"/>
      <c r="EY75" s="16"/>
      <c r="EZ75" s="16"/>
      <c r="FA75" s="16"/>
      <c r="FB75" s="16"/>
      <c r="FC75" s="16"/>
      <c r="FD75" s="16"/>
      <c r="FE75" s="16"/>
      <c r="FF75" s="16"/>
      <c r="FG75" s="16"/>
      <c r="FH75" s="16"/>
      <c r="FI75" s="16"/>
      <c r="FJ75" s="16"/>
      <c r="FK75" s="16"/>
      <c r="FL75" s="16"/>
      <c r="FM75" s="16"/>
      <c r="FN75" s="16"/>
      <c r="FO75" s="16"/>
      <c r="FP75" s="16"/>
      <c r="FQ75" s="16"/>
      <c r="FR75" s="16"/>
      <c r="FS75" s="16"/>
      <c r="FT75" s="16"/>
      <c r="FU75" s="16"/>
      <c r="FV75" s="16"/>
      <c r="FW75" s="16"/>
      <c r="FX75" s="16"/>
      <c r="FY75" s="16"/>
      <c r="FZ75" s="16"/>
      <c r="GA75" s="16"/>
      <c r="GB75" s="16"/>
      <c r="GC75" s="16"/>
      <c r="GD75" s="16"/>
      <c r="GE75" s="16"/>
      <c r="GF75" s="16"/>
      <c r="GG75" s="16"/>
      <c r="GH75" s="16"/>
      <c r="GI75" s="16"/>
      <c r="GJ75" s="16"/>
      <c r="GK75" s="16"/>
      <c r="GL75" s="16"/>
      <c r="GM75" s="16"/>
      <c r="GN75" s="16"/>
      <c r="GO75" s="16"/>
      <c r="GP75" s="16"/>
      <c r="GQ75" s="16"/>
      <c r="GR75" s="16"/>
      <c r="GS75" s="16"/>
      <c r="GT75" s="16"/>
      <c r="GU75" s="16"/>
      <c r="GV75" s="16"/>
      <c r="GW75" s="16"/>
      <c r="GX75" s="16"/>
      <c r="GY75" s="16"/>
      <c r="GZ75" s="16"/>
      <c r="HA75" s="16"/>
      <c r="HB75" s="16"/>
      <c r="HC75" s="16"/>
      <c r="HD75" s="16"/>
      <c r="HE75" s="16"/>
      <c r="HF75" s="16"/>
      <c r="HG75" s="16"/>
      <c r="HH75" s="16"/>
      <c r="HI75" s="16"/>
      <c r="HJ75" s="16"/>
      <c r="HK75" s="16"/>
      <c r="HL75" s="16"/>
      <c r="HM75" s="16"/>
      <c r="HN75" s="16"/>
      <c r="HO75" s="16"/>
      <c r="HP75" s="16"/>
      <c r="HQ75" s="16"/>
      <c r="HR75" s="16"/>
      <c r="HS75" s="16"/>
      <c r="HT75" s="16"/>
      <c r="HU75" s="16"/>
      <c r="HV75" s="16"/>
      <c r="HW75" s="16"/>
      <c r="HX75" s="16"/>
      <c r="HY75" s="16"/>
      <c r="HZ75" s="16"/>
      <c r="IA75" s="16"/>
      <c r="IB75" s="16"/>
      <c r="IC75" s="16"/>
      <c r="ID75" s="16"/>
      <c r="IE75" s="16"/>
      <c r="IF75" s="16"/>
      <c r="IG75" s="16"/>
      <c r="IH75" s="16"/>
      <c r="II75" s="16"/>
      <c r="IJ75" s="16"/>
      <c r="IK75" s="16"/>
      <c r="IL75" s="16"/>
      <c r="IM75" s="16"/>
      <c r="IN75" s="16"/>
      <c r="IO75" s="16"/>
      <c r="IP75" s="16"/>
      <c r="IQ75" s="16"/>
      <c r="IR75" s="16"/>
      <c r="IS75" s="16"/>
      <c r="IT75" s="16"/>
      <c r="IU75" s="16"/>
      <c r="IV75" s="16"/>
      <c r="IW75" s="16"/>
    </row>
    <row r="76" customFormat="false" ht="12.95" hidden="false" customHeight="true" outlineLevel="0" collapsed="false"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6"/>
      <c r="CU76" s="16"/>
      <c r="CV76" s="16"/>
      <c r="CW76" s="16"/>
      <c r="CX76" s="16"/>
      <c r="CY76" s="16"/>
      <c r="CZ76" s="16"/>
      <c r="DA76" s="16"/>
      <c r="DB76" s="16"/>
      <c r="DC76" s="16"/>
      <c r="DD76" s="16"/>
      <c r="DE76" s="16"/>
      <c r="DF76" s="16"/>
      <c r="DG76" s="16"/>
      <c r="DH76" s="16"/>
      <c r="DI76" s="16"/>
      <c r="DJ76" s="16"/>
      <c r="DK76" s="16"/>
      <c r="DL76" s="16"/>
      <c r="DM76" s="16"/>
      <c r="DN76" s="16"/>
      <c r="DO76" s="16"/>
      <c r="DP76" s="16"/>
      <c r="DQ76" s="16"/>
      <c r="DR76" s="16"/>
      <c r="DS76" s="16"/>
      <c r="DT76" s="16"/>
      <c r="DU76" s="16"/>
      <c r="DV76" s="16"/>
      <c r="DW76" s="16"/>
      <c r="DX76" s="16"/>
      <c r="DY76" s="16"/>
      <c r="DZ76" s="16"/>
      <c r="EA76" s="16"/>
      <c r="EB76" s="16"/>
      <c r="EC76" s="16"/>
      <c r="ED76" s="16"/>
      <c r="EE76" s="16"/>
      <c r="EF76" s="16"/>
      <c r="EG76" s="16"/>
      <c r="EH76" s="16"/>
      <c r="EI76" s="16"/>
      <c r="EJ76" s="16"/>
      <c r="EK76" s="16"/>
      <c r="EL76" s="16"/>
      <c r="EM76" s="16"/>
      <c r="EN76" s="16"/>
      <c r="EO76" s="16"/>
      <c r="EP76" s="16"/>
      <c r="EQ76" s="16"/>
      <c r="ER76" s="16"/>
      <c r="ES76" s="16"/>
      <c r="ET76" s="16"/>
      <c r="EU76" s="16"/>
      <c r="EV76" s="16"/>
      <c r="EW76" s="16"/>
      <c r="EX76" s="16"/>
      <c r="EY76" s="16"/>
      <c r="EZ76" s="16"/>
      <c r="FA76" s="16"/>
      <c r="FB76" s="16"/>
      <c r="FC76" s="16"/>
      <c r="FD76" s="16"/>
      <c r="FE76" s="16"/>
      <c r="FF76" s="16"/>
      <c r="FG76" s="16"/>
      <c r="FH76" s="16"/>
      <c r="FI76" s="16"/>
      <c r="FJ76" s="16"/>
      <c r="FK76" s="16"/>
      <c r="FL76" s="16"/>
      <c r="FM76" s="16"/>
      <c r="FN76" s="16"/>
      <c r="FO76" s="16"/>
      <c r="FP76" s="16"/>
      <c r="FQ76" s="16"/>
      <c r="FR76" s="16"/>
      <c r="FS76" s="16"/>
      <c r="FT76" s="16"/>
      <c r="FU76" s="16"/>
      <c r="FV76" s="16"/>
      <c r="FW76" s="16"/>
      <c r="FX76" s="16"/>
      <c r="FY76" s="16"/>
      <c r="FZ76" s="16"/>
      <c r="GA76" s="16"/>
      <c r="GB76" s="16"/>
      <c r="GC76" s="16"/>
      <c r="GD76" s="16"/>
      <c r="GE76" s="16"/>
      <c r="GF76" s="16"/>
      <c r="GG76" s="16"/>
      <c r="GH76" s="16"/>
      <c r="GI76" s="16"/>
      <c r="GJ76" s="16"/>
      <c r="GK76" s="16"/>
      <c r="GL76" s="16"/>
      <c r="GM76" s="16"/>
      <c r="GN76" s="16"/>
      <c r="GO76" s="16"/>
      <c r="GP76" s="16"/>
      <c r="GQ76" s="16"/>
      <c r="GR76" s="16"/>
      <c r="GS76" s="16"/>
      <c r="GT76" s="16"/>
      <c r="GU76" s="16"/>
      <c r="GV76" s="16"/>
      <c r="GW76" s="16"/>
      <c r="GX76" s="16"/>
      <c r="GY76" s="16"/>
      <c r="GZ76" s="16"/>
      <c r="HA76" s="16"/>
      <c r="HB76" s="16"/>
      <c r="HC76" s="16"/>
      <c r="HD76" s="16"/>
      <c r="HE76" s="16"/>
      <c r="HF76" s="16"/>
      <c r="HG76" s="16"/>
      <c r="HH76" s="16"/>
      <c r="HI76" s="16"/>
      <c r="HJ76" s="16"/>
      <c r="HK76" s="16"/>
      <c r="HL76" s="16"/>
      <c r="HM76" s="16"/>
      <c r="HN76" s="16"/>
      <c r="HO76" s="16"/>
      <c r="HP76" s="16"/>
      <c r="HQ76" s="16"/>
      <c r="HR76" s="16"/>
      <c r="HS76" s="16"/>
      <c r="HT76" s="16"/>
      <c r="HU76" s="16"/>
      <c r="HV76" s="16"/>
      <c r="HW76" s="16"/>
      <c r="HX76" s="16"/>
      <c r="HY76" s="16"/>
      <c r="HZ76" s="16"/>
      <c r="IA76" s="16"/>
      <c r="IB76" s="16"/>
      <c r="IC76" s="16"/>
      <c r="ID76" s="16"/>
      <c r="IE76" s="16"/>
      <c r="IF76" s="16"/>
      <c r="IG76" s="16"/>
      <c r="IH76" s="16"/>
      <c r="II76" s="16"/>
      <c r="IJ76" s="16"/>
      <c r="IK76" s="16"/>
      <c r="IL76" s="16"/>
      <c r="IM76" s="16"/>
      <c r="IN76" s="16"/>
      <c r="IO76" s="16"/>
      <c r="IP76" s="16"/>
      <c r="IQ76" s="16"/>
      <c r="IR76" s="16"/>
      <c r="IS76" s="16"/>
      <c r="IT76" s="16"/>
      <c r="IU76" s="16"/>
      <c r="IV76" s="16"/>
      <c r="IW76" s="16"/>
    </row>
    <row r="77" customFormat="false" ht="12.95" hidden="false" customHeight="true" outlineLevel="0" collapsed="false"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</row>
    <row r="78" customFormat="false" ht="12.95" hidden="false" customHeight="true" outlineLevel="0" collapsed="false"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  <c r="CE78" s="16"/>
      <c r="CF78" s="16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6"/>
      <c r="CU78" s="16"/>
      <c r="CV78" s="16"/>
      <c r="CW78" s="16"/>
      <c r="CX78" s="16"/>
      <c r="CY78" s="16"/>
      <c r="CZ78" s="16"/>
      <c r="DA78" s="16"/>
      <c r="DB78" s="16"/>
      <c r="DC78" s="16"/>
      <c r="DD78" s="16"/>
      <c r="DE78" s="16"/>
      <c r="DF78" s="16"/>
      <c r="DG78" s="16"/>
      <c r="DH78" s="16"/>
      <c r="DI78" s="16"/>
      <c r="DJ78" s="16"/>
      <c r="DK78" s="16"/>
      <c r="DL78" s="16"/>
      <c r="DM78" s="16"/>
      <c r="DN78" s="16"/>
      <c r="DO78" s="16"/>
      <c r="DP78" s="16"/>
      <c r="DQ78" s="16"/>
      <c r="DR78" s="16"/>
      <c r="DS78" s="16"/>
      <c r="DT78" s="16"/>
      <c r="DU78" s="16"/>
      <c r="DV78" s="16"/>
      <c r="DW78" s="16"/>
      <c r="DX78" s="16"/>
      <c r="DY78" s="16"/>
      <c r="DZ78" s="16"/>
      <c r="EA78" s="16"/>
      <c r="EB78" s="16"/>
      <c r="EC78" s="16"/>
      <c r="ED78" s="16"/>
      <c r="EE78" s="16"/>
      <c r="EF78" s="16"/>
      <c r="EG78" s="16"/>
      <c r="EH78" s="16"/>
      <c r="EI78" s="16"/>
      <c r="EJ78" s="16"/>
      <c r="EK78" s="16"/>
      <c r="EL78" s="16"/>
      <c r="EM78" s="16"/>
      <c r="EN78" s="16"/>
      <c r="EO78" s="16"/>
      <c r="EP78" s="16"/>
      <c r="EQ78" s="16"/>
      <c r="ER78" s="16"/>
      <c r="ES78" s="16"/>
      <c r="ET78" s="16"/>
      <c r="EU78" s="16"/>
      <c r="EV78" s="16"/>
      <c r="EW78" s="16"/>
      <c r="EX78" s="16"/>
      <c r="EY78" s="16"/>
      <c r="EZ78" s="16"/>
      <c r="FA78" s="16"/>
      <c r="FB78" s="16"/>
      <c r="FC78" s="16"/>
      <c r="FD78" s="16"/>
      <c r="FE78" s="16"/>
      <c r="FF78" s="16"/>
      <c r="FG78" s="16"/>
      <c r="FH78" s="16"/>
      <c r="FI78" s="16"/>
      <c r="FJ78" s="16"/>
      <c r="FK78" s="16"/>
      <c r="FL78" s="16"/>
      <c r="FM78" s="16"/>
      <c r="FN78" s="16"/>
      <c r="FO78" s="16"/>
      <c r="FP78" s="16"/>
      <c r="FQ78" s="16"/>
      <c r="FR78" s="16"/>
      <c r="FS78" s="16"/>
      <c r="FT78" s="16"/>
      <c r="FU78" s="16"/>
      <c r="FV78" s="16"/>
      <c r="FW78" s="16"/>
      <c r="FX78" s="16"/>
      <c r="FY78" s="16"/>
      <c r="FZ78" s="16"/>
      <c r="GA78" s="16"/>
      <c r="GB78" s="16"/>
      <c r="GC78" s="16"/>
      <c r="GD78" s="16"/>
      <c r="GE78" s="16"/>
      <c r="GF78" s="16"/>
      <c r="GG78" s="16"/>
      <c r="GH78" s="16"/>
      <c r="GI78" s="16"/>
      <c r="GJ78" s="16"/>
      <c r="GK78" s="16"/>
      <c r="GL78" s="16"/>
      <c r="GM78" s="16"/>
      <c r="GN78" s="16"/>
      <c r="GO78" s="16"/>
      <c r="GP78" s="16"/>
      <c r="GQ78" s="16"/>
      <c r="GR78" s="16"/>
      <c r="GS78" s="16"/>
      <c r="GT78" s="16"/>
      <c r="GU78" s="16"/>
      <c r="GV78" s="16"/>
      <c r="GW78" s="16"/>
      <c r="GX78" s="16"/>
      <c r="GY78" s="16"/>
      <c r="GZ78" s="16"/>
      <c r="HA78" s="16"/>
      <c r="HB78" s="16"/>
      <c r="HC78" s="16"/>
      <c r="HD78" s="16"/>
      <c r="HE78" s="16"/>
      <c r="HF78" s="16"/>
      <c r="HG78" s="16"/>
      <c r="HH78" s="16"/>
      <c r="HI78" s="16"/>
      <c r="HJ78" s="16"/>
      <c r="HK78" s="16"/>
      <c r="HL78" s="16"/>
      <c r="HM78" s="16"/>
      <c r="HN78" s="16"/>
      <c r="HO78" s="16"/>
      <c r="HP78" s="16"/>
      <c r="HQ78" s="16"/>
      <c r="HR78" s="16"/>
      <c r="HS78" s="16"/>
      <c r="HT78" s="16"/>
      <c r="HU78" s="16"/>
      <c r="HV78" s="16"/>
      <c r="HW78" s="16"/>
      <c r="HX78" s="16"/>
      <c r="HY78" s="16"/>
      <c r="HZ78" s="16"/>
      <c r="IA78" s="16"/>
      <c r="IB78" s="16"/>
      <c r="IC78" s="16"/>
      <c r="ID78" s="16"/>
      <c r="IE78" s="16"/>
      <c r="IF78" s="16"/>
      <c r="IG78" s="16"/>
      <c r="IH78" s="16"/>
      <c r="II78" s="16"/>
      <c r="IJ78" s="16"/>
      <c r="IK78" s="16"/>
      <c r="IL78" s="16"/>
      <c r="IM78" s="16"/>
      <c r="IN78" s="16"/>
      <c r="IO78" s="16"/>
      <c r="IP78" s="16"/>
      <c r="IQ78" s="16"/>
      <c r="IR78" s="16"/>
      <c r="IS78" s="16"/>
      <c r="IT78" s="16"/>
      <c r="IU78" s="16"/>
      <c r="IV78" s="16"/>
      <c r="IW78" s="16"/>
    </row>
    <row r="79" customFormat="false" ht="12.95" hidden="false" customHeight="true" outlineLevel="0" collapsed="false"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  <c r="CE79" s="16"/>
      <c r="CF79" s="16"/>
      <c r="CG79" s="16"/>
      <c r="CH79" s="16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6"/>
      <c r="CT79" s="16"/>
      <c r="CU79" s="16"/>
      <c r="CV79" s="16"/>
      <c r="CW79" s="16"/>
      <c r="CX79" s="16"/>
      <c r="CY79" s="16"/>
      <c r="CZ79" s="16"/>
      <c r="DA79" s="16"/>
      <c r="DB79" s="16"/>
      <c r="DC79" s="16"/>
      <c r="DD79" s="16"/>
      <c r="DE79" s="16"/>
      <c r="DF79" s="16"/>
      <c r="DG79" s="16"/>
      <c r="DH79" s="16"/>
      <c r="DI79" s="16"/>
      <c r="DJ79" s="16"/>
      <c r="DK79" s="16"/>
      <c r="DL79" s="16"/>
      <c r="DM79" s="16"/>
      <c r="DN79" s="16"/>
      <c r="DO79" s="16"/>
      <c r="DP79" s="16"/>
      <c r="DQ79" s="16"/>
      <c r="DR79" s="16"/>
      <c r="DS79" s="16"/>
      <c r="DT79" s="16"/>
      <c r="DU79" s="16"/>
      <c r="DV79" s="16"/>
      <c r="DW79" s="16"/>
      <c r="DX79" s="16"/>
      <c r="DY79" s="16"/>
      <c r="DZ79" s="16"/>
      <c r="EA79" s="16"/>
      <c r="EB79" s="16"/>
      <c r="EC79" s="16"/>
      <c r="ED79" s="16"/>
      <c r="EE79" s="16"/>
      <c r="EF79" s="16"/>
      <c r="EG79" s="16"/>
      <c r="EH79" s="16"/>
      <c r="EI79" s="16"/>
      <c r="EJ79" s="16"/>
      <c r="EK79" s="16"/>
      <c r="EL79" s="16"/>
      <c r="EM79" s="16"/>
      <c r="EN79" s="16"/>
      <c r="EO79" s="16"/>
      <c r="EP79" s="16"/>
      <c r="EQ79" s="16"/>
      <c r="ER79" s="16"/>
      <c r="ES79" s="16"/>
      <c r="ET79" s="16"/>
      <c r="EU79" s="16"/>
      <c r="EV79" s="16"/>
      <c r="EW79" s="16"/>
      <c r="EX79" s="16"/>
      <c r="EY79" s="16"/>
      <c r="EZ79" s="16"/>
      <c r="FA79" s="16"/>
      <c r="FB79" s="16"/>
      <c r="FC79" s="16"/>
      <c r="FD79" s="16"/>
      <c r="FE79" s="16"/>
      <c r="FF79" s="16"/>
      <c r="FG79" s="16"/>
      <c r="FH79" s="16"/>
      <c r="FI79" s="16"/>
      <c r="FJ79" s="16"/>
      <c r="FK79" s="16"/>
      <c r="FL79" s="16"/>
      <c r="FM79" s="16"/>
      <c r="FN79" s="16"/>
      <c r="FO79" s="16"/>
      <c r="FP79" s="16"/>
      <c r="FQ79" s="16"/>
      <c r="FR79" s="16"/>
      <c r="FS79" s="16"/>
      <c r="FT79" s="16"/>
      <c r="FU79" s="16"/>
      <c r="FV79" s="16"/>
      <c r="FW79" s="16"/>
      <c r="FX79" s="16"/>
      <c r="FY79" s="16"/>
      <c r="FZ79" s="16"/>
      <c r="GA79" s="16"/>
      <c r="GB79" s="16"/>
      <c r="GC79" s="16"/>
      <c r="GD79" s="16"/>
      <c r="GE79" s="16"/>
      <c r="GF79" s="16"/>
      <c r="GG79" s="16"/>
      <c r="GH79" s="16"/>
      <c r="GI79" s="16"/>
      <c r="GJ79" s="16"/>
      <c r="GK79" s="16"/>
      <c r="GL79" s="16"/>
      <c r="GM79" s="16"/>
      <c r="GN79" s="16"/>
      <c r="GO79" s="16"/>
      <c r="GP79" s="16"/>
      <c r="GQ79" s="16"/>
      <c r="GR79" s="16"/>
      <c r="GS79" s="16"/>
      <c r="GT79" s="16"/>
      <c r="GU79" s="16"/>
      <c r="GV79" s="16"/>
      <c r="GW79" s="16"/>
      <c r="GX79" s="16"/>
      <c r="GY79" s="16"/>
      <c r="GZ79" s="16"/>
      <c r="HA79" s="16"/>
      <c r="HB79" s="16"/>
      <c r="HC79" s="16"/>
      <c r="HD79" s="16"/>
      <c r="HE79" s="16"/>
      <c r="HF79" s="16"/>
      <c r="HG79" s="16"/>
      <c r="HH79" s="16"/>
      <c r="HI79" s="16"/>
      <c r="HJ79" s="16"/>
      <c r="HK79" s="16"/>
      <c r="HL79" s="16"/>
      <c r="HM79" s="16"/>
      <c r="HN79" s="16"/>
      <c r="HO79" s="16"/>
      <c r="HP79" s="16"/>
      <c r="HQ79" s="16"/>
      <c r="HR79" s="16"/>
      <c r="HS79" s="16"/>
      <c r="HT79" s="16"/>
      <c r="HU79" s="16"/>
      <c r="HV79" s="16"/>
      <c r="HW79" s="16"/>
      <c r="HX79" s="16"/>
      <c r="HY79" s="16"/>
      <c r="HZ79" s="16"/>
      <c r="IA79" s="16"/>
      <c r="IB79" s="16"/>
      <c r="IC79" s="16"/>
      <c r="ID79" s="16"/>
      <c r="IE79" s="16"/>
      <c r="IF79" s="16"/>
      <c r="IG79" s="16"/>
      <c r="IH79" s="16"/>
      <c r="II79" s="16"/>
      <c r="IJ79" s="16"/>
      <c r="IK79" s="16"/>
      <c r="IL79" s="16"/>
      <c r="IM79" s="16"/>
      <c r="IN79" s="16"/>
      <c r="IO79" s="16"/>
      <c r="IP79" s="16"/>
      <c r="IQ79" s="16"/>
      <c r="IR79" s="16"/>
      <c r="IS79" s="16"/>
      <c r="IT79" s="16"/>
      <c r="IU79" s="16"/>
      <c r="IV79" s="16"/>
      <c r="IW79" s="16"/>
    </row>
    <row r="80" customFormat="false" ht="12.95" hidden="false" customHeight="true" outlineLevel="0" collapsed="false"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  <c r="FF80" s="16"/>
      <c r="FG80" s="16"/>
      <c r="FH80" s="16"/>
      <c r="FI80" s="16"/>
      <c r="FJ80" s="16"/>
      <c r="FK80" s="16"/>
      <c r="FL80" s="16"/>
      <c r="FM80" s="16"/>
      <c r="FN80" s="16"/>
      <c r="FO80" s="16"/>
      <c r="FP80" s="16"/>
      <c r="FQ80" s="16"/>
      <c r="FR80" s="16"/>
      <c r="FS80" s="16"/>
      <c r="FT80" s="16"/>
      <c r="FU80" s="16"/>
      <c r="FV80" s="16"/>
      <c r="FW80" s="16"/>
      <c r="FX80" s="16"/>
      <c r="FY80" s="16"/>
      <c r="FZ80" s="16"/>
      <c r="GA80" s="16"/>
      <c r="GB80" s="16"/>
      <c r="GC80" s="16"/>
      <c r="GD80" s="16"/>
      <c r="GE80" s="16"/>
      <c r="GF80" s="16"/>
      <c r="GG80" s="16"/>
      <c r="GH80" s="16"/>
      <c r="GI80" s="16"/>
      <c r="GJ80" s="16"/>
      <c r="GK80" s="16"/>
      <c r="GL80" s="16"/>
      <c r="GM80" s="16"/>
      <c r="GN80" s="16"/>
      <c r="GO80" s="16"/>
      <c r="GP80" s="16"/>
      <c r="GQ80" s="16"/>
      <c r="GR80" s="16"/>
      <c r="GS80" s="16"/>
      <c r="GT80" s="16"/>
      <c r="GU80" s="16"/>
      <c r="GV80" s="16"/>
      <c r="GW80" s="16"/>
      <c r="GX80" s="16"/>
      <c r="GY80" s="16"/>
      <c r="GZ80" s="16"/>
      <c r="HA80" s="16"/>
      <c r="HB80" s="16"/>
      <c r="HC80" s="16"/>
      <c r="HD80" s="16"/>
      <c r="HE80" s="16"/>
      <c r="HF80" s="16"/>
      <c r="HG80" s="16"/>
      <c r="HH80" s="16"/>
      <c r="HI80" s="16"/>
      <c r="HJ80" s="16"/>
      <c r="HK80" s="16"/>
      <c r="HL80" s="16"/>
      <c r="HM80" s="16"/>
      <c r="HN80" s="16"/>
      <c r="HO80" s="16"/>
      <c r="HP80" s="16"/>
      <c r="HQ80" s="16"/>
      <c r="HR80" s="16"/>
      <c r="HS80" s="16"/>
      <c r="HT80" s="16"/>
      <c r="HU80" s="16"/>
      <c r="HV80" s="16"/>
      <c r="HW80" s="16"/>
      <c r="HX80" s="16"/>
      <c r="HY80" s="16"/>
      <c r="HZ80" s="16"/>
      <c r="IA80" s="16"/>
      <c r="IB80" s="16"/>
      <c r="IC80" s="16"/>
      <c r="ID80" s="16"/>
      <c r="IE80" s="16"/>
      <c r="IF80" s="16"/>
      <c r="IG80" s="16"/>
      <c r="IH80" s="16"/>
      <c r="II80" s="16"/>
      <c r="IJ80" s="16"/>
      <c r="IK80" s="16"/>
      <c r="IL80" s="16"/>
      <c r="IM80" s="16"/>
      <c r="IN80" s="16"/>
      <c r="IO80" s="16"/>
      <c r="IP80" s="16"/>
      <c r="IQ80" s="16"/>
      <c r="IR80" s="16"/>
      <c r="IS80" s="16"/>
      <c r="IT80" s="16"/>
      <c r="IU80" s="16"/>
      <c r="IV80" s="16"/>
      <c r="IW80" s="16"/>
    </row>
    <row r="81" customFormat="false" ht="12.95" hidden="false" customHeight="true" outlineLevel="0" collapsed="false"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6"/>
      <c r="CU81" s="16"/>
      <c r="CV81" s="16"/>
      <c r="CW81" s="16"/>
      <c r="CX81" s="16"/>
      <c r="CY81" s="16"/>
      <c r="CZ81" s="16"/>
      <c r="DA81" s="16"/>
      <c r="DB81" s="16"/>
      <c r="DC81" s="16"/>
      <c r="DD81" s="16"/>
      <c r="DE81" s="16"/>
      <c r="DF81" s="16"/>
      <c r="DG81" s="16"/>
      <c r="DH81" s="16"/>
      <c r="DI81" s="16"/>
      <c r="DJ81" s="16"/>
      <c r="DK81" s="16"/>
      <c r="DL81" s="16"/>
      <c r="DM81" s="16"/>
      <c r="DN81" s="16"/>
      <c r="DO81" s="16"/>
      <c r="DP81" s="16"/>
      <c r="DQ81" s="16"/>
      <c r="DR81" s="16"/>
      <c r="DS81" s="16"/>
      <c r="DT81" s="16"/>
      <c r="DU81" s="16"/>
      <c r="DV81" s="16"/>
      <c r="DW81" s="16"/>
      <c r="DX81" s="16"/>
      <c r="DY81" s="16"/>
      <c r="DZ81" s="16"/>
      <c r="EA81" s="16"/>
      <c r="EB81" s="16"/>
      <c r="EC81" s="16"/>
      <c r="ED81" s="16"/>
      <c r="EE81" s="16"/>
      <c r="EF81" s="16"/>
      <c r="EG81" s="16"/>
      <c r="EH81" s="16"/>
      <c r="EI81" s="16"/>
      <c r="EJ81" s="16"/>
      <c r="EK81" s="16"/>
      <c r="EL81" s="16"/>
      <c r="EM81" s="16"/>
      <c r="EN81" s="16"/>
      <c r="EO81" s="16"/>
      <c r="EP81" s="16"/>
      <c r="EQ81" s="16"/>
      <c r="ER81" s="16"/>
      <c r="ES81" s="16"/>
      <c r="ET81" s="16"/>
      <c r="EU81" s="16"/>
      <c r="EV81" s="16"/>
      <c r="EW81" s="16"/>
      <c r="EX81" s="16"/>
      <c r="EY81" s="16"/>
      <c r="EZ81" s="16"/>
      <c r="FA81" s="16"/>
      <c r="FB81" s="16"/>
      <c r="FC81" s="16"/>
      <c r="FD81" s="16"/>
      <c r="FE81" s="16"/>
      <c r="FF81" s="16"/>
      <c r="FG81" s="16"/>
      <c r="FH81" s="16"/>
      <c r="FI81" s="16"/>
      <c r="FJ81" s="16"/>
      <c r="FK81" s="16"/>
      <c r="FL81" s="16"/>
      <c r="FM81" s="16"/>
      <c r="FN81" s="16"/>
      <c r="FO81" s="16"/>
      <c r="FP81" s="16"/>
      <c r="FQ81" s="16"/>
      <c r="FR81" s="16"/>
      <c r="FS81" s="16"/>
      <c r="FT81" s="16"/>
      <c r="FU81" s="16"/>
      <c r="FV81" s="16"/>
      <c r="FW81" s="16"/>
      <c r="FX81" s="16"/>
      <c r="FY81" s="16"/>
      <c r="FZ81" s="16"/>
      <c r="GA81" s="16"/>
      <c r="GB81" s="16"/>
      <c r="GC81" s="16"/>
      <c r="GD81" s="16"/>
      <c r="GE81" s="16"/>
      <c r="GF81" s="16"/>
      <c r="GG81" s="16"/>
      <c r="GH81" s="16"/>
      <c r="GI81" s="16"/>
      <c r="GJ81" s="16"/>
      <c r="GK81" s="16"/>
      <c r="GL81" s="16"/>
      <c r="GM81" s="16"/>
      <c r="GN81" s="16"/>
      <c r="GO81" s="16"/>
      <c r="GP81" s="16"/>
      <c r="GQ81" s="16"/>
      <c r="GR81" s="16"/>
      <c r="GS81" s="16"/>
      <c r="GT81" s="16"/>
      <c r="GU81" s="16"/>
      <c r="GV81" s="16"/>
      <c r="GW81" s="16"/>
      <c r="GX81" s="16"/>
      <c r="GY81" s="16"/>
      <c r="GZ81" s="16"/>
      <c r="HA81" s="16"/>
      <c r="HB81" s="16"/>
      <c r="HC81" s="16"/>
      <c r="HD81" s="16"/>
      <c r="HE81" s="16"/>
      <c r="HF81" s="16"/>
      <c r="HG81" s="16"/>
      <c r="HH81" s="16"/>
      <c r="HI81" s="16"/>
      <c r="HJ81" s="16"/>
      <c r="HK81" s="16"/>
      <c r="HL81" s="16"/>
      <c r="HM81" s="16"/>
      <c r="HN81" s="16"/>
      <c r="HO81" s="16"/>
      <c r="HP81" s="16"/>
      <c r="HQ81" s="16"/>
      <c r="HR81" s="16"/>
      <c r="HS81" s="16"/>
      <c r="HT81" s="16"/>
      <c r="HU81" s="16"/>
      <c r="HV81" s="16"/>
      <c r="HW81" s="16"/>
      <c r="HX81" s="16"/>
      <c r="HY81" s="16"/>
      <c r="HZ81" s="16"/>
      <c r="IA81" s="16"/>
      <c r="IB81" s="16"/>
      <c r="IC81" s="16"/>
      <c r="ID81" s="16"/>
      <c r="IE81" s="16"/>
      <c r="IF81" s="16"/>
      <c r="IG81" s="16"/>
      <c r="IH81" s="16"/>
      <c r="II81" s="16"/>
      <c r="IJ81" s="16"/>
      <c r="IK81" s="16"/>
      <c r="IL81" s="16"/>
      <c r="IM81" s="16"/>
      <c r="IN81" s="16"/>
      <c r="IO81" s="16"/>
      <c r="IP81" s="16"/>
      <c r="IQ81" s="16"/>
      <c r="IR81" s="16"/>
      <c r="IS81" s="16"/>
      <c r="IT81" s="16"/>
      <c r="IU81" s="16"/>
      <c r="IV81" s="16"/>
      <c r="IW81" s="16"/>
    </row>
    <row r="82" customFormat="false" ht="12.95" hidden="false" customHeight="true" outlineLevel="0" collapsed="false"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J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  <c r="FF82" s="16"/>
      <c r="FG82" s="16"/>
      <c r="FH82" s="16"/>
      <c r="FI82" s="16"/>
      <c r="FJ82" s="16"/>
      <c r="FK82" s="16"/>
      <c r="FL82" s="16"/>
      <c r="FM82" s="16"/>
      <c r="FN82" s="16"/>
      <c r="FO82" s="16"/>
      <c r="FP82" s="16"/>
      <c r="FQ82" s="16"/>
      <c r="FR82" s="16"/>
      <c r="FS82" s="16"/>
      <c r="FT82" s="16"/>
      <c r="FU82" s="16"/>
      <c r="FV82" s="16"/>
      <c r="FW82" s="16"/>
      <c r="FX82" s="16"/>
      <c r="FY82" s="16"/>
      <c r="FZ82" s="16"/>
      <c r="GA82" s="16"/>
      <c r="GB82" s="16"/>
      <c r="GC82" s="16"/>
      <c r="GD82" s="16"/>
      <c r="GE82" s="16"/>
      <c r="GF82" s="16"/>
      <c r="GG82" s="16"/>
      <c r="GH82" s="16"/>
      <c r="GI82" s="16"/>
      <c r="GJ82" s="16"/>
      <c r="GK82" s="16"/>
      <c r="GL82" s="16"/>
      <c r="GM82" s="16"/>
      <c r="GN82" s="16"/>
      <c r="GO82" s="16"/>
      <c r="GP82" s="16"/>
      <c r="GQ82" s="16"/>
      <c r="GR82" s="16"/>
      <c r="GS82" s="16"/>
      <c r="GT82" s="16"/>
      <c r="GU82" s="16"/>
      <c r="GV82" s="16"/>
      <c r="GW82" s="16"/>
      <c r="GX82" s="16"/>
      <c r="GY82" s="16"/>
      <c r="GZ82" s="16"/>
      <c r="HA82" s="16"/>
      <c r="HB82" s="16"/>
      <c r="HC82" s="16"/>
      <c r="HD82" s="16"/>
      <c r="HE82" s="16"/>
      <c r="HF82" s="16"/>
      <c r="HG82" s="16"/>
      <c r="HH82" s="16"/>
      <c r="HI82" s="16"/>
      <c r="HJ82" s="16"/>
      <c r="HK82" s="16"/>
      <c r="HL82" s="16"/>
      <c r="HM82" s="16"/>
      <c r="HN82" s="16"/>
      <c r="HO82" s="16"/>
      <c r="HP82" s="16"/>
      <c r="HQ82" s="16"/>
      <c r="HR82" s="16"/>
      <c r="HS82" s="16"/>
      <c r="HT82" s="16"/>
      <c r="HU82" s="16"/>
      <c r="HV82" s="16"/>
      <c r="HW82" s="16"/>
      <c r="HX82" s="16"/>
      <c r="HY82" s="16"/>
      <c r="HZ82" s="16"/>
      <c r="IA82" s="16"/>
      <c r="IB82" s="16"/>
      <c r="IC82" s="16"/>
      <c r="ID82" s="16"/>
      <c r="IE82" s="16"/>
      <c r="IF82" s="16"/>
      <c r="IG82" s="16"/>
      <c r="IH82" s="16"/>
      <c r="II82" s="16"/>
      <c r="IJ82" s="16"/>
      <c r="IK82" s="16"/>
      <c r="IL82" s="16"/>
      <c r="IM82" s="16"/>
      <c r="IN82" s="16"/>
      <c r="IO82" s="16"/>
      <c r="IP82" s="16"/>
      <c r="IQ82" s="16"/>
      <c r="IR82" s="16"/>
      <c r="IS82" s="16"/>
      <c r="IT82" s="16"/>
      <c r="IU82" s="16"/>
      <c r="IV82" s="16"/>
      <c r="IW82" s="16"/>
    </row>
    <row r="83" customFormat="false" ht="12.95" hidden="false" customHeight="true" outlineLevel="0" collapsed="false"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  <c r="FO83" s="16"/>
      <c r="FP83" s="16"/>
      <c r="FQ83" s="16"/>
      <c r="FR83" s="16"/>
      <c r="FS83" s="16"/>
      <c r="FT83" s="16"/>
      <c r="FU83" s="16"/>
      <c r="FV83" s="16"/>
      <c r="FW83" s="16"/>
      <c r="FX83" s="16"/>
      <c r="FY83" s="16"/>
      <c r="FZ83" s="16"/>
      <c r="GA83" s="16"/>
      <c r="GB83" s="16"/>
      <c r="GC83" s="16"/>
      <c r="GD83" s="16"/>
      <c r="GE83" s="16"/>
      <c r="GF83" s="16"/>
      <c r="GG83" s="16"/>
      <c r="GH83" s="16"/>
      <c r="GI83" s="16"/>
      <c r="GJ83" s="16"/>
      <c r="GK83" s="16"/>
      <c r="GL83" s="16"/>
      <c r="GM83" s="16"/>
      <c r="GN83" s="16"/>
      <c r="GO83" s="16"/>
      <c r="GP83" s="16"/>
      <c r="GQ83" s="16"/>
      <c r="GR83" s="16"/>
      <c r="GS83" s="16"/>
      <c r="GT83" s="16"/>
      <c r="GU83" s="16"/>
      <c r="GV83" s="16"/>
      <c r="GW83" s="16"/>
      <c r="GX83" s="16"/>
      <c r="GY83" s="16"/>
      <c r="GZ83" s="16"/>
      <c r="HA83" s="16"/>
      <c r="HB83" s="16"/>
      <c r="HC83" s="16"/>
      <c r="HD83" s="16"/>
      <c r="HE83" s="16"/>
      <c r="HF83" s="16"/>
      <c r="HG83" s="16"/>
      <c r="HH83" s="16"/>
      <c r="HI83" s="16"/>
      <c r="HJ83" s="16"/>
      <c r="HK83" s="16"/>
      <c r="HL83" s="16"/>
      <c r="HM83" s="16"/>
      <c r="HN83" s="16"/>
      <c r="HO83" s="16"/>
      <c r="HP83" s="16"/>
      <c r="HQ83" s="16"/>
      <c r="HR83" s="16"/>
      <c r="HS83" s="16"/>
      <c r="HT83" s="16"/>
      <c r="HU83" s="16"/>
      <c r="HV83" s="16"/>
      <c r="HW83" s="16"/>
      <c r="HX83" s="16"/>
      <c r="HY83" s="16"/>
      <c r="HZ83" s="16"/>
      <c r="IA83" s="16"/>
      <c r="IB83" s="16"/>
      <c r="IC83" s="16"/>
      <c r="ID83" s="16"/>
      <c r="IE83" s="16"/>
      <c r="IF83" s="16"/>
      <c r="IG83" s="16"/>
      <c r="IH83" s="16"/>
      <c r="II83" s="16"/>
      <c r="IJ83" s="16"/>
      <c r="IK83" s="16"/>
      <c r="IL83" s="16"/>
      <c r="IM83" s="16"/>
      <c r="IN83" s="16"/>
      <c r="IO83" s="16"/>
      <c r="IP83" s="16"/>
      <c r="IQ83" s="16"/>
      <c r="IR83" s="16"/>
      <c r="IS83" s="16"/>
      <c r="IT83" s="16"/>
      <c r="IU83" s="16"/>
      <c r="IV83" s="16"/>
      <c r="IW83" s="16"/>
    </row>
    <row r="84" customFormat="false" ht="12.95" hidden="false" customHeight="true" outlineLevel="0" collapsed="false"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6"/>
      <c r="CU84" s="16"/>
      <c r="CV84" s="16"/>
      <c r="CW84" s="16"/>
      <c r="CX84" s="16"/>
      <c r="CY84" s="16"/>
      <c r="CZ84" s="16"/>
      <c r="DA84" s="16"/>
      <c r="DB84" s="16"/>
      <c r="DC84" s="16"/>
      <c r="DD84" s="16"/>
      <c r="DE84" s="16"/>
      <c r="DF84" s="16"/>
      <c r="DG84" s="16"/>
      <c r="DH84" s="16"/>
      <c r="DI84" s="16"/>
      <c r="DJ84" s="16"/>
      <c r="DK84" s="16"/>
      <c r="DL84" s="16"/>
      <c r="DM84" s="16"/>
      <c r="DN84" s="16"/>
      <c r="DO84" s="16"/>
      <c r="DP84" s="16"/>
      <c r="DQ84" s="16"/>
      <c r="DR84" s="16"/>
      <c r="DS84" s="16"/>
      <c r="DT84" s="16"/>
      <c r="DU84" s="16"/>
      <c r="DV84" s="16"/>
      <c r="DW84" s="16"/>
      <c r="DX84" s="16"/>
      <c r="DY84" s="16"/>
      <c r="DZ84" s="16"/>
      <c r="EA84" s="16"/>
      <c r="EB84" s="16"/>
      <c r="EC84" s="16"/>
      <c r="ED84" s="16"/>
      <c r="EE84" s="16"/>
      <c r="EF84" s="16"/>
      <c r="EG84" s="16"/>
      <c r="EH84" s="16"/>
      <c r="EI84" s="16"/>
      <c r="EJ84" s="16"/>
      <c r="EK84" s="16"/>
      <c r="EL84" s="16"/>
      <c r="EM84" s="16"/>
      <c r="EN84" s="16"/>
      <c r="EO84" s="16"/>
      <c r="EP84" s="16"/>
      <c r="EQ84" s="16"/>
      <c r="ER84" s="16"/>
      <c r="ES84" s="16"/>
      <c r="ET84" s="16"/>
      <c r="EU84" s="16"/>
      <c r="EV84" s="16"/>
      <c r="EW84" s="16"/>
      <c r="EX84" s="16"/>
      <c r="EY84" s="16"/>
      <c r="EZ84" s="16"/>
      <c r="FA84" s="16"/>
      <c r="FB84" s="16"/>
      <c r="FC84" s="16"/>
      <c r="FD84" s="16"/>
      <c r="FE84" s="16"/>
      <c r="FF84" s="16"/>
      <c r="FG84" s="16"/>
      <c r="FH84" s="16"/>
      <c r="FI84" s="16"/>
      <c r="FJ84" s="16"/>
      <c r="FK84" s="16"/>
      <c r="FL84" s="16"/>
      <c r="FM84" s="16"/>
      <c r="FN84" s="16"/>
      <c r="FO84" s="16"/>
      <c r="FP84" s="16"/>
      <c r="FQ84" s="16"/>
      <c r="FR84" s="16"/>
      <c r="FS84" s="16"/>
      <c r="FT84" s="16"/>
      <c r="FU84" s="16"/>
      <c r="FV84" s="16"/>
      <c r="FW84" s="16"/>
      <c r="FX84" s="16"/>
      <c r="FY84" s="16"/>
      <c r="FZ84" s="16"/>
      <c r="GA84" s="16"/>
      <c r="GB84" s="16"/>
      <c r="GC84" s="16"/>
      <c r="GD84" s="16"/>
      <c r="GE84" s="16"/>
      <c r="GF84" s="16"/>
      <c r="GG84" s="16"/>
      <c r="GH84" s="16"/>
      <c r="GI84" s="16"/>
      <c r="GJ84" s="16"/>
      <c r="GK84" s="16"/>
      <c r="GL84" s="16"/>
      <c r="GM84" s="16"/>
      <c r="GN84" s="16"/>
      <c r="GO84" s="16"/>
      <c r="GP84" s="16"/>
      <c r="GQ84" s="16"/>
      <c r="GR84" s="16"/>
      <c r="GS84" s="16"/>
      <c r="GT84" s="16"/>
      <c r="GU84" s="16"/>
      <c r="GV84" s="16"/>
      <c r="GW84" s="16"/>
      <c r="GX84" s="16"/>
      <c r="GY84" s="16"/>
      <c r="GZ84" s="16"/>
      <c r="HA84" s="16"/>
      <c r="HB84" s="16"/>
      <c r="HC84" s="16"/>
      <c r="HD84" s="16"/>
      <c r="HE84" s="16"/>
      <c r="HF84" s="16"/>
      <c r="HG84" s="16"/>
      <c r="HH84" s="16"/>
      <c r="HI84" s="16"/>
      <c r="HJ84" s="16"/>
      <c r="HK84" s="16"/>
      <c r="HL84" s="16"/>
      <c r="HM84" s="16"/>
      <c r="HN84" s="16"/>
      <c r="HO84" s="16"/>
      <c r="HP84" s="16"/>
      <c r="HQ84" s="16"/>
      <c r="HR84" s="16"/>
      <c r="HS84" s="16"/>
      <c r="HT84" s="16"/>
      <c r="HU84" s="16"/>
      <c r="HV84" s="16"/>
      <c r="HW84" s="16"/>
      <c r="HX84" s="16"/>
      <c r="HY84" s="16"/>
      <c r="HZ84" s="16"/>
      <c r="IA84" s="16"/>
      <c r="IB84" s="16"/>
      <c r="IC84" s="16"/>
      <c r="ID84" s="16"/>
      <c r="IE84" s="16"/>
      <c r="IF84" s="16"/>
      <c r="IG84" s="16"/>
      <c r="IH84" s="16"/>
      <c r="II84" s="16"/>
      <c r="IJ84" s="16"/>
      <c r="IK84" s="16"/>
      <c r="IL84" s="16"/>
      <c r="IM84" s="16"/>
      <c r="IN84" s="16"/>
      <c r="IO84" s="16"/>
      <c r="IP84" s="16"/>
      <c r="IQ84" s="16"/>
      <c r="IR84" s="16"/>
      <c r="IS84" s="16"/>
      <c r="IT84" s="16"/>
      <c r="IU84" s="16"/>
      <c r="IV84" s="16"/>
      <c r="IW84" s="16"/>
    </row>
    <row r="85" customFormat="false" ht="12.95" hidden="false" customHeight="true" outlineLevel="0" collapsed="false"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6"/>
      <c r="CK85" s="16"/>
      <c r="CL85" s="16"/>
      <c r="CM85" s="16"/>
      <c r="CN85" s="16"/>
      <c r="CO85" s="16"/>
      <c r="CP85" s="16"/>
      <c r="CQ85" s="16"/>
      <c r="CR85" s="16"/>
      <c r="CS85" s="16"/>
      <c r="CT85" s="16"/>
      <c r="CU85" s="16"/>
      <c r="CV85" s="16"/>
      <c r="CW85" s="16"/>
      <c r="CX85" s="16"/>
      <c r="CY85" s="16"/>
      <c r="CZ85" s="16"/>
      <c r="DA85" s="16"/>
      <c r="DB85" s="16"/>
      <c r="DC85" s="16"/>
      <c r="DD85" s="16"/>
      <c r="DE85" s="16"/>
      <c r="DF85" s="16"/>
      <c r="DG85" s="16"/>
      <c r="DH85" s="16"/>
      <c r="DI85" s="16"/>
      <c r="DJ85" s="16"/>
      <c r="DK85" s="16"/>
      <c r="DL85" s="16"/>
      <c r="DM85" s="16"/>
      <c r="DN85" s="16"/>
      <c r="DO85" s="16"/>
      <c r="DP85" s="16"/>
      <c r="DQ85" s="16"/>
      <c r="DR85" s="16"/>
      <c r="DS85" s="16"/>
      <c r="DT85" s="16"/>
      <c r="DU85" s="16"/>
      <c r="DV85" s="16"/>
      <c r="DW85" s="16"/>
      <c r="DX85" s="16"/>
      <c r="DY85" s="16"/>
      <c r="DZ85" s="16"/>
      <c r="EA85" s="16"/>
      <c r="EB85" s="16"/>
      <c r="EC85" s="16"/>
      <c r="ED85" s="16"/>
      <c r="EE85" s="16"/>
      <c r="EF85" s="16"/>
      <c r="EG85" s="16"/>
      <c r="EH85" s="16"/>
      <c r="EI85" s="16"/>
      <c r="EJ85" s="16"/>
      <c r="EK85" s="16"/>
      <c r="EL85" s="16"/>
      <c r="EM85" s="16"/>
      <c r="EN85" s="16"/>
      <c r="EO85" s="16"/>
      <c r="EP85" s="16"/>
      <c r="EQ85" s="16"/>
      <c r="ER85" s="16"/>
      <c r="ES85" s="16"/>
      <c r="ET85" s="16"/>
      <c r="EU85" s="16"/>
      <c r="EV85" s="16"/>
      <c r="EW85" s="16"/>
      <c r="EX85" s="16"/>
      <c r="EY85" s="16"/>
      <c r="EZ85" s="16"/>
      <c r="FA85" s="16"/>
      <c r="FB85" s="16"/>
      <c r="FC85" s="16"/>
      <c r="FD85" s="16"/>
      <c r="FE85" s="16"/>
      <c r="FF85" s="16"/>
      <c r="FG85" s="16"/>
      <c r="FH85" s="16"/>
      <c r="FI85" s="16"/>
      <c r="FJ85" s="16"/>
      <c r="FK85" s="16"/>
      <c r="FL85" s="16"/>
      <c r="FM85" s="16"/>
      <c r="FN85" s="16"/>
      <c r="FO85" s="16"/>
      <c r="FP85" s="16"/>
      <c r="FQ85" s="16"/>
      <c r="FR85" s="16"/>
      <c r="FS85" s="16"/>
      <c r="FT85" s="16"/>
      <c r="FU85" s="16"/>
      <c r="FV85" s="16"/>
      <c r="FW85" s="16"/>
      <c r="FX85" s="16"/>
      <c r="FY85" s="16"/>
      <c r="FZ85" s="16"/>
      <c r="GA85" s="16"/>
      <c r="GB85" s="16"/>
      <c r="GC85" s="16"/>
      <c r="GD85" s="16"/>
      <c r="GE85" s="16"/>
      <c r="GF85" s="16"/>
      <c r="GG85" s="16"/>
      <c r="GH85" s="16"/>
      <c r="GI85" s="16"/>
      <c r="GJ85" s="16"/>
      <c r="GK85" s="16"/>
      <c r="GL85" s="16"/>
      <c r="GM85" s="16"/>
      <c r="GN85" s="16"/>
      <c r="GO85" s="16"/>
      <c r="GP85" s="16"/>
      <c r="GQ85" s="16"/>
      <c r="GR85" s="16"/>
      <c r="GS85" s="16"/>
      <c r="GT85" s="16"/>
      <c r="GU85" s="16"/>
      <c r="GV85" s="16"/>
      <c r="GW85" s="16"/>
      <c r="GX85" s="16"/>
      <c r="GY85" s="16"/>
      <c r="GZ85" s="16"/>
      <c r="HA85" s="16"/>
      <c r="HB85" s="16"/>
      <c r="HC85" s="16"/>
      <c r="HD85" s="16"/>
      <c r="HE85" s="16"/>
      <c r="HF85" s="16"/>
      <c r="HG85" s="16"/>
      <c r="HH85" s="16"/>
      <c r="HI85" s="16"/>
      <c r="HJ85" s="16"/>
      <c r="HK85" s="16"/>
      <c r="HL85" s="16"/>
      <c r="HM85" s="16"/>
      <c r="HN85" s="16"/>
      <c r="HO85" s="16"/>
      <c r="HP85" s="16"/>
      <c r="HQ85" s="16"/>
      <c r="HR85" s="16"/>
      <c r="HS85" s="16"/>
      <c r="HT85" s="16"/>
      <c r="HU85" s="16"/>
      <c r="HV85" s="16"/>
      <c r="HW85" s="16"/>
      <c r="HX85" s="16"/>
      <c r="HY85" s="16"/>
      <c r="HZ85" s="16"/>
      <c r="IA85" s="16"/>
      <c r="IB85" s="16"/>
      <c r="IC85" s="16"/>
      <c r="ID85" s="16"/>
      <c r="IE85" s="16"/>
      <c r="IF85" s="16"/>
      <c r="IG85" s="16"/>
      <c r="IH85" s="16"/>
      <c r="II85" s="16"/>
      <c r="IJ85" s="16"/>
      <c r="IK85" s="16"/>
      <c r="IL85" s="16"/>
      <c r="IM85" s="16"/>
      <c r="IN85" s="16"/>
      <c r="IO85" s="16"/>
      <c r="IP85" s="16"/>
      <c r="IQ85" s="16"/>
      <c r="IR85" s="16"/>
      <c r="IS85" s="16"/>
      <c r="IT85" s="16"/>
      <c r="IU85" s="16"/>
      <c r="IV85" s="16"/>
      <c r="IW85" s="16"/>
    </row>
    <row r="86" customFormat="false" ht="12.95" hidden="false" customHeight="true" outlineLevel="0" collapsed="false"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16"/>
      <c r="CR86" s="16"/>
      <c r="CS86" s="16"/>
      <c r="CT86" s="16"/>
      <c r="CU86" s="16"/>
      <c r="CV86" s="16"/>
      <c r="CW86" s="16"/>
      <c r="CX86" s="16"/>
      <c r="CY86" s="16"/>
      <c r="CZ86" s="16"/>
      <c r="DA86" s="16"/>
      <c r="DB86" s="16"/>
      <c r="DC86" s="16"/>
      <c r="DD86" s="16"/>
      <c r="DE86" s="16"/>
      <c r="DF86" s="16"/>
      <c r="DG86" s="16"/>
      <c r="DH86" s="16"/>
      <c r="DI86" s="16"/>
      <c r="DJ86" s="16"/>
      <c r="DK86" s="16"/>
      <c r="DL86" s="16"/>
      <c r="DM86" s="16"/>
      <c r="DN86" s="16"/>
      <c r="DO86" s="16"/>
      <c r="DP86" s="16"/>
      <c r="DQ86" s="16"/>
      <c r="DR86" s="16"/>
      <c r="DS86" s="16"/>
      <c r="DT86" s="16"/>
      <c r="DU86" s="16"/>
      <c r="DV86" s="16"/>
      <c r="DW86" s="16"/>
      <c r="DX86" s="16"/>
      <c r="DY86" s="16"/>
      <c r="DZ86" s="16"/>
      <c r="EA86" s="16"/>
      <c r="EB86" s="16"/>
      <c r="EC86" s="16"/>
      <c r="ED86" s="16"/>
      <c r="EE86" s="16"/>
      <c r="EF86" s="16"/>
      <c r="EG86" s="16"/>
      <c r="EH86" s="16"/>
      <c r="EI86" s="16"/>
      <c r="EJ86" s="16"/>
      <c r="EK86" s="16"/>
      <c r="EL86" s="16"/>
      <c r="EM86" s="16"/>
      <c r="EN86" s="16"/>
      <c r="EO86" s="16"/>
      <c r="EP86" s="16"/>
      <c r="EQ86" s="16"/>
      <c r="ER86" s="16"/>
      <c r="ES86" s="16"/>
      <c r="ET86" s="16"/>
      <c r="EU86" s="16"/>
      <c r="EV86" s="16"/>
      <c r="EW86" s="16"/>
      <c r="EX86" s="16"/>
      <c r="EY86" s="16"/>
      <c r="EZ86" s="16"/>
      <c r="FA86" s="16"/>
      <c r="FB86" s="16"/>
      <c r="FC86" s="16"/>
      <c r="FD86" s="16"/>
      <c r="FE86" s="16"/>
      <c r="FF86" s="16"/>
      <c r="FG86" s="16"/>
      <c r="FH86" s="16"/>
      <c r="FI86" s="16"/>
      <c r="FJ86" s="16"/>
      <c r="FK86" s="16"/>
      <c r="FL86" s="16"/>
      <c r="FM86" s="16"/>
      <c r="FN86" s="16"/>
      <c r="FO86" s="16"/>
      <c r="FP86" s="16"/>
      <c r="FQ86" s="16"/>
      <c r="FR86" s="16"/>
      <c r="FS86" s="16"/>
      <c r="FT86" s="16"/>
      <c r="FU86" s="16"/>
      <c r="FV86" s="16"/>
      <c r="FW86" s="16"/>
      <c r="FX86" s="16"/>
      <c r="FY86" s="16"/>
      <c r="FZ86" s="16"/>
      <c r="GA86" s="16"/>
      <c r="GB86" s="16"/>
      <c r="GC86" s="16"/>
      <c r="GD86" s="16"/>
      <c r="GE86" s="16"/>
      <c r="GF86" s="16"/>
      <c r="GG86" s="16"/>
      <c r="GH86" s="16"/>
      <c r="GI86" s="16"/>
      <c r="GJ86" s="16"/>
      <c r="GK86" s="16"/>
      <c r="GL86" s="16"/>
      <c r="GM86" s="16"/>
      <c r="GN86" s="16"/>
      <c r="GO86" s="16"/>
      <c r="GP86" s="16"/>
      <c r="GQ86" s="16"/>
      <c r="GR86" s="16"/>
      <c r="GS86" s="16"/>
      <c r="GT86" s="16"/>
      <c r="GU86" s="16"/>
      <c r="GV86" s="16"/>
      <c r="GW86" s="16"/>
      <c r="GX86" s="16"/>
      <c r="GY86" s="16"/>
      <c r="GZ86" s="16"/>
      <c r="HA86" s="16"/>
      <c r="HB86" s="16"/>
      <c r="HC86" s="16"/>
      <c r="HD86" s="16"/>
      <c r="HE86" s="16"/>
      <c r="HF86" s="16"/>
      <c r="HG86" s="16"/>
      <c r="HH86" s="16"/>
      <c r="HI86" s="16"/>
      <c r="HJ86" s="16"/>
      <c r="HK86" s="16"/>
      <c r="HL86" s="16"/>
      <c r="HM86" s="16"/>
      <c r="HN86" s="16"/>
      <c r="HO86" s="16"/>
      <c r="HP86" s="16"/>
      <c r="HQ86" s="16"/>
      <c r="HR86" s="16"/>
      <c r="HS86" s="16"/>
      <c r="HT86" s="16"/>
      <c r="HU86" s="16"/>
      <c r="HV86" s="16"/>
      <c r="HW86" s="16"/>
      <c r="HX86" s="16"/>
      <c r="HY86" s="16"/>
      <c r="HZ86" s="16"/>
      <c r="IA86" s="16"/>
      <c r="IB86" s="16"/>
      <c r="IC86" s="16"/>
      <c r="ID86" s="16"/>
      <c r="IE86" s="16"/>
      <c r="IF86" s="16"/>
      <c r="IG86" s="16"/>
      <c r="IH86" s="16"/>
      <c r="II86" s="16"/>
      <c r="IJ86" s="16"/>
      <c r="IK86" s="16"/>
      <c r="IL86" s="16"/>
      <c r="IM86" s="16"/>
      <c r="IN86" s="16"/>
      <c r="IO86" s="16"/>
      <c r="IP86" s="16"/>
      <c r="IQ86" s="16"/>
      <c r="IR86" s="16"/>
      <c r="IS86" s="16"/>
      <c r="IT86" s="16"/>
      <c r="IU86" s="16"/>
      <c r="IV86" s="16"/>
      <c r="IW86" s="16"/>
    </row>
    <row r="87" customFormat="false" ht="12.95" hidden="false" customHeight="true" outlineLevel="0" collapsed="false"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  <c r="CN87" s="16"/>
      <c r="CO87" s="16"/>
      <c r="CP87" s="16"/>
      <c r="CQ87" s="16"/>
      <c r="CR87" s="16"/>
      <c r="CS87" s="16"/>
      <c r="CT87" s="16"/>
      <c r="CU87" s="16"/>
      <c r="CV87" s="16"/>
      <c r="CW87" s="16"/>
      <c r="CX87" s="16"/>
      <c r="CY87" s="16"/>
      <c r="CZ87" s="16"/>
      <c r="DA87" s="16"/>
      <c r="DB87" s="16"/>
      <c r="DC87" s="16"/>
      <c r="DD87" s="16"/>
      <c r="DE87" s="16"/>
      <c r="DF87" s="16"/>
      <c r="DG87" s="16"/>
      <c r="DH87" s="16"/>
      <c r="DI87" s="16"/>
      <c r="DJ87" s="16"/>
      <c r="DK87" s="16"/>
      <c r="DL87" s="16"/>
      <c r="DM87" s="16"/>
      <c r="DN87" s="16"/>
      <c r="DO87" s="16"/>
      <c r="DP87" s="16"/>
      <c r="DQ87" s="16"/>
      <c r="DR87" s="16"/>
      <c r="DS87" s="16"/>
      <c r="DT87" s="16"/>
      <c r="DU87" s="16"/>
      <c r="DV87" s="16"/>
      <c r="DW87" s="16"/>
      <c r="DX87" s="16"/>
      <c r="DY87" s="16"/>
      <c r="DZ87" s="16"/>
      <c r="EA87" s="16"/>
      <c r="EB87" s="16"/>
      <c r="EC87" s="16"/>
      <c r="ED87" s="16"/>
      <c r="EE87" s="16"/>
      <c r="EF87" s="16"/>
      <c r="EG87" s="16"/>
      <c r="EH87" s="16"/>
      <c r="EI87" s="16"/>
      <c r="EJ87" s="16"/>
      <c r="EK87" s="16"/>
      <c r="EL87" s="16"/>
      <c r="EM87" s="16"/>
      <c r="EN87" s="16"/>
      <c r="EO87" s="16"/>
      <c r="EP87" s="16"/>
      <c r="EQ87" s="16"/>
      <c r="ER87" s="16"/>
      <c r="ES87" s="16"/>
      <c r="ET87" s="16"/>
      <c r="EU87" s="16"/>
      <c r="EV87" s="16"/>
      <c r="EW87" s="16"/>
      <c r="EX87" s="16"/>
      <c r="EY87" s="16"/>
      <c r="EZ87" s="16"/>
      <c r="FA87" s="16"/>
      <c r="FB87" s="16"/>
      <c r="FC87" s="16"/>
      <c r="FD87" s="16"/>
      <c r="FE87" s="16"/>
      <c r="FF87" s="16"/>
      <c r="FG87" s="16"/>
      <c r="FH87" s="16"/>
      <c r="FI87" s="16"/>
      <c r="FJ87" s="16"/>
      <c r="FK87" s="16"/>
      <c r="FL87" s="16"/>
      <c r="FM87" s="16"/>
      <c r="FN87" s="16"/>
      <c r="FO87" s="16"/>
      <c r="FP87" s="16"/>
      <c r="FQ87" s="16"/>
      <c r="FR87" s="16"/>
      <c r="FS87" s="16"/>
      <c r="FT87" s="16"/>
      <c r="FU87" s="16"/>
      <c r="FV87" s="16"/>
      <c r="FW87" s="16"/>
      <c r="FX87" s="16"/>
      <c r="FY87" s="16"/>
      <c r="FZ87" s="16"/>
      <c r="GA87" s="16"/>
      <c r="GB87" s="16"/>
      <c r="GC87" s="16"/>
      <c r="GD87" s="16"/>
      <c r="GE87" s="16"/>
      <c r="GF87" s="16"/>
      <c r="GG87" s="16"/>
      <c r="GH87" s="16"/>
      <c r="GI87" s="16"/>
      <c r="GJ87" s="16"/>
      <c r="GK87" s="16"/>
      <c r="GL87" s="16"/>
      <c r="GM87" s="16"/>
      <c r="GN87" s="16"/>
      <c r="GO87" s="16"/>
      <c r="GP87" s="16"/>
      <c r="GQ87" s="16"/>
      <c r="GR87" s="16"/>
      <c r="GS87" s="16"/>
      <c r="GT87" s="16"/>
      <c r="GU87" s="16"/>
      <c r="GV87" s="16"/>
      <c r="GW87" s="16"/>
      <c r="GX87" s="16"/>
      <c r="GY87" s="16"/>
      <c r="GZ87" s="16"/>
      <c r="HA87" s="16"/>
      <c r="HB87" s="16"/>
      <c r="HC87" s="16"/>
      <c r="HD87" s="16"/>
      <c r="HE87" s="16"/>
      <c r="HF87" s="16"/>
      <c r="HG87" s="16"/>
      <c r="HH87" s="16"/>
      <c r="HI87" s="16"/>
      <c r="HJ87" s="16"/>
      <c r="HK87" s="16"/>
      <c r="HL87" s="16"/>
      <c r="HM87" s="16"/>
      <c r="HN87" s="16"/>
      <c r="HO87" s="16"/>
      <c r="HP87" s="16"/>
      <c r="HQ87" s="16"/>
      <c r="HR87" s="16"/>
      <c r="HS87" s="16"/>
      <c r="HT87" s="16"/>
      <c r="HU87" s="16"/>
      <c r="HV87" s="16"/>
      <c r="HW87" s="16"/>
      <c r="HX87" s="16"/>
      <c r="HY87" s="16"/>
      <c r="HZ87" s="16"/>
      <c r="IA87" s="16"/>
      <c r="IB87" s="16"/>
      <c r="IC87" s="16"/>
      <c r="ID87" s="16"/>
      <c r="IE87" s="16"/>
      <c r="IF87" s="16"/>
      <c r="IG87" s="16"/>
      <c r="IH87" s="16"/>
      <c r="II87" s="16"/>
      <c r="IJ87" s="16"/>
      <c r="IK87" s="16"/>
      <c r="IL87" s="16"/>
      <c r="IM87" s="16"/>
      <c r="IN87" s="16"/>
      <c r="IO87" s="16"/>
      <c r="IP87" s="16"/>
      <c r="IQ87" s="16"/>
      <c r="IR87" s="16"/>
      <c r="IS87" s="16"/>
      <c r="IT87" s="16"/>
      <c r="IU87" s="16"/>
      <c r="IV87" s="16"/>
      <c r="IW87" s="16"/>
    </row>
    <row r="88" customFormat="false" ht="12.95" hidden="false" customHeight="true" outlineLevel="0" collapsed="false"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  <c r="FF88" s="16"/>
      <c r="FG88" s="16"/>
      <c r="FH88" s="16"/>
      <c r="FI88" s="16"/>
      <c r="FJ88" s="16"/>
      <c r="FK88" s="16"/>
      <c r="FL88" s="16"/>
      <c r="FM88" s="16"/>
      <c r="FN88" s="16"/>
      <c r="FO88" s="16"/>
      <c r="FP88" s="16"/>
      <c r="FQ88" s="16"/>
      <c r="FR88" s="16"/>
      <c r="FS88" s="16"/>
      <c r="FT88" s="16"/>
      <c r="FU88" s="16"/>
      <c r="FV88" s="16"/>
      <c r="FW88" s="16"/>
      <c r="FX88" s="16"/>
      <c r="FY88" s="16"/>
      <c r="FZ88" s="16"/>
      <c r="GA88" s="16"/>
      <c r="GB88" s="16"/>
      <c r="GC88" s="16"/>
      <c r="GD88" s="16"/>
      <c r="GE88" s="16"/>
      <c r="GF88" s="16"/>
      <c r="GG88" s="16"/>
      <c r="GH88" s="16"/>
      <c r="GI88" s="16"/>
      <c r="GJ88" s="16"/>
      <c r="GK88" s="16"/>
      <c r="GL88" s="16"/>
      <c r="GM88" s="16"/>
      <c r="GN88" s="16"/>
      <c r="GO88" s="16"/>
      <c r="GP88" s="16"/>
      <c r="GQ88" s="16"/>
      <c r="GR88" s="16"/>
      <c r="GS88" s="16"/>
      <c r="GT88" s="16"/>
      <c r="GU88" s="16"/>
      <c r="GV88" s="16"/>
      <c r="GW88" s="16"/>
      <c r="GX88" s="16"/>
      <c r="GY88" s="16"/>
      <c r="GZ88" s="16"/>
      <c r="HA88" s="16"/>
      <c r="HB88" s="16"/>
      <c r="HC88" s="16"/>
      <c r="HD88" s="16"/>
      <c r="HE88" s="16"/>
      <c r="HF88" s="16"/>
      <c r="HG88" s="16"/>
      <c r="HH88" s="16"/>
      <c r="HI88" s="16"/>
      <c r="HJ88" s="16"/>
      <c r="HK88" s="16"/>
      <c r="HL88" s="16"/>
      <c r="HM88" s="16"/>
      <c r="HN88" s="16"/>
      <c r="HO88" s="16"/>
      <c r="HP88" s="16"/>
      <c r="HQ88" s="16"/>
      <c r="HR88" s="16"/>
      <c r="HS88" s="16"/>
      <c r="HT88" s="16"/>
      <c r="HU88" s="16"/>
      <c r="HV88" s="16"/>
      <c r="HW88" s="16"/>
      <c r="HX88" s="16"/>
      <c r="HY88" s="16"/>
      <c r="HZ88" s="16"/>
      <c r="IA88" s="16"/>
      <c r="IB88" s="16"/>
      <c r="IC88" s="16"/>
      <c r="ID88" s="16"/>
      <c r="IE88" s="16"/>
      <c r="IF88" s="16"/>
      <c r="IG88" s="16"/>
      <c r="IH88" s="16"/>
      <c r="II88" s="16"/>
      <c r="IJ88" s="16"/>
      <c r="IK88" s="16"/>
      <c r="IL88" s="16"/>
      <c r="IM88" s="16"/>
      <c r="IN88" s="16"/>
      <c r="IO88" s="16"/>
      <c r="IP88" s="16"/>
      <c r="IQ88" s="16"/>
      <c r="IR88" s="16"/>
      <c r="IS88" s="16"/>
      <c r="IT88" s="16"/>
      <c r="IU88" s="16"/>
      <c r="IV88" s="16"/>
      <c r="IW88" s="16"/>
    </row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  <row r="109" customFormat="false" ht="12.95" hidden="false" customHeight="true" outlineLevel="0" collapsed="false"/>
    <row r="110" customFormat="false" ht="12.95" hidden="false" customHeight="true" outlineLevel="0" collapsed="false"/>
    <row r="111" customFormat="false" ht="12.95" hidden="false" customHeight="true" outlineLevel="0" collapsed="false"/>
    <row r="112" customFormat="false" ht="12.95" hidden="false" customHeight="true" outlineLevel="0" collapsed="false"/>
    <row r="113" customFormat="false" ht="12.95" hidden="false" customHeight="true" outlineLevel="0" collapsed="false"/>
    <row r="114" customFormat="false" ht="12.95" hidden="false" customHeight="true" outlineLevel="0" collapsed="false"/>
    <row r="115" customFormat="false" ht="12.95" hidden="false" customHeight="true" outlineLevel="0" collapsed="false"/>
    <row r="116" customFormat="false" ht="12.95" hidden="false" customHeight="true" outlineLevel="0" collapsed="false"/>
    <row r="117" customFormat="false" ht="12.95" hidden="false" customHeight="true" outlineLevel="0" collapsed="false"/>
    <row r="118" customFormat="false" ht="12.95" hidden="false" customHeight="true" outlineLevel="0" collapsed="false"/>
    <row r="119" customFormat="false" ht="12.95" hidden="false" customHeight="true" outlineLevel="0" collapsed="false"/>
    <row r="120" customFormat="false" ht="12.95" hidden="false" customHeight="true" outlineLevel="0" collapsed="false"/>
    <row r="121" customFormat="false" ht="12.95" hidden="false" customHeight="true" outlineLevel="0" collapsed="false"/>
    <row r="122" customFormat="false" ht="12.95" hidden="false" customHeight="true" outlineLevel="0" collapsed="false"/>
    <row r="123" customFormat="false" ht="12.95" hidden="false" customHeight="true" outlineLevel="0" collapsed="false"/>
    <row r="124" customFormat="false" ht="12.95" hidden="false" customHeight="true" outlineLevel="0" collapsed="false"/>
    <row r="125" customFormat="false" ht="12.95" hidden="false" customHeight="true" outlineLevel="0" collapsed="false"/>
    <row r="126" customFormat="false" ht="12.95" hidden="false" customHeight="true" outlineLevel="0" collapsed="false"/>
    <row r="127" customFormat="false" ht="12.95" hidden="false" customHeight="true" outlineLevel="0" collapsed="false"/>
    <row r="128" customFormat="false" ht="12.95" hidden="false" customHeight="true" outlineLevel="0" collapsed="false"/>
    <row r="129" customFormat="false" ht="12.95" hidden="false" customHeight="true" outlineLevel="0" collapsed="false"/>
  </sheetData>
  <mergeCells count="19">
    <mergeCell ref="U7:W7"/>
    <mergeCell ref="X7:Y7"/>
    <mergeCell ref="E8:F8"/>
    <mergeCell ref="I8:K8"/>
    <mergeCell ref="L8:N8"/>
    <mergeCell ref="O8:Q8"/>
    <mergeCell ref="U26:Y26"/>
    <mergeCell ref="B27:C27"/>
    <mergeCell ref="D27:F27"/>
    <mergeCell ref="G27:H27"/>
    <mergeCell ref="J27:K27"/>
    <mergeCell ref="P27:S27"/>
    <mergeCell ref="U27:Y27"/>
    <mergeCell ref="B28:C28"/>
    <mergeCell ref="D28:F28"/>
    <mergeCell ref="G28:H28"/>
    <mergeCell ref="J28:K28"/>
    <mergeCell ref="P28:S28"/>
    <mergeCell ref="U28:Y28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5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B6" activeCellId="0" sqref="B6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0" width="29.71"/>
    <col collapsed="false" customWidth="true" hidden="false" outlineLevel="0" max="2" min="2" style="10" width="12.85"/>
    <col collapsed="false" customWidth="true" hidden="false" outlineLevel="0" max="3" min="3" style="10" width="12.7"/>
    <col collapsed="false" customWidth="true" hidden="false" outlineLevel="0" max="4" min="4" style="10" width="10.71"/>
    <col collapsed="false" customWidth="true" hidden="false" outlineLevel="0" max="5" min="5" style="10" width="11.7"/>
    <col collapsed="false" customWidth="true" hidden="false" outlineLevel="0" max="6" min="6" style="10" width="10.71"/>
    <col collapsed="false" customWidth="true" hidden="false" outlineLevel="0" max="7" min="7" style="10" width="11.7"/>
    <col collapsed="false" customWidth="true" hidden="false" outlineLevel="0" max="8" min="8" style="10" width="10.71"/>
    <col collapsed="false" customWidth="true" hidden="true" outlineLevel="1" max="9" min="9" style="10" width="8.7"/>
    <col collapsed="false" customWidth="true" hidden="false" outlineLevel="0" max="11" min="10" style="10" width="8.7"/>
    <col collapsed="false" customWidth="true" hidden="true" outlineLevel="1" max="12" min="12" style="10" width="8.7"/>
    <col collapsed="false" customWidth="true" hidden="false" outlineLevel="0" max="14" min="13" style="10" width="8.7"/>
    <col collapsed="false" customWidth="true" hidden="true" outlineLevel="1" max="15" min="15" style="10" width="8.7"/>
    <col collapsed="false" customWidth="true" hidden="false" outlineLevel="0" max="16" min="16" style="10" width="9.7"/>
    <col collapsed="false" customWidth="true" hidden="false" outlineLevel="0" max="17" min="17" style="10" width="8.7"/>
    <col collapsed="false" customWidth="true" hidden="false" outlineLevel="0" max="25" min="18" style="10" width="9.7"/>
    <col collapsed="false" customWidth="true" hidden="false" outlineLevel="0" max="26" min="26" style="10" width="10.71"/>
    <col collapsed="false" customWidth="false" hidden="false" outlineLevel="0" max="27" min="27" style="10" width="9.14"/>
    <col collapsed="false" customWidth="true" hidden="false" outlineLevel="0" max="30" min="28" style="10" width="10.71"/>
    <col collapsed="false" customWidth="true" hidden="false" outlineLevel="0" max="31" min="31" style="10" width="15.7"/>
    <col collapsed="false" customWidth="false" hidden="false" outlineLevel="0" max="257" min="32" style="10" width="9.14"/>
  </cols>
  <sheetData>
    <row r="1" customFormat="false" ht="18" hidden="false" customHeight="false" outlineLevel="0" collapsed="false">
      <c r="A1" s="73" t="s">
        <v>575</v>
      </c>
      <c r="B1" s="73"/>
      <c r="C1" s="73"/>
    </row>
    <row r="2" customFormat="false" ht="15" hidden="false" customHeight="true" outlineLevel="0" collapsed="false">
      <c r="A2" s="3" t="s">
        <v>1</v>
      </c>
      <c r="B2" s="3"/>
      <c r="C2" s="3"/>
      <c r="AG2" s="43"/>
    </row>
    <row r="3" customFormat="false" ht="12.75" hidden="false" customHeight="false" outlineLevel="0" collapsed="false">
      <c r="A3" s="74" t="s">
        <v>2</v>
      </c>
      <c r="B3" s="74"/>
      <c r="C3" s="74"/>
      <c r="AG3" s="43"/>
    </row>
    <row r="4" customFormat="false" ht="12.75" hidden="false" customHeight="false" outlineLevel="0" collapsed="false">
      <c r="A4" s="74"/>
      <c r="B4" s="74"/>
      <c r="C4" s="74"/>
      <c r="AG4" s="43"/>
    </row>
    <row r="5" customFormat="false" ht="12.75" hidden="false" customHeight="false" outlineLevel="0" collapsed="false">
      <c r="A5" s="74"/>
      <c r="B5" s="74"/>
      <c r="C5" s="74"/>
      <c r="AG5" s="43"/>
    </row>
    <row r="6" customFormat="false" ht="12.75" hidden="false" customHeight="false" outlineLevel="0" collapsed="false">
      <c r="A6" s="75" t="s">
        <v>3</v>
      </c>
      <c r="B6" s="205" t="n">
        <v>37106</v>
      </c>
      <c r="C6" s="77"/>
    </row>
    <row r="7" customFormat="false" ht="12.75" hidden="false" customHeight="false" outlineLevel="0" collapsed="false">
      <c r="H7" s="11" t="s">
        <v>4</v>
      </c>
      <c r="U7" s="12" t="s">
        <v>5</v>
      </c>
      <c r="V7" s="12"/>
      <c r="W7" s="12"/>
      <c r="X7" s="12" t="s">
        <v>6</v>
      </c>
      <c r="Y7" s="12"/>
      <c r="Z7" s="11" t="s">
        <v>7</v>
      </c>
    </row>
    <row r="8" customFormat="false" ht="12.75" hidden="false" customHeight="false" outlineLevel="0" collapsed="false">
      <c r="C8" s="11" t="s">
        <v>8</v>
      </c>
      <c r="D8" s="11" t="s">
        <v>9</v>
      </c>
      <c r="E8" s="13" t="s">
        <v>10</v>
      </c>
      <c r="F8" s="13"/>
      <c r="G8" s="11" t="s">
        <v>11</v>
      </c>
      <c r="H8" s="11" t="s">
        <v>11</v>
      </c>
      <c r="I8" s="12" t="s">
        <v>12</v>
      </c>
      <c r="J8" s="12"/>
      <c r="K8" s="12"/>
      <c r="L8" s="12" t="s">
        <v>13</v>
      </c>
      <c r="M8" s="12"/>
      <c r="N8" s="12"/>
      <c r="O8" s="12" t="s">
        <v>14</v>
      </c>
      <c r="P8" s="12"/>
      <c r="Q8" s="12"/>
      <c r="R8" s="13" t="s">
        <v>15</v>
      </c>
      <c r="S8" s="13" t="s">
        <v>16</v>
      </c>
      <c r="T8" s="11" t="s">
        <v>17</v>
      </c>
      <c r="U8" s="11" t="s">
        <v>18</v>
      </c>
      <c r="V8" s="11"/>
      <c r="W8" s="11" t="s">
        <v>19</v>
      </c>
      <c r="X8" s="11" t="s">
        <v>18</v>
      </c>
      <c r="Y8" s="11" t="s">
        <v>20</v>
      </c>
      <c r="Z8" s="11" t="s">
        <v>21</v>
      </c>
      <c r="AA8" s="13"/>
    </row>
    <row r="9" customFormat="false" ht="12.75" hidden="false" customHeight="false" outlineLevel="0" collapsed="false">
      <c r="A9" s="11" t="s">
        <v>22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29</v>
      </c>
      <c r="J9" s="11" t="str">
        <f aca="false">TEXT([14]output!$AK$16-365,"YYYY")&amp;"E"</f>
        <v>2001E</v>
      </c>
      <c r="K9" s="11" t="str">
        <f aca="false">TEXT([14]output!$AK$16,"YYYY")&amp;"E"</f>
        <v>2002E</v>
      </c>
      <c r="L9" s="11" t="s">
        <v>29</v>
      </c>
      <c r="M9" s="11" t="str">
        <f aca="false">TEXT([14]output!$AK$16-365,"YYYY")&amp;"E"</f>
        <v>2001E</v>
      </c>
      <c r="N9" s="11" t="str">
        <f aca="false">TEXT([14]output!$AK$16,"YYYY")&amp;"E"</f>
        <v>2002E</v>
      </c>
      <c r="O9" s="11" t="s">
        <v>29</v>
      </c>
      <c r="P9" s="11" t="str">
        <f aca="false">TEXT([14]output!$AK$16-365,"YYYY")&amp;"E"</f>
        <v>2001E</v>
      </c>
      <c r="Q9" s="11" t="str">
        <f aca="false">TEXT([14]output!$AK$16,"YYYY")&amp;"E"</f>
        <v>2002E</v>
      </c>
      <c r="R9" s="11" t="s">
        <v>32</v>
      </c>
      <c r="S9" s="11" t="s">
        <v>33</v>
      </c>
      <c r="T9" s="11" t="s">
        <v>34</v>
      </c>
      <c r="U9" s="11" t="s">
        <v>35</v>
      </c>
      <c r="V9" s="11" t="s">
        <v>36</v>
      </c>
      <c r="W9" s="11" t="s">
        <v>37</v>
      </c>
      <c r="X9" s="11" t="s">
        <v>38</v>
      </c>
      <c r="Y9" s="11" t="s">
        <v>6</v>
      </c>
      <c r="Z9" s="11" t="s">
        <v>39</v>
      </c>
      <c r="AA9" s="13"/>
    </row>
    <row r="10" customFormat="false" ht="4.9" hidden="false" customHeight="true" outlineLevel="0" collapsed="false">
      <c r="A10" s="78" t="s">
        <v>40</v>
      </c>
      <c r="B10" s="78" t="s">
        <v>40</v>
      </c>
      <c r="C10" s="78" t="s">
        <v>40</v>
      </c>
      <c r="D10" s="78" t="s">
        <v>40</v>
      </c>
      <c r="E10" s="78" t="s">
        <v>40</v>
      </c>
      <c r="F10" s="78" t="s">
        <v>40</v>
      </c>
      <c r="G10" s="78" t="s">
        <v>40</v>
      </c>
      <c r="H10" s="78" t="s">
        <v>40</v>
      </c>
      <c r="I10" s="78" t="s">
        <v>40</v>
      </c>
      <c r="J10" s="78" t="s">
        <v>40</v>
      </c>
      <c r="K10" s="78" t="s">
        <v>40</v>
      </c>
      <c r="L10" s="78" t="s">
        <v>40</v>
      </c>
      <c r="M10" s="78" t="s">
        <v>40</v>
      </c>
      <c r="N10" s="78" t="s">
        <v>40</v>
      </c>
      <c r="O10" s="78" t="s">
        <v>40</v>
      </c>
      <c r="P10" s="78" t="s">
        <v>40</v>
      </c>
      <c r="Q10" s="78" t="s">
        <v>40</v>
      </c>
      <c r="R10" s="78" t="s">
        <v>40</v>
      </c>
      <c r="S10" s="78" t="s">
        <v>40</v>
      </c>
      <c r="T10" s="78" t="s">
        <v>40</v>
      </c>
      <c r="U10" s="78" t="s">
        <v>40</v>
      </c>
      <c r="V10" s="78" t="s">
        <v>40</v>
      </c>
      <c r="W10" s="78" t="s">
        <v>40</v>
      </c>
      <c r="X10" s="78" t="s">
        <v>40</v>
      </c>
      <c r="Y10" s="78" t="s">
        <v>40</v>
      </c>
      <c r="Z10" s="78" t="s">
        <v>40</v>
      </c>
      <c r="AA10" s="40"/>
    </row>
    <row r="11" customFormat="false" ht="12.95" hidden="false" customHeight="true" outlineLevel="0" collapsed="false">
      <c r="A11" s="10" t="s">
        <v>576</v>
      </c>
      <c r="B11" s="11" t="s">
        <v>577</v>
      </c>
      <c r="C11" s="17" t="n">
        <v>37106</v>
      </c>
      <c r="D11" s="85" t="n">
        <v>8.629072</v>
      </c>
      <c r="E11" s="85" t="n">
        <v>10.351574</v>
      </c>
      <c r="F11" s="85" t="n">
        <v>6.238903</v>
      </c>
      <c r="G11" s="93" t="n">
        <v>79.859775815852</v>
      </c>
      <c r="H11" s="93" t="n">
        <v>81.854576230352</v>
      </c>
      <c r="I11" s="94" t="n">
        <v>9.6535048510609</v>
      </c>
      <c r="J11" s="94" t="s">
        <v>51</v>
      </c>
      <c r="K11" s="94" t="s">
        <v>51</v>
      </c>
      <c r="L11" s="94" t="s">
        <v>169</v>
      </c>
      <c r="M11" s="94" t="s">
        <v>51</v>
      </c>
      <c r="N11" s="94" t="s">
        <v>51</v>
      </c>
      <c r="O11" s="94" t="n">
        <v>4.51787820201808</v>
      </c>
      <c r="P11" s="94" t="s">
        <v>51</v>
      </c>
      <c r="Q11" s="94" t="s">
        <v>51</v>
      </c>
      <c r="R11" s="29" t="n">
        <v>0.0424838369356453</v>
      </c>
      <c r="S11" s="94" t="n">
        <v>1.12807446803853</v>
      </c>
      <c r="T11" s="94" t="s">
        <v>51</v>
      </c>
      <c r="U11" s="127" t="n">
        <v>0</v>
      </c>
      <c r="V11" s="29" t="s">
        <v>51</v>
      </c>
      <c r="W11" s="85" t="s">
        <v>51</v>
      </c>
      <c r="X11" s="93" t="n">
        <v>0</v>
      </c>
      <c r="Y11" s="94" t="s">
        <v>51</v>
      </c>
      <c r="Z11" s="128" t="n">
        <v>9.25473513442141</v>
      </c>
      <c r="AE11" s="131" t="s">
        <v>110</v>
      </c>
    </row>
    <row r="12" customFormat="false" ht="12.95" hidden="false" customHeight="true" outlineLevel="0" collapsed="false">
      <c r="A12" s="10" t="s">
        <v>578</v>
      </c>
      <c r="B12" s="11" t="s">
        <v>579</v>
      </c>
      <c r="C12" s="17" t="n">
        <v>37106</v>
      </c>
      <c r="D12" s="85" t="n">
        <v>8.889573</v>
      </c>
      <c r="E12" s="85" t="n">
        <v>12.9166</v>
      </c>
      <c r="F12" s="85" t="n">
        <v>8.112164</v>
      </c>
      <c r="G12" s="93" t="n">
        <v>654.395320023984</v>
      </c>
      <c r="H12" s="93" t="n">
        <v>662.313553569984</v>
      </c>
      <c r="I12" s="94" t="n">
        <v>9.5752118840288</v>
      </c>
      <c r="J12" s="94" t="n">
        <v>8.5440145589199</v>
      </c>
      <c r="K12" s="94" t="n">
        <v>7.34174965312903</v>
      </c>
      <c r="L12" s="94" t="n">
        <v>8.02779953882069</v>
      </c>
      <c r="M12" s="94" t="n">
        <v>6.38809789582389</v>
      </c>
      <c r="N12" s="94" t="n">
        <v>5.58307958412854</v>
      </c>
      <c r="O12" s="94" t="n">
        <v>5.33928169774179</v>
      </c>
      <c r="P12" s="94" t="n">
        <v>4.30561783569627</v>
      </c>
      <c r="Q12" s="94" t="n">
        <v>3.80893982318899</v>
      </c>
      <c r="R12" s="29" t="n">
        <v>0.0371826895004629</v>
      </c>
      <c r="S12" s="94" t="n">
        <v>1.69598372430733</v>
      </c>
      <c r="T12" s="29" t="n">
        <v>0.014652</v>
      </c>
      <c r="U12" s="95" t="n">
        <v>0</v>
      </c>
      <c r="V12" s="29" t="s">
        <v>51</v>
      </c>
      <c r="W12" s="85" t="s">
        <v>51</v>
      </c>
      <c r="X12" s="93" t="n">
        <v>0</v>
      </c>
      <c r="Y12" s="94" t="s">
        <v>51</v>
      </c>
      <c r="Z12" s="130" t="n">
        <v>73.613808</v>
      </c>
      <c r="AA12" s="86"/>
      <c r="AE12" s="132" t="n">
        <v>50</v>
      </c>
    </row>
    <row r="13" customFormat="false" ht="12.95" hidden="false" customHeight="true" outlineLevel="0" collapsed="false">
      <c r="A13" s="10" t="s">
        <v>580</v>
      </c>
      <c r="B13" s="11" t="s">
        <v>581</v>
      </c>
      <c r="C13" s="17" t="n">
        <v>37106</v>
      </c>
      <c r="D13" s="85" t="n">
        <v>3.02</v>
      </c>
      <c r="E13" s="85" t="n">
        <v>6.98</v>
      </c>
      <c r="F13" s="85" t="n">
        <v>2.75</v>
      </c>
      <c r="G13" s="93" t="n">
        <v>546.38070302</v>
      </c>
      <c r="H13" s="93" t="n">
        <v>747.54370302</v>
      </c>
      <c r="I13" s="94" t="s">
        <v>169</v>
      </c>
      <c r="J13" s="94" t="n">
        <v>7.86726800989887</v>
      </c>
      <c r="K13" s="94" t="n">
        <v>5.5809176699888</v>
      </c>
      <c r="L13" s="94" t="n">
        <v>9.53367619637554</v>
      </c>
      <c r="M13" s="94" t="n">
        <v>4.86856462232298</v>
      </c>
      <c r="N13" s="94" t="n">
        <v>3.7243699737097</v>
      </c>
      <c r="O13" s="94" t="n">
        <v>6.97866607512804</v>
      </c>
      <c r="P13" s="94" t="n">
        <v>4.1507146197668</v>
      </c>
      <c r="Q13" s="94" t="n">
        <v>3.19054077259923</v>
      </c>
      <c r="R13" s="29" t="n">
        <v>0.570454137089492</v>
      </c>
      <c r="S13" s="94" t="n">
        <v>2.89307682502197</v>
      </c>
      <c r="T13" s="29" t="n">
        <v>0</v>
      </c>
      <c r="U13" s="95" t="n">
        <v>0</v>
      </c>
      <c r="V13" s="29" t="s">
        <v>51</v>
      </c>
      <c r="W13" s="85" t="s">
        <v>51</v>
      </c>
      <c r="X13" s="93" t="n">
        <v>0</v>
      </c>
      <c r="Y13" s="94" t="s">
        <v>51</v>
      </c>
      <c r="Z13" s="130" t="n">
        <v>180.920762589404</v>
      </c>
      <c r="AA13" s="86"/>
    </row>
    <row r="14" customFormat="false" ht="12.95" hidden="false" customHeight="true" outlineLevel="0" collapsed="false">
      <c r="A14" s="10" t="s">
        <v>582</v>
      </c>
      <c r="B14" s="11" t="s">
        <v>583</v>
      </c>
      <c r="C14" s="17" t="n">
        <v>37106</v>
      </c>
      <c r="D14" s="85" t="n">
        <v>30.02</v>
      </c>
      <c r="E14" s="85" t="n">
        <v>58.73</v>
      </c>
      <c r="F14" s="85" t="n">
        <v>28.1</v>
      </c>
      <c r="G14" s="93" t="n">
        <v>1636.902481915</v>
      </c>
      <c r="H14" s="93" t="n">
        <v>1540.261481915</v>
      </c>
      <c r="I14" s="94" t="n">
        <v>15.8131911502198</v>
      </c>
      <c r="J14" s="94" t="n">
        <v>10.3012230160699</v>
      </c>
      <c r="K14" s="94" t="n">
        <v>9.93831541522612</v>
      </c>
      <c r="L14" s="94" t="n">
        <v>6.14951492920311</v>
      </c>
      <c r="M14" s="94" t="n">
        <v>5.49725261023186</v>
      </c>
      <c r="N14" s="94" t="n">
        <v>5.31507710935722</v>
      </c>
      <c r="O14" s="94" t="n">
        <v>5.37372947196762</v>
      </c>
      <c r="P14" s="94" t="n">
        <v>4.44718817515497</v>
      </c>
      <c r="Q14" s="94" t="n">
        <v>4.2028126284403</v>
      </c>
      <c r="R14" s="29" t="n">
        <v>0.0472470557997178</v>
      </c>
      <c r="S14" s="94" t="n">
        <v>1.62348116313933</v>
      </c>
      <c r="T14" s="29" t="n">
        <v>0.01008742</v>
      </c>
      <c r="U14" s="95" t="n">
        <v>50.0548036666667</v>
      </c>
      <c r="V14" s="29" t="n">
        <v>0.874035326519544</v>
      </c>
      <c r="W14" s="85" t="n">
        <v>6.56146241759045</v>
      </c>
      <c r="X14" s="93" t="n">
        <v>488.071</v>
      </c>
      <c r="Y14" s="94" t="n">
        <v>0.715141130102005</v>
      </c>
      <c r="Z14" s="130" t="n">
        <v>54.5270646873751</v>
      </c>
      <c r="AA14" s="86"/>
    </row>
    <row r="15" customFormat="false" ht="12.95" hidden="false" customHeight="true" outlineLevel="0" collapsed="false">
      <c r="A15" s="10" t="s">
        <v>584</v>
      </c>
      <c r="B15" s="11" t="s">
        <v>585</v>
      </c>
      <c r="C15" s="17" t="n">
        <v>37106</v>
      </c>
      <c r="D15" s="85" t="n">
        <v>27.7</v>
      </c>
      <c r="E15" s="85" t="n">
        <v>63.12</v>
      </c>
      <c r="F15" s="85" t="n">
        <v>27.12</v>
      </c>
      <c r="G15" s="93" t="n">
        <v>4200.8325291</v>
      </c>
      <c r="H15" s="93" t="n">
        <v>5374.3935291</v>
      </c>
      <c r="I15" s="94" t="n">
        <v>20.9328861680976</v>
      </c>
      <c r="J15" s="94" t="n">
        <v>11.4959412061433</v>
      </c>
      <c r="K15" s="94" t="n">
        <v>12.311161716513</v>
      </c>
      <c r="L15" s="94" t="n">
        <v>9.37043706455621</v>
      </c>
      <c r="M15" s="94" t="n">
        <v>8.00578034682081</v>
      </c>
      <c r="N15" s="94" t="n">
        <v>8.19526627218935</v>
      </c>
      <c r="O15" s="94" t="n">
        <v>34.2750437718288</v>
      </c>
      <c r="P15" s="94" t="n">
        <v>6.90166240204954</v>
      </c>
      <c r="Q15" s="94" t="n">
        <v>7.3101108937704</v>
      </c>
      <c r="R15" s="29" t="n">
        <v>0.470678222150667</v>
      </c>
      <c r="S15" s="94" t="n">
        <v>2.19542435105404</v>
      </c>
      <c r="T15" s="29" t="n">
        <v>0</v>
      </c>
      <c r="U15" s="95" t="n">
        <v>0</v>
      </c>
      <c r="V15" s="29" t="s">
        <v>51</v>
      </c>
      <c r="W15" s="85" t="s">
        <v>51</v>
      </c>
      <c r="X15" s="93" t="n">
        <v>0</v>
      </c>
      <c r="Y15" s="94" t="s">
        <v>51</v>
      </c>
      <c r="Z15" s="130" t="n">
        <v>151.654603938628</v>
      </c>
      <c r="AA15" s="86"/>
    </row>
    <row r="16" customFormat="false" ht="12.95" hidden="false" customHeight="true" outlineLevel="0" collapsed="false">
      <c r="A16" s="10" t="s">
        <v>586</v>
      </c>
      <c r="B16" s="11" t="s">
        <v>587</v>
      </c>
      <c r="C16" s="17" t="n">
        <v>37106</v>
      </c>
      <c r="D16" s="85" t="n">
        <v>27.35253</v>
      </c>
      <c r="E16" s="85" t="n">
        <v>46.4346</v>
      </c>
      <c r="F16" s="85" t="n">
        <v>25.49286</v>
      </c>
      <c r="G16" s="93" t="n">
        <v>1458.04933671439</v>
      </c>
      <c r="H16" s="93" t="n">
        <v>1908.40680819939</v>
      </c>
      <c r="I16" s="94" t="n">
        <v>13.4625934826048</v>
      </c>
      <c r="J16" s="94" t="n">
        <v>10.5722131890071</v>
      </c>
      <c r="K16" s="94" t="n">
        <v>7.83581986421189</v>
      </c>
      <c r="L16" s="94" t="n">
        <v>13.4625934826048</v>
      </c>
      <c r="M16" s="94" t="n">
        <v>4.60975549084855</v>
      </c>
      <c r="N16" s="94" t="n">
        <v>3.83657149305707</v>
      </c>
      <c r="O16" s="94" t="n">
        <v>5.01372736385098</v>
      </c>
      <c r="P16" s="94" t="n">
        <v>4.71348164333547</v>
      </c>
      <c r="Q16" s="94" t="n">
        <v>3.89211254836188</v>
      </c>
      <c r="R16" s="29" t="n">
        <v>0.35672891781154</v>
      </c>
      <c r="S16" s="94" t="n">
        <v>1.11676487434859</v>
      </c>
      <c r="T16" s="29" t="n">
        <v>0</v>
      </c>
      <c r="U16" s="95" t="n">
        <v>0</v>
      </c>
      <c r="V16" s="29" t="s">
        <v>51</v>
      </c>
      <c r="W16" s="85" t="s">
        <v>51</v>
      </c>
      <c r="X16" s="93" t="n">
        <v>0</v>
      </c>
      <c r="Y16" s="94" t="s">
        <v>51</v>
      </c>
      <c r="Z16" s="130" t="n">
        <v>53.3058308212947</v>
      </c>
      <c r="AA16" s="86"/>
    </row>
    <row r="17" customFormat="false" ht="12.95" hidden="false" customHeight="true" outlineLevel="0" collapsed="false">
      <c r="A17" s="90" t="s">
        <v>588</v>
      </c>
      <c r="B17" s="91" t="s">
        <v>589</v>
      </c>
      <c r="C17" s="17" t="n">
        <v>37106</v>
      </c>
      <c r="D17" s="85" t="n">
        <v>4.95</v>
      </c>
      <c r="E17" s="85" t="n">
        <v>7.53</v>
      </c>
      <c r="F17" s="85" t="n">
        <v>3.9375</v>
      </c>
      <c r="G17" s="93" t="n">
        <v>457.038481063</v>
      </c>
      <c r="H17" s="93" t="n">
        <v>999.412481063</v>
      </c>
      <c r="I17" s="94" t="s">
        <v>169</v>
      </c>
      <c r="J17" s="94" t="n">
        <v>49.1715160796324</v>
      </c>
      <c r="K17" s="94" t="n">
        <v>33.1633663366338</v>
      </c>
      <c r="L17" s="94" t="n">
        <v>5.85067743812853</v>
      </c>
      <c r="M17" s="94" t="n">
        <v>4.05737704918033</v>
      </c>
      <c r="N17" s="94" t="n">
        <v>3.77862595419848</v>
      </c>
      <c r="O17" s="94" t="n">
        <v>3.3536724468961</v>
      </c>
      <c r="P17" s="94" t="n">
        <v>5.33034204145711</v>
      </c>
      <c r="Q17" s="94" t="n">
        <v>5.14365661895523</v>
      </c>
      <c r="R17" s="29" t="n">
        <v>0.597604459169377</v>
      </c>
      <c r="S17" s="94" t="n">
        <v>1.13823675588247</v>
      </c>
      <c r="T17" s="29" t="n">
        <v>0</v>
      </c>
      <c r="U17" s="95" t="n">
        <v>0</v>
      </c>
      <c r="V17" s="29" t="s">
        <v>51</v>
      </c>
      <c r="W17" s="85" t="s">
        <v>51</v>
      </c>
      <c r="X17" s="93" t="n">
        <v>0</v>
      </c>
      <c r="Y17" s="94" t="s">
        <v>51</v>
      </c>
      <c r="Z17" s="130" t="n">
        <v>92.3310062753535</v>
      </c>
      <c r="AA17" s="86"/>
    </row>
    <row r="18" customFormat="false" ht="12.95" hidden="false" customHeight="true" outlineLevel="0" collapsed="false">
      <c r="A18" s="90" t="s">
        <v>590</v>
      </c>
      <c r="B18" s="91" t="s">
        <v>591</v>
      </c>
      <c r="C18" s="17" t="n">
        <v>37106</v>
      </c>
      <c r="D18" s="85" t="n">
        <v>15.93</v>
      </c>
      <c r="E18" s="85" t="n">
        <v>41.375</v>
      </c>
      <c r="F18" s="85" t="n">
        <v>14.05</v>
      </c>
      <c r="G18" s="93" t="n">
        <v>1231.08515928</v>
      </c>
      <c r="H18" s="93" t="n">
        <v>1251.88215928</v>
      </c>
      <c r="I18" s="94" t="n">
        <v>16.9389844436991</v>
      </c>
      <c r="J18" s="94" t="n">
        <v>7.28795204610952</v>
      </c>
      <c r="K18" s="94" t="n">
        <v>6.60992831437244</v>
      </c>
      <c r="L18" s="94" t="n">
        <v>7.35447669382089</v>
      </c>
      <c r="M18" s="94" t="n">
        <v>4.87155963302752</v>
      </c>
      <c r="N18" s="94" t="n">
        <v>4.425</v>
      </c>
      <c r="O18" s="94" t="n">
        <v>6.4533106143588</v>
      </c>
      <c r="P18" s="94" t="n">
        <v>3.32858856495613</v>
      </c>
      <c r="Q18" s="94" t="n">
        <v>3.1541500611741</v>
      </c>
      <c r="R18" s="29" t="n">
        <v>0.138532127582503</v>
      </c>
      <c r="S18" s="94" t="n">
        <v>2.27040299960165</v>
      </c>
      <c r="T18" s="29" t="n">
        <v>0</v>
      </c>
      <c r="U18" s="95" t="n">
        <v>0</v>
      </c>
      <c r="V18" s="29" t="s">
        <v>51</v>
      </c>
      <c r="W18" s="85" t="s">
        <v>51</v>
      </c>
      <c r="X18" s="93" t="n">
        <v>0</v>
      </c>
      <c r="Y18" s="94" t="s">
        <v>51</v>
      </c>
      <c r="Z18" s="130" t="n">
        <v>77.2809265084746</v>
      </c>
      <c r="AA18" s="86"/>
      <c r="AB18" s="11"/>
      <c r="AC18" s="88"/>
      <c r="AD18" s="89"/>
      <c r="AE18" s="40"/>
    </row>
    <row r="19" customFormat="false" ht="12.95" hidden="false" customHeight="true" outlineLevel="0" collapsed="false">
      <c r="A19" s="90" t="s">
        <v>592</v>
      </c>
      <c r="B19" s="91" t="s">
        <v>593</v>
      </c>
      <c r="C19" s="17" t="n">
        <v>37106</v>
      </c>
      <c r="D19" s="85" t="n">
        <v>12.75</v>
      </c>
      <c r="E19" s="85" t="n">
        <v>23</v>
      </c>
      <c r="F19" s="85" t="n">
        <v>11.28</v>
      </c>
      <c r="G19" s="93" t="n">
        <v>461.84962025</v>
      </c>
      <c r="H19" s="93" t="n">
        <v>519.63762025</v>
      </c>
      <c r="I19" s="94" t="n">
        <v>9.24846049601506</v>
      </c>
      <c r="J19" s="94" t="n">
        <v>7.57487725040916</v>
      </c>
      <c r="K19" s="94" t="n">
        <v>8.3997277676951</v>
      </c>
      <c r="L19" s="94" t="n">
        <v>4.29479732789645</v>
      </c>
      <c r="M19" s="94" t="n">
        <v>3.50274725274726</v>
      </c>
      <c r="N19" s="94" t="n">
        <v>3.65329512893983</v>
      </c>
      <c r="O19" s="94" t="n">
        <v>3.9474326517094</v>
      </c>
      <c r="P19" s="94" t="n">
        <v>3.81525418685756</v>
      </c>
      <c r="Q19" s="94" t="n">
        <v>4.00954953896605</v>
      </c>
      <c r="R19" s="29" t="n">
        <v>0.19841475913905</v>
      </c>
      <c r="S19" s="94" t="n">
        <v>1.96846708030721</v>
      </c>
      <c r="T19" s="29" t="n">
        <v>0</v>
      </c>
      <c r="U19" s="95" t="n">
        <v>41.0985</v>
      </c>
      <c r="V19" s="29" t="n">
        <v>0.874472304342008</v>
      </c>
      <c r="W19" s="85" t="n">
        <v>7.52277316909343</v>
      </c>
      <c r="X19" s="93" t="n">
        <v>131.622</v>
      </c>
      <c r="Y19" s="94" t="n">
        <v>2.08773541508814</v>
      </c>
      <c r="Z19" s="130" t="n">
        <v>36.223499627451</v>
      </c>
      <c r="AA19" s="86"/>
      <c r="AB19" s="11"/>
      <c r="AC19" s="88"/>
      <c r="AD19" s="89"/>
      <c r="AE19" s="40"/>
    </row>
    <row r="20" customFormat="false" ht="12.95" hidden="false" customHeight="true" outlineLevel="0" collapsed="false">
      <c r="A20" s="90"/>
      <c r="B20" s="91"/>
      <c r="C20" s="133"/>
      <c r="D20" s="85"/>
      <c r="E20" s="85"/>
      <c r="F20" s="85"/>
      <c r="G20" s="93"/>
      <c r="H20" s="93"/>
      <c r="I20" s="94"/>
      <c r="J20" s="94"/>
      <c r="K20" s="94"/>
      <c r="L20" s="94"/>
      <c r="M20" s="94"/>
      <c r="N20" s="94"/>
      <c r="O20" s="94"/>
      <c r="P20" s="94"/>
      <c r="Q20" s="94"/>
      <c r="R20" s="29"/>
      <c r="S20" s="94"/>
      <c r="T20" s="29"/>
      <c r="U20" s="95"/>
      <c r="V20" s="29"/>
      <c r="W20" s="85"/>
      <c r="X20" s="93"/>
      <c r="Y20" s="94"/>
      <c r="Z20" s="130"/>
      <c r="AA20" s="86"/>
      <c r="AB20" s="11"/>
      <c r="AC20" s="88"/>
      <c r="AD20" s="89"/>
      <c r="AE20" s="40"/>
    </row>
    <row r="21" customFormat="false" ht="12.95" hidden="false" customHeight="true" outlineLevel="0" collapsed="false">
      <c r="A21" s="90"/>
      <c r="B21" s="91"/>
      <c r="C21" s="133"/>
      <c r="D21" s="85"/>
      <c r="E21" s="85"/>
      <c r="F21" s="85"/>
      <c r="G21" s="93"/>
      <c r="H21" s="93"/>
      <c r="I21" s="94"/>
      <c r="J21" s="94"/>
      <c r="K21" s="94"/>
      <c r="L21" s="94"/>
      <c r="M21" s="94"/>
      <c r="N21" s="94"/>
      <c r="O21" s="94"/>
      <c r="P21" s="94"/>
      <c r="Q21" s="94"/>
      <c r="R21" s="29"/>
      <c r="S21" s="94"/>
      <c r="T21" s="29"/>
      <c r="U21" s="95"/>
      <c r="V21" s="29"/>
      <c r="W21" s="85"/>
      <c r="X21" s="93"/>
      <c r="Y21" s="94"/>
      <c r="Z21" s="130"/>
      <c r="AA21" s="86"/>
      <c r="AB21" s="11"/>
      <c r="AC21" s="88"/>
      <c r="AD21" s="89"/>
      <c r="AE21" s="40"/>
    </row>
    <row r="22" customFormat="false" ht="12.95" hidden="false" customHeight="true" outlineLevel="0" collapsed="false">
      <c r="B22" s="11"/>
      <c r="C22" s="17"/>
      <c r="D22" s="85"/>
      <c r="E22" s="85"/>
      <c r="F22" s="85"/>
      <c r="G22" s="93"/>
      <c r="H22" s="93"/>
      <c r="I22" s="94"/>
      <c r="J22" s="94"/>
      <c r="K22" s="94"/>
      <c r="L22" s="94"/>
      <c r="M22" s="94"/>
      <c r="N22" s="94"/>
      <c r="O22" s="94"/>
      <c r="P22" s="94"/>
      <c r="Q22" s="94"/>
      <c r="R22" s="29"/>
      <c r="S22" s="94"/>
      <c r="T22" s="29"/>
      <c r="U22" s="95"/>
      <c r="V22" s="29"/>
      <c r="W22" s="85"/>
      <c r="X22" s="134"/>
      <c r="Y22" s="94"/>
      <c r="Z22" s="130"/>
      <c r="AA22" s="86"/>
      <c r="AB22" s="11"/>
      <c r="AC22" s="88"/>
      <c r="AD22" s="89"/>
      <c r="AE22" s="40"/>
    </row>
    <row r="23" customFormat="false" ht="12.95" hidden="false" customHeight="true" outlineLevel="0" collapsed="false">
      <c r="B23" s="39"/>
      <c r="C23" s="39"/>
      <c r="D23" s="39"/>
      <c r="E23" s="39"/>
      <c r="F23" s="39"/>
      <c r="G23" s="39"/>
      <c r="H23" s="40" t="s">
        <v>56</v>
      </c>
      <c r="I23" s="39"/>
      <c r="J23" s="94" t="n">
        <v>14.8958558281815</v>
      </c>
      <c r="K23" s="94" t="n">
        <v>11.9770338692344</v>
      </c>
      <c r="L23" s="94" t="n">
        <v>8.00549658392577</v>
      </c>
      <c r="M23" s="94" t="n">
        <v>5.05900528645419</v>
      </c>
      <c r="N23" s="94" t="n">
        <v>4.70402941877881</v>
      </c>
      <c r="O23" s="94" t="n">
        <v>8.36141581061107</v>
      </c>
      <c r="P23" s="94" t="n">
        <v>4.66960451908251</v>
      </c>
      <c r="Q23" s="94" t="n">
        <v>4.41470472318103</v>
      </c>
      <c r="R23" s="29" t="n">
        <v>0.302767939459749</v>
      </c>
      <c r="S23" s="94" t="n">
        <v>1.79174106467422</v>
      </c>
      <c r="T23" s="29" t="n">
        <v>0.00144106</v>
      </c>
      <c r="U23" s="95" t="n">
        <v>10.1281448518519</v>
      </c>
      <c r="V23" s="29" t="s">
        <v>51</v>
      </c>
      <c r="W23" s="85" t="s">
        <v>51</v>
      </c>
      <c r="X23" s="93" t="n">
        <v>68.8547777777778</v>
      </c>
      <c r="Y23" s="94" t="s">
        <v>51</v>
      </c>
      <c r="Z23" s="39"/>
      <c r="AA23" s="86"/>
      <c r="AB23" s="11"/>
      <c r="AC23" s="88"/>
      <c r="AD23" s="89"/>
      <c r="AE23" s="40"/>
    </row>
    <row r="24" customFormat="false" ht="12.95" hidden="false" customHeight="true" outlineLevel="0" collapsed="false">
      <c r="B24" s="39"/>
      <c r="C24" s="39"/>
      <c r="D24" s="39"/>
      <c r="E24" s="39"/>
      <c r="F24" s="39"/>
      <c r="G24" s="39"/>
      <c r="H24" s="40" t="s">
        <v>57</v>
      </c>
      <c r="I24" s="39"/>
      <c r="J24" s="94" t="n">
        <v>10.3012230160699</v>
      </c>
      <c r="K24" s="94" t="n">
        <v>8.3997277676951</v>
      </c>
      <c r="L24" s="94" t="n">
        <v>7.69113811632079</v>
      </c>
      <c r="M24" s="94" t="n">
        <v>4.86856462232298</v>
      </c>
      <c r="N24" s="94" t="n">
        <v>3.83657149305707</v>
      </c>
      <c r="O24" s="94" t="n">
        <v>5.33928169774179</v>
      </c>
      <c r="P24" s="94" t="n">
        <v>4.44718817515497</v>
      </c>
      <c r="Q24" s="94" t="n">
        <v>4.00954953896605</v>
      </c>
      <c r="R24" s="29" t="n">
        <v>0.277571838475295</v>
      </c>
      <c r="S24" s="94" t="n">
        <v>1.79597412172327</v>
      </c>
      <c r="T24" s="29" t="n">
        <v>0</v>
      </c>
      <c r="U24" s="95" t="n">
        <v>0</v>
      </c>
      <c r="V24" s="29" t="s">
        <v>51</v>
      </c>
      <c r="W24" s="85" t="s">
        <v>51</v>
      </c>
      <c r="X24" s="93" t="n">
        <v>0</v>
      </c>
      <c r="Y24" s="94" t="s">
        <v>51</v>
      </c>
      <c r="Z24" s="39"/>
      <c r="AA24" s="86"/>
      <c r="AB24" s="11"/>
      <c r="AC24" s="88"/>
      <c r="AD24" s="89"/>
      <c r="AE24" s="40"/>
    </row>
    <row r="25" customFormat="false" ht="12.95" hidden="false" customHeight="true" outlineLevel="0" collapsed="false">
      <c r="B25" s="39"/>
      <c r="C25" s="39"/>
      <c r="D25" s="39"/>
      <c r="E25" s="39"/>
      <c r="F25" s="39"/>
      <c r="G25" s="39"/>
      <c r="H25" s="40" t="s">
        <v>26</v>
      </c>
      <c r="I25" s="39"/>
      <c r="J25" s="94" t="n">
        <v>49.1715160796324</v>
      </c>
      <c r="K25" s="94" t="n">
        <v>33.1633663366338</v>
      </c>
      <c r="L25" s="94" t="n">
        <v>13.4625934826048</v>
      </c>
      <c r="M25" s="94" t="n">
        <v>8.00578034682081</v>
      </c>
      <c r="N25" s="94" t="n">
        <v>8.19526627218935</v>
      </c>
      <c r="O25" s="94" t="n">
        <v>34.2750437718288</v>
      </c>
      <c r="P25" s="94" t="n">
        <v>6.90166240204954</v>
      </c>
      <c r="Q25" s="94" t="n">
        <v>7.3101108937704</v>
      </c>
      <c r="R25" s="29" t="n">
        <v>0.597604459169377</v>
      </c>
      <c r="S25" s="94" t="n">
        <v>2.89307682502197</v>
      </c>
      <c r="T25" s="29" t="n">
        <v>0.01008742</v>
      </c>
      <c r="U25" s="95" t="n">
        <v>50.0548036666667</v>
      </c>
      <c r="V25" s="29" t="s">
        <v>51</v>
      </c>
      <c r="W25" s="85" t="s">
        <v>51</v>
      </c>
      <c r="X25" s="93" t="n">
        <v>488.071</v>
      </c>
      <c r="Y25" s="94" t="s">
        <v>51</v>
      </c>
      <c r="Z25" s="39"/>
      <c r="AA25" s="86"/>
      <c r="AB25" s="11"/>
      <c r="AC25" s="88"/>
      <c r="AD25" s="89"/>
      <c r="AE25" s="40"/>
    </row>
    <row r="26" customFormat="false" ht="12.95" hidden="false" customHeight="true" outlineLevel="0" collapsed="false">
      <c r="B26" s="39"/>
      <c r="C26" s="39"/>
      <c r="D26" s="39"/>
      <c r="E26" s="39"/>
      <c r="F26" s="39"/>
      <c r="G26" s="39"/>
      <c r="H26" s="40" t="s">
        <v>27</v>
      </c>
      <c r="I26" s="39"/>
      <c r="J26" s="94" t="n">
        <v>7.28795204610952</v>
      </c>
      <c r="K26" s="94" t="n">
        <v>5.5809176699888</v>
      </c>
      <c r="L26" s="94" t="n">
        <v>4.29479732789645</v>
      </c>
      <c r="M26" s="94" t="n">
        <v>3.50274725274726</v>
      </c>
      <c r="N26" s="94" t="n">
        <v>3.65329512893983</v>
      </c>
      <c r="O26" s="94" t="n">
        <v>3.3536724468961</v>
      </c>
      <c r="P26" s="94" t="n">
        <v>3.32858856495613</v>
      </c>
      <c r="Q26" s="94" t="n">
        <v>3.1541500611741</v>
      </c>
      <c r="R26" s="29" t="n">
        <v>0.0424838369356453</v>
      </c>
      <c r="S26" s="94" t="n">
        <v>1.11676487434859</v>
      </c>
      <c r="T26" s="29" t="n">
        <v>0</v>
      </c>
      <c r="U26" s="95" t="n">
        <v>0</v>
      </c>
      <c r="V26" s="29" t="s">
        <v>51</v>
      </c>
      <c r="W26" s="85" t="s">
        <v>51</v>
      </c>
      <c r="X26" s="93" t="n">
        <v>0</v>
      </c>
      <c r="Y26" s="94" t="s">
        <v>51</v>
      </c>
      <c r="Z26" s="39"/>
      <c r="AA26" s="86"/>
      <c r="AB26" s="11"/>
      <c r="AC26" s="88"/>
      <c r="AD26" s="89"/>
      <c r="AE26" s="40"/>
    </row>
    <row r="27" customFormat="false" ht="12.95" hidden="false" customHeight="true" outlineLevel="0" collapsed="false"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86"/>
      <c r="AB27" s="11"/>
      <c r="AC27" s="88"/>
      <c r="AD27" s="89"/>
      <c r="AE27" s="40"/>
    </row>
    <row r="28" customFormat="false" ht="12.95" hidden="false" customHeight="true" outlineLevel="0" collapsed="false">
      <c r="B28" s="39"/>
      <c r="C28" s="39"/>
      <c r="D28" s="39"/>
      <c r="AA28" s="86"/>
      <c r="AB28" s="11"/>
      <c r="AC28" s="88"/>
      <c r="AD28" s="89"/>
      <c r="AE28" s="40"/>
    </row>
    <row r="29" customFormat="false" ht="12.95" hidden="false" customHeight="true" outlineLevel="0" collapsed="false">
      <c r="A29" s="43"/>
      <c r="B29" s="13" t="s">
        <v>191</v>
      </c>
      <c r="C29" s="13"/>
      <c r="D29" s="13" t="s">
        <v>60</v>
      </c>
      <c r="E29" s="13"/>
      <c r="F29" s="13"/>
      <c r="G29" s="13" t="s">
        <v>61</v>
      </c>
      <c r="H29" s="13"/>
      <c r="J29" s="13" t="s">
        <v>62</v>
      </c>
      <c r="K29" s="13"/>
      <c r="P29" s="13" t="s">
        <v>594</v>
      </c>
      <c r="Q29" s="13"/>
      <c r="R29" s="13"/>
      <c r="S29" s="13"/>
      <c r="T29" s="13"/>
      <c r="U29" s="13"/>
      <c r="V29" s="13"/>
      <c r="W29" s="13"/>
      <c r="X29" s="13" t="s">
        <v>595</v>
      </c>
      <c r="Y29" s="13"/>
      <c r="AA29" s="86"/>
      <c r="AB29" s="11"/>
      <c r="AC29" s="88"/>
      <c r="AD29" s="89"/>
      <c r="AE29" s="40"/>
    </row>
    <row r="30" customFormat="false" ht="5.1" hidden="false" customHeight="true" outlineLevel="0" collapsed="false">
      <c r="A30" s="43"/>
      <c r="B30" s="79" t="s">
        <v>40</v>
      </c>
      <c r="C30" s="79"/>
      <c r="D30" s="79" t="s">
        <v>40</v>
      </c>
      <c r="E30" s="79"/>
      <c r="F30" s="79"/>
      <c r="G30" s="79" t="s">
        <v>40</v>
      </c>
      <c r="H30" s="79"/>
      <c r="J30" s="79" t="s">
        <v>40</v>
      </c>
      <c r="K30" s="79"/>
      <c r="P30" s="79" t="s">
        <v>40</v>
      </c>
      <c r="Q30" s="79"/>
      <c r="R30" s="79"/>
      <c r="S30" s="79"/>
      <c r="T30" s="79"/>
      <c r="U30" s="79"/>
      <c r="V30" s="79"/>
      <c r="W30" s="79"/>
      <c r="X30" s="79" t="s">
        <v>40</v>
      </c>
      <c r="Y30" s="79"/>
      <c r="AC30" s="88"/>
      <c r="AD30" s="89"/>
      <c r="AE30" s="40"/>
    </row>
    <row r="31" customFormat="false" ht="12.95" hidden="false" customHeight="true" outlineLevel="0" collapsed="false">
      <c r="B31" s="11"/>
      <c r="C31" s="11"/>
      <c r="D31" s="13" t="s">
        <v>65</v>
      </c>
      <c r="E31" s="13" t="s">
        <v>66</v>
      </c>
      <c r="F31" s="13" t="s">
        <v>8</v>
      </c>
      <c r="G31" s="11" t="s">
        <v>67</v>
      </c>
      <c r="N31" s="206"/>
      <c r="P31" s="13"/>
      <c r="Q31" s="13"/>
      <c r="R31" s="13"/>
      <c r="S31" s="13"/>
      <c r="T31" s="13"/>
      <c r="U31" s="13"/>
      <c r="V31" s="13"/>
      <c r="W31" s="13"/>
      <c r="X31" s="13"/>
      <c r="Y31" s="13"/>
      <c r="AC31" s="88"/>
      <c r="AD31" s="89"/>
      <c r="AE31" s="40"/>
    </row>
    <row r="32" customFormat="false" ht="12.95" hidden="false" customHeight="true" outlineLevel="0" collapsed="false">
      <c r="A32" s="11" t="s">
        <v>22</v>
      </c>
      <c r="B32" s="11" t="s">
        <v>76</v>
      </c>
      <c r="C32" s="11" t="s">
        <v>77</v>
      </c>
      <c r="D32" s="11" t="s">
        <v>78</v>
      </c>
      <c r="E32" s="11" t="s">
        <v>79</v>
      </c>
      <c r="F32" s="11" t="s">
        <v>80</v>
      </c>
      <c r="G32" s="11" t="s">
        <v>81</v>
      </c>
      <c r="H32" s="11" t="s">
        <v>8</v>
      </c>
      <c r="J32" s="11" t="s">
        <v>82</v>
      </c>
      <c r="K32" s="11" t="s">
        <v>83</v>
      </c>
      <c r="N32" s="206" t="s">
        <v>104</v>
      </c>
      <c r="P32" s="11" t="s">
        <v>596</v>
      </c>
      <c r="Q32" s="11" t="s">
        <v>597</v>
      </c>
      <c r="R32" s="11" t="s">
        <v>598</v>
      </c>
      <c r="S32" s="11" t="s">
        <v>599</v>
      </c>
      <c r="T32" s="11" t="s">
        <v>600</v>
      </c>
      <c r="U32" s="11" t="s">
        <v>601</v>
      </c>
      <c r="V32" s="11" t="s">
        <v>602</v>
      </c>
      <c r="W32" s="11" t="s">
        <v>603</v>
      </c>
      <c r="X32" s="11" t="s">
        <v>604</v>
      </c>
      <c r="Y32" s="11" t="s">
        <v>605</v>
      </c>
      <c r="AC32" s="88"/>
      <c r="AD32" s="89"/>
      <c r="AE32" s="40"/>
    </row>
    <row r="33" customFormat="false" ht="5.1" hidden="false" customHeight="true" outlineLevel="0" collapsed="false">
      <c r="A33" s="78" t="s">
        <v>40</v>
      </c>
      <c r="B33" s="78" t="s">
        <v>40</v>
      </c>
      <c r="C33" s="78" t="s">
        <v>40</v>
      </c>
      <c r="D33" s="78" t="s">
        <v>40</v>
      </c>
      <c r="E33" s="78" t="s">
        <v>40</v>
      </c>
      <c r="F33" s="78" t="s">
        <v>40</v>
      </c>
      <c r="G33" s="78" t="s">
        <v>40</v>
      </c>
      <c r="H33" s="78" t="s">
        <v>40</v>
      </c>
      <c r="J33" s="78" t="s">
        <v>40</v>
      </c>
      <c r="K33" s="78" t="s">
        <v>40</v>
      </c>
      <c r="N33" s="207"/>
      <c r="P33" s="78" t="s">
        <v>40</v>
      </c>
      <c r="Q33" s="78" t="s">
        <v>40</v>
      </c>
      <c r="R33" s="78" t="s">
        <v>40</v>
      </c>
      <c r="S33" s="78" t="s">
        <v>40</v>
      </c>
      <c r="T33" s="78" t="s">
        <v>40</v>
      </c>
      <c r="U33" s="78" t="s">
        <v>40</v>
      </c>
      <c r="V33" s="78" t="s">
        <v>40</v>
      </c>
      <c r="W33" s="78" t="s">
        <v>40</v>
      </c>
      <c r="X33" s="78" t="s">
        <v>40</v>
      </c>
      <c r="Y33" s="78" t="s">
        <v>40</v>
      </c>
      <c r="AC33" s="88"/>
      <c r="AD33" s="89"/>
      <c r="AE33" s="40"/>
    </row>
    <row r="34" customFormat="false" ht="12.95" hidden="false" customHeight="true" outlineLevel="0" collapsed="false">
      <c r="A34" s="10" t="s">
        <v>576</v>
      </c>
      <c r="B34" s="10" t="s">
        <v>606</v>
      </c>
      <c r="C34" s="40" t="s">
        <v>607</v>
      </c>
      <c r="D34" s="40" t="s">
        <v>51</v>
      </c>
      <c r="E34" s="40" t="s">
        <v>232</v>
      </c>
      <c r="F34" s="17" t="s">
        <v>232</v>
      </c>
      <c r="G34" s="11" t="s">
        <v>414</v>
      </c>
      <c r="H34" s="17" t="n">
        <v>37109</v>
      </c>
      <c r="I34" s="11"/>
      <c r="J34" s="29" t="n">
        <v>0.298876734630965</v>
      </c>
      <c r="K34" s="29" t="n">
        <v>0.200086838332309</v>
      </c>
      <c r="L34" s="11"/>
      <c r="M34" s="11"/>
      <c r="N34" s="208"/>
      <c r="O34" s="11"/>
      <c r="P34" s="127" t="n">
        <v>0</v>
      </c>
      <c r="Q34" s="127" t="n">
        <v>0</v>
      </c>
      <c r="R34" s="127" t="n">
        <v>0</v>
      </c>
      <c r="S34" s="127" t="n">
        <v>0</v>
      </c>
      <c r="T34" s="127" t="n">
        <v>0</v>
      </c>
      <c r="U34" s="127" t="n">
        <v>0</v>
      </c>
      <c r="V34" s="127" t="n">
        <v>0</v>
      </c>
      <c r="W34" s="95" t="n">
        <v>0</v>
      </c>
      <c r="X34" s="127" t="n">
        <v>0</v>
      </c>
      <c r="Y34" s="127" t="n">
        <v>60</v>
      </c>
      <c r="Z34" s="11"/>
      <c r="AA34" s="86"/>
      <c r="AB34" s="11"/>
      <c r="AC34" s="88"/>
      <c r="AD34" s="89"/>
      <c r="AE34" s="40"/>
    </row>
    <row r="35" customFormat="false" ht="12.95" hidden="false" customHeight="true" outlineLevel="0" collapsed="false">
      <c r="A35" s="10" t="s">
        <v>578</v>
      </c>
      <c r="B35" s="10" t="s">
        <v>606</v>
      </c>
      <c r="C35" s="40" t="s">
        <v>607</v>
      </c>
      <c r="D35" s="40" t="s">
        <v>608</v>
      </c>
      <c r="E35" s="40" t="s">
        <v>232</v>
      </c>
      <c r="F35" s="17" t="n">
        <v>37035</v>
      </c>
      <c r="G35" s="11" t="s">
        <v>414</v>
      </c>
      <c r="H35" s="17" t="n">
        <v>37109</v>
      </c>
      <c r="I35" s="11"/>
      <c r="J35" s="29" t="n">
        <v>-0.197961316420722</v>
      </c>
      <c r="K35" s="29" t="n">
        <v>-0.278258803818478</v>
      </c>
      <c r="L35" s="11"/>
      <c r="M35" s="11"/>
      <c r="N35" s="208"/>
      <c r="O35" s="11"/>
      <c r="P35" s="95" t="n">
        <v>0</v>
      </c>
      <c r="Q35" s="95" t="n">
        <v>0</v>
      </c>
      <c r="R35" s="95" t="n">
        <v>0</v>
      </c>
      <c r="S35" s="95" t="n">
        <v>0</v>
      </c>
      <c r="T35" s="95" t="n">
        <v>0</v>
      </c>
      <c r="U35" s="95" t="n">
        <v>0</v>
      </c>
      <c r="V35" s="95" t="n">
        <v>0</v>
      </c>
      <c r="W35" s="95" t="n">
        <v>10</v>
      </c>
      <c r="X35" s="95" t="n">
        <v>46</v>
      </c>
      <c r="Y35" s="95" t="n">
        <v>272</v>
      </c>
      <c r="Z35" s="51"/>
      <c r="AA35" s="86"/>
      <c r="AB35" s="11"/>
      <c r="AC35" s="88"/>
      <c r="AD35" s="89"/>
      <c r="AE35" s="40"/>
    </row>
    <row r="36" customFormat="false" ht="12.95" hidden="false" customHeight="true" outlineLevel="0" collapsed="false">
      <c r="A36" s="10" t="s">
        <v>580</v>
      </c>
      <c r="B36" s="10" t="s">
        <v>606</v>
      </c>
      <c r="C36" s="40" t="s">
        <v>607</v>
      </c>
      <c r="D36" s="40" t="s">
        <v>123</v>
      </c>
      <c r="E36" s="40" t="s">
        <v>99</v>
      </c>
      <c r="F36" s="17" t="n">
        <v>37074</v>
      </c>
      <c r="G36" s="11" t="s">
        <v>432</v>
      </c>
      <c r="H36" s="17" t="n">
        <v>37109</v>
      </c>
      <c r="I36" s="11"/>
      <c r="J36" s="29" t="n">
        <v>-0.36421052631579</v>
      </c>
      <c r="K36" s="29" t="n">
        <v>-0.485957446808511</v>
      </c>
      <c r="L36" s="11"/>
      <c r="M36" s="11"/>
      <c r="N36" s="208"/>
      <c r="O36" s="11"/>
      <c r="P36" s="95" t="n">
        <v>0</v>
      </c>
      <c r="Q36" s="95" t="n">
        <v>0</v>
      </c>
      <c r="R36" s="95" t="n">
        <v>0</v>
      </c>
      <c r="S36" s="95" t="n">
        <v>0</v>
      </c>
      <c r="T36" s="95" t="n">
        <v>0</v>
      </c>
      <c r="U36" s="95" t="n">
        <v>0</v>
      </c>
      <c r="V36" s="95" t="n">
        <v>0</v>
      </c>
      <c r="W36" s="95" t="n">
        <v>0</v>
      </c>
      <c r="X36" s="95" t="n">
        <v>121</v>
      </c>
      <c r="Y36" s="95" t="n">
        <v>5</v>
      </c>
      <c r="Z36" s="51"/>
      <c r="AA36" s="86"/>
      <c r="AB36" s="11"/>
      <c r="AC36" s="88"/>
      <c r="AD36" s="89"/>
      <c r="AE36" s="40"/>
    </row>
    <row r="37" customFormat="false" ht="12.95" hidden="false" customHeight="true" outlineLevel="0" collapsed="false">
      <c r="A37" s="10" t="s">
        <v>582</v>
      </c>
      <c r="B37" s="10" t="s">
        <v>606</v>
      </c>
      <c r="C37" s="40" t="s">
        <v>607</v>
      </c>
      <c r="D37" s="40" t="s">
        <v>123</v>
      </c>
      <c r="E37" s="40" t="s">
        <v>99</v>
      </c>
      <c r="F37" s="17" t="n">
        <v>37074</v>
      </c>
      <c r="G37" s="11" t="s">
        <v>414</v>
      </c>
      <c r="H37" s="17" t="n">
        <v>37109</v>
      </c>
      <c r="I37" s="11"/>
      <c r="J37" s="29" t="n">
        <v>-0.103880597014925</v>
      </c>
      <c r="K37" s="29" t="n">
        <v>-0.315783475783476</v>
      </c>
      <c r="L37" s="11"/>
      <c r="M37" s="11"/>
      <c r="N37" s="208"/>
      <c r="O37" s="11"/>
      <c r="P37" s="95" t="n">
        <v>0</v>
      </c>
      <c r="Q37" s="95" t="n">
        <v>0</v>
      </c>
      <c r="R37" s="95" t="n">
        <v>11</v>
      </c>
      <c r="S37" s="95" t="n">
        <v>0</v>
      </c>
      <c r="T37" s="95" t="n">
        <v>0</v>
      </c>
      <c r="U37" s="95" t="n">
        <v>0</v>
      </c>
      <c r="V37" s="95" t="n">
        <v>0</v>
      </c>
      <c r="W37" s="95" t="n">
        <v>11</v>
      </c>
      <c r="X37" s="95" t="n">
        <v>121</v>
      </c>
      <c r="Y37" s="95" t="n">
        <v>39</v>
      </c>
      <c r="Z37" s="51"/>
    </row>
    <row r="38" customFormat="false" ht="12.95" hidden="false" customHeight="true" outlineLevel="0" collapsed="false">
      <c r="A38" s="10" t="s">
        <v>584</v>
      </c>
      <c r="B38" s="10" t="s">
        <v>606</v>
      </c>
      <c r="C38" s="40" t="s">
        <v>607</v>
      </c>
      <c r="D38" s="40" t="s">
        <v>425</v>
      </c>
      <c r="E38" s="40" t="s">
        <v>232</v>
      </c>
      <c r="F38" s="17" t="n">
        <v>37097</v>
      </c>
      <c r="G38" s="11" t="s">
        <v>609</v>
      </c>
      <c r="H38" s="17" t="n">
        <v>37109</v>
      </c>
      <c r="I38" s="11"/>
      <c r="J38" s="29" t="n">
        <v>-0.365951359084406</v>
      </c>
      <c r="K38" s="29" t="n">
        <v>-0.531699070160609</v>
      </c>
      <c r="L38" s="11"/>
      <c r="M38" s="11"/>
      <c r="N38" s="208"/>
      <c r="O38" s="11"/>
      <c r="P38" s="95" t="n">
        <v>4</v>
      </c>
      <c r="Q38" s="95" t="n">
        <v>0</v>
      </c>
      <c r="R38" s="95" t="n">
        <v>47</v>
      </c>
      <c r="S38" s="95" t="n">
        <v>13</v>
      </c>
      <c r="T38" s="95" t="n">
        <v>0</v>
      </c>
      <c r="U38" s="95" t="n">
        <v>0</v>
      </c>
      <c r="V38" s="95" t="n">
        <v>24</v>
      </c>
      <c r="W38" s="95" t="n">
        <v>88</v>
      </c>
      <c r="X38" s="95" t="n">
        <v>394</v>
      </c>
      <c r="Y38" s="95" t="n">
        <v>99</v>
      </c>
      <c r="Z38" s="51"/>
    </row>
    <row r="39" customFormat="false" ht="12.95" hidden="false" customHeight="true" outlineLevel="0" collapsed="false">
      <c r="A39" s="10" t="s">
        <v>586</v>
      </c>
      <c r="B39" s="10" t="s">
        <v>606</v>
      </c>
      <c r="C39" s="40" t="s">
        <v>607</v>
      </c>
      <c r="D39" s="40" t="s">
        <v>608</v>
      </c>
      <c r="E39" s="40" t="s">
        <v>232</v>
      </c>
      <c r="F39" s="17" t="n">
        <v>37021</v>
      </c>
      <c r="G39" s="11" t="s">
        <v>414</v>
      </c>
      <c r="H39" s="17" t="n">
        <v>37109</v>
      </c>
      <c r="I39" s="11"/>
      <c r="J39" s="29" t="n">
        <v>-0.229004507158179</v>
      </c>
      <c r="K39" s="29" t="n">
        <v>-0.269622636773542</v>
      </c>
      <c r="L39" s="11"/>
      <c r="M39" s="11"/>
      <c r="N39" s="208"/>
      <c r="O39" s="11"/>
      <c r="P39" s="95" t="n">
        <v>0</v>
      </c>
      <c r="Q39" s="95" t="n">
        <v>0</v>
      </c>
      <c r="R39" s="95" t="n">
        <v>0</v>
      </c>
      <c r="S39" s="95" t="n">
        <v>0</v>
      </c>
      <c r="T39" s="95" t="n">
        <v>0</v>
      </c>
      <c r="U39" s="95" t="n">
        <v>0</v>
      </c>
      <c r="V39" s="95" t="n">
        <v>0</v>
      </c>
      <c r="W39" s="95" t="n">
        <v>0</v>
      </c>
      <c r="X39" s="95" t="n">
        <v>0</v>
      </c>
      <c r="Y39" s="95" t="n">
        <v>208</v>
      </c>
      <c r="Z39" s="51"/>
    </row>
    <row r="40" customFormat="false" ht="12.95" hidden="false" customHeight="true" outlineLevel="0" collapsed="false">
      <c r="A40" s="10" t="s">
        <v>588</v>
      </c>
      <c r="B40" s="10" t="s">
        <v>606</v>
      </c>
      <c r="C40" s="40" t="s">
        <v>607</v>
      </c>
      <c r="D40" s="40" t="s">
        <v>610</v>
      </c>
      <c r="E40" s="40" t="s">
        <v>232</v>
      </c>
      <c r="F40" s="17" t="n">
        <v>37099</v>
      </c>
      <c r="G40" s="11" t="s">
        <v>432</v>
      </c>
      <c r="H40" s="17" t="n">
        <v>37109</v>
      </c>
      <c r="I40" s="11"/>
      <c r="J40" s="29" t="n">
        <v>-0.12967032967033</v>
      </c>
      <c r="K40" s="29" t="n">
        <v>-0.0222222222222222</v>
      </c>
      <c r="L40" s="11"/>
      <c r="M40" s="11"/>
      <c r="N40" s="208"/>
      <c r="O40" s="11"/>
      <c r="P40" s="95" t="n">
        <v>26</v>
      </c>
      <c r="Q40" s="95" t="n">
        <v>0</v>
      </c>
      <c r="R40" s="95" t="n">
        <v>4</v>
      </c>
      <c r="S40" s="95" t="n">
        <v>7</v>
      </c>
      <c r="T40" s="95" t="n">
        <v>0</v>
      </c>
      <c r="U40" s="95" t="n">
        <v>0</v>
      </c>
      <c r="V40" s="95" t="n">
        <v>0</v>
      </c>
      <c r="W40" s="95" t="n">
        <v>37</v>
      </c>
      <c r="X40" s="95" t="n">
        <v>2</v>
      </c>
      <c r="Y40" s="95" t="n">
        <v>42</v>
      </c>
      <c r="Z40" s="51"/>
    </row>
    <row r="41" customFormat="false" ht="12.95" hidden="false" customHeight="true" outlineLevel="0" collapsed="false">
      <c r="A41" s="10" t="s">
        <v>590</v>
      </c>
      <c r="B41" s="10" t="s">
        <v>606</v>
      </c>
      <c r="C41" s="40" t="s">
        <v>607</v>
      </c>
      <c r="D41" s="40" t="s">
        <v>608</v>
      </c>
      <c r="E41" s="40" t="s">
        <v>232</v>
      </c>
      <c r="F41" s="17" t="n">
        <v>37097</v>
      </c>
      <c r="G41" s="11" t="s">
        <v>414</v>
      </c>
      <c r="H41" s="17" t="n">
        <v>37109</v>
      </c>
      <c r="I41" s="11"/>
      <c r="J41" s="29" t="n">
        <v>-0.400282352941177</v>
      </c>
      <c r="K41" s="29" t="n">
        <v>-0.572348993288591</v>
      </c>
      <c r="L41" s="11"/>
      <c r="M41" s="11"/>
      <c r="N41" s="208"/>
      <c r="O41" s="11"/>
      <c r="P41" s="95" t="n">
        <v>0</v>
      </c>
      <c r="Q41" s="95" t="n">
        <v>0</v>
      </c>
      <c r="R41" s="95" t="n">
        <v>0</v>
      </c>
      <c r="S41" s="95" t="n">
        <v>0</v>
      </c>
      <c r="T41" s="95" t="n">
        <v>0</v>
      </c>
      <c r="U41" s="95" t="n">
        <v>0</v>
      </c>
      <c r="V41" s="95" t="n">
        <v>0</v>
      </c>
      <c r="W41" s="95" t="n">
        <v>0</v>
      </c>
      <c r="X41" s="95" t="n">
        <v>0</v>
      </c>
      <c r="Y41" s="95" t="n">
        <v>302</v>
      </c>
      <c r="Z41" s="51"/>
    </row>
    <row r="42" customFormat="false" ht="12.95" hidden="false" customHeight="true" outlineLevel="0" collapsed="false">
      <c r="A42" s="10" t="s">
        <v>592</v>
      </c>
      <c r="B42" s="10" t="s">
        <v>606</v>
      </c>
      <c r="C42" s="40" t="s">
        <v>607</v>
      </c>
      <c r="D42" s="40" t="s">
        <v>608</v>
      </c>
      <c r="E42" s="40" t="s">
        <v>232</v>
      </c>
      <c r="F42" s="17" t="n">
        <v>37097</v>
      </c>
      <c r="G42" s="11" t="s">
        <v>414</v>
      </c>
      <c r="H42" s="17" t="n">
        <v>37109</v>
      </c>
      <c r="I42" s="11"/>
      <c r="J42" s="29" t="n">
        <v>-0.0192307692307692</v>
      </c>
      <c r="K42" s="29" t="n">
        <v>-0.326732673267327</v>
      </c>
      <c r="L42" s="11"/>
      <c r="M42" s="11"/>
      <c r="N42" s="208"/>
      <c r="O42" s="11"/>
      <c r="P42" s="95" t="n">
        <v>0</v>
      </c>
      <c r="Q42" s="95" t="n">
        <v>0</v>
      </c>
      <c r="R42" s="95" t="n">
        <v>0</v>
      </c>
      <c r="S42" s="95" t="n">
        <v>0</v>
      </c>
      <c r="T42" s="95" t="n">
        <v>0</v>
      </c>
      <c r="U42" s="95" t="n">
        <v>0</v>
      </c>
      <c r="V42" s="95" t="n">
        <v>0</v>
      </c>
      <c r="W42" s="95" t="n">
        <v>0</v>
      </c>
      <c r="X42" s="95" t="n">
        <v>55</v>
      </c>
      <c r="Y42" s="95" t="n">
        <v>0</v>
      </c>
      <c r="Z42" s="51"/>
    </row>
    <row r="43" customFormat="false" ht="12.95" hidden="false" customHeight="true" outlineLevel="0" collapsed="false">
      <c r="C43" s="40"/>
      <c r="D43" s="40"/>
      <c r="E43" s="40"/>
      <c r="F43" s="17"/>
      <c r="G43" s="11"/>
      <c r="H43" s="17"/>
      <c r="I43" s="11"/>
      <c r="J43" s="29"/>
      <c r="K43" s="29"/>
      <c r="L43" s="11"/>
      <c r="M43" s="11"/>
      <c r="N43" s="11"/>
      <c r="O43" s="11"/>
      <c r="P43" s="11"/>
      <c r="Q43" s="11"/>
      <c r="R43" s="11"/>
      <c r="S43" s="11"/>
      <c r="T43" s="120"/>
      <c r="U43" s="11"/>
      <c r="V43" s="11"/>
      <c r="W43" s="11"/>
      <c r="X43" s="11"/>
      <c r="Y43" s="11"/>
      <c r="Z43" s="51"/>
    </row>
    <row r="44" customFormat="false" ht="12.95" hidden="false" customHeight="true" outlineLevel="0" collapsed="false">
      <c r="C44" s="40"/>
      <c r="D44" s="40"/>
      <c r="E44" s="40"/>
      <c r="F44" s="17"/>
      <c r="G44" s="11"/>
      <c r="H44" s="17"/>
      <c r="I44" s="11"/>
      <c r="J44" s="29"/>
      <c r="K44" s="29"/>
      <c r="L44" s="11"/>
      <c r="M44" s="11"/>
      <c r="N44" s="11"/>
      <c r="O44" s="11"/>
      <c r="P44" s="11"/>
      <c r="Q44" s="11"/>
      <c r="R44" s="11"/>
      <c r="S44" s="11"/>
      <c r="T44" s="120"/>
      <c r="U44" s="11"/>
      <c r="V44" s="11"/>
      <c r="W44" s="11"/>
      <c r="X44" s="11"/>
      <c r="Y44" s="11"/>
      <c r="Z44" s="51"/>
      <c r="AA44" s="44"/>
    </row>
    <row r="45" customFormat="false" ht="12.75" hidden="false" customHeight="true" outlineLevel="0" collapsed="false">
      <c r="C45" s="40"/>
      <c r="D45" s="40"/>
      <c r="E45" s="40"/>
      <c r="F45" s="17"/>
      <c r="G45" s="11"/>
      <c r="H45" s="17"/>
      <c r="I45" s="11"/>
      <c r="J45" s="29"/>
      <c r="K45" s="29"/>
      <c r="L45" s="11"/>
      <c r="M45" s="11"/>
      <c r="N45" s="40" t="s">
        <v>56</v>
      </c>
      <c r="O45" s="11"/>
      <c r="P45" s="95" t="n">
        <v>3.33333333333333</v>
      </c>
      <c r="Q45" s="95" t="n">
        <v>0</v>
      </c>
      <c r="R45" s="95" t="n">
        <v>6.88888888888889</v>
      </c>
      <c r="S45" s="95" t="n">
        <v>2.22222222222222</v>
      </c>
      <c r="T45" s="95" t="n">
        <v>0</v>
      </c>
      <c r="U45" s="95" t="n">
        <v>0</v>
      </c>
      <c r="V45" s="95" t="n">
        <v>2.66666666666667</v>
      </c>
      <c r="W45" s="95" t="n">
        <v>16.2222222222222</v>
      </c>
      <c r="X45" s="95" t="n">
        <v>82.1111111111111</v>
      </c>
      <c r="Y45" s="95" t="n">
        <v>114.111111111111</v>
      </c>
      <c r="Z45" s="51"/>
      <c r="AA45" s="44"/>
    </row>
    <row r="46" customFormat="false" ht="12.75" hidden="false" customHeight="false" outlineLevel="0" collapsed="false">
      <c r="A46" s="11"/>
      <c r="B46" s="121"/>
      <c r="C46" s="121"/>
      <c r="D46" s="11"/>
      <c r="E46" s="121"/>
      <c r="F46" s="11"/>
      <c r="G46" s="11"/>
      <c r="H46" s="11"/>
      <c r="I46" s="11"/>
      <c r="J46" s="11"/>
      <c r="K46" s="11"/>
      <c r="L46" s="11"/>
      <c r="M46" s="11"/>
      <c r="N46" s="40" t="s">
        <v>57</v>
      </c>
      <c r="O46" s="11"/>
      <c r="P46" s="95" t="n">
        <v>0</v>
      </c>
      <c r="Q46" s="95" t="n">
        <v>0</v>
      </c>
      <c r="R46" s="95" t="n">
        <v>0</v>
      </c>
      <c r="S46" s="95" t="n">
        <v>0</v>
      </c>
      <c r="T46" s="95" t="n">
        <v>0</v>
      </c>
      <c r="U46" s="95" t="n">
        <v>0</v>
      </c>
      <c r="V46" s="95" t="n">
        <v>0</v>
      </c>
      <c r="W46" s="95" t="n">
        <v>0</v>
      </c>
      <c r="X46" s="95" t="n">
        <v>46</v>
      </c>
      <c r="Y46" s="95" t="n">
        <v>60</v>
      </c>
      <c r="Z46" s="51"/>
      <c r="AA46" s="44"/>
    </row>
    <row r="47" customFormat="false" ht="12.75" hidden="false" customHeight="false" outlineLevel="0" collapsed="false">
      <c r="A47" s="11"/>
      <c r="B47" s="121"/>
      <c r="C47" s="121"/>
      <c r="D47" s="121"/>
      <c r="E47" s="11"/>
      <c r="F47" s="11"/>
      <c r="G47" s="11"/>
      <c r="H47" s="11"/>
      <c r="I47" s="11"/>
      <c r="J47" s="11"/>
      <c r="K47" s="11"/>
      <c r="L47" s="11"/>
      <c r="M47" s="11"/>
      <c r="N47" s="40" t="s">
        <v>26</v>
      </c>
      <c r="O47" s="11"/>
      <c r="P47" s="95" t="n">
        <v>26</v>
      </c>
      <c r="Q47" s="95" t="n">
        <v>0</v>
      </c>
      <c r="R47" s="95" t="n">
        <v>47</v>
      </c>
      <c r="S47" s="95" t="n">
        <v>13</v>
      </c>
      <c r="T47" s="95" t="n">
        <v>0</v>
      </c>
      <c r="U47" s="95" t="n">
        <v>0</v>
      </c>
      <c r="V47" s="95" t="n">
        <v>24</v>
      </c>
      <c r="W47" s="95" t="n">
        <v>88</v>
      </c>
      <c r="X47" s="95" t="n">
        <v>394</v>
      </c>
      <c r="Y47" s="95" t="n">
        <v>302</v>
      </c>
      <c r="Z47" s="11"/>
      <c r="AA47" s="13"/>
    </row>
    <row r="48" customFormat="false" ht="12" hidden="false" customHeight="true" outlineLevel="0" collapsed="false">
      <c r="A48" s="11"/>
      <c r="B48" s="121"/>
      <c r="C48" s="121"/>
      <c r="D48" s="121"/>
      <c r="E48" s="11"/>
      <c r="F48" s="11"/>
      <c r="G48" s="11"/>
      <c r="H48" s="11"/>
      <c r="I48" s="11"/>
      <c r="J48" s="11"/>
      <c r="K48" s="11"/>
      <c r="L48" s="11"/>
      <c r="M48" s="11"/>
      <c r="N48" s="40" t="s">
        <v>27</v>
      </c>
      <c r="O48" s="11"/>
      <c r="P48" s="95" t="n">
        <v>0</v>
      </c>
      <c r="Q48" s="95" t="n">
        <v>0</v>
      </c>
      <c r="R48" s="95" t="n">
        <v>0</v>
      </c>
      <c r="S48" s="95" t="n">
        <v>0</v>
      </c>
      <c r="T48" s="95" t="n">
        <v>0</v>
      </c>
      <c r="U48" s="95" t="n">
        <v>0</v>
      </c>
      <c r="V48" s="95" t="n">
        <v>0</v>
      </c>
      <c r="W48" s="95" t="n">
        <v>0</v>
      </c>
      <c r="X48" s="95" t="n">
        <v>0</v>
      </c>
      <c r="Y48" s="95" t="n">
        <v>0</v>
      </c>
      <c r="Z48" s="11"/>
      <c r="AA48" s="44"/>
    </row>
    <row r="49" customFormat="false" ht="12.95" hidden="false" customHeight="true" outlineLevel="0" collapsed="false">
      <c r="A49" s="11"/>
      <c r="B49" s="121"/>
      <c r="C49" s="121"/>
      <c r="D49" s="12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3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  <c r="IV49" s="11"/>
      <c r="IW49" s="11"/>
    </row>
    <row r="50" customFormat="false" ht="12.95" hidden="false" customHeight="true" outlineLevel="0" collapsed="false">
      <c r="A50" s="66" t="s">
        <v>104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35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2.95" hidden="false" customHeight="true" outlineLevel="0" collapsed="false">
      <c r="A51" s="40" t="s">
        <v>241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35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2.95" hidden="false" customHeight="true" outlineLevel="0" collapsed="false">
      <c r="A52" s="40" t="s">
        <v>242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35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2.95" hidden="false" customHeight="true" outlineLevel="0" collapsed="false">
      <c r="A53" s="40" t="s">
        <v>243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35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12.95" hidden="false" customHeight="true" outlineLevel="0" collapsed="false">
      <c r="A54" s="40" t="s">
        <v>244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35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12.95" hidden="false" customHeight="true" outlineLevel="0" collapsed="false">
      <c r="A55" s="40" t="s">
        <v>243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35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12.95" hidden="false" customHeight="true" outlineLevel="0" collapsed="false">
      <c r="A56" s="40" t="s">
        <v>246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35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12.95" hidden="false" customHeight="true" outlineLevel="0" collapsed="false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35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12.95" hidden="false" customHeight="true" outlineLevel="0" collapsed="false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35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12.95" hidden="false" customHeight="true" outlineLevel="0" collapsed="false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35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  <c r="II59" s="11"/>
      <c r="IJ59" s="11"/>
      <c r="IK59" s="11"/>
      <c r="IL59" s="11"/>
      <c r="IM59" s="11"/>
      <c r="IN59" s="11"/>
      <c r="IO59" s="11"/>
      <c r="IP59" s="11"/>
      <c r="IQ59" s="11"/>
      <c r="IR59" s="11"/>
      <c r="IS59" s="11"/>
      <c r="IT59" s="11"/>
      <c r="IU59" s="11"/>
      <c r="IV59" s="11"/>
      <c r="IW59" s="11"/>
    </row>
    <row r="60" customFormat="false" ht="12.95" hidden="false" customHeight="true" outlineLevel="0" collapsed="false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35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  <c r="IE60" s="11"/>
      <c r="IF60" s="11"/>
      <c r="IG60" s="11"/>
      <c r="IH60" s="11"/>
      <c r="II60" s="11"/>
      <c r="IJ60" s="11"/>
      <c r="IK60" s="11"/>
      <c r="IL60" s="11"/>
      <c r="IM60" s="11"/>
      <c r="IN60" s="11"/>
      <c r="IO60" s="11"/>
      <c r="IP60" s="11"/>
      <c r="IQ60" s="11"/>
      <c r="IR60" s="11"/>
      <c r="IS60" s="11"/>
      <c r="IT60" s="11"/>
      <c r="IU60" s="11"/>
      <c r="IV60" s="11"/>
      <c r="IW60" s="11"/>
    </row>
    <row r="61" customFormat="false" ht="12.95" hidden="false" customHeight="true" outlineLevel="0" collapsed="false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51"/>
      <c r="AA61" s="135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  <c r="IE61" s="11"/>
      <c r="IF61" s="11"/>
      <c r="IG61" s="11"/>
      <c r="IH61" s="11"/>
      <c r="II61" s="11"/>
      <c r="IJ61" s="11"/>
      <c r="IK61" s="11"/>
      <c r="IL61" s="11"/>
      <c r="IM61" s="11"/>
      <c r="IN61" s="11"/>
      <c r="IO61" s="11"/>
      <c r="IP61" s="11"/>
      <c r="IQ61" s="11"/>
      <c r="IR61" s="11"/>
      <c r="IS61" s="11"/>
      <c r="IT61" s="11"/>
      <c r="IU61" s="11"/>
      <c r="IV61" s="11"/>
      <c r="IW61" s="11"/>
    </row>
    <row r="62" customFormat="false" ht="12.95" hidden="false" customHeight="true" outlineLevel="0" collapsed="false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5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  <c r="II62" s="11"/>
      <c r="IJ62" s="11"/>
      <c r="IK62" s="11"/>
      <c r="IL62" s="11"/>
      <c r="IM62" s="11"/>
      <c r="IN62" s="11"/>
      <c r="IO62" s="11"/>
      <c r="IP62" s="11"/>
      <c r="IQ62" s="11"/>
      <c r="IR62" s="11"/>
      <c r="IS62" s="11"/>
      <c r="IT62" s="11"/>
      <c r="IU62" s="11"/>
      <c r="IV62" s="11"/>
      <c r="IW62" s="11"/>
    </row>
    <row r="63" customFormat="false" ht="12.95" hidden="false" customHeight="true" outlineLevel="0" collapsed="false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5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  <c r="IE63" s="11"/>
      <c r="IF63" s="11"/>
      <c r="IG63" s="11"/>
      <c r="IH63" s="11"/>
      <c r="II63" s="11"/>
      <c r="IJ63" s="11"/>
      <c r="IK63" s="11"/>
      <c r="IL63" s="11"/>
      <c r="IM63" s="11"/>
      <c r="IN63" s="11"/>
      <c r="IO63" s="11"/>
      <c r="IP63" s="11"/>
      <c r="IQ63" s="11"/>
      <c r="IR63" s="11"/>
      <c r="IS63" s="11"/>
      <c r="IT63" s="11"/>
      <c r="IU63" s="11"/>
      <c r="IV63" s="11"/>
      <c r="IW63" s="11"/>
    </row>
    <row r="64" customFormat="false" ht="12.95" hidden="false" customHeight="true" outlineLevel="0" collapsed="false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5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  <c r="IE64" s="11"/>
      <c r="IF64" s="11"/>
      <c r="IG64" s="11"/>
      <c r="IH64" s="11"/>
      <c r="II64" s="11"/>
      <c r="IJ64" s="11"/>
      <c r="IK64" s="11"/>
      <c r="IL64" s="11"/>
      <c r="IM64" s="11"/>
      <c r="IN64" s="11"/>
      <c r="IO64" s="11"/>
      <c r="IP64" s="11"/>
      <c r="IQ64" s="11"/>
      <c r="IR64" s="11"/>
      <c r="IS64" s="11"/>
      <c r="IT64" s="11"/>
      <c r="IU64" s="11"/>
      <c r="IV64" s="11"/>
      <c r="IW64" s="11"/>
    </row>
    <row r="65" customFormat="false" ht="12.95" hidden="false" customHeight="true" outlineLevel="0" collapsed="false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  <c r="IE65" s="11"/>
      <c r="IF65" s="11"/>
      <c r="IG65" s="11"/>
      <c r="IH65" s="11"/>
      <c r="II65" s="11"/>
      <c r="IJ65" s="11"/>
      <c r="IK65" s="11"/>
      <c r="IL65" s="11"/>
      <c r="IM65" s="11"/>
      <c r="IN65" s="11"/>
      <c r="IO65" s="11"/>
      <c r="IP65" s="11"/>
      <c r="IQ65" s="11"/>
      <c r="IR65" s="11"/>
      <c r="IS65" s="11"/>
      <c r="IT65" s="11"/>
      <c r="IU65" s="11"/>
      <c r="IV65" s="11"/>
      <c r="IW65" s="11"/>
    </row>
    <row r="66" customFormat="false" ht="12.95" hidden="false" customHeight="true" outlineLevel="0" collapsed="false">
      <c r="A66" s="11"/>
      <c r="B66" s="11"/>
      <c r="C66" s="11"/>
      <c r="D66" s="11"/>
      <c r="E66" s="11"/>
      <c r="F66" s="17" t="n">
        <v>37106</v>
      </c>
      <c r="G66" s="17" t="n">
        <v>36741</v>
      </c>
      <c r="H66" s="11"/>
      <c r="I66" s="11"/>
      <c r="J66" s="11"/>
      <c r="K66" s="11"/>
      <c r="L66" s="11"/>
      <c r="M66" s="11"/>
      <c r="N66" s="11"/>
      <c r="O66" s="11"/>
      <c r="P66" s="11"/>
      <c r="Q66" s="17" t="n">
        <v>36892</v>
      </c>
      <c r="R66" s="17" t="n">
        <v>37106</v>
      </c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  <c r="IE66" s="11"/>
      <c r="IF66" s="11"/>
      <c r="IG66" s="11"/>
      <c r="IH66" s="11"/>
      <c r="II66" s="11"/>
      <c r="IJ66" s="11"/>
      <c r="IK66" s="11"/>
      <c r="IL66" s="11"/>
      <c r="IM66" s="11"/>
      <c r="IN66" s="11"/>
      <c r="IO66" s="11"/>
      <c r="IP66" s="11"/>
      <c r="IQ66" s="11"/>
      <c r="IR66" s="11"/>
      <c r="IS66" s="11"/>
      <c r="IT66" s="11"/>
      <c r="IU66" s="11"/>
      <c r="IV66" s="11"/>
      <c r="IW66" s="11"/>
    </row>
    <row r="67" customFormat="false" ht="12.95" hidden="false" customHeight="true" outlineLevel="0" collapsed="false">
      <c r="A67" s="11"/>
      <c r="B67" s="11"/>
      <c r="C67" s="11"/>
      <c r="D67" s="11"/>
      <c r="E67" s="11"/>
      <c r="F67" s="11"/>
      <c r="G67" s="11"/>
      <c r="H67" s="11" t="s">
        <v>82</v>
      </c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 t="s">
        <v>83</v>
      </c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  <c r="IE67" s="11"/>
      <c r="IF67" s="11"/>
      <c r="IG67" s="11"/>
      <c r="IH67" s="11"/>
      <c r="II67" s="11"/>
      <c r="IJ67" s="11"/>
      <c r="IK67" s="11"/>
      <c r="IL67" s="11"/>
      <c r="IM67" s="11"/>
      <c r="IN67" s="11"/>
      <c r="IO67" s="11"/>
      <c r="IP67" s="11"/>
      <c r="IQ67" s="11"/>
      <c r="IR67" s="11"/>
      <c r="IS67" s="11"/>
      <c r="IT67" s="11"/>
      <c r="IU67" s="11"/>
      <c r="IV67" s="11"/>
      <c r="IW67" s="11"/>
    </row>
    <row r="68" customFormat="false" ht="12.95" hidden="false" customHeight="true" outlineLevel="0" collapsed="false">
      <c r="A68" s="11"/>
      <c r="B68" s="11"/>
      <c r="C68" s="11"/>
      <c r="D68" s="11"/>
      <c r="E68" s="11" t="s">
        <v>577</v>
      </c>
      <c r="F68" s="85" t="n">
        <v>8.629072</v>
      </c>
      <c r="G68" s="85" t="n">
        <v>6.643488</v>
      </c>
      <c r="H68" s="136" t="n">
        <v>0.298876734630965</v>
      </c>
      <c r="I68" s="11"/>
      <c r="J68" s="11"/>
      <c r="K68" s="11"/>
      <c r="L68" s="11"/>
      <c r="M68" s="11"/>
      <c r="N68" s="11"/>
      <c r="O68" s="11"/>
      <c r="P68" s="11" t="s">
        <v>577</v>
      </c>
      <c r="Q68" s="85" t="n">
        <v>7.190373</v>
      </c>
      <c r="R68" s="85" t="n">
        <v>8.629072</v>
      </c>
      <c r="S68" s="136" t="n">
        <v>0.200086838332309</v>
      </c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  <c r="II68" s="11"/>
      <c r="IJ68" s="11"/>
      <c r="IK68" s="11"/>
      <c r="IL68" s="11"/>
      <c r="IM68" s="11"/>
      <c r="IN68" s="11"/>
      <c r="IO68" s="11"/>
      <c r="IP68" s="11"/>
      <c r="IQ68" s="11"/>
      <c r="IR68" s="11"/>
      <c r="IS68" s="11"/>
      <c r="IT68" s="11"/>
      <c r="IU68" s="11"/>
      <c r="IV68" s="11"/>
      <c r="IW68" s="11"/>
    </row>
    <row r="69" customFormat="false" ht="12.95" hidden="false" customHeight="true" outlineLevel="0" collapsed="false">
      <c r="A69" s="11"/>
      <c r="B69" s="11"/>
      <c r="C69" s="11"/>
      <c r="D69" s="11"/>
      <c r="E69" s="11" t="s">
        <v>579</v>
      </c>
      <c r="F69" s="85" t="n">
        <v>8.889573</v>
      </c>
      <c r="G69" s="85" t="n">
        <v>11.083721</v>
      </c>
      <c r="H69" s="136" t="n">
        <v>-0.197961316420722</v>
      </c>
      <c r="I69" s="11"/>
      <c r="J69" s="11"/>
      <c r="K69" s="11"/>
      <c r="L69" s="11"/>
      <c r="M69" s="11"/>
      <c r="N69" s="11"/>
      <c r="O69" s="11"/>
      <c r="P69" s="11" t="s">
        <v>579</v>
      </c>
      <c r="Q69" s="85" t="n">
        <v>12.316843</v>
      </c>
      <c r="R69" s="85" t="n">
        <v>8.889573</v>
      </c>
      <c r="S69" s="136" t="n">
        <v>-0.278258803818478</v>
      </c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  <c r="II69" s="11"/>
      <c r="IJ69" s="11"/>
      <c r="IK69" s="11"/>
      <c r="IL69" s="11"/>
      <c r="IM69" s="11"/>
      <c r="IN69" s="11"/>
      <c r="IO69" s="11"/>
      <c r="IP69" s="11"/>
      <c r="IQ69" s="11"/>
      <c r="IR69" s="11"/>
      <c r="IS69" s="11"/>
      <c r="IT69" s="11"/>
      <c r="IU69" s="11"/>
      <c r="IV69" s="11"/>
      <c r="IW69" s="11"/>
    </row>
    <row r="70" customFormat="false" ht="12.95" hidden="false" customHeight="true" outlineLevel="0" collapsed="false">
      <c r="A70" s="11"/>
      <c r="B70" s="11"/>
      <c r="C70" s="11"/>
      <c r="D70" s="11"/>
      <c r="E70" s="11" t="s">
        <v>581</v>
      </c>
      <c r="F70" s="85" t="n">
        <v>3.02</v>
      </c>
      <c r="G70" s="85" t="n">
        <v>4.75</v>
      </c>
      <c r="H70" s="136" t="n">
        <v>-0.36421052631579</v>
      </c>
      <c r="I70" s="11"/>
      <c r="J70" s="11"/>
      <c r="K70" s="11"/>
      <c r="L70" s="11"/>
      <c r="M70" s="11"/>
      <c r="N70" s="11"/>
      <c r="O70" s="11"/>
      <c r="P70" s="11" t="s">
        <v>581</v>
      </c>
      <c r="Q70" s="85" t="n">
        <v>5.875</v>
      </c>
      <c r="R70" s="85" t="n">
        <v>3.02</v>
      </c>
      <c r="S70" s="136" t="n">
        <v>-0.485957446808511</v>
      </c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  <c r="IE70" s="11"/>
      <c r="IF70" s="11"/>
      <c r="IG70" s="11"/>
      <c r="IH70" s="11"/>
      <c r="II70" s="11"/>
      <c r="IJ70" s="11"/>
      <c r="IK70" s="11"/>
      <c r="IL70" s="11"/>
      <c r="IM70" s="11"/>
      <c r="IN70" s="11"/>
      <c r="IO70" s="11"/>
      <c r="IP70" s="11"/>
      <c r="IQ70" s="11"/>
      <c r="IR70" s="11"/>
      <c r="IS70" s="11"/>
      <c r="IT70" s="11"/>
      <c r="IU70" s="11"/>
      <c r="IV70" s="11"/>
      <c r="IW70" s="11"/>
    </row>
    <row r="71" customFormat="false" ht="12.95" hidden="false" customHeight="true" outlineLevel="0" collapsed="false">
      <c r="A71" s="11"/>
      <c r="B71" s="11"/>
      <c r="C71" s="11"/>
      <c r="D71" s="11"/>
      <c r="E71" s="11" t="s">
        <v>583</v>
      </c>
      <c r="F71" s="85" t="n">
        <v>30.02</v>
      </c>
      <c r="G71" s="85" t="n">
        <v>33.5</v>
      </c>
      <c r="H71" s="136" t="n">
        <v>-0.103880597014925</v>
      </c>
      <c r="I71" s="11"/>
      <c r="J71" s="11"/>
      <c r="K71" s="11"/>
      <c r="L71" s="11"/>
      <c r="M71" s="11"/>
      <c r="N71" s="11"/>
      <c r="O71" s="11"/>
      <c r="P71" s="11" t="s">
        <v>583</v>
      </c>
      <c r="Q71" s="85" t="n">
        <v>43.875</v>
      </c>
      <c r="R71" s="85" t="n">
        <v>30.02</v>
      </c>
      <c r="S71" s="136" t="n">
        <v>-0.315783475783476</v>
      </c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  <c r="IE71" s="11"/>
      <c r="IF71" s="11"/>
      <c r="IG71" s="11"/>
      <c r="IH71" s="11"/>
      <c r="II71" s="11"/>
      <c r="IJ71" s="11"/>
      <c r="IK71" s="11"/>
      <c r="IL71" s="11"/>
      <c r="IM71" s="11"/>
      <c r="IN71" s="11"/>
      <c r="IO71" s="11"/>
      <c r="IP71" s="11"/>
      <c r="IQ71" s="11"/>
      <c r="IR71" s="11"/>
      <c r="IS71" s="11"/>
      <c r="IT71" s="11"/>
      <c r="IU71" s="11"/>
      <c r="IV71" s="11"/>
      <c r="IW71" s="11"/>
    </row>
    <row r="72" customFormat="false" ht="12.95" hidden="false" customHeight="true" outlineLevel="0" collapsed="false">
      <c r="A72" s="11"/>
      <c r="B72" s="11"/>
      <c r="C72" s="11"/>
      <c r="D72" s="11"/>
      <c r="E72" s="11" t="s">
        <v>585</v>
      </c>
      <c r="F72" s="85" t="n">
        <v>27.7</v>
      </c>
      <c r="G72" s="85" t="n">
        <v>43.6875</v>
      </c>
      <c r="H72" s="136" t="n">
        <v>-0.365951359084406</v>
      </c>
      <c r="I72" s="11"/>
      <c r="J72" s="11"/>
      <c r="K72" s="11"/>
      <c r="L72" s="11"/>
      <c r="M72" s="11"/>
      <c r="N72" s="11"/>
      <c r="O72" s="11"/>
      <c r="P72" s="11" t="s">
        <v>585</v>
      </c>
      <c r="Q72" s="85" t="n">
        <v>59.15</v>
      </c>
      <c r="R72" s="85" t="n">
        <v>27.7</v>
      </c>
      <c r="S72" s="136" t="n">
        <v>-0.531699070160609</v>
      </c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  <c r="II72" s="11"/>
      <c r="IJ72" s="11"/>
      <c r="IK72" s="11"/>
      <c r="IL72" s="11"/>
      <c r="IM72" s="11"/>
      <c r="IN72" s="11"/>
      <c r="IO72" s="11"/>
      <c r="IP72" s="11"/>
      <c r="IQ72" s="11"/>
      <c r="IR72" s="11"/>
      <c r="IS72" s="11"/>
      <c r="IT72" s="11"/>
      <c r="IU72" s="11"/>
      <c r="IV72" s="11"/>
      <c r="IW72" s="11"/>
    </row>
    <row r="73" customFormat="false" ht="12.95" hidden="false" customHeight="true" outlineLevel="0" collapsed="false">
      <c r="A73" s="11"/>
      <c r="B73" s="11"/>
      <c r="C73" s="11"/>
      <c r="D73" s="11"/>
      <c r="E73" s="11" t="s">
        <v>587</v>
      </c>
      <c r="F73" s="85" t="n">
        <v>27.35253</v>
      </c>
      <c r="G73" s="85" t="n">
        <v>35.4769</v>
      </c>
      <c r="H73" s="136" t="n">
        <v>-0.229004507158179</v>
      </c>
      <c r="I73" s="11"/>
      <c r="J73" s="11"/>
      <c r="K73" s="11"/>
      <c r="L73" s="11"/>
      <c r="M73" s="11"/>
      <c r="N73" s="11"/>
      <c r="O73" s="11"/>
      <c r="P73" s="11" t="s">
        <v>587</v>
      </c>
      <c r="Q73" s="85" t="n">
        <v>37.44986</v>
      </c>
      <c r="R73" s="85" t="n">
        <v>27.35253</v>
      </c>
      <c r="S73" s="136" t="n">
        <v>-0.269622636773542</v>
      </c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  <c r="IE73" s="11"/>
      <c r="IF73" s="11"/>
      <c r="IG73" s="11"/>
      <c r="IH73" s="11"/>
      <c r="II73" s="11"/>
      <c r="IJ73" s="11"/>
      <c r="IK73" s="11"/>
      <c r="IL73" s="11"/>
      <c r="IM73" s="11"/>
      <c r="IN73" s="11"/>
      <c r="IO73" s="11"/>
      <c r="IP73" s="11"/>
      <c r="IQ73" s="11"/>
      <c r="IR73" s="11"/>
      <c r="IS73" s="11"/>
      <c r="IT73" s="11"/>
      <c r="IU73" s="11"/>
      <c r="IV73" s="11"/>
      <c r="IW73" s="11"/>
    </row>
    <row r="74" customFormat="false" ht="12.95" hidden="false" customHeight="true" outlineLevel="0" collapsed="false">
      <c r="A74" s="11"/>
      <c r="B74" s="11"/>
      <c r="C74" s="11"/>
      <c r="D74" s="11"/>
      <c r="E74" s="91" t="s">
        <v>589</v>
      </c>
      <c r="F74" s="85" t="n">
        <v>4.95</v>
      </c>
      <c r="G74" s="85" t="n">
        <v>5.6875</v>
      </c>
      <c r="H74" s="136" t="n">
        <v>-0.12967032967033</v>
      </c>
      <c r="I74" s="11"/>
      <c r="J74" s="11"/>
      <c r="K74" s="11"/>
      <c r="L74" s="11"/>
      <c r="M74" s="11"/>
      <c r="N74" s="11"/>
      <c r="O74" s="11"/>
      <c r="P74" s="91" t="s">
        <v>589</v>
      </c>
      <c r="Q74" s="85" t="n">
        <v>5.0625</v>
      </c>
      <c r="R74" s="85" t="n">
        <v>4.95</v>
      </c>
      <c r="S74" s="136" t="n">
        <v>-0.0222222222222222</v>
      </c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  <c r="II74" s="11"/>
      <c r="IJ74" s="11"/>
      <c r="IK74" s="11"/>
      <c r="IL74" s="11"/>
      <c r="IM74" s="11"/>
      <c r="IN74" s="11"/>
      <c r="IO74" s="11"/>
      <c r="IP74" s="11"/>
      <c r="IQ74" s="11"/>
      <c r="IR74" s="11"/>
      <c r="IS74" s="11"/>
      <c r="IT74" s="11"/>
      <c r="IU74" s="11"/>
      <c r="IV74" s="11"/>
      <c r="IW74" s="11"/>
    </row>
    <row r="75" customFormat="false" ht="12.95" hidden="false" customHeight="true" outlineLevel="0" collapsed="false">
      <c r="E75" s="91" t="s">
        <v>591</v>
      </c>
      <c r="F75" s="85" t="n">
        <v>15.93</v>
      </c>
      <c r="G75" s="85" t="n">
        <v>26.5625</v>
      </c>
      <c r="H75" s="136" t="n">
        <v>-0.400282352941177</v>
      </c>
      <c r="P75" s="91" t="s">
        <v>591</v>
      </c>
      <c r="Q75" s="85" t="n">
        <v>37.25</v>
      </c>
      <c r="R75" s="85" t="n">
        <v>15.93</v>
      </c>
      <c r="S75" s="136" t="n">
        <v>-0.572348993288591</v>
      </c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  <c r="IE75" s="11"/>
      <c r="IF75" s="11"/>
      <c r="IG75" s="11"/>
      <c r="IH75" s="11"/>
      <c r="II75" s="11"/>
      <c r="IJ75" s="11"/>
      <c r="IK75" s="11"/>
      <c r="IL75" s="11"/>
      <c r="IM75" s="11"/>
      <c r="IN75" s="11"/>
      <c r="IO75" s="11"/>
      <c r="IP75" s="11"/>
      <c r="IQ75" s="11"/>
      <c r="IR75" s="11"/>
      <c r="IS75" s="11"/>
      <c r="IT75" s="11"/>
      <c r="IU75" s="11"/>
      <c r="IV75" s="11"/>
      <c r="IW75" s="11"/>
    </row>
    <row r="76" customFormat="false" ht="12.95" hidden="false" customHeight="true" outlineLevel="0" collapsed="false">
      <c r="E76" s="91" t="s">
        <v>593</v>
      </c>
      <c r="F76" s="85" t="n">
        <v>12.75</v>
      </c>
      <c r="G76" s="85" t="n">
        <v>13</v>
      </c>
      <c r="H76" s="136" t="n">
        <v>-0.0192307692307692</v>
      </c>
      <c r="P76" s="91" t="s">
        <v>593</v>
      </c>
      <c r="Q76" s="85" t="n">
        <v>18.9375</v>
      </c>
      <c r="R76" s="85" t="n">
        <v>12.75</v>
      </c>
      <c r="S76" s="136" t="n">
        <v>-0.326732673267327</v>
      </c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  <c r="IE76" s="11"/>
      <c r="IF76" s="11"/>
      <c r="IG76" s="11"/>
      <c r="IH76" s="11"/>
      <c r="II76" s="11"/>
      <c r="IJ76" s="11"/>
      <c r="IK76" s="11"/>
      <c r="IL76" s="11"/>
      <c r="IM76" s="11"/>
      <c r="IN76" s="11"/>
      <c r="IO76" s="11"/>
      <c r="IP76" s="11"/>
      <c r="IQ76" s="11"/>
      <c r="IR76" s="11"/>
      <c r="IS76" s="11"/>
      <c r="IT76" s="11"/>
      <c r="IU76" s="11"/>
      <c r="IV76" s="11"/>
      <c r="IW76" s="11"/>
    </row>
    <row r="77" customFormat="false" ht="12.95" hidden="false" customHeight="true" outlineLevel="0" collapsed="false"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  <c r="II77" s="11"/>
      <c r="IJ77" s="11"/>
      <c r="IK77" s="11"/>
      <c r="IL77" s="11"/>
      <c r="IM77" s="11"/>
      <c r="IN77" s="11"/>
      <c r="IO77" s="11"/>
      <c r="IP77" s="11"/>
      <c r="IQ77" s="11"/>
      <c r="IR77" s="11"/>
      <c r="IS77" s="11"/>
      <c r="IT77" s="11"/>
      <c r="IU77" s="11"/>
      <c r="IV77" s="11"/>
      <c r="IW77" s="11"/>
    </row>
    <row r="78" customFormat="false" ht="12.95" hidden="false" customHeight="true" outlineLevel="0" collapsed="false"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  <c r="II78" s="11"/>
      <c r="IJ78" s="11"/>
      <c r="IK78" s="11"/>
      <c r="IL78" s="11"/>
      <c r="IM78" s="11"/>
      <c r="IN78" s="11"/>
      <c r="IO78" s="11"/>
      <c r="IP78" s="11"/>
      <c r="IQ78" s="11"/>
      <c r="IR78" s="11"/>
      <c r="IS78" s="11"/>
      <c r="IT78" s="11"/>
      <c r="IU78" s="11"/>
      <c r="IV78" s="11"/>
      <c r="IW78" s="11"/>
    </row>
    <row r="79" customFormat="false" ht="12.95" hidden="false" customHeight="true" outlineLevel="0" collapsed="false"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  <c r="IE79" s="11"/>
      <c r="IF79" s="11"/>
      <c r="IG79" s="11"/>
      <c r="IH79" s="11"/>
      <c r="II79" s="11"/>
      <c r="IJ79" s="11"/>
      <c r="IK79" s="11"/>
      <c r="IL79" s="11"/>
      <c r="IM79" s="11"/>
      <c r="IN79" s="11"/>
      <c r="IO79" s="11"/>
      <c r="IP79" s="11"/>
      <c r="IQ79" s="11"/>
      <c r="IR79" s="11"/>
      <c r="IS79" s="11"/>
      <c r="IT79" s="11"/>
      <c r="IU79" s="11"/>
      <c r="IV79" s="11"/>
      <c r="IW79" s="11"/>
    </row>
    <row r="80" customFormat="false" ht="12.95" hidden="false" customHeight="true" outlineLevel="0" collapsed="false"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  <c r="IE80" s="11"/>
      <c r="IF80" s="11"/>
      <c r="IG80" s="11"/>
      <c r="IH80" s="11"/>
      <c r="II80" s="11"/>
      <c r="IJ80" s="11"/>
      <c r="IK80" s="11"/>
      <c r="IL80" s="11"/>
      <c r="IM80" s="11"/>
      <c r="IN80" s="11"/>
      <c r="IO80" s="11"/>
      <c r="IP80" s="11"/>
      <c r="IQ80" s="11"/>
      <c r="IR80" s="11"/>
      <c r="IS80" s="11"/>
      <c r="IT80" s="11"/>
      <c r="IU80" s="11"/>
      <c r="IV80" s="11"/>
      <c r="IW80" s="11"/>
    </row>
    <row r="81" customFormat="false" ht="12.95" hidden="false" customHeight="true" outlineLevel="0" collapsed="false"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1"/>
      <c r="CC81" s="11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  <c r="IE81" s="11"/>
      <c r="IF81" s="11"/>
      <c r="IG81" s="11"/>
      <c r="IH81" s="11"/>
      <c r="II81" s="11"/>
      <c r="IJ81" s="11"/>
      <c r="IK81" s="11"/>
      <c r="IL81" s="11"/>
      <c r="IM81" s="11"/>
      <c r="IN81" s="11"/>
      <c r="IO81" s="11"/>
      <c r="IP81" s="11"/>
      <c r="IQ81" s="11"/>
      <c r="IR81" s="11"/>
      <c r="IS81" s="11"/>
      <c r="IT81" s="11"/>
      <c r="IU81" s="11"/>
      <c r="IV81" s="11"/>
      <c r="IW81" s="11"/>
    </row>
    <row r="82" customFormat="false" ht="12.95" hidden="false" customHeight="true" outlineLevel="0" collapsed="false"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1"/>
      <c r="CC82" s="11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  <c r="IE82" s="11"/>
      <c r="IF82" s="11"/>
      <c r="IG82" s="11"/>
      <c r="IH82" s="11"/>
      <c r="II82" s="11"/>
      <c r="IJ82" s="11"/>
      <c r="IK82" s="11"/>
      <c r="IL82" s="11"/>
      <c r="IM82" s="11"/>
      <c r="IN82" s="11"/>
      <c r="IO82" s="11"/>
      <c r="IP82" s="11"/>
      <c r="IQ82" s="11"/>
      <c r="IR82" s="11"/>
      <c r="IS82" s="11"/>
      <c r="IT82" s="11"/>
      <c r="IU82" s="11"/>
      <c r="IV82" s="11"/>
      <c r="IW82" s="11"/>
    </row>
    <row r="83" customFormat="false" ht="12.95" hidden="false" customHeight="true" outlineLevel="0" collapsed="false"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  <c r="IE83" s="11"/>
      <c r="IF83" s="11"/>
      <c r="IG83" s="11"/>
      <c r="IH83" s="11"/>
      <c r="II83" s="11"/>
      <c r="IJ83" s="11"/>
      <c r="IK83" s="11"/>
      <c r="IL83" s="11"/>
      <c r="IM83" s="11"/>
      <c r="IN83" s="11"/>
      <c r="IO83" s="11"/>
      <c r="IP83" s="11"/>
      <c r="IQ83" s="11"/>
      <c r="IR83" s="11"/>
      <c r="IS83" s="11"/>
      <c r="IT83" s="11"/>
      <c r="IU83" s="11"/>
      <c r="IV83" s="11"/>
      <c r="IW83" s="11"/>
    </row>
    <row r="84" customFormat="false" ht="12.95" hidden="false" customHeight="true" outlineLevel="0" collapsed="false"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  <c r="IG84" s="11"/>
      <c r="IH84" s="11"/>
      <c r="II84" s="11"/>
      <c r="IJ84" s="11"/>
      <c r="IK84" s="11"/>
      <c r="IL84" s="11"/>
      <c r="IM84" s="11"/>
      <c r="IN84" s="11"/>
      <c r="IO84" s="11"/>
      <c r="IP84" s="11"/>
      <c r="IQ84" s="11"/>
      <c r="IR84" s="11"/>
      <c r="IS84" s="11"/>
      <c r="IT84" s="11"/>
      <c r="IU84" s="11"/>
      <c r="IV84" s="11"/>
      <c r="IW84" s="11"/>
    </row>
    <row r="85" customFormat="false" ht="12.95" hidden="false" customHeight="true" outlineLevel="0" collapsed="false"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  <c r="IE85" s="11"/>
      <c r="IF85" s="11"/>
      <c r="IG85" s="11"/>
      <c r="IH85" s="11"/>
      <c r="II85" s="11"/>
      <c r="IJ85" s="11"/>
      <c r="IK85" s="11"/>
      <c r="IL85" s="11"/>
      <c r="IM85" s="11"/>
      <c r="IN85" s="11"/>
      <c r="IO85" s="11"/>
      <c r="IP85" s="11"/>
      <c r="IQ85" s="11"/>
      <c r="IR85" s="11"/>
      <c r="IS85" s="11"/>
      <c r="IT85" s="11"/>
      <c r="IU85" s="11"/>
      <c r="IV85" s="11"/>
      <c r="IW85" s="11"/>
    </row>
    <row r="86" customFormat="false" ht="12.95" hidden="false" customHeight="true" outlineLevel="0" collapsed="false"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  <c r="IE86" s="11"/>
      <c r="IF86" s="11"/>
      <c r="IG86" s="11"/>
      <c r="IH86" s="11"/>
      <c r="II86" s="11"/>
      <c r="IJ86" s="11"/>
      <c r="IK86" s="11"/>
      <c r="IL86" s="11"/>
      <c r="IM86" s="11"/>
      <c r="IN86" s="11"/>
      <c r="IO86" s="11"/>
      <c r="IP86" s="11"/>
      <c r="IQ86" s="11"/>
      <c r="IR86" s="11"/>
      <c r="IS86" s="11"/>
      <c r="IT86" s="11"/>
      <c r="IU86" s="11"/>
      <c r="IV86" s="11"/>
      <c r="IW86" s="11"/>
    </row>
    <row r="87" customFormat="false" ht="12.95" hidden="false" customHeight="true" outlineLevel="0" collapsed="false"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  <c r="BZ87" s="11"/>
      <c r="CA87" s="11"/>
      <c r="CB87" s="11"/>
      <c r="CC87" s="11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  <c r="IE87" s="11"/>
      <c r="IF87" s="11"/>
      <c r="IG87" s="11"/>
      <c r="IH87" s="11"/>
      <c r="II87" s="11"/>
      <c r="IJ87" s="11"/>
      <c r="IK87" s="11"/>
      <c r="IL87" s="11"/>
      <c r="IM87" s="11"/>
      <c r="IN87" s="11"/>
      <c r="IO87" s="11"/>
      <c r="IP87" s="11"/>
      <c r="IQ87" s="11"/>
      <c r="IR87" s="11"/>
      <c r="IS87" s="11"/>
      <c r="IT87" s="11"/>
      <c r="IU87" s="11"/>
      <c r="IV87" s="11"/>
      <c r="IW87" s="11"/>
    </row>
    <row r="88" customFormat="false" ht="12.95" hidden="false" customHeight="true" outlineLevel="0" collapsed="false"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  <c r="BZ88" s="11"/>
      <c r="CA88" s="11"/>
      <c r="CB88" s="11"/>
      <c r="CC88" s="11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  <c r="IE88" s="11"/>
      <c r="IF88" s="11"/>
      <c r="IG88" s="11"/>
      <c r="IH88" s="11"/>
      <c r="II88" s="11"/>
      <c r="IJ88" s="11"/>
      <c r="IK88" s="11"/>
      <c r="IL88" s="11"/>
      <c r="IM88" s="11"/>
      <c r="IN88" s="11"/>
      <c r="IO88" s="11"/>
      <c r="IP88" s="11"/>
      <c r="IQ88" s="11"/>
      <c r="IR88" s="11"/>
      <c r="IS88" s="11"/>
      <c r="IT88" s="11"/>
      <c r="IU88" s="11"/>
      <c r="IV88" s="11"/>
      <c r="IW88" s="11"/>
    </row>
    <row r="89" customFormat="false" ht="12.95" hidden="false" customHeight="true" outlineLevel="0" collapsed="false"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  <c r="IE89" s="11"/>
      <c r="IF89" s="11"/>
      <c r="IG89" s="11"/>
      <c r="IH89" s="11"/>
      <c r="II89" s="11"/>
      <c r="IJ89" s="11"/>
      <c r="IK89" s="11"/>
      <c r="IL89" s="11"/>
      <c r="IM89" s="11"/>
      <c r="IN89" s="11"/>
      <c r="IO89" s="11"/>
      <c r="IP89" s="11"/>
      <c r="IQ89" s="11"/>
      <c r="IR89" s="11"/>
      <c r="IS89" s="11"/>
      <c r="IT89" s="11"/>
      <c r="IU89" s="11"/>
      <c r="IV89" s="11"/>
      <c r="IW89" s="11"/>
    </row>
    <row r="90" customFormat="false" ht="12.95" hidden="false" customHeight="true" outlineLevel="0" collapsed="false"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  <c r="II90" s="11"/>
      <c r="IJ90" s="11"/>
      <c r="IK90" s="11"/>
      <c r="IL90" s="11"/>
      <c r="IM90" s="11"/>
      <c r="IN90" s="11"/>
      <c r="IO90" s="11"/>
      <c r="IP90" s="11"/>
      <c r="IQ90" s="11"/>
      <c r="IR90" s="11"/>
      <c r="IS90" s="11"/>
      <c r="IT90" s="11"/>
      <c r="IU90" s="11"/>
      <c r="IV90" s="11"/>
      <c r="IW90" s="11"/>
    </row>
    <row r="91" customFormat="false" ht="12.95" hidden="false" customHeight="true" outlineLevel="0" collapsed="false"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  <c r="BZ91" s="11"/>
      <c r="CA91" s="11"/>
      <c r="CB91" s="11"/>
      <c r="CC91" s="11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  <c r="IE91" s="11"/>
      <c r="IF91" s="11"/>
      <c r="IG91" s="11"/>
      <c r="IH91" s="11"/>
      <c r="II91" s="11"/>
      <c r="IJ91" s="11"/>
      <c r="IK91" s="11"/>
      <c r="IL91" s="11"/>
      <c r="IM91" s="11"/>
      <c r="IN91" s="11"/>
      <c r="IO91" s="11"/>
      <c r="IP91" s="11"/>
      <c r="IQ91" s="11"/>
      <c r="IR91" s="11"/>
      <c r="IS91" s="11"/>
      <c r="IT91" s="11"/>
      <c r="IU91" s="11"/>
      <c r="IV91" s="11"/>
      <c r="IW91" s="11"/>
    </row>
    <row r="92" customFormat="false" ht="12.95" hidden="false" customHeight="true" outlineLevel="0" collapsed="false"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  <c r="IE92" s="11"/>
      <c r="IF92" s="11"/>
      <c r="IG92" s="11"/>
      <c r="IH92" s="11"/>
      <c r="II92" s="11"/>
      <c r="IJ92" s="11"/>
      <c r="IK92" s="11"/>
      <c r="IL92" s="11"/>
      <c r="IM92" s="11"/>
      <c r="IN92" s="11"/>
      <c r="IO92" s="11"/>
      <c r="IP92" s="11"/>
      <c r="IQ92" s="11"/>
      <c r="IR92" s="11"/>
      <c r="IS92" s="11"/>
      <c r="IT92" s="11"/>
      <c r="IU92" s="11"/>
      <c r="IV92" s="11"/>
      <c r="IW92" s="11"/>
    </row>
    <row r="93" customFormat="false" ht="12.95" hidden="false" customHeight="true" outlineLevel="0" collapsed="false"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  <c r="IE93" s="11"/>
      <c r="IF93" s="11"/>
      <c r="IG93" s="11"/>
      <c r="IH93" s="11"/>
      <c r="II93" s="11"/>
      <c r="IJ93" s="11"/>
      <c r="IK93" s="11"/>
      <c r="IL93" s="11"/>
      <c r="IM93" s="11"/>
      <c r="IN93" s="11"/>
      <c r="IO93" s="11"/>
      <c r="IP93" s="11"/>
      <c r="IQ93" s="11"/>
      <c r="IR93" s="11"/>
      <c r="IS93" s="11"/>
      <c r="IT93" s="11"/>
      <c r="IU93" s="11"/>
      <c r="IV93" s="11"/>
      <c r="IW93" s="11"/>
    </row>
    <row r="94" customFormat="false" ht="12.95" hidden="false" customHeight="true" outlineLevel="0" collapsed="false"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  <c r="IG94" s="11"/>
      <c r="IH94" s="11"/>
      <c r="II94" s="11"/>
      <c r="IJ94" s="11"/>
      <c r="IK94" s="11"/>
      <c r="IL94" s="11"/>
      <c r="IM94" s="11"/>
      <c r="IN94" s="11"/>
      <c r="IO94" s="11"/>
      <c r="IP94" s="11"/>
      <c r="IQ94" s="11"/>
      <c r="IR94" s="11"/>
      <c r="IS94" s="11"/>
      <c r="IT94" s="11"/>
      <c r="IU94" s="11"/>
      <c r="IV94" s="11"/>
      <c r="IW94" s="11"/>
    </row>
    <row r="95" customFormat="false" ht="12.95" hidden="false" customHeight="true" outlineLevel="0" collapsed="false"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  <c r="CA95" s="11"/>
      <c r="CB95" s="11"/>
      <c r="CC95" s="11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  <c r="IE95" s="11"/>
      <c r="IF95" s="11"/>
      <c r="IG95" s="11"/>
      <c r="IH95" s="11"/>
      <c r="II95" s="11"/>
      <c r="IJ95" s="11"/>
      <c r="IK95" s="11"/>
      <c r="IL95" s="11"/>
      <c r="IM95" s="11"/>
      <c r="IN95" s="11"/>
      <c r="IO95" s="11"/>
      <c r="IP95" s="11"/>
      <c r="IQ95" s="11"/>
      <c r="IR95" s="11"/>
      <c r="IS95" s="11"/>
      <c r="IT95" s="11"/>
      <c r="IU95" s="11"/>
      <c r="IV95" s="11"/>
      <c r="IW95" s="11"/>
    </row>
    <row r="96" customFormat="false" ht="12.95" hidden="false" customHeight="true" outlineLevel="0" collapsed="false"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  <c r="CA96" s="11"/>
      <c r="CB96" s="11"/>
      <c r="CC96" s="11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  <c r="IE96" s="11"/>
      <c r="IF96" s="11"/>
      <c r="IG96" s="11"/>
      <c r="IH96" s="11"/>
      <c r="II96" s="11"/>
      <c r="IJ96" s="11"/>
      <c r="IK96" s="11"/>
      <c r="IL96" s="11"/>
      <c r="IM96" s="11"/>
      <c r="IN96" s="11"/>
      <c r="IO96" s="11"/>
      <c r="IP96" s="11"/>
      <c r="IQ96" s="11"/>
      <c r="IR96" s="11"/>
      <c r="IS96" s="11"/>
      <c r="IT96" s="11"/>
      <c r="IU96" s="11"/>
      <c r="IV96" s="11"/>
      <c r="IW96" s="11"/>
    </row>
    <row r="97" customFormat="false" ht="12.95" hidden="false" customHeight="true" outlineLevel="0" collapsed="false"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  <c r="IE97" s="11"/>
      <c r="IF97" s="11"/>
      <c r="IG97" s="11"/>
      <c r="IH97" s="11"/>
      <c r="II97" s="11"/>
      <c r="IJ97" s="11"/>
      <c r="IK97" s="11"/>
      <c r="IL97" s="11"/>
      <c r="IM97" s="11"/>
      <c r="IN97" s="11"/>
      <c r="IO97" s="11"/>
      <c r="IP97" s="11"/>
      <c r="IQ97" s="11"/>
      <c r="IR97" s="11"/>
      <c r="IS97" s="11"/>
      <c r="IT97" s="11"/>
      <c r="IU97" s="11"/>
      <c r="IV97" s="11"/>
      <c r="IW97" s="11"/>
    </row>
    <row r="98" customFormat="false" ht="12.95" hidden="false" customHeight="true" outlineLevel="0" collapsed="false"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  <c r="II98" s="11"/>
      <c r="IJ98" s="11"/>
      <c r="IK98" s="11"/>
      <c r="IL98" s="11"/>
      <c r="IM98" s="11"/>
      <c r="IN98" s="11"/>
      <c r="IO98" s="11"/>
      <c r="IP98" s="11"/>
      <c r="IQ98" s="11"/>
      <c r="IR98" s="11"/>
      <c r="IS98" s="11"/>
      <c r="IT98" s="11"/>
      <c r="IU98" s="11"/>
      <c r="IV98" s="11"/>
      <c r="IW98" s="11"/>
    </row>
    <row r="99" customFormat="false" ht="12.95" hidden="false" customHeight="true" outlineLevel="0" collapsed="false"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  <c r="IG99" s="11"/>
      <c r="IH99" s="11"/>
      <c r="II99" s="11"/>
      <c r="IJ99" s="11"/>
      <c r="IK99" s="11"/>
      <c r="IL99" s="11"/>
      <c r="IM99" s="11"/>
      <c r="IN99" s="11"/>
      <c r="IO99" s="11"/>
      <c r="IP99" s="11"/>
      <c r="IQ99" s="11"/>
      <c r="IR99" s="11"/>
      <c r="IS99" s="11"/>
      <c r="IT99" s="11"/>
      <c r="IU99" s="11"/>
      <c r="IV99" s="11"/>
      <c r="IW99" s="11"/>
    </row>
    <row r="100" customFormat="false" ht="12.95" hidden="false" customHeight="true" outlineLevel="0" collapsed="false"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  <c r="IE100" s="11"/>
      <c r="IF100" s="11"/>
      <c r="IG100" s="11"/>
      <c r="IH100" s="11"/>
      <c r="II100" s="11"/>
      <c r="IJ100" s="11"/>
      <c r="IK100" s="11"/>
      <c r="IL100" s="11"/>
      <c r="IM100" s="11"/>
      <c r="IN100" s="11"/>
      <c r="IO100" s="11"/>
      <c r="IP100" s="11"/>
      <c r="IQ100" s="11"/>
      <c r="IR100" s="11"/>
      <c r="IS100" s="11"/>
      <c r="IT100" s="11"/>
      <c r="IU100" s="11"/>
      <c r="IV100" s="11"/>
      <c r="IW100" s="11"/>
    </row>
    <row r="101" customFormat="false" ht="12.95" hidden="false" customHeight="true" outlineLevel="0" collapsed="false"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  <c r="II101" s="11"/>
      <c r="IJ101" s="11"/>
      <c r="IK101" s="11"/>
      <c r="IL101" s="11"/>
      <c r="IM101" s="11"/>
      <c r="IN101" s="11"/>
      <c r="IO101" s="11"/>
      <c r="IP101" s="11"/>
      <c r="IQ101" s="11"/>
      <c r="IR101" s="11"/>
      <c r="IS101" s="11"/>
      <c r="IT101" s="11"/>
      <c r="IU101" s="11"/>
      <c r="IV101" s="11"/>
      <c r="IW101" s="11"/>
    </row>
    <row r="102" customFormat="false" ht="12.95" hidden="false" customHeight="true" outlineLevel="0" collapsed="false"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  <c r="IE102" s="11"/>
      <c r="IF102" s="11"/>
      <c r="IG102" s="11"/>
      <c r="IH102" s="11"/>
      <c r="II102" s="11"/>
      <c r="IJ102" s="11"/>
      <c r="IK102" s="11"/>
      <c r="IL102" s="11"/>
      <c r="IM102" s="11"/>
      <c r="IN102" s="11"/>
      <c r="IO102" s="11"/>
      <c r="IP102" s="11"/>
      <c r="IQ102" s="11"/>
      <c r="IR102" s="11"/>
      <c r="IS102" s="11"/>
      <c r="IT102" s="11"/>
      <c r="IU102" s="11"/>
      <c r="IV102" s="11"/>
      <c r="IW102" s="11"/>
    </row>
    <row r="103" customFormat="false" ht="12.95" hidden="false" customHeight="true" outlineLevel="0" collapsed="false"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  <c r="IE103" s="11"/>
      <c r="IF103" s="11"/>
      <c r="IG103" s="11"/>
      <c r="IH103" s="11"/>
      <c r="II103" s="11"/>
      <c r="IJ103" s="11"/>
      <c r="IK103" s="11"/>
      <c r="IL103" s="11"/>
      <c r="IM103" s="11"/>
      <c r="IN103" s="11"/>
      <c r="IO103" s="11"/>
      <c r="IP103" s="11"/>
      <c r="IQ103" s="11"/>
      <c r="IR103" s="11"/>
      <c r="IS103" s="11"/>
      <c r="IT103" s="11"/>
      <c r="IU103" s="11"/>
      <c r="IV103" s="11"/>
      <c r="IW103" s="11"/>
    </row>
    <row r="104" customFormat="false" ht="12.95" hidden="false" customHeight="true" outlineLevel="0" collapsed="false"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  <c r="IE104" s="11"/>
      <c r="IF104" s="11"/>
      <c r="IG104" s="11"/>
      <c r="IH104" s="11"/>
      <c r="II104" s="11"/>
      <c r="IJ104" s="11"/>
      <c r="IK104" s="11"/>
      <c r="IL104" s="11"/>
      <c r="IM104" s="11"/>
      <c r="IN104" s="11"/>
      <c r="IO104" s="11"/>
      <c r="IP104" s="11"/>
      <c r="IQ104" s="11"/>
      <c r="IR104" s="11"/>
      <c r="IS104" s="11"/>
      <c r="IT104" s="11"/>
      <c r="IU104" s="11"/>
      <c r="IV104" s="11"/>
      <c r="IW104" s="11"/>
    </row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  <row r="109" customFormat="false" ht="12.95" hidden="false" customHeight="true" outlineLevel="0" collapsed="false"/>
    <row r="110" customFormat="false" ht="12.95" hidden="false" customHeight="true" outlineLevel="0" collapsed="false"/>
    <row r="111" customFormat="false" ht="12.95" hidden="false" customHeight="true" outlineLevel="0" collapsed="false"/>
    <row r="112" customFormat="false" ht="12.95" hidden="false" customHeight="true" outlineLevel="0" collapsed="false"/>
    <row r="113" customFormat="false" ht="12.95" hidden="false" customHeight="true" outlineLevel="0" collapsed="false"/>
    <row r="114" customFormat="false" ht="12.95" hidden="false" customHeight="true" outlineLevel="0" collapsed="false"/>
    <row r="115" customFormat="false" ht="12.95" hidden="false" customHeight="true" outlineLevel="0" collapsed="false"/>
    <row r="116" customFormat="false" ht="12.95" hidden="false" customHeight="true" outlineLevel="0" collapsed="false"/>
    <row r="117" customFormat="false" ht="12.95" hidden="false" customHeight="true" outlineLevel="0" collapsed="false"/>
    <row r="118" customFormat="false" ht="12.95" hidden="false" customHeight="true" outlineLevel="0" collapsed="false"/>
    <row r="119" customFormat="false" ht="12.95" hidden="false" customHeight="true" outlineLevel="0" collapsed="false"/>
    <row r="120" customFormat="false" ht="12.95" hidden="false" customHeight="true" outlineLevel="0" collapsed="false"/>
    <row r="121" customFormat="false" ht="12.95" hidden="false" customHeight="true" outlineLevel="0" collapsed="false"/>
    <row r="122" customFormat="false" ht="12.95" hidden="false" customHeight="true" outlineLevel="0" collapsed="false"/>
    <row r="123" customFormat="false" ht="12.95" hidden="false" customHeight="true" outlineLevel="0" collapsed="false"/>
    <row r="124" customFormat="false" ht="12.95" hidden="false" customHeight="true" outlineLevel="0" collapsed="false"/>
    <row r="125" customFormat="false" ht="12.95" hidden="false" customHeight="true" outlineLevel="0" collapsed="false"/>
    <row r="126" customFormat="false" ht="12.95" hidden="false" customHeight="true" outlineLevel="0" collapsed="false"/>
    <row r="127" customFormat="false" ht="12.95" hidden="false" customHeight="true" outlineLevel="0" collapsed="false"/>
    <row r="128" customFormat="false" ht="12.95" hidden="false" customHeight="true" outlineLevel="0" collapsed="false"/>
    <row r="129" customFormat="false" ht="12.95" hidden="false" customHeight="true" outlineLevel="0" collapsed="false"/>
    <row r="130" customFormat="false" ht="12.95" hidden="false" customHeight="true" outlineLevel="0" collapsed="false"/>
    <row r="131" customFormat="false" ht="12.95" hidden="false" customHeight="true" outlineLevel="0" collapsed="false"/>
    <row r="132" customFormat="false" ht="12.95" hidden="false" customHeight="true" outlineLevel="0" collapsed="false"/>
    <row r="133" customFormat="false" ht="12.95" hidden="false" customHeight="true" outlineLevel="0" collapsed="false"/>
    <row r="134" customFormat="false" ht="12.95" hidden="false" customHeight="true" outlineLevel="0" collapsed="false"/>
    <row r="135" customFormat="false" ht="12.95" hidden="false" customHeight="true" outlineLevel="0" collapsed="false"/>
    <row r="136" customFormat="false" ht="12.95" hidden="false" customHeight="true" outlineLevel="0" collapsed="false"/>
    <row r="137" customFormat="false" ht="12.95" hidden="false" customHeight="true" outlineLevel="0" collapsed="false"/>
    <row r="138" customFormat="false" ht="12.95" hidden="false" customHeight="true" outlineLevel="0" collapsed="false"/>
    <row r="139" customFormat="false" ht="12.95" hidden="false" customHeight="true" outlineLevel="0" collapsed="false"/>
    <row r="140" customFormat="false" ht="12.95" hidden="false" customHeight="true" outlineLevel="0" collapsed="false"/>
    <row r="141" customFormat="false" ht="12.95" hidden="false" customHeight="true" outlineLevel="0" collapsed="false"/>
    <row r="142" customFormat="false" ht="12.95" hidden="false" customHeight="true" outlineLevel="0" collapsed="false"/>
    <row r="143" customFormat="false" ht="12.95" hidden="false" customHeight="true" outlineLevel="0" collapsed="false"/>
    <row r="144" customFormat="false" ht="12.95" hidden="false" customHeight="true" outlineLevel="0" collapsed="false"/>
    <row r="145" customFormat="false" ht="12.95" hidden="false" customHeight="true" outlineLevel="0" collapsed="false"/>
  </sheetData>
  <mergeCells count="18">
    <mergeCell ref="U7:W7"/>
    <mergeCell ref="X7:Y7"/>
    <mergeCell ref="E8:F8"/>
    <mergeCell ref="I8:K8"/>
    <mergeCell ref="L8:N8"/>
    <mergeCell ref="O8:Q8"/>
    <mergeCell ref="B29:C29"/>
    <mergeCell ref="D29:F29"/>
    <mergeCell ref="G29:H29"/>
    <mergeCell ref="J29:K29"/>
    <mergeCell ref="P29:W29"/>
    <mergeCell ref="X29:Y29"/>
    <mergeCell ref="B30:C30"/>
    <mergeCell ref="D30:F30"/>
    <mergeCell ref="G30:H30"/>
    <mergeCell ref="J30:K30"/>
    <mergeCell ref="P30:W30"/>
    <mergeCell ref="X30:Y30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3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B6" activeCellId="0" sqref="B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9" width="30.7"/>
    <col collapsed="false" customWidth="true" hidden="false" outlineLevel="0" max="2" min="2" style="209" width="10.41"/>
    <col collapsed="false" customWidth="true" hidden="false" outlineLevel="0" max="3" min="3" style="209" width="12.56"/>
    <col collapsed="false" customWidth="true" hidden="false" outlineLevel="0" max="4" min="4" style="209" width="8.41"/>
    <col collapsed="false" customWidth="true" hidden="false" outlineLevel="0" max="6" min="5" style="209" width="10.28"/>
    <col collapsed="false" customWidth="true" hidden="false" outlineLevel="0" max="7" min="7" style="209" width="11.42"/>
    <col collapsed="false" customWidth="true" hidden="false" outlineLevel="0" max="8" min="8" style="209" width="11.56"/>
    <col collapsed="false" customWidth="true" hidden="true" outlineLevel="0" max="9" min="9" style="209" width="11.56"/>
    <col collapsed="false" customWidth="true" hidden="false" outlineLevel="0" max="10" min="10" style="209" width="10.41"/>
    <col collapsed="false" customWidth="true" hidden="false" outlineLevel="0" max="11" min="11" style="209" width="7.85"/>
    <col collapsed="false" customWidth="true" hidden="false" outlineLevel="0" max="13" min="12" style="209" width="8.28"/>
    <col collapsed="false" customWidth="true" hidden="false" outlineLevel="0" max="14" min="14" style="209" width="7.7"/>
    <col collapsed="false" customWidth="true" hidden="false" outlineLevel="0" max="15" min="15" style="209" width="8.14"/>
    <col collapsed="false" customWidth="true" hidden="false" outlineLevel="0" max="16" min="16" style="209" width="9.28"/>
    <col collapsed="false" customWidth="true" hidden="false" outlineLevel="0" max="18" min="17" style="209" width="8.85"/>
    <col collapsed="false" customWidth="true" hidden="false" outlineLevel="0" max="19" min="19" style="209" width="10.13"/>
    <col collapsed="false" customWidth="true" hidden="false" outlineLevel="0" max="20" min="20" style="209" width="9.85"/>
    <col collapsed="false" customWidth="true" hidden="false" outlineLevel="0" max="21" min="21" style="209" width="9.41"/>
    <col collapsed="false" customWidth="true" hidden="false" outlineLevel="0" max="22" min="22" style="209" width="8.85"/>
    <col collapsed="false" customWidth="true" hidden="false" outlineLevel="0" max="23" min="23" style="209" width="9.85"/>
    <col collapsed="false" customWidth="true" hidden="false" outlineLevel="0" max="25" min="24" style="209" width="11.28"/>
    <col collapsed="false" customWidth="true" hidden="false" outlineLevel="0" max="26" min="26" style="209" width="8.56"/>
    <col collapsed="false" customWidth="true" hidden="false" outlineLevel="0" max="27" min="27" style="209" width="11.28"/>
    <col collapsed="false" customWidth="false" hidden="false" outlineLevel="0" max="29" min="28" style="209" width="9.14"/>
    <col collapsed="false" customWidth="true" hidden="false" outlineLevel="0" max="30" min="30" style="209" width="9.85"/>
    <col collapsed="false" customWidth="true" hidden="false" outlineLevel="0" max="31" min="31" style="209" width="11.85"/>
    <col collapsed="false" customWidth="true" hidden="false" outlineLevel="0" max="32" min="32" style="209" width="12.7"/>
    <col collapsed="false" customWidth="true" hidden="false" outlineLevel="0" max="33" min="33" style="209" width="12.56"/>
    <col collapsed="false" customWidth="false" hidden="false" outlineLevel="0" max="46" min="34" style="209" width="9.14"/>
    <col collapsed="false" customWidth="true" hidden="false" outlineLevel="0" max="47" min="47" style="209" width="13.99"/>
    <col collapsed="false" customWidth="false" hidden="false" outlineLevel="0" max="51" min="48" style="209" width="9.14"/>
    <col collapsed="false" customWidth="true" hidden="false" outlineLevel="0" max="52" min="52" style="209" width="9.85"/>
    <col collapsed="false" customWidth="false" hidden="false" outlineLevel="0" max="257" min="53" style="209" width="9.14"/>
  </cols>
  <sheetData>
    <row r="1" customFormat="false" ht="18" hidden="false" customHeight="false" outlineLevel="0" collapsed="false">
      <c r="A1" s="73" t="s">
        <v>611</v>
      </c>
      <c r="B1" s="73"/>
      <c r="C1" s="73"/>
    </row>
    <row r="2" customFormat="false" ht="15" hidden="false" customHeight="true" outlineLevel="0" collapsed="false">
      <c r="A2" s="3" t="s">
        <v>1</v>
      </c>
      <c r="B2" s="3"/>
      <c r="C2" s="3"/>
    </row>
    <row r="3" customFormat="false" ht="12.75" hidden="false" customHeight="false" outlineLevel="0" collapsed="false">
      <c r="A3" s="74" t="s">
        <v>612</v>
      </c>
      <c r="B3" s="210"/>
      <c r="C3" s="210"/>
    </row>
    <row r="4" customFormat="false" ht="11.25" hidden="true" customHeight="false" outlineLevel="0" collapsed="false">
      <c r="A4" s="211" t="s">
        <v>137</v>
      </c>
      <c r="B4" s="211"/>
      <c r="C4" s="211" t="s">
        <v>613</v>
      </c>
      <c r="D4" s="211"/>
      <c r="E4" s="211"/>
      <c r="F4" s="211"/>
      <c r="G4" s="211"/>
      <c r="H4" s="211" t="s">
        <v>614</v>
      </c>
      <c r="I4" s="211" t="s">
        <v>615</v>
      </c>
      <c r="J4" s="211" t="s">
        <v>616</v>
      </c>
      <c r="K4" s="211" t="s">
        <v>617</v>
      </c>
      <c r="L4" s="211" t="s">
        <v>618</v>
      </c>
      <c r="M4" s="211" t="s">
        <v>619</v>
      </c>
      <c r="N4" s="211" t="s">
        <v>620</v>
      </c>
      <c r="O4" s="211" t="s">
        <v>621</v>
      </c>
      <c r="P4" s="211" t="s">
        <v>622</v>
      </c>
      <c r="Q4" s="211" t="s">
        <v>623</v>
      </c>
      <c r="R4" s="211" t="s">
        <v>150</v>
      </c>
      <c r="S4" s="211" t="s">
        <v>624</v>
      </c>
      <c r="T4" s="211" t="s">
        <v>507</v>
      </c>
      <c r="U4" s="211" t="s">
        <v>153</v>
      </c>
      <c r="V4" s="211" t="s">
        <v>154</v>
      </c>
      <c r="W4" s="211" t="s">
        <v>625</v>
      </c>
      <c r="X4" s="211" t="s">
        <v>508</v>
      </c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1"/>
      <c r="AP4" s="211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1"/>
      <c r="BC4" s="211"/>
      <c r="BD4" s="211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11"/>
      <c r="CM4" s="211"/>
      <c r="CN4" s="211"/>
      <c r="CO4" s="211"/>
      <c r="CP4" s="211"/>
      <c r="CQ4" s="211"/>
      <c r="CR4" s="211"/>
      <c r="CS4" s="211"/>
      <c r="CT4" s="211"/>
      <c r="CU4" s="211"/>
      <c r="CV4" s="211"/>
      <c r="CW4" s="211"/>
      <c r="CX4" s="211"/>
      <c r="CY4" s="211"/>
      <c r="CZ4" s="211"/>
      <c r="DA4" s="211"/>
      <c r="DB4" s="211"/>
      <c r="DC4" s="211"/>
      <c r="DD4" s="211"/>
      <c r="DE4" s="211"/>
      <c r="DF4" s="211"/>
      <c r="DG4" s="211"/>
      <c r="DH4" s="211"/>
      <c r="DI4" s="211"/>
      <c r="DJ4" s="211"/>
      <c r="DK4" s="211"/>
      <c r="DL4" s="211"/>
      <c r="DM4" s="211"/>
      <c r="DN4" s="211"/>
      <c r="DO4" s="211"/>
      <c r="DP4" s="211"/>
      <c r="DQ4" s="211"/>
      <c r="DR4" s="211"/>
      <c r="DS4" s="211"/>
      <c r="DT4" s="211"/>
      <c r="DU4" s="211"/>
      <c r="DV4" s="211"/>
      <c r="DW4" s="211"/>
      <c r="DX4" s="211"/>
      <c r="DY4" s="211"/>
      <c r="DZ4" s="211"/>
      <c r="EA4" s="211"/>
      <c r="EB4" s="211"/>
      <c r="EC4" s="211"/>
      <c r="ED4" s="211"/>
      <c r="EE4" s="211"/>
      <c r="EF4" s="211"/>
      <c r="EG4" s="211"/>
      <c r="EH4" s="211"/>
      <c r="EI4" s="211"/>
      <c r="EJ4" s="211"/>
      <c r="EK4" s="211"/>
      <c r="EL4" s="211"/>
      <c r="EM4" s="211"/>
      <c r="EN4" s="211"/>
      <c r="EO4" s="211"/>
      <c r="EP4" s="211"/>
      <c r="EQ4" s="211"/>
      <c r="ER4" s="211"/>
      <c r="ES4" s="211"/>
      <c r="ET4" s="211"/>
      <c r="EU4" s="211"/>
      <c r="EV4" s="211"/>
      <c r="EW4" s="211"/>
      <c r="EX4" s="211"/>
      <c r="EY4" s="211"/>
      <c r="EZ4" s="211"/>
      <c r="FA4" s="211"/>
      <c r="FB4" s="211"/>
      <c r="FC4" s="211"/>
      <c r="FD4" s="211"/>
      <c r="FE4" s="211"/>
      <c r="FF4" s="211"/>
      <c r="FG4" s="211"/>
      <c r="FH4" s="211"/>
      <c r="FI4" s="211"/>
      <c r="FJ4" s="211"/>
      <c r="FK4" s="211"/>
      <c r="FL4" s="211"/>
      <c r="FM4" s="211"/>
      <c r="FN4" s="211"/>
      <c r="FO4" s="211"/>
      <c r="FP4" s="211"/>
      <c r="FQ4" s="211"/>
      <c r="FR4" s="211"/>
      <c r="FS4" s="211"/>
      <c r="FT4" s="211"/>
      <c r="FU4" s="211"/>
      <c r="FV4" s="211"/>
      <c r="FW4" s="211"/>
      <c r="FX4" s="211"/>
      <c r="FY4" s="211"/>
      <c r="FZ4" s="211"/>
      <c r="GA4" s="211"/>
      <c r="GB4" s="211"/>
      <c r="GC4" s="211"/>
      <c r="GD4" s="211"/>
      <c r="GE4" s="211"/>
      <c r="GF4" s="211"/>
      <c r="GG4" s="211"/>
      <c r="GH4" s="211"/>
      <c r="GI4" s="211"/>
      <c r="GJ4" s="211"/>
      <c r="GK4" s="211"/>
      <c r="GL4" s="211"/>
      <c r="GM4" s="211"/>
      <c r="GN4" s="211"/>
      <c r="GO4" s="211"/>
      <c r="GP4" s="211"/>
      <c r="GQ4" s="211"/>
      <c r="GR4" s="211"/>
      <c r="GS4" s="211"/>
      <c r="GT4" s="211"/>
      <c r="GU4" s="211"/>
      <c r="GV4" s="211"/>
      <c r="GW4" s="211"/>
      <c r="GX4" s="211"/>
      <c r="GY4" s="211"/>
      <c r="GZ4" s="211"/>
      <c r="HA4" s="211"/>
      <c r="HB4" s="211"/>
      <c r="HC4" s="211"/>
      <c r="HD4" s="211"/>
      <c r="HE4" s="211"/>
      <c r="HF4" s="211"/>
      <c r="HG4" s="211"/>
      <c r="HH4" s="211"/>
      <c r="HI4" s="211"/>
      <c r="HJ4" s="211"/>
      <c r="HK4" s="211"/>
      <c r="HL4" s="211"/>
      <c r="HM4" s="211"/>
      <c r="HN4" s="211"/>
      <c r="HO4" s="211"/>
      <c r="HP4" s="211"/>
      <c r="HQ4" s="211"/>
      <c r="HR4" s="211"/>
      <c r="HS4" s="211"/>
      <c r="HT4" s="211"/>
      <c r="HU4" s="211"/>
      <c r="HV4" s="211"/>
      <c r="HW4" s="211"/>
      <c r="HX4" s="211"/>
      <c r="HY4" s="211"/>
      <c r="HZ4" s="211"/>
      <c r="IA4" s="211"/>
      <c r="IB4" s="211"/>
      <c r="IC4" s="211"/>
      <c r="ID4" s="211"/>
      <c r="IE4" s="211"/>
      <c r="IF4" s="211"/>
      <c r="IG4" s="211"/>
      <c r="IH4" s="211"/>
      <c r="II4" s="211"/>
      <c r="IJ4" s="211"/>
      <c r="IK4" s="211"/>
      <c r="IL4" s="211"/>
      <c r="IM4" s="211"/>
      <c r="IN4" s="211"/>
      <c r="IO4" s="211"/>
      <c r="IP4" s="211"/>
      <c r="IQ4" s="211"/>
      <c r="IR4" s="211"/>
      <c r="IS4" s="211"/>
      <c r="IT4" s="211"/>
      <c r="IU4" s="211"/>
      <c r="IV4" s="211"/>
      <c r="IW4" s="211"/>
    </row>
    <row r="5" customFormat="false" ht="11.25" hidden="false" customHeight="false" outlineLevel="0" collapsed="false">
      <c r="A5" s="212"/>
      <c r="B5" s="212"/>
      <c r="C5" s="212"/>
      <c r="D5" s="213"/>
      <c r="E5" s="213"/>
      <c r="F5" s="213"/>
      <c r="G5" s="214"/>
      <c r="H5" s="215"/>
      <c r="I5" s="215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3"/>
      <c r="AP5" s="213"/>
      <c r="AQ5" s="213"/>
      <c r="AR5" s="213"/>
      <c r="AS5" s="213"/>
      <c r="AT5" s="213"/>
      <c r="AU5" s="213"/>
      <c r="AV5" s="213"/>
      <c r="AW5" s="213"/>
      <c r="AX5" s="213"/>
      <c r="AY5" s="213"/>
      <c r="AZ5" s="213"/>
      <c r="BA5" s="213"/>
      <c r="BB5" s="213"/>
      <c r="BC5" s="213"/>
      <c r="BD5" s="213"/>
      <c r="BE5" s="213"/>
      <c r="BF5" s="213"/>
      <c r="BG5" s="213"/>
      <c r="BH5" s="213"/>
      <c r="BI5" s="213"/>
      <c r="BJ5" s="213"/>
      <c r="BK5" s="213"/>
      <c r="BL5" s="213"/>
      <c r="BM5" s="213"/>
      <c r="BN5" s="213"/>
      <c r="BO5" s="213"/>
      <c r="BP5" s="213"/>
      <c r="BQ5" s="213"/>
      <c r="BR5" s="213"/>
      <c r="BS5" s="213"/>
      <c r="BT5" s="213"/>
      <c r="BU5" s="213"/>
      <c r="BV5" s="213"/>
      <c r="BW5" s="213"/>
      <c r="BX5" s="213"/>
      <c r="BY5" s="213"/>
      <c r="BZ5" s="213"/>
      <c r="CA5" s="213"/>
      <c r="CB5" s="213"/>
      <c r="CC5" s="213"/>
      <c r="CD5" s="213"/>
      <c r="CE5" s="213"/>
      <c r="CF5" s="213"/>
      <c r="CG5" s="213"/>
      <c r="CH5" s="213"/>
      <c r="CI5" s="213"/>
      <c r="CJ5" s="213"/>
      <c r="CK5" s="213"/>
      <c r="CL5" s="213"/>
      <c r="CM5" s="213"/>
      <c r="CN5" s="213"/>
      <c r="CO5" s="213"/>
      <c r="CP5" s="213"/>
      <c r="CQ5" s="213"/>
      <c r="CR5" s="213"/>
      <c r="CS5" s="213"/>
      <c r="CT5" s="213"/>
      <c r="CU5" s="213"/>
      <c r="CV5" s="213"/>
      <c r="CW5" s="213"/>
      <c r="CX5" s="213"/>
      <c r="CY5" s="213"/>
      <c r="CZ5" s="213"/>
      <c r="DA5" s="213"/>
      <c r="DB5" s="213"/>
      <c r="DC5" s="213"/>
      <c r="DD5" s="213"/>
      <c r="DE5" s="213"/>
      <c r="DF5" s="213"/>
      <c r="DG5" s="213"/>
      <c r="DH5" s="213"/>
      <c r="DI5" s="213"/>
      <c r="DJ5" s="213"/>
      <c r="DK5" s="213"/>
      <c r="DL5" s="213"/>
      <c r="DM5" s="213"/>
      <c r="DN5" s="213"/>
      <c r="DO5" s="213"/>
      <c r="DP5" s="213"/>
      <c r="DQ5" s="213"/>
      <c r="DR5" s="213"/>
      <c r="DS5" s="213"/>
      <c r="DT5" s="213"/>
      <c r="DU5" s="213"/>
      <c r="DV5" s="213"/>
      <c r="DW5" s="213"/>
      <c r="DX5" s="213"/>
      <c r="DY5" s="213"/>
      <c r="DZ5" s="213"/>
      <c r="EA5" s="213"/>
      <c r="EB5" s="213"/>
      <c r="EC5" s="213"/>
      <c r="ED5" s="213"/>
      <c r="EE5" s="213"/>
      <c r="EF5" s="213"/>
      <c r="EG5" s="213"/>
      <c r="EH5" s="213"/>
      <c r="EI5" s="213"/>
      <c r="EJ5" s="213"/>
      <c r="EK5" s="213"/>
      <c r="EL5" s="213"/>
      <c r="EM5" s="213"/>
      <c r="EN5" s="213"/>
      <c r="EO5" s="213"/>
      <c r="EP5" s="213"/>
      <c r="EQ5" s="213"/>
      <c r="ER5" s="213"/>
      <c r="ES5" s="213"/>
      <c r="ET5" s="213"/>
      <c r="EU5" s="213"/>
      <c r="EV5" s="213"/>
      <c r="EW5" s="213"/>
      <c r="EX5" s="213"/>
      <c r="EY5" s="213"/>
      <c r="EZ5" s="213"/>
      <c r="FA5" s="213"/>
      <c r="FB5" s="213"/>
      <c r="FC5" s="213"/>
      <c r="FD5" s="213"/>
      <c r="FE5" s="213"/>
      <c r="FF5" s="213"/>
      <c r="FG5" s="213"/>
      <c r="FH5" s="213"/>
      <c r="FI5" s="213"/>
      <c r="FJ5" s="213"/>
      <c r="FK5" s="213"/>
      <c r="FL5" s="213"/>
      <c r="FM5" s="213"/>
      <c r="FN5" s="213"/>
      <c r="FO5" s="213"/>
      <c r="FP5" s="213"/>
      <c r="FQ5" s="213"/>
      <c r="FR5" s="213"/>
      <c r="FS5" s="213"/>
      <c r="FT5" s="213"/>
      <c r="FU5" s="213"/>
      <c r="FV5" s="213"/>
      <c r="FW5" s="213"/>
      <c r="FX5" s="213"/>
      <c r="FY5" s="213"/>
      <c r="FZ5" s="213"/>
      <c r="GA5" s="213"/>
      <c r="GB5" s="213"/>
      <c r="GC5" s="213"/>
      <c r="GD5" s="213"/>
      <c r="GE5" s="213"/>
      <c r="GF5" s="213"/>
      <c r="GG5" s="213"/>
      <c r="GH5" s="213"/>
      <c r="GI5" s="213"/>
      <c r="GJ5" s="213"/>
      <c r="GK5" s="213"/>
      <c r="GL5" s="213"/>
      <c r="GM5" s="213"/>
      <c r="GN5" s="213"/>
      <c r="GO5" s="213"/>
      <c r="GP5" s="213"/>
      <c r="GQ5" s="213"/>
      <c r="GR5" s="213"/>
      <c r="GS5" s="213"/>
      <c r="GT5" s="213"/>
      <c r="GU5" s="213"/>
      <c r="GV5" s="213"/>
      <c r="GW5" s="213"/>
      <c r="GX5" s="213"/>
      <c r="GY5" s="213"/>
      <c r="GZ5" s="213"/>
      <c r="HA5" s="213"/>
      <c r="HB5" s="213"/>
      <c r="HC5" s="213"/>
      <c r="HD5" s="213"/>
      <c r="HE5" s="213"/>
      <c r="HF5" s="213"/>
      <c r="HG5" s="213"/>
      <c r="HH5" s="213"/>
      <c r="HI5" s="213"/>
      <c r="HJ5" s="213"/>
      <c r="HK5" s="213"/>
      <c r="HL5" s="213"/>
      <c r="HM5" s="213"/>
      <c r="HN5" s="213"/>
      <c r="HO5" s="213"/>
      <c r="HP5" s="213"/>
      <c r="HQ5" s="213"/>
      <c r="HR5" s="213"/>
      <c r="HS5" s="213"/>
      <c r="HT5" s="213"/>
      <c r="HU5" s="213"/>
      <c r="HV5" s="213"/>
      <c r="HW5" s="213"/>
      <c r="HX5" s="213"/>
      <c r="HY5" s="213"/>
      <c r="HZ5" s="213"/>
      <c r="IA5" s="213"/>
      <c r="IB5" s="213"/>
      <c r="IC5" s="213"/>
      <c r="ID5" s="213"/>
      <c r="IE5" s="213"/>
      <c r="IF5" s="213"/>
      <c r="IG5" s="213"/>
      <c r="IH5" s="213"/>
      <c r="II5" s="213"/>
      <c r="IJ5" s="213"/>
      <c r="IK5" s="213"/>
      <c r="IL5" s="213"/>
      <c r="IM5" s="213"/>
      <c r="IN5" s="213"/>
      <c r="IO5" s="213"/>
      <c r="IP5" s="213"/>
      <c r="IQ5" s="213"/>
      <c r="IR5" s="213"/>
      <c r="IS5" s="213"/>
      <c r="IT5" s="213"/>
      <c r="IU5" s="213"/>
      <c r="IV5" s="213"/>
      <c r="IW5" s="213"/>
    </row>
    <row r="6" customFormat="false" ht="12.75" hidden="false" customHeight="false" outlineLevel="0" collapsed="false">
      <c r="A6" s="216" t="s">
        <v>626</v>
      </c>
      <c r="B6" s="217" t="n">
        <v>37109</v>
      </c>
      <c r="C6" s="218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20"/>
      <c r="V6" s="221"/>
      <c r="W6" s="221"/>
      <c r="X6" s="222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  <c r="AM6" s="213"/>
      <c r="AN6" s="213"/>
      <c r="AO6" s="213"/>
      <c r="AP6" s="213"/>
      <c r="AQ6" s="213"/>
      <c r="AR6" s="213"/>
      <c r="AS6" s="213"/>
      <c r="AT6" s="213"/>
      <c r="AU6" s="213"/>
      <c r="AV6" s="213"/>
      <c r="AW6" s="213"/>
      <c r="AX6" s="213"/>
      <c r="AY6" s="213"/>
      <c r="AZ6" s="213"/>
      <c r="BA6" s="213"/>
      <c r="BB6" s="213"/>
      <c r="BC6" s="213"/>
      <c r="BD6" s="213"/>
      <c r="BE6" s="213"/>
      <c r="BF6" s="213"/>
      <c r="BG6" s="213"/>
      <c r="BH6" s="213"/>
      <c r="BI6" s="213"/>
      <c r="BJ6" s="213"/>
      <c r="BK6" s="213"/>
      <c r="BL6" s="213"/>
      <c r="BM6" s="213"/>
      <c r="BN6" s="213"/>
      <c r="BO6" s="213"/>
      <c r="BP6" s="213"/>
      <c r="BQ6" s="213"/>
      <c r="BR6" s="213"/>
      <c r="BS6" s="213"/>
      <c r="BT6" s="213"/>
      <c r="BU6" s="213"/>
      <c r="BV6" s="213"/>
      <c r="BW6" s="213"/>
      <c r="BX6" s="213"/>
      <c r="BY6" s="213"/>
      <c r="BZ6" s="213"/>
      <c r="CA6" s="213"/>
      <c r="CB6" s="213"/>
      <c r="CC6" s="213"/>
      <c r="CD6" s="213"/>
      <c r="CE6" s="213"/>
      <c r="CF6" s="213"/>
      <c r="CG6" s="213"/>
      <c r="CH6" s="213"/>
      <c r="CI6" s="213"/>
      <c r="CJ6" s="213"/>
      <c r="CK6" s="213"/>
      <c r="CL6" s="213"/>
      <c r="CM6" s="213"/>
      <c r="CN6" s="213"/>
      <c r="CO6" s="213"/>
      <c r="CP6" s="213"/>
      <c r="CQ6" s="213"/>
      <c r="CR6" s="213"/>
      <c r="CS6" s="213"/>
      <c r="CT6" s="213"/>
      <c r="CU6" s="213"/>
      <c r="CV6" s="213"/>
      <c r="CW6" s="213"/>
      <c r="CX6" s="213"/>
      <c r="CY6" s="213"/>
      <c r="CZ6" s="213"/>
      <c r="DA6" s="213"/>
      <c r="DB6" s="213"/>
      <c r="DC6" s="213"/>
      <c r="DD6" s="213"/>
      <c r="DE6" s="213"/>
      <c r="DF6" s="213"/>
      <c r="DG6" s="213"/>
      <c r="DH6" s="213"/>
      <c r="DI6" s="213"/>
      <c r="DJ6" s="213"/>
      <c r="DK6" s="213"/>
      <c r="DL6" s="213"/>
      <c r="DM6" s="213"/>
      <c r="DN6" s="213"/>
      <c r="DO6" s="213"/>
      <c r="DP6" s="213"/>
      <c r="DQ6" s="213"/>
      <c r="DR6" s="213"/>
      <c r="DS6" s="213"/>
      <c r="DT6" s="213"/>
      <c r="DU6" s="213"/>
      <c r="DV6" s="213"/>
      <c r="DW6" s="213"/>
      <c r="DX6" s="213"/>
      <c r="DY6" s="213"/>
      <c r="DZ6" s="213"/>
      <c r="EA6" s="213"/>
      <c r="EB6" s="213"/>
      <c r="EC6" s="213"/>
      <c r="ED6" s="213"/>
      <c r="EE6" s="213"/>
      <c r="EF6" s="213"/>
      <c r="EG6" s="213"/>
      <c r="EH6" s="213"/>
      <c r="EI6" s="213"/>
      <c r="EJ6" s="213"/>
      <c r="EK6" s="213"/>
      <c r="EL6" s="213"/>
      <c r="EM6" s="213"/>
      <c r="EN6" s="213"/>
      <c r="EO6" s="213"/>
      <c r="EP6" s="213"/>
      <c r="EQ6" s="213"/>
      <c r="ER6" s="213"/>
      <c r="ES6" s="213"/>
      <c r="ET6" s="213"/>
      <c r="EU6" s="213"/>
      <c r="EV6" s="213"/>
      <c r="EW6" s="213"/>
      <c r="EX6" s="213"/>
      <c r="EY6" s="213"/>
      <c r="EZ6" s="213"/>
      <c r="FA6" s="213"/>
      <c r="FB6" s="213"/>
      <c r="FC6" s="213"/>
      <c r="FD6" s="213"/>
      <c r="FE6" s="213"/>
      <c r="FF6" s="213"/>
      <c r="FG6" s="213"/>
      <c r="FH6" s="213"/>
      <c r="FI6" s="213"/>
      <c r="FJ6" s="213"/>
      <c r="FK6" s="213"/>
      <c r="FL6" s="213"/>
      <c r="FM6" s="213"/>
      <c r="FN6" s="213"/>
      <c r="FO6" s="213"/>
      <c r="FP6" s="213"/>
      <c r="FQ6" s="213"/>
      <c r="FR6" s="213"/>
      <c r="FS6" s="213"/>
      <c r="FT6" s="213"/>
      <c r="FU6" s="213"/>
      <c r="FV6" s="213"/>
      <c r="FW6" s="213"/>
      <c r="FX6" s="213"/>
      <c r="FY6" s="213"/>
      <c r="FZ6" s="213"/>
      <c r="GA6" s="213"/>
      <c r="GB6" s="213"/>
      <c r="GC6" s="213"/>
      <c r="GD6" s="213"/>
      <c r="GE6" s="213"/>
      <c r="GF6" s="213"/>
      <c r="GG6" s="213"/>
      <c r="GH6" s="213"/>
      <c r="GI6" s="213"/>
      <c r="GJ6" s="213"/>
      <c r="GK6" s="213"/>
      <c r="GL6" s="213"/>
      <c r="GM6" s="213"/>
      <c r="GN6" s="213"/>
      <c r="GO6" s="213"/>
      <c r="GP6" s="213"/>
      <c r="GQ6" s="213"/>
      <c r="GR6" s="213"/>
      <c r="GS6" s="213"/>
      <c r="GT6" s="213"/>
      <c r="GU6" s="213"/>
      <c r="GV6" s="213"/>
      <c r="GW6" s="213"/>
      <c r="GX6" s="213"/>
      <c r="GY6" s="213"/>
      <c r="GZ6" s="213"/>
      <c r="HA6" s="213"/>
      <c r="HB6" s="213"/>
      <c r="HC6" s="213"/>
      <c r="HD6" s="213"/>
      <c r="HE6" s="213"/>
      <c r="HF6" s="213"/>
      <c r="HG6" s="213"/>
      <c r="HH6" s="213"/>
      <c r="HI6" s="213"/>
      <c r="HJ6" s="213"/>
      <c r="HK6" s="213"/>
      <c r="HL6" s="213"/>
      <c r="HM6" s="213"/>
      <c r="HN6" s="213"/>
      <c r="HO6" s="213"/>
      <c r="HP6" s="213"/>
      <c r="HQ6" s="213"/>
      <c r="HR6" s="213"/>
      <c r="HS6" s="213"/>
      <c r="HT6" s="213"/>
      <c r="HU6" s="213"/>
      <c r="HV6" s="213"/>
      <c r="HW6" s="213"/>
      <c r="HX6" s="213"/>
      <c r="HY6" s="213"/>
      <c r="HZ6" s="213"/>
      <c r="IA6" s="213"/>
      <c r="IB6" s="213"/>
      <c r="IC6" s="213"/>
      <c r="ID6" s="213"/>
      <c r="IE6" s="213"/>
      <c r="IF6" s="213"/>
      <c r="IG6" s="213"/>
      <c r="IH6" s="213"/>
      <c r="II6" s="213"/>
      <c r="IJ6" s="213"/>
      <c r="IK6" s="213"/>
      <c r="IL6" s="213"/>
      <c r="IM6" s="213"/>
      <c r="IN6" s="213"/>
      <c r="IO6" s="213"/>
      <c r="IP6" s="213"/>
      <c r="IQ6" s="213"/>
      <c r="IR6" s="213"/>
      <c r="IS6" s="213"/>
      <c r="IT6" s="213"/>
      <c r="IU6" s="213"/>
      <c r="IV6" s="213"/>
      <c r="IW6" s="213"/>
    </row>
    <row r="7" customFormat="false" ht="12.75" hidden="false" customHeight="false" outlineLevel="0" collapsed="false">
      <c r="A7" s="223"/>
      <c r="B7" s="223"/>
      <c r="C7" s="218"/>
      <c r="D7" s="219"/>
      <c r="E7" s="219"/>
      <c r="F7" s="219"/>
      <c r="G7" s="219"/>
      <c r="H7" s="224" t="s">
        <v>4</v>
      </c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25" t="s">
        <v>5</v>
      </c>
      <c r="V7" s="225"/>
      <c r="W7" s="225"/>
      <c r="X7" s="226" t="s">
        <v>7</v>
      </c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3"/>
      <c r="AQ7" s="213"/>
      <c r="AR7" s="213"/>
      <c r="AS7" s="213"/>
      <c r="AT7" s="213"/>
      <c r="AU7" s="213"/>
      <c r="AV7" s="213"/>
      <c r="AW7" s="213"/>
      <c r="AX7" s="213"/>
      <c r="AY7" s="213"/>
      <c r="AZ7" s="213"/>
      <c r="BA7" s="213"/>
      <c r="BB7" s="213"/>
      <c r="BC7" s="213"/>
      <c r="BD7" s="213"/>
      <c r="BE7" s="213"/>
      <c r="BF7" s="213"/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213"/>
      <c r="BR7" s="213"/>
      <c r="BS7" s="213"/>
      <c r="BT7" s="213"/>
      <c r="BU7" s="213"/>
      <c r="BV7" s="213"/>
      <c r="BW7" s="213"/>
      <c r="BX7" s="213"/>
      <c r="BY7" s="213"/>
      <c r="BZ7" s="213"/>
      <c r="CA7" s="213"/>
      <c r="CB7" s="213"/>
      <c r="CC7" s="213"/>
      <c r="CD7" s="213"/>
      <c r="CE7" s="213"/>
      <c r="CF7" s="213"/>
      <c r="CG7" s="213"/>
      <c r="CH7" s="213"/>
      <c r="CI7" s="213"/>
      <c r="CJ7" s="213"/>
      <c r="CK7" s="213"/>
      <c r="CL7" s="213"/>
      <c r="CM7" s="213"/>
      <c r="CN7" s="213"/>
      <c r="CO7" s="213"/>
      <c r="CP7" s="213"/>
      <c r="CQ7" s="213"/>
      <c r="CR7" s="213"/>
      <c r="CS7" s="213"/>
      <c r="CT7" s="213"/>
      <c r="CU7" s="213"/>
      <c r="CV7" s="213"/>
      <c r="CW7" s="213"/>
      <c r="CX7" s="213"/>
      <c r="CY7" s="213"/>
      <c r="CZ7" s="213"/>
      <c r="DA7" s="213"/>
      <c r="DB7" s="213"/>
      <c r="DC7" s="213"/>
      <c r="DD7" s="213"/>
      <c r="DE7" s="213"/>
      <c r="DF7" s="213"/>
      <c r="DG7" s="213"/>
      <c r="DH7" s="213"/>
      <c r="DI7" s="213"/>
      <c r="DJ7" s="213"/>
      <c r="DK7" s="213"/>
      <c r="DL7" s="213"/>
      <c r="DM7" s="213"/>
      <c r="DN7" s="213"/>
      <c r="DO7" s="213"/>
      <c r="DP7" s="213"/>
      <c r="DQ7" s="213"/>
      <c r="DR7" s="213"/>
      <c r="DS7" s="213"/>
      <c r="DT7" s="213"/>
      <c r="DU7" s="213"/>
      <c r="DV7" s="213"/>
      <c r="DW7" s="213"/>
      <c r="DX7" s="213"/>
      <c r="DY7" s="213"/>
      <c r="DZ7" s="213"/>
      <c r="EA7" s="213"/>
      <c r="EB7" s="213"/>
      <c r="EC7" s="213"/>
      <c r="ED7" s="213"/>
      <c r="EE7" s="213"/>
      <c r="EF7" s="213"/>
      <c r="EG7" s="213"/>
      <c r="EH7" s="213"/>
      <c r="EI7" s="213"/>
      <c r="EJ7" s="213"/>
      <c r="EK7" s="213"/>
      <c r="EL7" s="213"/>
      <c r="EM7" s="213"/>
      <c r="EN7" s="213"/>
      <c r="EO7" s="213"/>
      <c r="EP7" s="213"/>
      <c r="EQ7" s="213"/>
      <c r="ER7" s="213"/>
      <c r="ES7" s="213"/>
      <c r="ET7" s="213"/>
      <c r="EU7" s="213"/>
      <c r="EV7" s="213"/>
      <c r="EW7" s="213"/>
      <c r="EX7" s="213"/>
      <c r="EY7" s="213"/>
      <c r="EZ7" s="213"/>
      <c r="FA7" s="213"/>
      <c r="FB7" s="213"/>
      <c r="FC7" s="213"/>
      <c r="FD7" s="213"/>
      <c r="FE7" s="213"/>
      <c r="FF7" s="213"/>
      <c r="FG7" s="213"/>
      <c r="FH7" s="213"/>
      <c r="FI7" s="213"/>
      <c r="FJ7" s="213"/>
      <c r="FK7" s="213"/>
      <c r="FL7" s="213"/>
      <c r="FM7" s="213"/>
      <c r="FN7" s="213"/>
      <c r="FO7" s="213"/>
      <c r="FP7" s="213"/>
      <c r="FQ7" s="213"/>
      <c r="FR7" s="213"/>
      <c r="FS7" s="213"/>
      <c r="FT7" s="213"/>
      <c r="FU7" s="213"/>
      <c r="FV7" s="213"/>
      <c r="FW7" s="213"/>
      <c r="FX7" s="213"/>
      <c r="FY7" s="213"/>
      <c r="FZ7" s="213"/>
      <c r="GA7" s="213"/>
      <c r="GB7" s="213"/>
      <c r="GC7" s="213"/>
      <c r="GD7" s="213"/>
      <c r="GE7" s="213"/>
      <c r="GF7" s="213"/>
      <c r="GG7" s="213"/>
      <c r="GH7" s="213"/>
      <c r="GI7" s="213"/>
      <c r="GJ7" s="213"/>
      <c r="GK7" s="213"/>
      <c r="GL7" s="213"/>
      <c r="GM7" s="213"/>
      <c r="GN7" s="213"/>
      <c r="GO7" s="213"/>
      <c r="GP7" s="213"/>
      <c r="GQ7" s="213"/>
      <c r="GR7" s="213"/>
      <c r="GS7" s="213"/>
      <c r="GT7" s="213"/>
      <c r="GU7" s="213"/>
      <c r="GV7" s="213"/>
      <c r="GW7" s="213"/>
      <c r="GX7" s="213"/>
      <c r="GY7" s="213"/>
      <c r="GZ7" s="213"/>
      <c r="HA7" s="213"/>
      <c r="HB7" s="213"/>
      <c r="HC7" s="213"/>
      <c r="HD7" s="213"/>
      <c r="HE7" s="213"/>
      <c r="HF7" s="213"/>
      <c r="HG7" s="213"/>
      <c r="HH7" s="213"/>
      <c r="HI7" s="213"/>
      <c r="HJ7" s="213"/>
      <c r="HK7" s="213"/>
      <c r="HL7" s="213"/>
      <c r="HM7" s="213"/>
      <c r="HN7" s="213"/>
      <c r="HO7" s="213"/>
      <c r="HP7" s="213"/>
      <c r="HQ7" s="213"/>
      <c r="HR7" s="213"/>
      <c r="HS7" s="213"/>
      <c r="HT7" s="213"/>
      <c r="HU7" s="213"/>
      <c r="HV7" s="213"/>
      <c r="HW7" s="213"/>
      <c r="HX7" s="213"/>
      <c r="HY7" s="213"/>
      <c r="HZ7" s="213"/>
      <c r="IA7" s="213"/>
      <c r="IB7" s="213"/>
      <c r="IC7" s="213"/>
      <c r="ID7" s="213"/>
      <c r="IE7" s="213"/>
      <c r="IF7" s="213"/>
      <c r="IG7" s="213"/>
      <c r="IH7" s="213"/>
      <c r="II7" s="213"/>
      <c r="IJ7" s="213"/>
      <c r="IK7" s="213"/>
      <c r="IL7" s="213"/>
      <c r="IM7" s="213"/>
      <c r="IN7" s="213"/>
      <c r="IO7" s="213"/>
      <c r="IP7" s="213"/>
      <c r="IQ7" s="213"/>
      <c r="IR7" s="213"/>
      <c r="IS7" s="213"/>
      <c r="IT7" s="213"/>
      <c r="IU7" s="213"/>
      <c r="IV7" s="213"/>
      <c r="IW7" s="213"/>
    </row>
    <row r="8" customFormat="false" ht="12.75" hidden="false" customHeight="false" outlineLevel="0" collapsed="false">
      <c r="A8" s="211"/>
      <c r="B8" s="211"/>
      <c r="C8" s="227" t="s">
        <v>8</v>
      </c>
      <c r="D8" s="227" t="s">
        <v>9</v>
      </c>
      <c r="E8" s="224" t="s">
        <v>10</v>
      </c>
      <c r="F8" s="224"/>
      <c r="G8" s="227" t="s">
        <v>11</v>
      </c>
      <c r="H8" s="227" t="s">
        <v>11</v>
      </c>
      <c r="I8" s="224" t="s">
        <v>627</v>
      </c>
      <c r="J8" s="224"/>
      <c r="K8" s="224"/>
      <c r="L8" s="224" t="s">
        <v>628</v>
      </c>
      <c r="M8" s="224"/>
      <c r="N8" s="224"/>
      <c r="O8" s="224" t="s">
        <v>14</v>
      </c>
      <c r="P8" s="224"/>
      <c r="Q8" s="224"/>
      <c r="R8" s="227" t="s">
        <v>15</v>
      </c>
      <c r="S8" s="228" t="s">
        <v>629</v>
      </c>
      <c r="T8" s="227" t="s">
        <v>17</v>
      </c>
      <c r="U8" s="227" t="s">
        <v>18</v>
      </c>
      <c r="V8" s="227"/>
      <c r="W8" s="227" t="s">
        <v>19</v>
      </c>
      <c r="X8" s="227" t="s">
        <v>630</v>
      </c>
      <c r="Y8" s="213"/>
      <c r="Z8" s="213"/>
      <c r="AA8" s="213"/>
      <c r="AB8" s="213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3"/>
      <c r="AO8" s="213"/>
      <c r="AP8" s="213"/>
      <c r="AQ8" s="213"/>
      <c r="AR8" s="213"/>
      <c r="AS8" s="213"/>
      <c r="AT8" s="213"/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213"/>
      <c r="BR8" s="213"/>
      <c r="BS8" s="213"/>
      <c r="BT8" s="213"/>
      <c r="BU8" s="213"/>
      <c r="BV8" s="213"/>
      <c r="BW8" s="213"/>
      <c r="BX8" s="213"/>
      <c r="BY8" s="213"/>
      <c r="BZ8" s="213"/>
      <c r="CA8" s="213"/>
      <c r="CB8" s="213"/>
      <c r="CC8" s="213"/>
      <c r="CD8" s="213"/>
      <c r="CE8" s="213"/>
      <c r="CF8" s="213"/>
      <c r="CG8" s="213"/>
      <c r="CH8" s="213"/>
      <c r="CI8" s="213"/>
      <c r="CJ8" s="213"/>
      <c r="CK8" s="213"/>
      <c r="CL8" s="213"/>
      <c r="CM8" s="213"/>
      <c r="CN8" s="213"/>
      <c r="CO8" s="213"/>
      <c r="CP8" s="213"/>
      <c r="CQ8" s="213"/>
      <c r="CR8" s="213"/>
      <c r="CS8" s="213"/>
      <c r="CT8" s="213"/>
      <c r="CU8" s="213"/>
      <c r="CV8" s="213"/>
      <c r="CW8" s="213"/>
      <c r="CX8" s="213"/>
      <c r="CY8" s="213"/>
      <c r="CZ8" s="213"/>
      <c r="DA8" s="213"/>
      <c r="DB8" s="213"/>
      <c r="DC8" s="213"/>
      <c r="DD8" s="213"/>
      <c r="DE8" s="213"/>
      <c r="DF8" s="213"/>
      <c r="DG8" s="213"/>
      <c r="DH8" s="213"/>
      <c r="DI8" s="213"/>
      <c r="DJ8" s="213"/>
      <c r="DK8" s="213"/>
      <c r="DL8" s="213"/>
      <c r="DM8" s="213"/>
      <c r="DN8" s="213"/>
      <c r="DO8" s="213"/>
      <c r="DP8" s="213"/>
      <c r="DQ8" s="213"/>
      <c r="DR8" s="213"/>
      <c r="DS8" s="213"/>
      <c r="DT8" s="213"/>
      <c r="DU8" s="213"/>
      <c r="DV8" s="213"/>
      <c r="DW8" s="213"/>
      <c r="DX8" s="213"/>
      <c r="DY8" s="213"/>
      <c r="DZ8" s="213"/>
      <c r="EA8" s="213"/>
      <c r="EB8" s="213"/>
      <c r="EC8" s="213"/>
      <c r="ED8" s="213"/>
      <c r="EE8" s="213"/>
      <c r="EF8" s="213"/>
      <c r="EG8" s="213"/>
      <c r="EH8" s="213"/>
      <c r="EI8" s="213"/>
      <c r="EJ8" s="213"/>
      <c r="EK8" s="213"/>
      <c r="EL8" s="213"/>
      <c r="EM8" s="213"/>
      <c r="EN8" s="213"/>
      <c r="EO8" s="213"/>
      <c r="EP8" s="213"/>
      <c r="EQ8" s="213"/>
      <c r="ER8" s="213"/>
      <c r="ES8" s="213"/>
      <c r="ET8" s="213"/>
      <c r="EU8" s="213"/>
      <c r="EV8" s="213"/>
      <c r="EW8" s="213"/>
      <c r="EX8" s="213"/>
      <c r="EY8" s="213"/>
      <c r="EZ8" s="213"/>
      <c r="FA8" s="213"/>
      <c r="FB8" s="213"/>
      <c r="FC8" s="213"/>
      <c r="FD8" s="213"/>
      <c r="FE8" s="213"/>
      <c r="FF8" s="213"/>
      <c r="FG8" s="213"/>
      <c r="FH8" s="213"/>
      <c r="FI8" s="213"/>
      <c r="FJ8" s="213"/>
      <c r="FK8" s="213"/>
      <c r="FL8" s="213"/>
      <c r="FM8" s="213"/>
      <c r="FN8" s="213"/>
      <c r="FO8" s="213"/>
      <c r="FP8" s="213"/>
      <c r="FQ8" s="213"/>
      <c r="FR8" s="213"/>
      <c r="FS8" s="213"/>
      <c r="FT8" s="213"/>
      <c r="FU8" s="213"/>
      <c r="FV8" s="213"/>
      <c r="FW8" s="213"/>
      <c r="FX8" s="213"/>
      <c r="FY8" s="213"/>
      <c r="FZ8" s="213"/>
      <c r="GA8" s="213"/>
      <c r="GB8" s="213"/>
      <c r="GC8" s="213"/>
      <c r="GD8" s="213"/>
      <c r="GE8" s="213"/>
      <c r="GF8" s="213"/>
      <c r="GG8" s="213"/>
      <c r="GH8" s="213"/>
      <c r="GI8" s="213"/>
      <c r="GJ8" s="213"/>
      <c r="GK8" s="213"/>
      <c r="GL8" s="213"/>
      <c r="GM8" s="213"/>
      <c r="GN8" s="213"/>
      <c r="GO8" s="213"/>
      <c r="GP8" s="213"/>
      <c r="GQ8" s="213"/>
      <c r="GR8" s="213"/>
      <c r="GS8" s="213"/>
      <c r="GT8" s="213"/>
      <c r="GU8" s="213"/>
      <c r="GV8" s="213"/>
      <c r="GW8" s="213"/>
      <c r="GX8" s="213"/>
      <c r="GY8" s="213"/>
      <c r="GZ8" s="213"/>
      <c r="HA8" s="213"/>
      <c r="HB8" s="213"/>
      <c r="HC8" s="213"/>
      <c r="HD8" s="213"/>
      <c r="HE8" s="213"/>
      <c r="HF8" s="213"/>
      <c r="HG8" s="213"/>
      <c r="HH8" s="213"/>
      <c r="HI8" s="213"/>
      <c r="HJ8" s="213"/>
      <c r="HK8" s="213"/>
      <c r="HL8" s="213"/>
      <c r="HM8" s="213"/>
      <c r="HN8" s="213"/>
      <c r="HO8" s="213"/>
      <c r="HP8" s="213"/>
      <c r="HQ8" s="213"/>
      <c r="HR8" s="213"/>
      <c r="HS8" s="213"/>
      <c r="HT8" s="213"/>
      <c r="HU8" s="213"/>
      <c r="HV8" s="213"/>
      <c r="HW8" s="213"/>
      <c r="HX8" s="213"/>
      <c r="HY8" s="213"/>
      <c r="HZ8" s="213"/>
      <c r="IA8" s="213"/>
      <c r="IB8" s="213"/>
      <c r="IC8" s="213"/>
      <c r="ID8" s="213"/>
      <c r="IE8" s="213"/>
      <c r="IF8" s="213"/>
      <c r="IG8" s="213"/>
      <c r="IH8" s="213"/>
      <c r="II8" s="213"/>
      <c r="IJ8" s="213"/>
      <c r="IK8" s="213"/>
      <c r="IL8" s="213"/>
      <c r="IM8" s="213"/>
      <c r="IN8" s="213"/>
      <c r="IO8" s="213"/>
      <c r="IP8" s="213"/>
      <c r="IQ8" s="213"/>
      <c r="IR8" s="213"/>
      <c r="IS8" s="213"/>
      <c r="IT8" s="213"/>
      <c r="IU8" s="213"/>
      <c r="IV8" s="213"/>
      <c r="IW8" s="213"/>
    </row>
    <row r="9" customFormat="false" ht="11.25" hidden="false" customHeight="false" outlineLevel="0" collapsed="false">
      <c r="A9" s="224" t="s">
        <v>22</v>
      </c>
      <c r="B9" s="224"/>
      <c r="C9" s="224" t="s">
        <v>24</v>
      </c>
      <c r="D9" s="224" t="s">
        <v>25</v>
      </c>
      <c r="E9" s="224" t="s">
        <v>26</v>
      </c>
      <c r="F9" s="224" t="s">
        <v>27</v>
      </c>
      <c r="G9" s="224" t="s">
        <v>28</v>
      </c>
      <c r="H9" s="224" t="s">
        <v>28</v>
      </c>
      <c r="I9" s="224" t="s">
        <v>29</v>
      </c>
      <c r="J9" s="224" t="s">
        <v>30</v>
      </c>
      <c r="K9" s="224" t="s">
        <v>31</v>
      </c>
      <c r="L9" s="226" t="s">
        <v>29</v>
      </c>
      <c r="M9" s="224" t="s">
        <v>30</v>
      </c>
      <c r="N9" s="224" t="s">
        <v>31</v>
      </c>
      <c r="O9" s="224" t="s">
        <v>29</v>
      </c>
      <c r="P9" s="224" t="s">
        <v>30</v>
      </c>
      <c r="Q9" s="224" t="s">
        <v>31</v>
      </c>
      <c r="R9" s="224" t="s">
        <v>32</v>
      </c>
      <c r="S9" s="224" t="s">
        <v>631</v>
      </c>
      <c r="T9" s="224" t="s">
        <v>34</v>
      </c>
      <c r="U9" s="224" t="s">
        <v>35</v>
      </c>
      <c r="V9" s="224" t="s">
        <v>36</v>
      </c>
      <c r="W9" s="224" t="s">
        <v>37</v>
      </c>
      <c r="X9" s="224" t="s">
        <v>39</v>
      </c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22"/>
      <c r="BF9" s="222"/>
      <c r="BG9" s="222"/>
      <c r="BH9" s="222"/>
      <c r="BI9" s="222"/>
      <c r="BJ9" s="222"/>
      <c r="BK9" s="222"/>
      <c r="BL9" s="222"/>
      <c r="BM9" s="222"/>
      <c r="BN9" s="222"/>
      <c r="BO9" s="222"/>
      <c r="BP9" s="222"/>
      <c r="BQ9" s="222"/>
      <c r="BR9" s="222"/>
      <c r="BS9" s="222"/>
      <c r="BT9" s="222"/>
      <c r="BU9" s="222"/>
      <c r="BV9" s="222"/>
      <c r="BW9" s="222"/>
      <c r="BX9" s="222"/>
      <c r="BY9" s="222"/>
      <c r="BZ9" s="222"/>
      <c r="CA9" s="222"/>
      <c r="CB9" s="222"/>
      <c r="CC9" s="222"/>
      <c r="CD9" s="222"/>
      <c r="CE9" s="222"/>
      <c r="CF9" s="222"/>
      <c r="CG9" s="222"/>
      <c r="CH9" s="222"/>
      <c r="CI9" s="222"/>
      <c r="CJ9" s="222"/>
      <c r="CK9" s="222"/>
      <c r="CL9" s="222"/>
      <c r="CM9" s="222"/>
      <c r="CN9" s="222"/>
      <c r="CO9" s="222"/>
      <c r="CP9" s="222"/>
      <c r="CQ9" s="222"/>
      <c r="CR9" s="222"/>
      <c r="CS9" s="222"/>
      <c r="CT9" s="222"/>
      <c r="CU9" s="222"/>
      <c r="CV9" s="222"/>
      <c r="CW9" s="222"/>
      <c r="CX9" s="222"/>
      <c r="CY9" s="222"/>
      <c r="CZ9" s="222"/>
      <c r="DA9" s="222"/>
      <c r="DB9" s="222"/>
      <c r="DC9" s="222"/>
      <c r="DD9" s="222"/>
      <c r="DE9" s="222"/>
      <c r="DF9" s="222"/>
      <c r="DG9" s="222"/>
      <c r="DH9" s="222"/>
      <c r="DI9" s="222"/>
      <c r="DJ9" s="222"/>
      <c r="DK9" s="222"/>
      <c r="DL9" s="222"/>
      <c r="DM9" s="222"/>
      <c r="DN9" s="222"/>
      <c r="DO9" s="222"/>
      <c r="DP9" s="222"/>
      <c r="DQ9" s="222"/>
      <c r="DR9" s="222"/>
      <c r="DS9" s="222"/>
      <c r="DT9" s="222"/>
      <c r="DU9" s="222"/>
      <c r="DV9" s="222"/>
      <c r="DW9" s="222"/>
      <c r="DX9" s="222"/>
      <c r="DY9" s="222"/>
      <c r="DZ9" s="222"/>
      <c r="EA9" s="222"/>
      <c r="EB9" s="222"/>
      <c r="EC9" s="222"/>
      <c r="ED9" s="222"/>
      <c r="EE9" s="222"/>
      <c r="EF9" s="222"/>
      <c r="EG9" s="222"/>
      <c r="EH9" s="222"/>
      <c r="EI9" s="222"/>
      <c r="EJ9" s="222"/>
      <c r="EK9" s="222"/>
      <c r="EL9" s="222"/>
      <c r="EM9" s="222"/>
      <c r="EN9" s="222"/>
      <c r="EO9" s="222"/>
      <c r="EP9" s="222"/>
      <c r="EQ9" s="222"/>
      <c r="ER9" s="222"/>
      <c r="ES9" s="222"/>
      <c r="ET9" s="222"/>
      <c r="EU9" s="222"/>
      <c r="EV9" s="222"/>
      <c r="EW9" s="222"/>
      <c r="EX9" s="222"/>
      <c r="EY9" s="222"/>
      <c r="EZ9" s="222"/>
      <c r="FA9" s="222"/>
      <c r="FB9" s="222"/>
      <c r="FC9" s="222"/>
      <c r="FD9" s="222"/>
      <c r="FE9" s="222"/>
      <c r="FF9" s="222"/>
      <c r="FG9" s="222"/>
      <c r="FH9" s="222"/>
      <c r="FI9" s="222"/>
      <c r="FJ9" s="222"/>
      <c r="FK9" s="222"/>
      <c r="FL9" s="222"/>
      <c r="FM9" s="222"/>
      <c r="FN9" s="222"/>
      <c r="FO9" s="222"/>
      <c r="FP9" s="222"/>
      <c r="FQ9" s="222"/>
      <c r="FR9" s="222"/>
      <c r="FS9" s="222"/>
      <c r="FT9" s="222"/>
      <c r="FU9" s="222"/>
      <c r="FV9" s="222"/>
      <c r="FW9" s="222"/>
      <c r="FX9" s="222"/>
      <c r="FY9" s="222"/>
      <c r="FZ9" s="222"/>
      <c r="GA9" s="222"/>
      <c r="GB9" s="222"/>
      <c r="GC9" s="222"/>
      <c r="GD9" s="222"/>
      <c r="GE9" s="222"/>
      <c r="GF9" s="222"/>
      <c r="GG9" s="222"/>
      <c r="GH9" s="222"/>
      <c r="GI9" s="222"/>
      <c r="GJ9" s="222"/>
      <c r="GK9" s="222"/>
      <c r="GL9" s="222"/>
      <c r="GM9" s="222"/>
      <c r="GN9" s="222"/>
      <c r="GO9" s="222"/>
      <c r="GP9" s="222"/>
      <c r="GQ9" s="222"/>
      <c r="GR9" s="222"/>
      <c r="GS9" s="222"/>
      <c r="GT9" s="222"/>
      <c r="GU9" s="222"/>
      <c r="GV9" s="222"/>
      <c r="GW9" s="222"/>
      <c r="GX9" s="222"/>
      <c r="GY9" s="222"/>
      <c r="GZ9" s="222"/>
      <c r="HA9" s="222"/>
      <c r="HB9" s="222"/>
      <c r="HC9" s="222"/>
      <c r="HD9" s="222"/>
      <c r="HE9" s="222"/>
      <c r="HF9" s="222"/>
      <c r="HG9" s="222"/>
      <c r="HH9" s="222"/>
      <c r="HI9" s="222"/>
      <c r="HJ9" s="222"/>
      <c r="HK9" s="222"/>
      <c r="HL9" s="222"/>
      <c r="HM9" s="222"/>
      <c r="HN9" s="222"/>
      <c r="HO9" s="222"/>
      <c r="HP9" s="222"/>
      <c r="HQ9" s="222"/>
      <c r="HR9" s="222"/>
      <c r="HS9" s="222"/>
      <c r="HT9" s="222"/>
      <c r="HU9" s="222"/>
      <c r="HV9" s="222"/>
      <c r="HW9" s="222"/>
      <c r="HX9" s="222"/>
      <c r="HY9" s="222"/>
      <c r="HZ9" s="222"/>
      <c r="IA9" s="222"/>
      <c r="IB9" s="222"/>
      <c r="IC9" s="222"/>
      <c r="ID9" s="222"/>
      <c r="IE9" s="222"/>
      <c r="IF9" s="222"/>
      <c r="IG9" s="222"/>
      <c r="IH9" s="222"/>
      <c r="II9" s="222"/>
      <c r="IJ9" s="222"/>
      <c r="IK9" s="222"/>
      <c r="IL9" s="222"/>
      <c r="IM9" s="222"/>
      <c r="IN9" s="222"/>
      <c r="IO9" s="222"/>
      <c r="IP9" s="222"/>
      <c r="IQ9" s="222"/>
      <c r="IR9" s="222"/>
      <c r="IS9" s="222"/>
      <c r="IT9" s="222"/>
      <c r="IU9" s="222"/>
      <c r="IV9" s="222"/>
      <c r="IW9" s="222"/>
    </row>
    <row r="10" customFormat="false" ht="3" hidden="false" customHeight="true" outlineLevel="0" collapsed="false">
      <c r="A10" s="229" t="s">
        <v>40</v>
      </c>
      <c r="B10" s="229"/>
      <c r="C10" s="229"/>
      <c r="D10" s="229" t="s">
        <v>40</v>
      </c>
      <c r="E10" s="229" t="s">
        <v>40</v>
      </c>
      <c r="F10" s="229" t="s">
        <v>40</v>
      </c>
      <c r="G10" s="229" t="s">
        <v>40</v>
      </c>
      <c r="H10" s="229" t="s">
        <v>40</v>
      </c>
      <c r="I10" s="229"/>
      <c r="J10" s="229" t="s">
        <v>40</v>
      </c>
      <c r="K10" s="229" t="s">
        <v>40</v>
      </c>
      <c r="L10" s="229" t="s">
        <v>40</v>
      </c>
      <c r="M10" s="229"/>
      <c r="N10" s="229" t="s">
        <v>40</v>
      </c>
      <c r="O10" s="229"/>
      <c r="P10" s="229" t="s">
        <v>40</v>
      </c>
      <c r="Q10" s="229" t="s">
        <v>40</v>
      </c>
      <c r="R10" s="229"/>
      <c r="S10" s="229" t="s">
        <v>40</v>
      </c>
      <c r="T10" s="229" t="s">
        <v>40</v>
      </c>
      <c r="U10" s="229" t="s">
        <v>40</v>
      </c>
      <c r="V10" s="229" t="s">
        <v>40</v>
      </c>
      <c r="W10" s="229" t="s">
        <v>40</v>
      </c>
      <c r="X10" s="229" t="s">
        <v>40</v>
      </c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222"/>
      <c r="AT10" s="222"/>
      <c r="AU10" s="222"/>
      <c r="AV10" s="222"/>
      <c r="AW10" s="222"/>
      <c r="AX10" s="222"/>
      <c r="AY10" s="222"/>
      <c r="AZ10" s="222"/>
      <c r="BA10" s="222"/>
      <c r="BB10" s="222"/>
      <c r="BC10" s="222"/>
      <c r="BD10" s="222"/>
      <c r="BE10" s="222"/>
      <c r="BF10" s="222"/>
      <c r="BG10" s="222"/>
      <c r="BH10" s="222"/>
      <c r="BI10" s="222"/>
      <c r="BJ10" s="222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2"/>
      <c r="CL10" s="222"/>
      <c r="CM10" s="222"/>
      <c r="CN10" s="222"/>
      <c r="CO10" s="222"/>
      <c r="CP10" s="222"/>
      <c r="CQ10" s="222"/>
      <c r="CR10" s="222"/>
      <c r="CS10" s="222"/>
      <c r="CT10" s="222"/>
      <c r="CU10" s="222"/>
      <c r="CV10" s="222"/>
      <c r="CW10" s="222"/>
      <c r="CX10" s="222"/>
      <c r="CY10" s="222"/>
      <c r="CZ10" s="222"/>
      <c r="DA10" s="222"/>
      <c r="DB10" s="222"/>
      <c r="DC10" s="222"/>
      <c r="DD10" s="222"/>
      <c r="DE10" s="222"/>
      <c r="DF10" s="222"/>
      <c r="DG10" s="222"/>
      <c r="DH10" s="222"/>
      <c r="DI10" s="222"/>
      <c r="DJ10" s="222"/>
      <c r="DK10" s="222"/>
      <c r="DL10" s="222"/>
      <c r="DM10" s="222"/>
      <c r="DN10" s="222"/>
      <c r="DO10" s="222"/>
      <c r="DP10" s="222"/>
      <c r="DQ10" s="222"/>
      <c r="DR10" s="222"/>
      <c r="DS10" s="222"/>
      <c r="DT10" s="222"/>
      <c r="DU10" s="222"/>
      <c r="DV10" s="222"/>
      <c r="DW10" s="222"/>
      <c r="DX10" s="222"/>
      <c r="DY10" s="222"/>
      <c r="DZ10" s="222"/>
      <c r="EA10" s="222"/>
      <c r="EB10" s="222"/>
      <c r="EC10" s="222"/>
      <c r="ED10" s="222"/>
      <c r="EE10" s="222"/>
      <c r="EF10" s="222"/>
      <c r="EG10" s="222"/>
      <c r="EH10" s="222"/>
      <c r="EI10" s="222"/>
      <c r="EJ10" s="222"/>
      <c r="EK10" s="222"/>
      <c r="EL10" s="222"/>
      <c r="EM10" s="222"/>
      <c r="EN10" s="222"/>
      <c r="EO10" s="222"/>
      <c r="EP10" s="222"/>
      <c r="EQ10" s="222"/>
      <c r="ER10" s="222"/>
      <c r="ES10" s="222"/>
      <c r="ET10" s="222"/>
      <c r="EU10" s="222"/>
      <c r="EV10" s="222"/>
      <c r="EW10" s="222"/>
      <c r="EX10" s="222"/>
      <c r="EY10" s="222"/>
      <c r="EZ10" s="222"/>
      <c r="FA10" s="222"/>
      <c r="FB10" s="222"/>
      <c r="FC10" s="222"/>
      <c r="FD10" s="222"/>
      <c r="FE10" s="222"/>
      <c r="FF10" s="222"/>
      <c r="FG10" s="222"/>
      <c r="FH10" s="222"/>
      <c r="FI10" s="222"/>
      <c r="FJ10" s="222"/>
      <c r="FK10" s="222"/>
      <c r="FL10" s="222"/>
      <c r="FM10" s="222"/>
      <c r="FN10" s="222"/>
      <c r="FO10" s="222"/>
      <c r="FP10" s="222"/>
      <c r="FQ10" s="222"/>
      <c r="FR10" s="222"/>
      <c r="FS10" s="222"/>
      <c r="FT10" s="222"/>
      <c r="FU10" s="222"/>
      <c r="FV10" s="222"/>
      <c r="FW10" s="222"/>
      <c r="FX10" s="222"/>
      <c r="FY10" s="222"/>
      <c r="FZ10" s="222"/>
      <c r="GA10" s="222"/>
      <c r="GB10" s="222"/>
      <c r="GC10" s="222"/>
      <c r="GD10" s="222"/>
      <c r="GE10" s="222"/>
      <c r="GF10" s="222"/>
      <c r="GG10" s="222"/>
      <c r="GH10" s="222"/>
      <c r="GI10" s="222"/>
      <c r="GJ10" s="222"/>
      <c r="GK10" s="222"/>
      <c r="GL10" s="222"/>
      <c r="GM10" s="222"/>
      <c r="GN10" s="222"/>
      <c r="GO10" s="222"/>
      <c r="GP10" s="222"/>
      <c r="GQ10" s="222"/>
      <c r="GR10" s="222"/>
      <c r="GS10" s="222"/>
      <c r="GT10" s="222"/>
      <c r="GU10" s="222"/>
      <c r="GV10" s="222"/>
      <c r="GW10" s="222"/>
      <c r="GX10" s="222"/>
      <c r="GY10" s="222"/>
      <c r="GZ10" s="222"/>
      <c r="HA10" s="222"/>
      <c r="HB10" s="222"/>
      <c r="HC10" s="222"/>
      <c r="HD10" s="222"/>
      <c r="HE10" s="222"/>
      <c r="HF10" s="222"/>
      <c r="HG10" s="222"/>
      <c r="HH10" s="222"/>
      <c r="HI10" s="222"/>
      <c r="HJ10" s="222"/>
      <c r="HK10" s="222"/>
      <c r="HL10" s="222"/>
      <c r="HM10" s="222"/>
      <c r="HN10" s="222"/>
      <c r="HO10" s="222"/>
      <c r="HP10" s="222"/>
      <c r="HQ10" s="222"/>
      <c r="HR10" s="222"/>
      <c r="HS10" s="222"/>
      <c r="HT10" s="222"/>
      <c r="HU10" s="222"/>
      <c r="HV10" s="222"/>
      <c r="HW10" s="222"/>
      <c r="HX10" s="222"/>
      <c r="HY10" s="222"/>
      <c r="HZ10" s="222"/>
      <c r="IA10" s="222"/>
      <c r="IB10" s="222"/>
      <c r="IC10" s="222"/>
      <c r="ID10" s="222"/>
      <c r="IE10" s="222"/>
      <c r="IF10" s="222"/>
      <c r="IG10" s="222"/>
      <c r="IH10" s="222"/>
      <c r="II10" s="222"/>
      <c r="IJ10" s="222"/>
      <c r="IK10" s="222"/>
      <c r="IL10" s="222"/>
      <c r="IM10" s="222"/>
      <c r="IN10" s="222"/>
      <c r="IO10" s="222"/>
      <c r="IP10" s="222"/>
      <c r="IQ10" s="222"/>
      <c r="IR10" s="222"/>
      <c r="IS10" s="222"/>
      <c r="IT10" s="222"/>
      <c r="IU10" s="222"/>
      <c r="IV10" s="222"/>
      <c r="IW10" s="222"/>
    </row>
    <row r="11" customFormat="false" ht="13.15" hidden="false" customHeight="true" outlineLevel="0" collapsed="false">
      <c r="A11" s="229"/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  <c r="N11" s="229"/>
      <c r="O11" s="222"/>
      <c r="P11" s="229"/>
      <c r="Q11" s="229"/>
      <c r="R11" s="229"/>
      <c r="S11" s="229"/>
      <c r="T11" s="229"/>
      <c r="U11" s="229"/>
      <c r="V11" s="229"/>
      <c r="W11" s="229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222"/>
      <c r="AT11" s="222"/>
      <c r="AU11" s="222"/>
      <c r="AV11" s="222"/>
      <c r="AW11" s="222"/>
      <c r="AX11" s="222"/>
      <c r="AY11" s="222"/>
      <c r="AZ11" s="222"/>
      <c r="BA11" s="222"/>
      <c r="BB11" s="222"/>
      <c r="BC11" s="222"/>
      <c r="BD11" s="222"/>
      <c r="BE11" s="222"/>
      <c r="BF11" s="222"/>
      <c r="BG11" s="222"/>
      <c r="BH11" s="222"/>
      <c r="BI11" s="222"/>
      <c r="BJ11" s="222"/>
      <c r="BK11" s="222"/>
      <c r="BL11" s="222"/>
      <c r="BM11" s="222"/>
      <c r="BN11" s="222"/>
      <c r="BO11" s="222"/>
      <c r="BP11" s="222"/>
      <c r="BQ11" s="222"/>
      <c r="BR11" s="222"/>
      <c r="BS11" s="222"/>
      <c r="BT11" s="222"/>
      <c r="BU11" s="222"/>
      <c r="BV11" s="222"/>
      <c r="BW11" s="222"/>
      <c r="BX11" s="222"/>
      <c r="BY11" s="222"/>
      <c r="BZ11" s="222"/>
      <c r="CA11" s="222"/>
      <c r="CB11" s="222"/>
      <c r="CC11" s="222"/>
      <c r="CD11" s="222"/>
      <c r="CE11" s="222"/>
      <c r="CF11" s="222"/>
      <c r="CG11" s="222"/>
      <c r="CH11" s="222"/>
      <c r="CI11" s="222"/>
      <c r="CJ11" s="222"/>
      <c r="CK11" s="222"/>
      <c r="CL11" s="222"/>
      <c r="CM11" s="222"/>
      <c r="CN11" s="222"/>
      <c r="CO11" s="222"/>
      <c r="CP11" s="222"/>
      <c r="CQ11" s="222"/>
      <c r="CR11" s="222"/>
      <c r="CS11" s="222"/>
      <c r="CT11" s="222"/>
      <c r="CU11" s="222"/>
      <c r="CV11" s="222"/>
      <c r="CW11" s="222"/>
      <c r="CX11" s="222"/>
      <c r="CY11" s="222"/>
      <c r="CZ11" s="222"/>
      <c r="DA11" s="222"/>
      <c r="DB11" s="222"/>
      <c r="DC11" s="222"/>
      <c r="DD11" s="222"/>
      <c r="DE11" s="222"/>
      <c r="DF11" s="222"/>
      <c r="DG11" s="222"/>
      <c r="DH11" s="222"/>
      <c r="DI11" s="222"/>
      <c r="DJ11" s="222"/>
      <c r="DK11" s="222"/>
      <c r="DL11" s="222"/>
      <c r="DM11" s="222"/>
      <c r="DN11" s="222"/>
      <c r="DO11" s="222"/>
      <c r="DP11" s="222"/>
      <c r="DQ11" s="222"/>
      <c r="DR11" s="222"/>
      <c r="DS11" s="222"/>
      <c r="DT11" s="222"/>
      <c r="DU11" s="222"/>
      <c r="DV11" s="222"/>
      <c r="DW11" s="222"/>
      <c r="DX11" s="222"/>
      <c r="DY11" s="222"/>
      <c r="DZ11" s="222"/>
      <c r="EA11" s="222"/>
      <c r="EB11" s="222"/>
      <c r="EC11" s="222"/>
      <c r="ED11" s="222"/>
      <c r="EE11" s="222"/>
      <c r="EF11" s="222"/>
      <c r="EG11" s="222"/>
      <c r="EH11" s="222"/>
      <c r="EI11" s="222"/>
      <c r="EJ11" s="222"/>
      <c r="EK11" s="222"/>
      <c r="EL11" s="222"/>
      <c r="EM11" s="222"/>
      <c r="EN11" s="222"/>
      <c r="EO11" s="222"/>
      <c r="EP11" s="222"/>
      <c r="EQ11" s="222"/>
      <c r="ER11" s="222"/>
      <c r="ES11" s="222"/>
      <c r="ET11" s="222"/>
      <c r="EU11" s="222"/>
      <c r="EV11" s="222"/>
      <c r="EW11" s="222"/>
      <c r="EX11" s="222"/>
      <c r="EY11" s="222"/>
      <c r="EZ11" s="222"/>
      <c r="FA11" s="222"/>
      <c r="FB11" s="222"/>
      <c r="FC11" s="222"/>
      <c r="FD11" s="222"/>
      <c r="FE11" s="222"/>
      <c r="FF11" s="222"/>
      <c r="FG11" s="222"/>
      <c r="FH11" s="222"/>
      <c r="FI11" s="222"/>
      <c r="FJ11" s="222"/>
      <c r="FK11" s="222"/>
      <c r="FL11" s="222"/>
      <c r="FM11" s="222"/>
      <c r="FN11" s="222"/>
      <c r="FO11" s="222"/>
      <c r="FP11" s="222"/>
      <c r="FQ11" s="222"/>
      <c r="FR11" s="222"/>
      <c r="FS11" s="222"/>
      <c r="FT11" s="222"/>
      <c r="FU11" s="222"/>
      <c r="FV11" s="222"/>
      <c r="FW11" s="222"/>
      <c r="FX11" s="222"/>
      <c r="FY11" s="222"/>
      <c r="FZ11" s="222"/>
      <c r="GA11" s="222"/>
      <c r="GB11" s="222"/>
      <c r="GC11" s="222"/>
      <c r="GD11" s="222"/>
      <c r="GE11" s="222"/>
      <c r="GF11" s="222"/>
      <c r="GG11" s="222"/>
      <c r="GH11" s="222"/>
      <c r="GI11" s="222"/>
      <c r="GJ11" s="222"/>
      <c r="GK11" s="222"/>
      <c r="GL11" s="222"/>
      <c r="GM11" s="222"/>
      <c r="GN11" s="222"/>
      <c r="GO11" s="222"/>
      <c r="GP11" s="222"/>
      <c r="GQ11" s="222"/>
      <c r="GR11" s="222"/>
      <c r="GS11" s="222"/>
      <c r="GT11" s="222"/>
      <c r="GU11" s="222"/>
      <c r="GV11" s="222"/>
      <c r="GW11" s="222"/>
      <c r="GX11" s="222"/>
      <c r="GY11" s="222"/>
      <c r="GZ11" s="222"/>
      <c r="HA11" s="222"/>
      <c r="HB11" s="222"/>
      <c r="HC11" s="222"/>
      <c r="HD11" s="222"/>
      <c r="HE11" s="222"/>
      <c r="HF11" s="222"/>
      <c r="HG11" s="222"/>
      <c r="HH11" s="222"/>
      <c r="HI11" s="222"/>
      <c r="HJ11" s="222"/>
      <c r="HK11" s="222"/>
      <c r="HL11" s="222"/>
      <c r="HM11" s="222"/>
      <c r="HN11" s="222"/>
      <c r="HO11" s="222"/>
      <c r="HP11" s="222"/>
      <c r="HQ11" s="222"/>
      <c r="HR11" s="222"/>
      <c r="HS11" s="222"/>
      <c r="HT11" s="222"/>
      <c r="HU11" s="222"/>
      <c r="HV11" s="222"/>
      <c r="HW11" s="222"/>
      <c r="HX11" s="222"/>
      <c r="HY11" s="222"/>
      <c r="HZ11" s="222"/>
      <c r="IA11" s="222"/>
      <c r="IB11" s="222"/>
      <c r="IC11" s="222"/>
      <c r="ID11" s="222"/>
      <c r="IE11" s="222"/>
      <c r="IF11" s="222"/>
      <c r="IG11" s="222"/>
      <c r="IH11" s="222"/>
      <c r="II11" s="222"/>
      <c r="IJ11" s="222"/>
      <c r="IK11" s="222"/>
      <c r="IL11" s="222"/>
      <c r="IM11" s="222"/>
      <c r="IN11" s="222"/>
      <c r="IO11" s="222"/>
      <c r="IP11" s="222"/>
      <c r="IQ11" s="222"/>
      <c r="IR11" s="222"/>
      <c r="IS11" s="222"/>
      <c r="IT11" s="222"/>
      <c r="IU11" s="222"/>
      <c r="IV11" s="222"/>
      <c r="IW11" s="222"/>
    </row>
    <row r="12" customFormat="false" ht="11.25" hidden="false" customHeight="false" outlineLevel="0" collapsed="false">
      <c r="A12" s="213" t="s">
        <v>632</v>
      </c>
      <c r="B12" s="230" t="s">
        <v>633</v>
      </c>
      <c r="C12" s="231" t="n">
        <v>37109</v>
      </c>
      <c r="D12" s="232" t="n">
        <v>59.95</v>
      </c>
      <c r="E12" s="232" t="n">
        <v>78.45</v>
      </c>
      <c r="F12" s="232" t="n">
        <v>51.92</v>
      </c>
      <c r="G12" s="233" t="n">
        <v>9243.2741841</v>
      </c>
      <c r="H12" s="233" t="n">
        <v>13645.2741841</v>
      </c>
      <c r="I12" s="234" t="n">
        <v>9.72362106469599</v>
      </c>
      <c r="J12" s="234" t="n">
        <v>6.76126217024006</v>
      </c>
      <c r="K12" s="234" t="n">
        <v>9.05671491359486</v>
      </c>
      <c r="L12" s="234" t="n">
        <v>4.13495311089738</v>
      </c>
      <c r="M12" s="234" t="n">
        <v>3.04897551923077</v>
      </c>
      <c r="N12" s="234" t="n">
        <v>3.53676461033035</v>
      </c>
      <c r="O12" s="234" t="n">
        <v>5.35129777014785</v>
      </c>
      <c r="P12" s="234" t="n">
        <v>3.71352522917528</v>
      </c>
      <c r="Q12" s="234" t="n">
        <v>4.33827989596604</v>
      </c>
      <c r="R12" s="235" t="n">
        <v>0.385120861155639</v>
      </c>
      <c r="S12" s="234" t="n">
        <v>1.86533089502149</v>
      </c>
      <c r="T12" s="235" t="n">
        <v>0.01000834</v>
      </c>
      <c r="U12" s="236" t="n">
        <v>1600.67448559671</v>
      </c>
      <c r="V12" s="235" t="n">
        <v>0.425070295726673</v>
      </c>
      <c r="W12" s="237" t="n">
        <v>6.2795135459972</v>
      </c>
      <c r="X12" s="236" t="n">
        <v>154.183055614679</v>
      </c>
      <c r="Y12" s="213"/>
      <c r="Z12" s="213"/>
      <c r="AA12" s="213"/>
      <c r="AB12" s="213"/>
      <c r="AC12" s="213"/>
      <c r="AD12" s="213"/>
      <c r="AE12" s="213"/>
      <c r="AF12" s="213"/>
      <c r="AG12" s="213"/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  <c r="BI12" s="213"/>
      <c r="BJ12" s="213"/>
      <c r="BK12" s="213"/>
      <c r="BL12" s="213"/>
      <c r="BM12" s="213"/>
      <c r="BN12" s="213"/>
      <c r="BO12" s="213"/>
      <c r="BP12" s="213"/>
      <c r="BQ12" s="213"/>
      <c r="BR12" s="213"/>
      <c r="BS12" s="213"/>
      <c r="BT12" s="213"/>
      <c r="BU12" s="213"/>
      <c r="BV12" s="213"/>
      <c r="BW12" s="213"/>
      <c r="BX12" s="213"/>
      <c r="BY12" s="213"/>
      <c r="BZ12" s="213"/>
      <c r="CA12" s="213"/>
      <c r="CB12" s="213"/>
      <c r="CC12" s="213"/>
      <c r="CD12" s="213"/>
      <c r="CE12" s="213"/>
      <c r="CF12" s="213"/>
      <c r="CG12" s="213"/>
      <c r="CH12" s="213"/>
      <c r="CI12" s="213"/>
      <c r="CJ12" s="213"/>
      <c r="CK12" s="213"/>
      <c r="CL12" s="213"/>
      <c r="CM12" s="213"/>
      <c r="CN12" s="213"/>
      <c r="CO12" s="213"/>
      <c r="CP12" s="213"/>
      <c r="CQ12" s="213"/>
      <c r="CR12" s="213"/>
      <c r="CS12" s="213"/>
      <c r="CT12" s="213"/>
      <c r="CU12" s="213"/>
      <c r="CV12" s="213"/>
      <c r="CW12" s="213"/>
      <c r="CX12" s="213"/>
      <c r="CY12" s="213"/>
      <c r="CZ12" s="213"/>
      <c r="DA12" s="213"/>
      <c r="DB12" s="213"/>
      <c r="DC12" s="213"/>
      <c r="DD12" s="213"/>
      <c r="DE12" s="213"/>
      <c r="DF12" s="213"/>
      <c r="DG12" s="213"/>
      <c r="DH12" s="213"/>
      <c r="DI12" s="213"/>
      <c r="DJ12" s="213"/>
      <c r="DK12" s="213"/>
      <c r="DL12" s="213"/>
      <c r="DM12" s="213"/>
      <c r="DN12" s="213"/>
      <c r="DO12" s="213"/>
      <c r="DP12" s="213"/>
      <c r="DQ12" s="213"/>
      <c r="DR12" s="213"/>
      <c r="DS12" s="213"/>
      <c r="DT12" s="213"/>
      <c r="DU12" s="213"/>
      <c r="DV12" s="213"/>
      <c r="DW12" s="213"/>
      <c r="DX12" s="213"/>
      <c r="DY12" s="213"/>
      <c r="DZ12" s="213"/>
      <c r="EA12" s="213"/>
      <c r="EB12" s="213"/>
      <c r="EC12" s="213"/>
      <c r="ED12" s="213"/>
      <c r="EE12" s="213"/>
      <c r="EF12" s="213"/>
      <c r="EG12" s="213"/>
      <c r="EH12" s="213"/>
      <c r="EI12" s="213"/>
      <c r="EJ12" s="213"/>
      <c r="EK12" s="213"/>
      <c r="EL12" s="213"/>
      <c r="EM12" s="213"/>
      <c r="EN12" s="213"/>
      <c r="EO12" s="213"/>
      <c r="EP12" s="213"/>
      <c r="EQ12" s="213"/>
      <c r="ER12" s="213"/>
      <c r="ES12" s="213"/>
      <c r="ET12" s="213"/>
      <c r="EU12" s="213"/>
      <c r="EV12" s="213"/>
      <c r="EW12" s="213"/>
      <c r="EX12" s="213"/>
      <c r="EY12" s="213"/>
      <c r="EZ12" s="213"/>
      <c r="FA12" s="213"/>
      <c r="FB12" s="213"/>
      <c r="FC12" s="213"/>
      <c r="FD12" s="213"/>
      <c r="FE12" s="213"/>
      <c r="FF12" s="213"/>
      <c r="FG12" s="213"/>
      <c r="FH12" s="213"/>
      <c r="FI12" s="213"/>
      <c r="FJ12" s="213"/>
      <c r="FK12" s="213"/>
      <c r="FL12" s="213"/>
      <c r="FM12" s="213"/>
      <c r="FN12" s="213"/>
      <c r="FO12" s="213"/>
      <c r="FP12" s="213"/>
      <c r="FQ12" s="213"/>
      <c r="FR12" s="213"/>
      <c r="FS12" s="213"/>
      <c r="FT12" s="213"/>
      <c r="FU12" s="213"/>
      <c r="FV12" s="213"/>
      <c r="FW12" s="213"/>
      <c r="FX12" s="213"/>
      <c r="FY12" s="213"/>
      <c r="FZ12" s="213"/>
      <c r="GA12" s="213"/>
      <c r="GB12" s="213"/>
      <c r="GC12" s="213"/>
      <c r="GD12" s="213"/>
      <c r="GE12" s="213"/>
      <c r="GF12" s="213"/>
      <c r="GG12" s="213"/>
      <c r="GH12" s="213"/>
      <c r="GI12" s="213"/>
      <c r="GJ12" s="213"/>
      <c r="GK12" s="213"/>
      <c r="GL12" s="213"/>
      <c r="GM12" s="213"/>
      <c r="GN12" s="213"/>
      <c r="GO12" s="213"/>
      <c r="GP12" s="213"/>
      <c r="GQ12" s="213"/>
      <c r="GR12" s="213"/>
      <c r="GS12" s="213"/>
      <c r="GT12" s="213"/>
      <c r="GU12" s="213"/>
      <c r="GV12" s="213"/>
      <c r="GW12" s="213"/>
      <c r="GX12" s="213"/>
      <c r="GY12" s="213"/>
      <c r="GZ12" s="213"/>
      <c r="HA12" s="213"/>
      <c r="HB12" s="213"/>
      <c r="HC12" s="213"/>
      <c r="HD12" s="213"/>
      <c r="HE12" s="213"/>
      <c r="HF12" s="213"/>
      <c r="HG12" s="213"/>
      <c r="HH12" s="213"/>
      <c r="HI12" s="213"/>
      <c r="HJ12" s="213"/>
      <c r="HK12" s="213"/>
      <c r="HL12" s="213"/>
      <c r="HM12" s="213"/>
      <c r="HN12" s="213"/>
      <c r="HO12" s="213"/>
      <c r="HP12" s="213"/>
      <c r="HQ12" s="213"/>
      <c r="HR12" s="213"/>
      <c r="HS12" s="213"/>
      <c r="HT12" s="213"/>
      <c r="HU12" s="213"/>
      <c r="HV12" s="213"/>
      <c r="HW12" s="213"/>
      <c r="HX12" s="213"/>
      <c r="HY12" s="213"/>
      <c r="HZ12" s="213"/>
      <c r="IA12" s="213"/>
      <c r="IB12" s="213"/>
      <c r="IC12" s="213"/>
      <c r="ID12" s="213"/>
      <c r="IE12" s="213"/>
      <c r="IF12" s="213"/>
      <c r="IG12" s="213"/>
      <c r="IH12" s="213"/>
      <c r="II12" s="213"/>
      <c r="IJ12" s="213"/>
      <c r="IK12" s="213"/>
      <c r="IL12" s="213"/>
      <c r="IM12" s="213"/>
      <c r="IN12" s="213"/>
      <c r="IO12" s="213"/>
      <c r="IP12" s="213"/>
      <c r="IQ12" s="213"/>
      <c r="IR12" s="213"/>
      <c r="IS12" s="213"/>
      <c r="IT12" s="213"/>
      <c r="IU12" s="213"/>
      <c r="IV12" s="213"/>
      <c r="IW12" s="213"/>
    </row>
    <row r="13" customFormat="false" ht="12" hidden="false" customHeight="true" outlineLevel="0" collapsed="false">
      <c r="A13" s="213" t="s">
        <v>634</v>
      </c>
      <c r="B13" s="230" t="s">
        <v>635</v>
      </c>
      <c r="C13" s="231" t="n">
        <v>37109</v>
      </c>
      <c r="D13" s="232" t="n">
        <v>28.28</v>
      </c>
      <c r="E13" s="232" t="n">
        <v>38.89</v>
      </c>
      <c r="F13" s="232" t="n">
        <v>24.6</v>
      </c>
      <c r="G13" s="233" t="n">
        <v>3707.299435</v>
      </c>
      <c r="H13" s="233" t="n">
        <v>5338.399435</v>
      </c>
      <c r="I13" s="234" t="n">
        <v>14.936742284448</v>
      </c>
      <c r="J13" s="234" t="n">
        <v>6.14411812426457</v>
      </c>
      <c r="K13" s="234" t="n">
        <v>10.2033049625285</v>
      </c>
      <c r="L13" s="234" t="n">
        <v>4.65215138034885</v>
      </c>
      <c r="M13" s="234" t="n">
        <v>2.4391427668185</v>
      </c>
      <c r="N13" s="234" t="n">
        <v>3.36201998276957</v>
      </c>
      <c r="O13" s="234" t="n">
        <v>6.32212154784462</v>
      </c>
      <c r="P13" s="234" t="n">
        <v>3.19325234257002</v>
      </c>
      <c r="Q13" s="234" t="n">
        <v>4.13733837842111</v>
      </c>
      <c r="R13" s="235" t="n">
        <v>0.476052885036337</v>
      </c>
      <c r="S13" s="234" t="n">
        <v>2.06511777796346</v>
      </c>
      <c r="T13" s="235" t="n">
        <v>0</v>
      </c>
      <c r="U13" s="236" t="n">
        <v>657.943</v>
      </c>
      <c r="V13" s="235" t="n">
        <v>0.63303356065799</v>
      </c>
      <c r="W13" s="237" t="n">
        <v>8.11377191489232</v>
      </c>
      <c r="X13" s="236" t="n">
        <v>131.092625</v>
      </c>
      <c r="Y13" s="213"/>
      <c r="Z13" s="213"/>
      <c r="AA13" s="213"/>
      <c r="AB13" s="213"/>
      <c r="AC13" s="213"/>
      <c r="AD13" s="213"/>
      <c r="AE13" s="213"/>
      <c r="AF13" s="213"/>
      <c r="AG13" s="213"/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  <c r="BI13" s="213"/>
      <c r="BJ13" s="213"/>
      <c r="BK13" s="213"/>
      <c r="BL13" s="213"/>
      <c r="BM13" s="213"/>
      <c r="BN13" s="213"/>
      <c r="BO13" s="213"/>
      <c r="BP13" s="213"/>
      <c r="BQ13" s="213"/>
      <c r="BR13" s="213"/>
      <c r="BS13" s="213"/>
      <c r="BT13" s="213"/>
      <c r="BU13" s="213"/>
      <c r="BV13" s="213"/>
      <c r="BW13" s="213"/>
      <c r="BX13" s="213"/>
      <c r="BY13" s="213"/>
      <c r="BZ13" s="213"/>
      <c r="CA13" s="213"/>
      <c r="CB13" s="213"/>
      <c r="CC13" s="213"/>
      <c r="CD13" s="213"/>
      <c r="CE13" s="213"/>
      <c r="CF13" s="213"/>
      <c r="CG13" s="213"/>
      <c r="CH13" s="213"/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3"/>
      <c r="CT13" s="213"/>
      <c r="CU13" s="213"/>
      <c r="CV13" s="213"/>
      <c r="CW13" s="213"/>
      <c r="CX13" s="213"/>
      <c r="CY13" s="213"/>
      <c r="CZ13" s="213"/>
      <c r="DA13" s="213"/>
      <c r="DB13" s="213"/>
      <c r="DC13" s="213"/>
      <c r="DD13" s="213"/>
      <c r="DE13" s="213"/>
      <c r="DF13" s="213"/>
      <c r="DG13" s="213"/>
      <c r="DH13" s="213"/>
      <c r="DI13" s="213"/>
      <c r="DJ13" s="213"/>
      <c r="DK13" s="213"/>
      <c r="DL13" s="213"/>
      <c r="DM13" s="213"/>
      <c r="DN13" s="213"/>
      <c r="DO13" s="213"/>
      <c r="DP13" s="213"/>
      <c r="DQ13" s="213"/>
      <c r="DR13" s="213"/>
      <c r="DS13" s="213"/>
      <c r="DT13" s="213"/>
      <c r="DU13" s="213"/>
      <c r="DV13" s="213"/>
      <c r="DW13" s="213"/>
      <c r="DX13" s="213"/>
      <c r="DY13" s="213"/>
      <c r="DZ13" s="213"/>
      <c r="EA13" s="213"/>
      <c r="EB13" s="213"/>
      <c r="EC13" s="213"/>
      <c r="ED13" s="213"/>
      <c r="EE13" s="213"/>
      <c r="EF13" s="213"/>
      <c r="EG13" s="213"/>
      <c r="EH13" s="213"/>
      <c r="EI13" s="213"/>
      <c r="EJ13" s="213"/>
      <c r="EK13" s="213"/>
      <c r="EL13" s="213"/>
      <c r="EM13" s="213"/>
      <c r="EN13" s="213"/>
      <c r="EO13" s="213"/>
      <c r="EP13" s="213"/>
      <c r="EQ13" s="213"/>
      <c r="ER13" s="213"/>
      <c r="ES13" s="213"/>
      <c r="ET13" s="213"/>
      <c r="EU13" s="213"/>
      <c r="EV13" s="213"/>
      <c r="EW13" s="213"/>
      <c r="EX13" s="213"/>
      <c r="EY13" s="213"/>
      <c r="EZ13" s="213"/>
      <c r="FA13" s="213"/>
      <c r="FB13" s="213"/>
      <c r="FC13" s="213"/>
      <c r="FD13" s="213"/>
      <c r="FE13" s="213"/>
      <c r="FF13" s="213"/>
      <c r="FG13" s="213"/>
      <c r="FH13" s="213"/>
      <c r="FI13" s="213"/>
      <c r="FJ13" s="213"/>
      <c r="FK13" s="213"/>
      <c r="FL13" s="213"/>
      <c r="FM13" s="213"/>
      <c r="FN13" s="213"/>
      <c r="FO13" s="213"/>
      <c r="FP13" s="213"/>
      <c r="FQ13" s="213"/>
      <c r="FR13" s="213"/>
      <c r="FS13" s="213"/>
      <c r="FT13" s="213"/>
      <c r="FU13" s="213"/>
      <c r="FV13" s="213"/>
      <c r="FW13" s="213"/>
      <c r="FX13" s="213"/>
      <c r="FY13" s="213"/>
      <c r="FZ13" s="213"/>
      <c r="GA13" s="213"/>
      <c r="GB13" s="213"/>
      <c r="GC13" s="213"/>
      <c r="GD13" s="213"/>
      <c r="GE13" s="213"/>
      <c r="GF13" s="213"/>
      <c r="GG13" s="213"/>
      <c r="GH13" s="213"/>
      <c r="GI13" s="213"/>
      <c r="GJ13" s="213"/>
      <c r="GK13" s="213"/>
      <c r="GL13" s="213"/>
      <c r="GM13" s="213"/>
      <c r="GN13" s="213"/>
      <c r="GO13" s="213"/>
      <c r="GP13" s="213"/>
      <c r="GQ13" s="213"/>
      <c r="GR13" s="213"/>
      <c r="GS13" s="213"/>
      <c r="GT13" s="213"/>
      <c r="GU13" s="213"/>
      <c r="GV13" s="213"/>
      <c r="GW13" s="213"/>
      <c r="GX13" s="213"/>
      <c r="GY13" s="213"/>
      <c r="GZ13" s="213"/>
      <c r="HA13" s="213"/>
      <c r="HB13" s="213"/>
      <c r="HC13" s="213"/>
      <c r="HD13" s="213"/>
      <c r="HE13" s="213"/>
      <c r="HF13" s="213"/>
      <c r="HG13" s="213"/>
      <c r="HH13" s="213"/>
      <c r="HI13" s="213"/>
      <c r="HJ13" s="213"/>
      <c r="HK13" s="213"/>
      <c r="HL13" s="213"/>
      <c r="HM13" s="213"/>
      <c r="HN13" s="213"/>
      <c r="HO13" s="213"/>
      <c r="HP13" s="213"/>
      <c r="HQ13" s="213"/>
      <c r="HR13" s="213"/>
      <c r="HS13" s="213"/>
      <c r="HT13" s="213"/>
      <c r="HU13" s="213"/>
      <c r="HV13" s="213"/>
      <c r="HW13" s="213"/>
      <c r="HX13" s="213"/>
      <c r="HY13" s="213"/>
      <c r="HZ13" s="213"/>
      <c r="IA13" s="213"/>
      <c r="IB13" s="213"/>
      <c r="IC13" s="213"/>
      <c r="ID13" s="213"/>
      <c r="IE13" s="213"/>
      <c r="IF13" s="213"/>
      <c r="IG13" s="213"/>
      <c r="IH13" s="213"/>
      <c r="II13" s="213"/>
      <c r="IJ13" s="213"/>
      <c r="IK13" s="213"/>
      <c r="IL13" s="213"/>
      <c r="IM13" s="213"/>
      <c r="IN13" s="213"/>
      <c r="IO13" s="213"/>
      <c r="IP13" s="213"/>
      <c r="IQ13" s="213"/>
      <c r="IR13" s="213"/>
      <c r="IS13" s="213"/>
      <c r="IT13" s="213"/>
      <c r="IU13" s="213"/>
      <c r="IV13" s="213"/>
      <c r="IW13" s="213"/>
    </row>
    <row r="14" customFormat="false" ht="11.25" hidden="false" customHeight="false" outlineLevel="0" collapsed="false">
      <c r="A14" s="213" t="s">
        <v>636</v>
      </c>
      <c r="B14" s="230" t="s">
        <v>637</v>
      </c>
      <c r="C14" s="231" t="n">
        <v>37109</v>
      </c>
      <c r="D14" s="232" t="n">
        <v>9.65</v>
      </c>
      <c r="E14" s="232" t="n">
        <v>16.7</v>
      </c>
      <c r="F14" s="232" t="n">
        <v>9</v>
      </c>
      <c r="G14" s="233" t="n">
        <v>430.91394</v>
      </c>
      <c r="H14" s="233" t="n">
        <v>885.90194</v>
      </c>
      <c r="I14" s="234" t="n">
        <v>9.84091394902713</v>
      </c>
      <c r="J14" s="234" t="n">
        <v>8.92485549132948</v>
      </c>
      <c r="K14" s="234" t="n">
        <v>7.72</v>
      </c>
      <c r="L14" s="234" t="n">
        <v>2.77425505066763</v>
      </c>
      <c r="M14" s="234" t="n">
        <v>2.44613434727503</v>
      </c>
      <c r="N14" s="234" t="n">
        <v>2.16561938958707</v>
      </c>
      <c r="O14" s="234" t="n">
        <v>5.08484445311782</v>
      </c>
      <c r="P14" s="234" t="n">
        <v>4.47698674190581</v>
      </c>
      <c r="Q14" s="234" t="n">
        <v>4.19661669413992</v>
      </c>
      <c r="R14" s="235" t="n">
        <v>0.582236126606853</v>
      </c>
      <c r="S14" s="234" t="n">
        <v>1.11620987900562</v>
      </c>
      <c r="T14" s="235" t="n">
        <v>0</v>
      </c>
      <c r="U14" s="236" t="n">
        <v>141.33</v>
      </c>
      <c r="V14" s="235" t="n">
        <v>0.201712304535484</v>
      </c>
      <c r="W14" s="237" t="n">
        <v>6.21037863077103</v>
      </c>
      <c r="X14" s="236" t="n">
        <v>44.6542943005181</v>
      </c>
      <c r="Y14" s="213"/>
      <c r="Z14" s="213"/>
      <c r="AA14" s="213"/>
      <c r="AB14" s="213"/>
      <c r="AC14" s="213"/>
      <c r="AD14" s="213"/>
      <c r="AE14" s="213"/>
      <c r="AF14" s="213"/>
      <c r="AG14" s="213"/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  <c r="BI14" s="213"/>
      <c r="BJ14" s="213"/>
      <c r="BK14" s="213"/>
      <c r="BL14" s="213"/>
      <c r="BM14" s="213"/>
      <c r="BN14" s="213"/>
      <c r="BO14" s="213"/>
      <c r="BP14" s="213"/>
      <c r="BQ14" s="213"/>
      <c r="BR14" s="213"/>
      <c r="BS14" s="213"/>
      <c r="BT14" s="213"/>
      <c r="BU14" s="213"/>
      <c r="BV14" s="213"/>
      <c r="BW14" s="213"/>
      <c r="BX14" s="213"/>
      <c r="BY14" s="213"/>
      <c r="BZ14" s="213"/>
      <c r="CA14" s="213"/>
      <c r="CB14" s="213"/>
      <c r="CC14" s="213"/>
      <c r="CD14" s="213"/>
      <c r="CE14" s="213"/>
      <c r="CF14" s="213"/>
      <c r="CG14" s="213"/>
      <c r="CH14" s="213"/>
      <c r="CI14" s="213"/>
      <c r="CJ14" s="213"/>
      <c r="CK14" s="213"/>
      <c r="CL14" s="213"/>
      <c r="CM14" s="213"/>
      <c r="CN14" s="213"/>
      <c r="CO14" s="213"/>
      <c r="CP14" s="213"/>
      <c r="CQ14" s="213"/>
      <c r="CR14" s="213"/>
      <c r="CS14" s="213"/>
      <c r="CT14" s="213"/>
      <c r="CU14" s="213"/>
      <c r="CV14" s="213"/>
      <c r="CW14" s="213"/>
      <c r="CX14" s="213"/>
      <c r="CY14" s="213"/>
      <c r="CZ14" s="213"/>
      <c r="DA14" s="213"/>
      <c r="DB14" s="213"/>
      <c r="DC14" s="213"/>
      <c r="DD14" s="213"/>
      <c r="DE14" s="213"/>
      <c r="DF14" s="213"/>
      <c r="DG14" s="213"/>
      <c r="DH14" s="213"/>
      <c r="DI14" s="213"/>
      <c r="DJ14" s="213"/>
      <c r="DK14" s="213"/>
      <c r="DL14" s="213"/>
      <c r="DM14" s="213"/>
      <c r="DN14" s="213"/>
      <c r="DO14" s="213"/>
      <c r="DP14" s="213"/>
      <c r="DQ14" s="213"/>
      <c r="DR14" s="213"/>
      <c r="DS14" s="213"/>
      <c r="DT14" s="213"/>
      <c r="DU14" s="213"/>
      <c r="DV14" s="213"/>
      <c r="DW14" s="213"/>
      <c r="DX14" s="213"/>
      <c r="DY14" s="213"/>
      <c r="DZ14" s="213"/>
      <c r="EA14" s="213"/>
      <c r="EB14" s="213"/>
      <c r="EC14" s="213"/>
      <c r="ED14" s="213"/>
      <c r="EE14" s="213"/>
      <c r="EF14" s="213"/>
      <c r="EG14" s="213"/>
      <c r="EH14" s="213"/>
      <c r="EI14" s="213"/>
      <c r="EJ14" s="213"/>
      <c r="EK14" s="213"/>
      <c r="EL14" s="213"/>
      <c r="EM14" s="213"/>
      <c r="EN14" s="213"/>
      <c r="EO14" s="213"/>
      <c r="EP14" s="213"/>
      <c r="EQ14" s="213"/>
      <c r="ER14" s="213"/>
      <c r="ES14" s="213"/>
      <c r="ET14" s="213"/>
      <c r="EU14" s="213"/>
      <c r="EV14" s="213"/>
      <c r="EW14" s="213"/>
      <c r="EX14" s="213"/>
      <c r="EY14" s="213"/>
      <c r="EZ14" s="213"/>
      <c r="FA14" s="213"/>
      <c r="FB14" s="213"/>
      <c r="FC14" s="213"/>
      <c r="FD14" s="213"/>
      <c r="FE14" s="213"/>
      <c r="FF14" s="213"/>
      <c r="FG14" s="213"/>
      <c r="FH14" s="213"/>
      <c r="FI14" s="213"/>
      <c r="FJ14" s="213"/>
      <c r="FK14" s="213"/>
      <c r="FL14" s="213"/>
      <c r="FM14" s="213"/>
      <c r="FN14" s="213"/>
      <c r="FO14" s="213"/>
      <c r="FP14" s="213"/>
      <c r="FQ14" s="213"/>
      <c r="FR14" s="213"/>
      <c r="FS14" s="213"/>
      <c r="FT14" s="213"/>
      <c r="FU14" s="213"/>
      <c r="FV14" s="213"/>
      <c r="FW14" s="213"/>
      <c r="FX14" s="213"/>
      <c r="FY14" s="213"/>
      <c r="FZ14" s="213"/>
      <c r="GA14" s="213"/>
      <c r="GB14" s="213"/>
      <c r="GC14" s="213"/>
      <c r="GD14" s="213"/>
      <c r="GE14" s="213"/>
      <c r="GF14" s="213"/>
      <c r="GG14" s="213"/>
      <c r="GH14" s="213"/>
      <c r="GI14" s="213"/>
      <c r="GJ14" s="213"/>
      <c r="GK14" s="213"/>
      <c r="GL14" s="213"/>
      <c r="GM14" s="213"/>
      <c r="GN14" s="213"/>
      <c r="GO14" s="213"/>
      <c r="GP14" s="213"/>
      <c r="GQ14" s="213"/>
      <c r="GR14" s="213"/>
      <c r="GS14" s="213"/>
      <c r="GT14" s="213"/>
      <c r="GU14" s="213"/>
      <c r="GV14" s="213"/>
      <c r="GW14" s="213"/>
      <c r="GX14" s="213"/>
      <c r="GY14" s="213"/>
      <c r="GZ14" s="213"/>
      <c r="HA14" s="213"/>
      <c r="HB14" s="213"/>
      <c r="HC14" s="213"/>
      <c r="HD14" s="213"/>
      <c r="HE14" s="213"/>
      <c r="HF14" s="213"/>
      <c r="HG14" s="213"/>
      <c r="HH14" s="213"/>
      <c r="HI14" s="213"/>
      <c r="HJ14" s="213"/>
      <c r="HK14" s="213"/>
      <c r="HL14" s="213"/>
      <c r="HM14" s="213"/>
      <c r="HN14" s="213"/>
      <c r="HO14" s="213"/>
      <c r="HP14" s="213"/>
      <c r="HQ14" s="213"/>
      <c r="HR14" s="213"/>
      <c r="HS14" s="213"/>
      <c r="HT14" s="213"/>
      <c r="HU14" s="213"/>
      <c r="HV14" s="213"/>
      <c r="HW14" s="213"/>
      <c r="HX14" s="213"/>
      <c r="HY14" s="213"/>
      <c r="HZ14" s="213"/>
      <c r="IA14" s="213"/>
      <c r="IB14" s="213"/>
      <c r="IC14" s="213"/>
      <c r="ID14" s="213"/>
      <c r="IE14" s="213"/>
      <c r="IF14" s="213"/>
      <c r="IG14" s="213"/>
      <c r="IH14" s="213"/>
      <c r="II14" s="213"/>
      <c r="IJ14" s="213"/>
      <c r="IK14" s="213"/>
      <c r="IL14" s="213"/>
      <c r="IM14" s="213"/>
      <c r="IN14" s="213"/>
      <c r="IO14" s="213"/>
      <c r="IP14" s="213"/>
      <c r="IQ14" s="213"/>
      <c r="IR14" s="213"/>
      <c r="IS14" s="213"/>
      <c r="IT14" s="213"/>
      <c r="IU14" s="213"/>
      <c r="IV14" s="213"/>
      <c r="IW14" s="213"/>
    </row>
    <row r="15" customFormat="false" ht="11.25" hidden="false" customHeight="false" outlineLevel="0" collapsed="false">
      <c r="A15" s="213" t="s">
        <v>638</v>
      </c>
      <c r="B15" s="238" t="s">
        <v>639</v>
      </c>
      <c r="C15" s="231" t="n">
        <v>37109</v>
      </c>
      <c r="D15" s="232" t="n">
        <v>27.6</v>
      </c>
      <c r="E15" s="232" t="n">
        <v>34.75</v>
      </c>
      <c r="F15" s="232" t="n">
        <v>23</v>
      </c>
      <c r="G15" s="233" t="n">
        <v>783.54436516</v>
      </c>
      <c r="H15" s="233" t="n">
        <v>804.45636516</v>
      </c>
      <c r="I15" s="234" t="n">
        <v>12.7696278546284</v>
      </c>
      <c r="J15" s="234" t="n">
        <v>6.47985746907046</v>
      </c>
      <c r="K15" s="234" t="n">
        <v>7.27113116210874</v>
      </c>
      <c r="L15" s="234" t="n">
        <v>5.6346181488433</v>
      </c>
      <c r="M15" s="234" t="n">
        <v>3.008598556876</v>
      </c>
      <c r="N15" s="234" t="n">
        <v>2.89661987172046</v>
      </c>
      <c r="O15" s="234" t="n">
        <v>5.54315811887601</v>
      </c>
      <c r="P15" s="234" t="n">
        <v>3.03007019130592</v>
      </c>
      <c r="Q15" s="234" t="n">
        <v>2.91371517988504</v>
      </c>
      <c r="R15" s="235" t="n">
        <v>0.0930120846324573</v>
      </c>
      <c r="S15" s="234" t="n">
        <v>3.84242942128983</v>
      </c>
      <c r="T15" s="235" t="n">
        <v>0</v>
      </c>
      <c r="U15" s="236" t="n">
        <v>44.2946666666667</v>
      </c>
      <c r="V15" s="235" t="n">
        <v>0.849869058727913</v>
      </c>
      <c r="W15" s="237" t="n">
        <v>18.1265207039375</v>
      </c>
      <c r="X15" s="236" t="n">
        <v>28.3892885927536</v>
      </c>
      <c r="Y15" s="211"/>
      <c r="Z15" s="211"/>
      <c r="AA15" s="211"/>
      <c r="AB15" s="211"/>
      <c r="AC15" s="211"/>
      <c r="AD15" s="211"/>
      <c r="AE15" s="211"/>
      <c r="AF15" s="211"/>
      <c r="AG15" s="211"/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  <c r="BI15" s="211"/>
      <c r="BJ15" s="211"/>
      <c r="BK15" s="211"/>
      <c r="BL15" s="211"/>
      <c r="BM15" s="211"/>
      <c r="BN15" s="211"/>
      <c r="BO15" s="211"/>
      <c r="BP15" s="211"/>
      <c r="BQ15" s="211"/>
      <c r="BR15" s="211"/>
      <c r="BS15" s="211"/>
      <c r="BT15" s="211"/>
      <c r="BU15" s="211"/>
      <c r="BV15" s="211"/>
      <c r="BW15" s="211"/>
      <c r="BX15" s="211"/>
      <c r="BY15" s="211"/>
      <c r="BZ15" s="211"/>
      <c r="CA15" s="211"/>
      <c r="CB15" s="211"/>
      <c r="CC15" s="211"/>
      <c r="CD15" s="211"/>
      <c r="CE15" s="211"/>
      <c r="CF15" s="211"/>
      <c r="CG15" s="211"/>
      <c r="CH15" s="211"/>
      <c r="CI15" s="211"/>
      <c r="CJ15" s="211"/>
      <c r="CK15" s="211"/>
      <c r="CL15" s="211"/>
      <c r="CM15" s="211"/>
      <c r="CN15" s="211"/>
      <c r="CO15" s="211"/>
      <c r="CP15" s="211"/>
      <c r="CQ15" s="211"/>
      <c r="CR15" s="211"/>
      <c r="CS15" s="211"/>
      <c r="CT15" s="211"/>
      <c r="CU15" s="211"/>
      <c r="CV15" s="211"/>
      <c r="CW15" s="211"/>
      <c r="CX15" s="211"/>
      <c r="CY15" s="211"/>
      <c r="CZ15" s="211"/>
      <c r="DA15" s="211"/>
      <c r="DB15" s="211"/>
      <c r="DC15" s="211"/>
      <c r="DD15" s="211"/>
      <c r="DE15" s="211"/>
      <c r="DF15" s="211"/>
      <c r="DG15" s="211"/>
      <c r="DH15" s="211"/>
      <c r="DI15" s="211"/>
      <c r="DJ15" s="211"/>
      <c r="DK15" s="211"/>
      <c r="DL15" s="211"/>
      <c r="DM15" s="211"/>
      <c r="DN15" s="211"/>
      <c r="DO15" s="211"/>
      <c r="DP15" s="211"/>
      <c r="DQ15" s="211"/>
      <c r="DR15" s="211"/>
      <c r="DS15" s="211"/>
      <c r="DT15" s="211"/>
      <c r="DU15" s="211"/>
      <c r="DV15" s="211"/>
      <c r="DW15" s="211"/>
      <c r="DX15" s="211"/>
      <c r="DY15" s="211"/>
      <c r="DZ15" s="211"/>
      <c r="EA15" s="211"/>
      <c r="EB15" s="211"/>
      <c r="EC15" s="211"/>
      <c r="ED15" s="211"/>
      <c r="EE15" s="211"/>
      <c r="EF15" s="211"/>
      <c r="EG15" s="211"/>
      <c r="EH15" s="211"/>
      <c r="EI15" s="211"/>
      <c r="EJ15" s="211"/>
      <c r="EK15" s="211"/>
      <c r="EL15" s="211"/>
      <c r="EM15" s="211"/>
      <c r="EN15" s="211"/>
      <c r="EO15" s="211"/>
      <c r="EP15" s="211"/>
      <c r="EQ15" s="211"/>
      <c r="ER15" s="211"/>
      <c r="ES15" s="211"/>
      <c r="ET15" s="211"/>
      <c r="EU15" s="211"/>
      <c r="EV15" s="211"/>
      <c r="EW15" s="211"/>
      <c r="EX15" s="211"/>
      <c r="EY15" s="211"/>
      <c r="EZ15" s="211"/>
      <c r="FA15" s="211"/>
      <c r="FB15" s="211"/>
      <c r="FC15" s="211"/>
      <c r="FD15" s="211"/>
      <c r="FE15" s="211"/>
      <c r="FF15" s="211"/>
      <c r="FG15" s="211"/>
      <c r="FH15" s="211"/>
      <c r="FI15" s="211"/>
      <c r="FJ15" s="211"/>
      <c r="FK15" s="211"/>
      <c r="FL15" s="211"/>
      <c r="FM15" s="211"/>
      <c r="FN15" s="211"/>
      <c r="FO15" s="211"/>
      <c r="FP15" s="211"/>
      <c r="FQ15" s="211"/>
      <c r="FR15" s="211"/>
      <c r="FS15" s="211"/>
      <c r="FT15" s="211"/>
      <c r="FU15" s="211"/>
      <c r="FV15" s="211"/>
      <c r="FW15" s="211"/>
      <c r="FX15" s="211"/>
      <c r="FY15" s="211"/>
      <c r="FZ15" s="211"/>
      <c r="GA15" s="211"/>
      <c r="GB15" s="211"/>
      <c r="GC15" s="211"/>
      <c r="GD15" s="211"/>
      <c r="GE15" s="211"/>
      <c r="GF15" s="211"/>
      <c r="GG15" s="211"/>
      <c r="GH15" s="211"/>
      <c r="GI15" s="211"/>
      <c r="GJ15" s="211"/>
      <c r="GK15" s="211"/>
      <c r="GL15" s="211"/>
      <c r="GM15" s="211"/>
      <c r="GN15" s="211"/>
      <c r="GO15" s="211"/>
      <c r="GP15" s="211"/>
      <c r="GQ15" s="211"/>
      <c r="GR15" s="211"/>
      <c r="GS15" s="211"/>
      <c r="GT15" s="211"/>
      <c r="GU15" s="211"/>
      <c r="GV15" s="211"/>
      <c r="GW15" s="211"/>
      <c r="GX15" s="211"/>
      <c r="GY15" s="211"/>
      <c r="GZ15" s="211"/>
      <c r="HA15" s="211"/>
      <c r="HB15" s="211"/>
      <c r="HC15" s="211"/>
      <c r="HD15" s="211"/>
      <c r="HE15" s="211"/>
      <c r="HF15" s="211"/>
      <c r="HG15" s="211"/>
      <c r="HH15" s="211"/>
      <c r="HI15" s="211"/>
      <c r="HJ15" s="211"/>
      <c r="HK15" s="211"/>
      <c r="HL15" s="211"/>
      <c r="HM15" s="211"/>
      <c r="HN15" s="211"/>
      <c r="HO15" s="211"/>
      <c r="HP15" s="211"/>
      <c r="HQ15" s="211"/>
      <c r="HR15" s="211"/>
      <c r="HS15" s="211"/>
      <c r="HT15" s="211"/>
      <c r="HU15" s="211"/>
      <c r="HV15" s="211"/>
      <c r="HW15" s="211"/>
      <c r="HX15" s="211"/>
      <c r="HY15" s="211"/>
      <c r="HZ15" s="211"/>
      <c r="IA15" s="211"/>
      <c r="IB15" s="211"/>
      <c r="IC15" s="211"/>
      <c r="ID15" s="211"/>
      <c r="IE15" s="211"/>
      <c r="IF15" s="211"/>
      <c r="IG15" s="211"/>
      <c r="IH15" s="211"/>
      <c r="II15" s="211"/>
      <c r="IJ15" s="211"/>
      <c r="IK15" s="211"/>
      <c r="IL15" s="211"/>
      <c r="IM15" s="211"/>
      <c r="IN15" s="211"/>
      <c r="IO15" s="211"/>
      <c r="IP15" s="211"/>
      <c r="IQ15" s="211"/>
      <c r="IR15" s="211"/>
      <c r="IS15" s="211"/>
      <c r="IT15" s="211"/>
      <c r="IU15" s="211"/>
      <c r="IV15" s="211"/>
      <c r="IW15" s="211"/>
    </row>
    <row r="16" customFormat="false" ht="11.25" hidden="false" customHeight="false" outlineLevel="0" collapsed="false">
      <c r="A16" s="213" t="s">
        <v>640</v>
      </c>
      <c r="B16" s="230" t="s">
        <v>641</v>
      </c>
      <c r="C16" s="231" t="n">
        <v>37109</v>
      </c>
      <c r="D16" s="232" t="n">
        <v>33</v>
      </c>
      <c r="E16" s="232" t="n">
        <v>46</v>
      </c>
      <c r="F16" s="232" t="n">
        <v>29.25</v>
      </c>
      <c r="G16" s="233" t="n">
        <v>1966.26387</v>
      </c>
      <c r="H16" s="233" t="n">
        <v>2070.56387</v>
      </c>
      <c r="I16" s="234" t="n">
        <v>9.46684578719307</v>
      </c>
      <c r="J16" s="234" t="n">
        <v>5.53295796247886</v>
      </c>
      <c r="K16" s="234" t="n">
        <v>7.27300387274321</v>
      </c>
      <c r="L16" s="234" t="n">
        <v>3.31193698731661</v>
      </c>
      <c r="M16" s="234" t="n">
        <v>2.92563090515741</v>
      </c>
      <c r="N16" s="234" t="n">
        <v>3.43116579415768</v>
      </c>
      <c r="O16" s="234" t="n">
        <v>3.30444281838494</v>
      </c>
      <c r="P16" s="234" t="n">
        <v>2.28890478648786</v>
      </c>
      <c r="Q16" s="234" t="n">
        <v>2.63388965354066</v>
      </c>
      <c r="R16" s="235" t="n">
        <v>0.103492136910268</v>
      </c>
      <c r="S16" s="234" t="n">
        <v>2.5854883234714</v>
      </c>
      <c r="T16" s="235" t="n">
        <v>0</v>
      </c>
      <c r="U16" s="236" t="n">
        <v>211.756666666667</v>
      </c>
      <c r="V16" s="235" t="n">
        <v>0.895124907519637</v>
      </c>
      <c r="W16" s="237" t="n">
        <v>9.7780339225841</v>
      </c>
      <c r="X16" s="236" t="n">
        <v>59.5837536363636</v>
      </c>
      <c r="Y16" s="213"/>
      <c r="Z16" s="213"/>
      <c r="AA16" s="213"/>
      <c r="AB16" s="213"/>
      <c r="AC16" s="213"/>
      <c r="AD16" s="213"/>
      <c r="AE16" s="213"/>
      <c r="AF16" s="213"/>
      <c r="AG16" s="213"/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  <c r="BI16" s="213"/>
      <c r="BJ16" s="213"/>
      <c r="BK16" s="213"/>
      <c r="BL16" s="213"/>
      <c r="BM16" s="213"/>
      <c r="BN16" s="213"/>
      <c r="BO16" s="213"/>
      <c r="BP16" s="213"/>
      <c r="BQ16" s="213"/>
      <c r="BR16" s="213"/>
      <c r="BS16" s="213"/>
      <c r="BT16" s="213"/>
      <c r="BU16" s="213"/>
      <c r="BV16" s="213"/>
      <c r="BW16" s="213"/>
      <c r="BX16" s="213"/>
      <c r="BY16" s="213"/>
      <c r="BZ16" s="213"/>
      <c r="CA16" s="213"/>
      <c r="CB16" s="213"/>
      <c r="CC16" s="213"/>
      <c r="CD16" s="213"/>
      <c r="CE16" s="213"/>
      <c r="CF16" s="213"/>
      <c r="CG16" s="213"/>
      <c r="CH16" s="213"/>
      <c r="CI16" s="213"/>
      <c r="CJ16" s="213"/>
      <c r="CK16" s="213"/>
      <c r="CL16" s="213"/>
      <c r="CM16" s="213"/>
      <c r="CN16" s="213"/>
      <c r="CO16" s="213"/>
      <c r="CP16" s="213"/>
      <c r="CQ16" s="213"/>
      <c r="CR16" s="213"/>
      <c r="CS16" s="213"/>
      <c r="CT16" s="213"/>
      <c r="CU16" s="213"/>
      <c r="CV16" s="213"/>
      <c r="CW16" s="213"/>
      <c r="CX16" s="213"/>
      <c r="CY16" s="213"/>
      <c r="CZ16" s="213"/>
      <c r="DA16" s="213"/>
      <c r="DB16" s="213"/>
      <c r="DC16" s="213"/>
      <c r="DD16" s="213"/>
      <c r="DE16" s="213"/>
      <c r="DF16" s="213"/>
      <c r="DG16" s="213"/>
      <c r="DH16" s="213"/>
      <c r="DI16" s="213"/>
      <c r="DJ16" s="213"/>
      <c r="DK16" s="213"/>
      <c r="DL16" s="213"/>
      <c r="DM16" s="213"/>
      <c r="DN16" s="213"/>
      <c r="DO16" s="213"/>
      <c r="DP16" s="213"/>
      <c r="DQ16" s="213"/>
      <c r="DR16" s="213"/>
      <c r="DS16" s="213"/>
      <c r="DT16" s="213"/>
      <c r="DU16" s="213"/>
      <c r="DV16" s="213"/>
      <c r="DW16" s="213"/>
      <c r="DX16" s="213"/>
      <c r="DY16" s="213"/>
      <c r="DZ16" s="213"/>
      <c r="EA16" s="213"/>
      <c r="EB16" s="213"/>
      <c r="EC16" s="213"/>
      <c r="ED16" s="213"/>
      <c r="EE16" s="213"/>
      <c r="EF16" s="213"/>
      <c r="EG16" s="213"/>
      <c r="EH16" s="213"/>
      <c r="EI16" s="213"/>
      <c r="EJ16" s="213"/>
      <c r="EK16" s="213"/>
      <c r="EL16" s="213"/>
      <c r="EM16" s="213"/>
      <c r="EN16" s="213"/>
      <c r="EO16" s="213"/>
      <c r="EP16" s="213"/>
      <c r="EQ16" s="213"/>
      <c r="ER16" s="213"/>
      <c r="ES16" s="213"/>
      <c r="ET16" s="213"/>
      <c r="EU16" s="213"/>
      <c r="EV16" s="213"/>
      <c r="EW16" s="213"/>
      <c r="EX16" s="213"/>
      <c r="EY16" s="213"/>
      <c r="EZ16" s="213"/>
      <c r="FA16" s="213"/>
      <c r="FB16" s="213"/>
      <c r="FC16" s="213"/>
      <c r="FD16" s="213"/>
      <c r="FE16" s="213"/>
      <c r="FF16" s="213"/>
      <c r="FG16" s="213"/>
      <c r="FH16" s="213"/>
      <c r="FI16" s="213"/>
      <c r="FJ16" s="213"/>
      <c r="FK16" s="213"/>
      <c r="FL16" s="213"/>
      <c r="FM16" s="213"/>
      <c r="FN16" s="213"/>
      <c r="FO16" s="213"/>
      <c r="FP16" s="213"/>
      <c r="FQ16" s="213"/>
      <c r="FR16" s="213"/>
      <c r="FS16" s="213"/>
      <c r="FT16" s="213"/>
      <c r="FU16" s="213"/>
      <c r="FV16" s="213"/>
      <c r="FW16" s="213"/>
      <c r="FX16" s="213"/>
      <c r="FY16" s="213"/>
      <c r="FZ16" s="213"/>
      <c r="GA16" s="213"/>
      <c r="GB16" s="213"/>
      <c r="GC16" s="213"/>
      <c r="GD16" s="213"/>
      <c r="GE16" s="213"/>
      <c r="GF16" s="213"/>
      <c r="GG16" s="213"/>
      <c r="GH16" s="213"/>
      <c r="GI16" s="213"/>
      <c r="GJ16" s="213"/>
      <c r="GK16" s="213"/>
      <c r="GL16" s="213"/>
      <c r="GM16" s="213"/>
      <c r="GN16" s="213"/>
      <c r="GO16" s="213"/>
      <c r="GP16" s="213"/>
      <c r="GQ16" s="213"/>
      <c r="GR16" s="213"/>
      <c r="GS16" s="213"/>
      <c r="GT16" s="213"/>
      <c r="GU16" s="213"/>
      <c r="GV16" s="213"/>
      <c r="GW16" s="213"/>
      <c r="GX16" s="213"/>
      <c r="GY16" s="213"/>
      <c r="GZ16" s="213"/>
      <c r="HA16" s="213"/>
      <c r="HB16" s="213"/>
      <c r="HC16" s="213"/>
      <c r="HD16" s="213"/>
      <c r="HE16" s="213"/>
      <c r="HF16" s="213"/>
      <c r="HG16" s="213"/>
      <c r="HH16" s="213"/>
      <c r="HI16" s="213"/>
      <c r="HJ16" s="213"/>
      <c r="HK16" s="213"/>
      <c r="HL16" s="213"/>
      <c r="HM16" s="213"/>
      <c r="HN16" s="213"/>
      <c r="HO16" s="213"/>
      <c r="HP16" s="213"/>
      <c r="HQ16" s="213"/>
      <c r="HR16" s="213"/>
      <c r="HS16" s="213"/>
      <c r="HT16" s="213"/>
      <c r="HU16" s="213"/>
      <c r="HV16" s="213"/>
      <c r="HW16" s="213"/>
      <c r="HX16" s="213"/>
      <c r="HY16" s="213"/>
      <c r="HZ16" s="213"/>
      <c r="IA16" s="213"/>
      <c r="IB16" s="213"/>
      <c r="IC16" s="213"/>
      <c r="ID16" s="213"/>
      <c r="IE16" s="213"/>
      <c r="IF16" s="213"/>
      <c r="IG16" s="213"/>
      <c r="IH16" s="213"/>
      <c r="II16" s="213"/>
      <c r="IJ16" s="213"/>
      <c r="IK16" s="213"/>
      <c r="IL16" s="213"/>
      <c r="IM16" s="213"/>
      <c r="IN16" s="213"/>
      <c r="IO16" s="213"/>
      <c r="IP16" s="213"/>
      <c r="IQ16" s="213"/>
      <c r="IR16" s="213"/>
      <c r="IS16" s="213"/>
      <c r="IT16" s="213"/>
      <c r="IU16" s="213"/>
      <c r="IV16" s="213"/>
      <c r="IW16" s="213"/>
    </row>
    <row r="17" customFormat="false" ht="11.25" hidden="false" customHeight="false" outlineLevel="0" collapsed="false">
      <c r="A17" s="213" t="s">
        <v>642</v>
      </c>
      <c r="B17" s="230" t="s">
        <v>643</v>
      </c>
      <c r="C17" s="231" t="n">
        <v>37109</v>
      </c>
      <c r="D17" s="232" t="n">
        <v>47</v>
      </c>
      <c r="E17" s="232" t="n">
        <v>56.2</v>
      </c>
      <c r="F17" s="232" t="n">
        <v>37.25</v>
      </c>
      <c r="G17" s="233" t="n">
        <v>5757.88998196</v>
      </c>
      <c r="H17" s="233" t="n">
        <v>8123.88998196</v>
      </c>
      <c r="I17" s="234" t="n">
        <v>7.33489169676433</v>
      </c>
      <c r="J17" s="234" t="n">
        <v>6.38056271694383</v>
      </c>
      <c r="K17" s="234" t="n">
        <v>10.1073775470095</v>
      </c>
      <c r="L17" s="234" t="n">
        <v>3.04876097742243</v>
      </c>
      <c r="M17" s="234" t="n">
        <v>2.55780718347975</v>
      </c>
      <c r="N17" s="234" t="n">
        <v>3.33306511349888</v>
      </c>
      <c r="O17" s="234" t="n">
        <v>3.76768851774418</v>
      </c>
      <c r="P17" s="234" t="n">
        <v>3.17622334812255</v>
      </c>
      <c r="Q17" s="234" t="n">
        <v>3.92742859779135</v>
      </c>
      <c r="R17" s="235" t="n">
        <v>0.410021726857475</v>
      </c>
      <c r="S17" s="234" t="n">
        <v>1.72894033028856</v>
      </c>
      <c r="T17" s="235" t="n">
        <v>0.008510638</v>
      </c>
      <c r="U17" s="236" t="n">
        <v>1200.484</v>
      </c>
      <c r="V17" s="235" t="n">
        <v>0.349421566634791</v>
      </c>
      <c r="W17" s="237" t="n">
        <v>6.75457600784152</v>
      </c>
      <c r="X17" s="236" t="n">
        <v>122.508297488511</v>
      </c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  <c r="BI17" s="213"/>
      <c r="BJ17" s="213"/>
      <c r="BK17" s="213"/>
      <c r="BL17" s="213"/>
      <c r="BM17" s="213"/>
      <c r="BN17" s="213"/>
      <c r="BO17" s="213"/>
      <c r="BP17" s="213"/>
      <c r="BQ17" s="213"/>
      <c r="BR17" s="213"/>
      <c r="BS17" s="213"/>
      <c r="BT17" s="213"/>
      <c r="BU17" s="213"/>
      <c r="BV17" s="213"/>
      <c r="BW17" s="213"/>
      <c r="BX17" s="213"/>
      <c r="BY17" s="213"/>
      <c r="BZ17" s="213"/>
      <c r="CA17" s="213"/>
      <c r="CB17" s="213"/>
      <c r="CC17" s="213"/>
      <c r="CD17" s="213"/>
      <c r="CE17" s="213"/>
      <c r="CF17" s="213"/>
      <c r="CG17" s="213"/>
      <c r="CH17" s="213"/>
      <c r="CI17" s="213"/>
      <c r="CJ17" s="213"/>
      <c r="CK17" s="213"/>
      <c r="CL17" s="213"/>
      <c r="CM17" s="213"/>
      <c r="CN17" s="213"/>
      <c r="CO17" s="213"/>
      <c r="CP17" s="213"/>
      <c r="CQ17" s="213"/>
      <c r="CR17" s="213"/>
      <c r="CS17" s="213"/>
      <c r="CT17" s="213"/>
      <c r="CU17" s="213"/>
      <c r="CV17" s="213"/>
      <c r="CW17" s="213"/>
      <c r="CX17" s="213"/>
      <c r="CY17" s="213"/>
      <c r="CZ17" s="213"/>
      <c r="DA17" s="213"/>
      <c r="DB17" s="213"/>
      <c r="DC17" s="213"/>
      <c r="DD17" s="213"/>
      <c r="DE17" s="213"/>
      <c r="DF17" s="213"/>
      <c r="DG17" s="213"/>
      <c r="DH17" s="213"/>
      <c r="DI17" s="213"/>
      <c r="DJ17" s="213"/>
      <c r="DK17" s="213"/>
      <c r="DL17" s="213"/>
      <c r="DM17" s="213"/>
      <c r="DN17" s="213"/>
      <c r="DO17" s="213"/>
      <c r="DP17" s="213"/>
      <c r="DQ17" s="213"/>
      <c r="DR17" s="213"/>
      <c r="DS17" s="213"/>
      <c r="DT17" s="213"/>
      <c r="DU17" s="213"/>
      <c r="DV17" s="213"/>
      <c r="DW17" s="213"/>
      <c r="DX17" s="213"/>
      <c r="DY17" s="213"/>
      <c r="DZ17" s="213"/>
      <c r="EA17" s="213"/>
      <c r="EB17" s="213"/>
      <c r="EC17" s="213"/>
      <c r="ED17" s="213"/>
      <c r="EE17" s="213"/>
      <c r="EF17" s="213"/>
      <c r="EG17" s="213"/>
      <c r="EH17" s="213"/>
      <c r="EI17" s="213"/>
      <c r="EJ17" s="213"/>
      <c r="EK17" s="213"/>
      <c r="EL17" s="213"/>
      <c r="EM17" s="213"/>
      <c r="EN17" s="213"/>
      <c r="EO17" s="213"/>
      <c r="EP17" s="213"/>
      <c r="EQ17" s="213"/>
      <c r="ER17" s="213"/>
      <c r="ES17" s="213"/>
      <c r="ET17" s="213"/>
      <c r="EU17" s="213"/>
      <c r="EV17" s="213"/>
      <c r="EW17" s="213"/>
      <c r="EX17" s="213"/>
      <c r="EY17" s="213"/>
      <c r="EZ17" s="213"/>
      <c r="FA17" s="213"/>
      <c r="FB17" s="213"/>
      <c r="FC17" s="213"/>
      <c r="FD17" s="213"/>
      <c r="FE17" s="213"/>
      <c r="FF17" s="213"/>
      <c r="FG17" s="213"/>
      <c r="FH17" s="213"/>
      <c r="FI17" s="213"/>
      <c r="FJ17" s="213"/>
      <c r="FK17" s="213"/>
      <c r="FL17" s="213"/>
      <c r="FM17" s="213"/>
      <c r="FN17" s="213"/>
      <c r="FO17" s="213"/>
      <c r="FP17" s="213"/>
      <c r="FQ17" s="213"/>
      <c r="FR17" s="213"/>
      <c r="FS17" s="213"/>
      <c r="FT17" s="213"/>
      <c r="FU17" s="213"/>
      <c r="FV17" s="213"/>
      <c r="FW17" s="213"/>
      <c r="FX17" s="213"/>
      <c r="FY17" s="213"/>
      <c r="FZ17" s="213"/>
      <c r="GA17" s="213"/>
      <c r="GB17" s="213"/>
      <c r="GC17" s="213"/>
      <c r="GD17" s="213"/>
      <c r="GE17" s="213"/>
      <c r="GF17" s="213"/>
      <c r="GG17" s="213"/>
      <c r="GH17" s="213"/>
      <c r="GI17" s="213"/>
      <c r="GJ17" s="213"/>
      <c r="GK17" s="213"/>
      <c r="GL17" s="213"/>
      <c r="GM17" s="213"/>
      <c r="GN17" s="213"/>
      <c r="GO17" s="213"/>
      <c r="GP17" s="213"/>
      <c r="GQ17" s="213"/>
      <c r="GR17" s="213"/>
      <c r="GS17" s="213"/>
      <c r="GT17" s="213"/>
      <c r="GU17" s="213"/>
      <c r="GV17" s="213"/>
      <c r="GW17" s="213"/>
      <c r="GX17" s="213"/>
      <c r="GY17" s="213"/>
      <c r="GZ17" s="213"/>
      <c r="HA17" s="213"/>
      <c r="HB17" s="213"/>
      <c r="HC17" s="213"/>
      <c r="HD17" s="213"/>
      <c r="HE17" s="213"/>
      <c r="HF17" s="213"/>
      <c r="HG17" s="213"/>
      <c r="HH17" s="213"/>
      <c r="HI17" s="213"/>
      <c r="HJ17" s="213"/>
      <c r="HK17" s="213"/>
      <c r="HL17" s="213"/>
      <c r="HM17" s="213"/>
      <c r="HN17" s="213"/>
      <c r="HO17" s="213"/>
      <c r="HP17" s="213"/>
      <c r="HQ17" s="213"/>
      <c r="HR17" s="213"/>
      <c r="HS17" s="213"/>
      <c r="HT17" s="213"/>
      <c r="HU17" s="213"/>
      <c r="HV17" s="213"/>
      <c r="HW17" s="213"/>
      <c r="HX17" s="213"/>
      <c r="HY17" s="213"/>
      <c r="HZ17" s="213"/>
      <c r="IA17" s="213"/>
      <c r="IB17" s="213"/>
      <c r="IC17" s="213"/>
      <c r="ID17" s="213"/>
      <c r="IE17" s="213"/>
      <c r="IF17" s="213"/>
      <c r="IG17" s="213"/>
      <c r="IH17" s="213"/>
      <c r="II17" s="213"/>
      <c r="IJ17" s="213"/>
      <c r="IK17" s="213"/>
      <c r="IL17" s="213"/>
      <c r="IM17" s="213"/>
      <c r="IN17" s="213"/>
      <c r="IO17" s="213"/>
      <c r="IP17" s="213"/>
      <c r="IQ17" s="213"/>
      <c r="IR17" s="213"/>
      <c r="IS17" s="213"/>
      <c r="IT17" s="213"/>
      <c r="IU17" s="213"/>
      <c r="IV17" s="213"/>
      <c r="IW17" s="213"/>
    </row>
    <row r="18" customFormat="false" ht="11.25" hidden="false" customHeight="false" outlineLevel="0" collapsed="false">
      <c r="A18" s="213" t="s">
        <v>644</v>
      </c>
      <c r="B18" s="230" t="s">
        <v>645</v>
      </c>
      <c r="C18" s="231" t="n">
        <v>37109</v>
      </c>
      <c r="D18" s="232" t="n">
        <v>12.36</v>
      </c>
      <c r="E18" s="232" t="n">
        <v>12.48</v>
      </c>
      <c r="F18" s="232" t="n">
        <v>6.25</v>
      </c>
      <c r="G18" s="233" t="n">
        <v>6472.2346496</v>
      </c>
      <c r="H18" s="233" t="n">
        <v>9456.2346496</v>
      </c>
      <c r="I18" s="234" t="n">
        <v>65.3893175348555</v>
      </c>
      <c r="J18" s="234" t="n">
        <v>20.486185581637</v>
      </c>
      <c r="K18" s="234" t="n">
        <v>25.9300681167785</v>
      </c>
      <c r="L18" s="234" t="n">
        <v>6.18772313963938</v>
      </c>
      <c r="M18" s="234" t="n">
        <v>4.07651715039578</v>
      </c>
      <c r="N18" s="234" t="n">
        <v>4.6309479205695</v>
      </c>
      <c r="O18" s="234" t="n">
        <v>7.09927526246246</v>
      </c>
      <c r="P18" s="234" t="n">
        <v>5.55502887799796</v>
      </c>
      <c r="Q18" s="234" t="n">
        <v>5.96262390983992</v>
      </c>
      <c r="R18" s="235" t="n">
        <v>0.424489795918367</v>
      </c>
      <c r="S18" s="234" t="n">
        <v>2.54411739371069</v>
      </c>
      <c r="T18" s="235" t="n">
        <v>0</v>
      </c>
      <c r="U18" s="236" t="n">
        <v>1261.33333333333</v>
      </c>
      <c r="V18" s="235" t="n">
        <v>0.478329809725159</v>
      </c>
      <c r="W18" s="237" t="n">
        <v>7.36888696935311</v>
      </c>
      <c r="X18" s="236" t="n">
        <v>523.643580064725</v>
      </c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3"/>
      <c r="CA18" s="213"/>
      <c r="CB18" s="213"/>
      <c r="CC18" s="213"/>
      <c r="CD18" s="213"/>
      <c r="CE18" s="213"/>
      <c r="CF18" s="213"/>
      <c r="CG18" s="213"/>
      <c r="CH18" s="213"/>
      <c r="CI18" s="213"/>
      <c r="CJ18" s="213"/>
      <c r="CK18" s="213"/>
      <c r="CL18" s="213"/>
      <c r="CM18" s="213"/>
      <c r="CN18" s="213"/>
      <c r="CO18" s="213"/>
      <c r="CP18" s="213"/>
      <c r="CQ18" s="213"/>
      <c r="CR18" s="213"/>
      <c r="CS18" s="213"/>
      <c r="CT18" s="213"/>
      <c r="CU18" s="213"/>
      <c r="CV18" s="213"/>
      <c r="CW18" s="213"/>
      <c r="CX18" s="213"/>
      <c r="CY18" s="213"/>
      <c r="CZ18" s="213"/>
      <c r="DA18" s="213"/>
      <c r="DB18" s="213"/>
      <c r="DC18" s="213"/>
      <c r="DD18" s="213"/>
      <c r="DE18" s="213"/>
      <c r="DF18" s="213"/>
      <c r="DG18" s="213"/>
      <c r="DH18" s="213"/>
      <c r="DI18" s="213"/>
      <c r="DJ18" s="213"/>
      <c r="DK18" s="213"/>
      <c r="DL18" s="213"/>
      <c r="DM18" s="213"/>
      <c r="DN18" s="213"/>
      <c r="DO18" s="213"/>
      <c r="DP18" s="213"/>
      <c r="DQ18" s="213"/>
      <c r="DR18" s="213"/>
      <c r="DS18" s="213"/>
      <c r="DT18" s="213"/>
      <c r="DU18" s="213"/>
      <c r="DV18" s="213"/>
      <c r="DW18" s="213"/>
      <c r="DX18" s="213"/>
      <c r="DY18" s="213"/>
      <c r="DZ18" s="213"/>
      <c r="EA18" s="213"/>
      <c r="EB18" s="213"/>
      <c r="EC18" s="213"/>
      <c r="ED18" s="213"/>
      <c r="EE18" s="213"/>
      <c r="EF18" s="213"/>
      <c r="EG18" s="213"/>
      <c r="EH18" s="213"/>
      <c r="EI18" s="213"/>
      <c r="EJ18" s="213"/>
      <c r="EK18" s="213"/>
      <c r="EL18" s="213"/>
      <c r="EM18" s="213"/>
      <c r="EN18" s="213"/>
      <c r="EO18" s="213"/>
      <c r="EP18" s="213"/>
      <c r="EQ18" s="213"/>
      <c r="ER18" s="213"/>
      <c r="ES18" s="213"/>
      <c r="ET18" s="213"/>
      <c r="EU18" s="213"/>
      <c r="EV18" s="213"/>
      <c r="EW18" s="213"/>
      <c r="EX18" s="213"/>
      <c r="EY18" s="213"/>
      <c r="EZ18" s="213"/>
      <c r="FA18" s="213"/>
      <c r="FB18" s="213"/>
      <c r="FC18" s="213"/>
      <c r="FD18" s="213"/>
      <c r="FE18" s="213"/>
      <c r="FF18" s="213"/>
      <c r="FG18" s="213"/>
      <c r="FH18" s="213"/>
      <c r="FI18" s="213"/>
      <c r="FJ18" s="213"/>
      <c r="FK18" s="213"/>
      <c r="FL18" s="213"/>
      <c r="FM18" s="213"/>
      <c r="FN18" s="213"/>
      <c r="FO18" s="213"/>
      <c r="FP18" s="213"/>
      <c r="FQ18" s="213"/>
      <c r="FR18" s="213"/>
      <c r="FS18" s="213"/>
      <c r="FT18" s="213"/>
      <c r="FU18" s="213"/>
      <c r="FV18" s="213"/>
      <c r="FW18" s="213"/>
      <c r="FX18" s="213"/>
      <c r="FY18" s="213"/>
      <c r="FZ18" s="213"/>
      <c r="GA18" s="213"/>
      <c r="GB18" s="213"/>
      <c r="GC18" s="213"/>
      <c r="GD18" s="213"/>
      <c r="GE18" s="213"/>
      <c r="GF18" s="213"/>
      <c r="GG18" s="213"/>
      <c r="GH18" s="213"/>
      <c r="GI18" s="213"/>
      <c r="GJ18" s="213"/>
      <c r="GK18" s="213"/>
      <c r="GL18" s="213"/>
      <c r="GM18" s="213"/>
      <c r="GN18" s="213"/>
      <c r="GO18" s="213"/>
      <c r="GP18" s="213"/>
      <c r="GQ18" s="213"/>
      <c r="GR18" s="213"/>
      <c r="GS18" s="213"/>
      <c r="GT18" s="213"/>
      <c r="GU18" s="213"/>
      <c r="GV18" s="213"/>
      <c r="GW18" s="213"/>
      <c r="GX18" s="213"/>
      <c r="GY18" s="213"/>
      <c r="GZ18" s="213"/>
      <c r="HA18" s="213"/>
      <c r="HB18" s="213"/>
      <c r="HC18" s="213"/>
      <c r="HD18" s="213"/>
      <c r="HE18" s="213"/>
      <c r="HF18" s="213"/>
      <c r="HG18" s="213"/>
      <c r="HH18" s="213"/>
      <c r="HI18" s="213"/>
      <c r="HJ18" s="213"/>
      <c r="HK18" s="213"/>
      <c r="HL18" s="213"/>
      <c r="HM18" s="213"/>
      <c r="HN18" s="213"/>
      <c r="HO18" s="213"/>
      <c r="HP18" s="213"/>
      <c r="HQ18" s="213"/>
      <c r="HR18" s="213"/>
      <c r="HS18" s="213"/>
      <c r="HT18" s="213"/>
      <c r="HU18" s="213"/>
      <c r="HV18" s="213"/>
      <c r="HW18" s="213"/>
      <c r="HX18" s="213"/>
      <c r="HY18" s="213"/>
      <c r="HZ18" s="213"/>
      <c r="IA18" s="213"/>
      <c r="IB18" s="213"/>
      <c r="IC18" s="213"/>
      <c r="ID18" s="213"/>
      <c r="IE18" s="213"/>
      <c r="IF18" s="213"/>
      <c r="IG18" s="213"/>
      <c r="IH18" s="213"/>
      <c r="II18" s="213"/>
      <c r="IJ18" s="213"/>
      <c r="IK18" s="213"/>
      <c r="IL18" s="213"/>
      <c r="IM18" s="213"/>
      <c r="IN18" s="213"/>
      <c r="IO18" s="213"/>
      <c r="IP18" s="213"/>
      <c r="IQ18" s="213"/>
      <c r="IR18" s="213"/>
      <c r="IS18" s="213"/>
      <c r="IT18" s="213"/>
      <c r="IU18" s="213"/>
      <c r="IV18" s="213"/>
      <c r="IW18" s="213"/>
    </row>
    <row r="19" customFormat="false" ht="11.25" hidden="false" customHeight="false" outlineLevel="0" collapsed="false">
      <c r="A19" s="213" t="s">
        <v>646</v>
      </c>
      <c r="B19" s="230" t="s">
        <v>647</v>
      </c>
      <c r="C19" s="231" t="n">
        <v>37109</v>
      </c>
      <c r="D19" s="232" t="n">
        <v>15.94</v>
      </c>
      <c r="E19" s="232" t="n">
        <v>17.3</v>
      </c>
      <c r="F19" s="232" t="n">
        <v>11.5</v>
      </c>
      <c r="G19" s="233" t="n">
        <v>6601.49326</v>
      </c>
      <c r="H19" s="233" t="n">
        <v>8711.49326</v>
      </c>
      <c r="I19" s="234" t="n">
        <v>13.256010562249</v>
      </c>
      <c r="J19" s="234" t="n">
        <v>8.23215057437437</v>
      </c>
      <c r="K19" s="234" t="n">
        <v>14.4755303972196</v>
      </c>
      <c r="L19" s="234" t="n">
        <v>4.88637547002221</v>
      </c>
      <c r="M19" s="234" t="n">
        <v>3.04352326155009</v>
      </c>
      <c r="N19" s="234" t="n">
        <v>3.99560175282504</v>
      </c>
      <c r="O19" s="234" t="n">
        <v>5.78068564034506</v>
      </c>
      <c r="P19" s="234" t="n">
        <v>3.68380105640578</v>
      </c>
      <c r="Q19" s="234" t="n">
        <v>4.48250515193911</v>
      </c>
      <c r="R19" s="235" t="n">
        <v>0.332650165536812</v>
      </c>
      <c r="S19" s="234" t="n">
        <v>1.55953065438224</v>
      </c>
      <c r="T19" s="235" t="n">
        <v>0.02258469</v>
      </c>
      <c r="U19" s="236" t="n">
        <v>872.166666666667</v>
      </c>
      <c r="V19" s="235" t="n">
        <v>0.364800305751959</v>
      </c>
      <c r="W19" s="237" t="n">
        <v>8.34633006713378</v>
      </c>
      <c r="X19" s="236" t="n">
        <v>414.146377666248</v>
      </c>
      <c r="Y19" s="213"/>
      <c r="Z19" s="213"/>
      <c r="AA19" s="213"/>
      <c r="AB19" s="213"/>
      <c r="AC19" s="213"/>
      <c r="AD19" s="213"/>
      <c r="AE19" s="213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3"/>
      <c r="CO19" s="213"/>
      <c r="CP19" s="213"/>
      <c r="CQ19" s="213"/>
      <c r="CR19" s="213"/>
      <c r="CS19" s="213"/>
      <c r="CT19" s="213"/>
      <c r="CU19" s="213"/>
      <c r="CV19" s="213"/>
      <c r="CW19" s="213"/>
      <c r="CX19" s="213"/>
      <c r="CY19" s="213"/>
      <c r="CZ19" s="213"/>
      <c r="DA19" s="213"/>
      <c r="DB19" s="213"/>
      <c r="DC19" s="213"/>
      <c r="DD19" s="213"/>
      <c r="DE19" s="213"/>
      <c r="DF19" s="213"/>
      <c r="DG19" s="213"/>
      <c r="DH19" s="213"/>
      <c r="DI19" s="213"/>
      <c r="DJ19" s="213"/>
      <c r="DK19" s="213"/>
      <c r="DL19" s="213"/>
      <c r="DM19" s="213"/>
      <c r="DN19" s="213"/>
      <c r="DO19" s="213"/>
      <c r="DP19" s="213"/>
      <c r="DQ19" s="213"/>
      <c r="DR19" s="213"/>
      <c r="DS19" s="213"/>
      <c r="DT19" s="213"/>
      <c r="DU19" s="213"/>
      <c r="DV19" s="213"/>
      <c r="DW19" s="213"/>
      <c r="DX19" s="213"/>
      <c r="DY19" s="213"/>
      <c r="DZ19" s="213"/>
      <c r="EA19" s="213"/>
      <c r="EB19" s="213"/>
      <c r="EC19" s="213"/>
      <c r="ED19" s="213"/>
      <c r="EE19" s="213"/>
      <c r="EF19" s="213"/>
      <c r="EG19" s="213"/>
      <c r="EH19" s="213"/>
      <c r="EI19" s="213"/>
      <c r="EJ19" s="213"/>
      <c r="EK19" s="213"/>
      <c r="EL19" s="213"/>
      <c r="EM19" s="213"/>
      <c r="EN19" s="213"/>
      <c r="EO19" s="213"/>
      <c r="EP19" s="213"/>
      <c r="EQ19" s="213"/>
      <c r="ER19" s="213"/>
      <c r="ES19" s="213"/>
      <c r="ET19" s="213"/>
      <c r="EU19" s="213"/>
      <c r="EV19" s="213"/>
      <c r="EW19" s="213"/>
      <c r="EX19" s="213"/>
      <c r="EY19" s="213"/>
      <c r="EZ19" s="213"/>
      <c r="FA19" s="213"/>
      <c r="FB19" s="213"/>
      <c r="FC19" s="213"/>
      <c r="FD19" s="213"/>
      <c r="FE19" s="213"/>
      <c r="FF19" s="213"/>
      <c r="FG19" s="213"/>
      <c r="FH19" s="213"/>
      <c r="FI19" s="213"/>
      <c r="FJ19" s="213"/>
      <c r="FK19" s="213"/>
      <c r="FL19" s="213"/>
      <c r="FM19" s="213"/>
      <c r="FN19" s="213"/>
      <c r="FO19" s="213"/>
      <c r="FP19" s="213"/>
      <c r="FQ19" s="213"/>
      <c r="FR19" s="213"/>
      <c r="FS19" s="213"/>
      <c r="FT19" s="213"/>
      <c r="FU19" s="213"/>
      <c r="FV19" s="213"/>
      <c r="FW19" s="213"/>
      <c r="FX19" s="213"/>
      <c r="FY19" s="213"/>
      <c r="FZ19" s="213"/>
      <c r="GA19" s="213"/>
      <c r="GB19" s="213"/>
      <c r="GC19" s="213"/>
      <c r="GD19" s="213"/>
      <c r="GE19" s="213"/>
      <c r="GF19" s="213"/>
      <c r="GG19" s="213"/>
      <c r="GH19" s="213"/>
      <c r="GI19" s="213"/>
      <c r="GJ19" s="213"/>
      <c r="GK19" s="213"/>
      <c r="GL19" s="213"/>
      <c r="GM19" s="213"/>
      <c r="GN19" s="213"/>
      <c r="GO19" s="213"/>
      <c r="GP19" s="213"/>
      <c r="GQ19" s="213"/>
      <c r="GR19" s="213"/>
      <c r="GS19" s="213"/>
      <c r="GT19" s="213"/>
      <c r="GU19" s="213"/>
      <c r="GV19" s="213"/>
      <c r="GW19" s="213"/>
      <c r="GX19" s="213"/>
      <c r="GY19" s="213"/>
      <c r="GZ19" s="213"/>
      <c r="HA19" s="213"/>
      <c r="HB19" s="213"/>
      <c r="HC19" s="213"/>
      <c r="HD19" s="213"/>
      <c r="HE19" s="213"/>
      <c r="HF19" s="213"/>
      <c r="HG19" s="213"/>
      <c r="HH19" s="213"/>
      <c r="HI19" s="213"/>
      <c r="HJ19" s="213"/>
      <c r="HK19" s="213"/>
      <c r="HL19" s="213"/>
      <c r="HM19" s="213"/>
      <c r="HN19" s="213"/>
      <c r="HO19" s="213"/>
      <c r="HP19" s="213"/>
      <c r="HQ19" s="213"/>
      <c r="HR19" s="213"/>
      <c r="HS19" s="213"/>
      <c r="HT19" s="213"/>
      <c r="HU19" s="213"/>
      <c r="HV19" s="213"/>
      <c r="HW19" s="213"/>
      <c r="HX19" s="213"/>
      <c r="HY19" s="213"/>
      <c r="HZ19" s="213"/>
      <c r="IA19" s="213"/>
      <c r="IB19" s="213"/>
      <c r="IC19" s="213"/>
      <c r="ID19" s="213"/>
      <c r="IE19" s="213"/>
      <c r="IF19" s="213"/>
      <c r="IG19" s="213"/>
      <c r="IH19" s="213"/>
      <c r="II19" s="213"/>
      <c r="IJ19" s="213"/>
      <c r="IK19" s="213"/>
      <c r="IL19" s="213"/>
      <c r="IM19" s="213"/>
      <c r="IN19" s="213"/>
      <c r="IO19" s="213"/>
      <c r="IP19" s="213"/>
      <c r="IQ19" s="213"/>
      <c r="IR19" s="213"/>
      <c r="IS19" s="213"/>
      <c r="IT19" s="213"/>
      <c r="IU19" s="213"/>
      <c r="IV19" s="213"/>
      <c r="IW19" s="213"/>
    </row>
    <row r="20" customFormat="false" ht="11.25" hidden="false" customHeight="false" outlineLevel="0" collapsed="false">
      <c r="A20" s="213" t="s">
        <v>648</v>
      </c>
      <c r="B20" s="230" t="s">
        <v>649</v>
      </c>
      <c r="C20" s="231" t="n">
        <v>37109</v>
      </c>
      <c r="D20" s="232" t="n">
        <v>41.02</v>
      </c>
      <c r="E20" s="232" t="n">
        <v>43.5</v>
      </c>
      <c r="F20" s="232" t="n">
        <v>34.05</v>
      </c>
      <c r="G20" s="233" t="n">
        <v>16336.74826</v>
      </c>
      <c r="H20" s="233" t="n">
        <v>16351.74826</v>
      </c>
      <c r="I20" s="234" t="n">
        <v>12.3389337311178</v>
      </c>
      <c r="J20" s="234" t="n">
        <v>12.25697089074</v>
      </c>
      <c r="K20" s="234" t="n">
        <v>13.6531039842633</v>
      </c>
      <c r="L20" s="234" t="n">
        <v>8.85940795010846</v>
      </c>
      <c r="M20" s="234" t="n">
        <v>8.15236779381466</v>
      </c>
      <c r="N20" s="234" t="n">
        <v>8.72765957446809</v>
      </c>
      <c r="O20" s="234" t="n">
        <v>5.68558701668985</v>
      </c>
      <c r="P20" s="234" t="n">
        <v>5.58801064424347</v>
      </c>
      <c r="Q20" s="234" t="n">
        <v>6.05596530776552</v>
      </c>
      <c r="R20" s="235" t="n">
        <v>0.22072451558551</v>
      </c>
      <c r="S20" s="234" t="n">
        <v>3.53226989405405</v>
      </c>
      <c r="T20" s="235" t="n">
        <v>0.01901511</v>
      </c>
      <c r="U20" s="236" t="n">
        <v>2193.135</v>
      </c>
      <c r="V20" s="235" t="n">
        <v>0.140741450024736</v>
      </c>
      <c r="W20" s="237" t="n">
        <v>4.62387910038045</v>
      </c>
      <c r="X20" s="236" t="n">
        <v>398.263</v>
      </c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  <c r="BI20" s="213"/>
      <c r="BJ20" s="213"/>
      <c r="BK20" s="213"/>
      <c r="BL20" s="213"/>
      <c r="BM20" s="213"/>
      <c r="BN20" s="213"/>
      <c r="BO20" s="213"/>
      <c r="BP20" s="213"/>
      <c r="BQ20" s="213"/>
      <c r="BR20" s="213"/>
      <c r="BS20" s="213"/>
      <c r="BT20" s="213"/>
      <c r="BU20" s="213"/>
      <c r="BV20" s="213"/>
      <c r="BW20" s="213"/>
      <c r="BX20" s="213"/>
      <c r="BY20" s="213"/>
      <c r="BZ20" s="213"/>
      <c r="CA20" s="213"/>
      <c r="CB20" s="213"/>
      <c r="CC20" s="213"/>
      <c r="CD20" s="213"/>
      <c r="CE20" s="213"/>
      <c r="CF20" s="213"/>
      <c r="CG20" s="213"/>
      <c r="CH20" s="213"/>
      <c r="CI20" s="213"/>
      <c r="CJ20" s="213"/>
      <c r="CK20" s="213"/>
      <c r="CL20" s="213"/>
      <c r="CM20" s="213"/>
      <c r="CN20" s="213"/>
      <c r="CO20" s="213"/>
      <c r="CP20" s="213"/>
      <c r="CQ20" s="213"/>
      <c r="CR20" s="213"/>
      <c r="CS20" s="213"/>
      <c r="CT20" s="213"/>
      <c r="CU20" s="213"/>
      <c r="CV20" s="213"/>
      <c r="CW20" s="213"/>
      <c r="CX20" s="213"/>
      <c r="CY20" s="213"/>
      <c r="CZ20" s="213"/>
      <c r="DA20" s="213"/>
      <c r="DB20" s="213"/>
      <c r="DC20" s="213"/>
      <c r="DD20" s="213"/>
      <c r="DE20" s="213"/>
      <c r="DF20" s="213"/>
      <c r="DG20" s="213"/>
      <c r="DH20" s="213"/>
      <c r="DI20" s="213"/>
      <c r="DJ20" s="213"/>
      <c r="DK20" s="213"/>
      <c r="DL20" s="213"/>
      <c r="DM20" s="213"/>
      <c r="DN20" s="213"/>
      <c r="DO20" s="213"/>
      <c r="DP20" s="213"/>
      <c r="DQ20" s="213"/>
      <c r="DR20" s="213"/>
      <c r="DS20" s="213"/>
      <c r="DT20" s="213"/>
      <c r="DU20" s="213"/>
      <c r="DV20" s="213"/>
      <c r="DW20" s="213"/>
      <c r="DX20" s="213"/>
      <c r="DY20" s="213"/>
      <c r="DZ20" s="213"/>
      <c r="EA20" s="213"/>
      <c r="EB20" s="213"/>
      <c r="EC20" s="213"/>
      <c r="ED20" s="213"/>
      <c r="EE20" s="213"/>
      <c r="EF20" s="213"/>
      <c r="EG20" s="213"/>
      <c r="EH20" s="213"/>
      <c r="EI20" s="213"/>
      <c r="EJ20" s="213"/>
      <c r="EK20" s="213"/>
      <c r="EL20" s="213"/>
      <c r="EM20" s="213"/>
      <c r="EN20" s="213"/>
      <c r="EO20" s="213"/>
      <c r="EP20" s="213"/>
      <c r="EQ20" s="213"/>
      <c r="ER20" s="213"/>
      <c r="ES20" s="213"/>
      <c r="ET20" s="213"/>
      <c r="EU20" s="213"/>
      <c r="EV20" s="213"/>
      <c r="EW20" s="213"/>
      <c r="EX20" s="213"/>
      <c r="EY20" s="213"/>
      <c r="EZ20" s="213"/>
      <c r="FA20" s="213"/>
      <c r="FB20" s="213"/>
      <c r="FC20" s="213"/>
      <c r="FD20" s="213"/>
      <c r="FE20" s="213"/>
      <c r="FF20" s="213"/>
      <c r="FG20" s="213"/>
      <c r="FH20" s="213"/>
      <c r="FI20" s="213"/>
      <c r="FJ20" s="213"/>
      <c r="FK20" s="213"/>
      <c r="FL20" s="213"/>
      <c r="FM20" s="213"/>
      <c r="FN20" s="213"/>
      <c r="FO20" s="213"/>
      <c r="FP20" s="213"/>
      <c r="FQ20" s="213"/>
      <c r="FR20" s="213"/>
      <c r="FS20" s="213"/>
      <c r="FT20" s="213"/>
      <c r="FU20" s="213"/>
      <c r="FV20" s="213"/>
      <c r="FW20" s="213"/>
      <c r="FX20" s="213"/>
      <c r="FY20" s="213"/>
      <c r="FZ20" s="213"/>
      <c r="GA20" s="213"/>
      <c r="GB20" s="213"/>
      <c r="GC20" s="213"/>
      <c r="GD20" s="213"/>
      <c r="GE20" s="213"/>
      <c r="GF20" s="213"/>
      <c r="GG20" s="213"/>
      <c r="GH20" s="213"/>
      <c r="GI20" s="213"/>
      <c r="GJ20" s="213"/>
      <c r="GK20" s="213"/>
      <c r="GL20" s="213"/>
      <c r="GM20" s="213"/>
      <c r="GN20" s="213"/>
      <c r="GO20" s="213"/>
      <c r="GP20" s="213"/>
      <c r="GQ20" s="213"/>
      <c r="GR20" s="213"/>
      <c r="GS20" s="213"/>
      <c r="GT20" s="213"/>
      <c r="GU20" s="213"/>
      <c r="GV20" s="213"/>
      <c r="GW20" s="213"/>
      <c r="GX20" s="213"/>
      <c r="GY20" s="213"/>
      <c r="GZ20" s="213"/>
      <c r="HA20" s="213"/>
      <c r="HB20" s="213"/>
      <c r="HC20" s="213"/>
      <c r="HD20" s="213"/>
      <c r="HE20" s="213"/>
      <c r="HF20" s="213"/>
      <c r="HG20" s="213"/>
      <c r="HH20" s="213"/>
      <c r="HI20" s="213"/>
      <c r="HJ20" s="213"/>
      <c r="HK20" s="213"/>
      <c r="HL20" s="213"/>
      <c r="HM20" s="213"/>
      <c r="HN20" s="213"/>
      <c r="HO20" s="213"/>
      <c r="HP20" s="213"/>
      <c r="HQ20" s="213"/>
      <c r="HR20" s="213"/>
      <c r="HS20" s="213"/>
      <c r="HT20" s="213"/>
      <c r="HU20" s="213"/>
      <c r="HV20" s="213"/>
      <c r="HW20" s="213"/>
      <c r="HX20" s="213"/>
      <c r="HY20" s="213"/>
      <c r="HZ20" s="213"/>
      <c r="IA20" s="213"/>
      <c r="IB20" s="213"/>
      <c r="IC20" s="213"/>
      <c r="ID20" s="213"/>
      <c r="IE20" s="213"/>
      <c r="IF20" s="213"/>
      <c r="IG20" s="213"/>
      <c r="IH20" s="213"/>
      <c r="II20" s="213"/>
      <c r="IJ20" s="213"/>
      <c r="IK20" s="213"/>
      <c r="IL20" s="213"/>
      <c r="IM20" s="213"/>
      <c r="IN20" s="213"/>
      <c r="IO20" s="213"/>
      <c r="IP20" s="213"/>
      <c r="IQ20" s="213"/>
      <c r="IR20" s="213"/>
      <c r="IS20" s="213"/>
      <c r="IT20" s="213"/>
      <c r="IU20" s="213"/>
      <c r="IV20" s="213"/>
      <c r="IW20" s="213"/>
    </row>
    <row r="21" customFormat="false" ht="11.25" hidden="false" customHeight="false" outlineLevel="0" collapsed="false">
      <c r="A21" s="213" t="s">
        <v>650</v>
      </c>
      <c r="B21" s="230" t="s">
        <v>651</v>
      </c>
      <c r="C21" s="231" t="n">
        <v>37109</v>
      </c>
      <c r="D21" s="232" t="n">
        <v>40</v>
      </c>
      <c r="E21" s="232" t="n">
        <v>45.2</v>
      </c>
      <c r="F21" s="232" t="n">
        <v>31</v>
      </c>
      <c r="G21" s="233" t="n">
        <v>4812.8851</v>
      </c>
      <c r="H21" s="233" t="n">
        <v>6833.8851</v>
      </c>
      <c r="I21" s="234" t="n">
        <v>8.32592654741722</v>
      </c>
      <c r="J21" s="234" t="n">
        <v>13.4096895887839</v>
      </c>
      <c r="K21" s="234" t="n">
        <v>33.4047189716681</v>
      </c>
      <c r="L21" s="234" t="n">
        <v>3.10897839877007</v>
      </c>
      <c r="M21" s="234" t="n">
        <v>3.60501695814096</v>
      </c>
      <c r="N21" s="234" t="n">
        <v>4.77821912028235</v>
      </c>
      <c r="O21" s="234" t="n">
        <v>3.52443790613718</v>
      </c>
      <c r="P21" s="234" t="n">
        <v>3.9660386129426</v>
      </c>
      <c r="Q21" s="234" t="n">
        <v>5.08097057537718</v>
      </c>
      <c r="R21" s="235" t="n">
        <v>0.46595676024524</v>
      </c>
      <c r="S21" s="234" t="n">
        <v>5.1695865735768</v>
      </c>
      <c r="T21" s="235" t="s">
        <v>51</v>
      </c>
      <c r="U21" s="236" t="n">
        <v>813.166666666667</v>
      </c>
      <c r="V21" s="235" t="n">
        <v>0.164992826398852</v>
      </c>
      <c r="W21" s="237" t="n">
        <v>7.32948648839607</v>
      </c>
      <c r="X21" s="236" t="n">
        <v>120.3221275</v>
      </c>
      <c r="Y21" s="213"/>
      <c r="Z21" s="213"/>
      <c r="AA21" s="213"/>
      <c r="AB21" s="213"/>
      <c r="AC21" s="213"/>
      <c r="AD21" s="213"/>
      <c r="AE21" s="213"/>
      <c r="AF21" s="213"/>
      <c r="AG21" s="213"/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  <c r="BI21" s="213"/>
      <c r="BJ21" s="213"/>
      <c r="BK21" s="213"/>
      <c r="BL21" s="213"/>
      <c r="BM21" s="213"/>
      <c r="BN21" s="213"/>
      <c r="BO21" s="213"/>
      <c r="BP21" s="213"/>
      <c r="BQ21" s="213"/>
      <c r="BR21" s="213"/>
      <c r="BS21" s="213"/>
      <c r="BT21" s="213"/>
      <c r="BU21" s="213"/>
      <c r="BV21" s="213"/>
      <c r="BW21" s="213"/>
      <c r="BX21" s="213"/>
      <c r="BY21" s="213"/>
      <c r="BZ21" s="213"/>
      <c r="CA21" s="213"/>
      <c r="CB21" s="213"/>
      <c r="CC21" s="213"/>
      <c r="CD21" s="213"/>
      <c r="CE21" s="213"/>
      <c r="CF21" s="213"/>
      <c r="CG21" s="213"/>
      <c r="CH21" s="213"/>
      <c r="CI21" s="213"/>
      <c r="CJ21" s="213"/>
      <c r="CK21" s="213"/>
      <c r="CL21" s="213"/>
      <c r="CM21" s="213"/>
      <c r="CN21" s="213"/>
      <c r="CO21" s="213"/>
      <c r="CP21" s="213"/>
      <c r="CQ21" s="213"/>
      <c r="CR21" s="213"/>
      <c r="CS21" s="213"/>
      <c r="CT21" s="213"/>
      <c r="CU21" s="213"/>
      <c r="CV21" s="213"/>
      <c r="CW21" s="213"/>
      <c r="CX21" s="213"/>
      <c r="CY21" s="213"/>
      <c r="CZ21" s="213"/>
      <c r="DA21" s="213"/>
      <c r="DB21" s="213"/>
      <c r="DC21" s="213"/>
      <c r="DD21" s="213"/>
      <c r="DE21" s="213"/>
      <c r="DF21" s="213"/>
      <c r="DG21" s="213"/>
      <c r="DH21" s="213"/>
      <c r="DI21" s="213"/>
      <c r="DJ21" s="213"/>
      <c r="DK21" s="213"/>
      <c r="DL21" s="213"/>
      <c r="DM21" s="213"/>
      <c r="DN21" s="213"/>
      <c r="DO21" s="213"/>
      <c r="DP21" s="213"/>
      <c r="DQ21" s="213"/>
      <c r="DR21" s="213"/>
      <c r="DS21" s="213"/>
      <c r="DT21" s="213"/>
      <c r="DU21" s="213"/>
      <c r="DV21" s="213"/>
      <c r="DW21" s="213"/>
      <c r="DX21" s="213"/>
      <c r="DY21" s="213"/>
      <c r="DZ21" s="213"/>
      <c r="EA21" s="213"/>
      <c r="EB21" s="213"/>
      <c r="EC21" s="213"/>
      <c r="ED21" s="213"/>
      <c r="EE21" s="213"/>
      <c r="EF21" s="213"/>
      <c r="EG21" s="213"/>
      <c r="EH21" s="213"/>
      <c r="EI21" s="213"/>
      <c r="EJ21" s="213"/>
      <c r="EK21" s="213"/>
      <c r="EL21" s="213"/>
      <c r="EM21" s="213"/>
      <c r="EN21" s="213"/>
      <c r="EO21" s="213"/>
      <c r="EP21" s="213"/>
      <c r="EQ21" s="213"/>
      <c r="ER21" s="213"/>
      <c r="ES21" s="213"/>
      <c r="ET21" s="213"/>
      <c r="EU21" s="213"/>
      <c r="EV21" s="213"/>
      <c r="EW21" s="213"/>
      <c r="EX21" s="213"/>
      <c r="EY21" s="213"/>
      <c r="EZ21" s="213"/>
      <c r="FA21" s="213"/>
      <c r="FB21" s="213"/>
      <c r="FC21" s="213"/>
      <c r="FD21" s="213"/>
      <c r="FE21" s="213"/>
      <c r="FF21" s="213"/>
      <c r="FG21" s="213"/>
      <c r="FH21" s="213"/>
      <c r="FI21" s="213"/>
      <c r="FJ21" s="213"/>
      <c r="FK21" s="213"/>
      <c r="FL21" s="213"/>
      <c r="FM21" s="213"/>
      <c r="FN21" s="213"/>
      <c r="FO21" s="213"/>
      <c r="FP21" s="213"/>
      <c r="FQ21" s="213"/>
      <c r="FR21" s="213"/>
      <c r="FS21" s="213"/>
      <c r="FT21" s="213"/>
      <c r="FU21" s="213"/>
      <c r="FV21" s="213"/>
      <c r="FW21" s="213"/>
      <c r="FX21" s="213"/>
      <c r="FY21" s="213"/>
      <c r="FZ21" s="213"/>
      <c r="GA21" s="213"/>
      <c r="GB21" s="213"/>
      <c r="GC21" s="213"/>
      <c r="GD21" s="213"/>
      <c r="GE21" s="213"/>
      <c r="GF21" s="213"/>
      <c r="GG21" s="213"/>
      <c r="GH21" s="213"/>
      <c r="GI21" s="213"/>
      <c r="GJ21" s="213"/>
      <c r="GK21" s="213"/>
      <c r="GL21" s="213"/>
      <c r="GM21" s="213"/>
      <c r="GN21" s="213"/>
      <c r="GO21" s="213"/>
      <c r="GP21" s="213"/>
      <c r="GQ21" s="213"/>
      <c r="GR21" s="213"/>
      <c r="GS21" s="213"/>
      <c r="GT21" s="213"/>
      <c r="GU21" s="213"/>
      <c r="GV21" s="213"/>
      <c r="GW21" s="213"/>
      <c r="GX21" s="213"/>
      <c r="GY21" s="213"/>
      <c r="GZ21" s="213"/>
      <c r="HA21" s="213"/>
      <c r="HB21" s="213"/>
      <c r="HC21" s="213"/>
      <c r="HD21" s="213"/>
      <c r="HE21" s="213"/>
      <c r="HF21" s="213"/>
      <c r="HG21" s="213"/>
      <c r="HH21" s="213"/>
      <c r="HI21" s="213"/>
      <c r="HJ21" s="213"/>
      <c r="HK21" s="213"/>
      <c r="HL21" s="213"/>
      <c r="HM21" s="213"/>
      <c r="HN21" s="213"/>
      <c r="HO21" s="213"/>
      <c r="HP21" s="213"/>
      <c r="HQ21" s="213"/>
      <c r="HR21" s="213"/>
      <c r="HS21" s="213"/>
      <c r="HT21" s="213"/>
      <c r="HU21" s="213"/>
      <c r="HV21" s="213"/>
      <c r="HW21" s="213"/>
      <c r="HX21" s="213"/>
      <c r="HY21" s="213"/>
      <c r="HZ21" s="213"/>
      <c r="IA21" s="213"/>
      <c r="IB21" s="213"/>
      <c r="IC21" s="213"/>
      <c r="ID21" s="213"/>
      <c r="IE21" s="213"/>
      <c r="IF21" s="213"/>
      <c r="IG21" s="213"/>
      <c r="IH21" s="213"/>
      <c r="II21" s="213"/>
      <c r="IJ21" s="213"/>
      <c r="IK21" s="213"/>
      <c r="IL21" s="213"/>
      <c r="IM21" s="213"/>
      <c r="IN21" s="213"/>
      <c r="IO21" s="213"/>
      <c r="IP21" s="213"/>
      <c r="IQ21" s="213"/>
      <c r="IR21" s="213"/>
      <c r="IS21" s="213"/>
      <c r="IT21" s="213"/>
      <c r="IU21" s="213"/>
      <c r="IV21" s="213"/>
      <c r="IW21" s="213"/>
    </row>
    <row r="22" customFormat="false" ht="11.25" hidden="false" customHeight="false" outlineLevel="0" collapsed="false">
      <c r="A22" s="213" t="s">
        <v>652</v>
      </c>
      <c r="B22" s="230" t="s">
        <v>653</v>
      </c>
      <c r="C22" s="231" t="n">
        <v>37109</v>
      </c>
      <c r="D22" s="232" t="n">
        <v>43.39</v>
      </c>
      <c r="E22" s="232" t="n">
        <v>52.3</v>
      </c>
      <c r="F22" s="232" t="n">
        <v>28.55</v>
      </c>
      <c r="G22" s="233" t="n">
        <v>9937.80804788</v>
      </c>
      <c r="H22" s="233" t="n">
        <v>11540.80804788</v>
      </c>
      <c r="I22" s="234" t="n">
        <v>9.56386107966509</v>
      </c>
      <c r="J22" s="234" t="n">
        <v>7.89752885369979</v>
      </c>
      <c r="K22" s="234" t="n">
        <v>11.3134178359739</v>
      </c>
      <c r="L22" s="234" t="n">
        <v>4.01836078115725</v>
      </c>
      <c r="M22" s="234" t="n">
        <v>3.84511674588039</v>
      </c>
      <c r="N22" s="234" t="n">
        <v>4.81184539039743</v>
      </c>
      <c r="O22" s="234" t="n">
        <v>4.5236782878175</v>
      </c>
      <c r="P22" s="234" t="n">
        <v>3.84683599822405</v>
      </c>
      <c r="Q22" s="234" t="n">
        <v>4.7815982047806</v>
      </c>
      <c r="R22" s="235" t="n">
        <v>0.32677012898037</v>
      </c>
      <c r="S22" s="234" t="n">
        <v>2.26136805349292</v>
      </c>
      <c r="T22" s="235" t="s">
        <v>51</v>
      </c>
      <c r="U22" s="236" t="n">
        <v>1029.903</v>
      </c>
      <c r="V22" s="235" t="n">
        <v>0.595687166655501</v>
      </c>
      <c r="W22" s="237" t="n">
        <v>7.7338453575791</v>
      </c>
      <c r="X22" s="236" t="n">
        <v>256.229731456096</v>
      </c>
      <c r="Y22" s="213"/>
      <c r="Z22" s="213"/>
      <c r="AA22" s="213"/>
      <c r="AB22" s="213"/>
      <c r="AC22" s="213"/>
      <c r="AD22" s="213"/>
      <c r="AE22" s="213"/>
      <c r="AF22" s="213"/>
      <c r="AG22" s="213"/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  <c r="BI22" s="213"/>
      <c r="BJ22" s="213"/>
      <c r="BK22" s="213"/>
      <c r="BL22" s="213"/>
      <c r="BM22" s="213"/>
      <c r="BN22" s="213"/>
      <c r="BO22" s="213"/>
      <c r="BP22" s="213"/>
      <c r="BQ22" s="213"/>
      <c r="BR22" s="213"/>
      <c r="BS22" s="213"/>
      <c r="BT22" s="213"/>
      <c r="BU22" s="213"/>
      <c r="BV22" s="213"/>
      <c r="BW22" s="213"/>
      <c r="BX22" s="213"/>
      <c r="BY22" s="213"/>
      <c r="BZ22" s="213"/>
      <c r="CA22" s="213"/>
      <c r="CB22" s="213"/>
      <c r="CC22" s="213"/>
      <c r="CD22" s="213"/>
      <c r="CE22" s="213"/>
      <c r="CF22" s="213"/>
      <c r="CG22" s="213"/>
      <c r="CH22" s="213"/>
      <c r="CI22" s="213"/>
      <c r="CJ22" s="213"/>
      <c r="CK22" s="213"/>
      <c r="CL22" s="213"/>
      <c r="CM22" s="213"/>
      <c r="CN22" s="213"/>
      <c r="CO22" s="213"/>
      <c r="CP22" s="213"/>
      <c r="CQ22" s="213"/>
      <c r="CR22" s="213"/>
      <c r="CS22" s="213"/>
      <c r="CT22" s="213"/>
      <c r="CU22" s="213"/>
      <c r="CV22" s="213"/>
      <c r="CW22" s="213"/>
      <c r="CX22" s="213"/>
      <c r="CY22" s="213"/>
      <c r="CZ22" s="213"/>
      <c r="DA22" s="213"/>
      <c r="DB22" s="213"/>
      <c r="DC22" s="213"/>
      <c r="DD22" s="213"/>
      <c r="DE22" s="213"/>
      <c r="DF22" s="213"/>
      <c r="DG22" s="213"/>
      <c r="DH22" s="213"/>
      <c r="DI22" s="213"/>
      <c r="DJ22" s="213"/>
      <c r="DK22" s="213"/>
      <c r="DL22" s="213"/>
      <c r="DM22" s="213"/>
      <c r="DN22" s="213"/>
      <c r="DO22" s="213"/>
      <c r="DP22" s="213"/>
      <c r="DQ22" s="213"/>
      <c r="DR22" s="213"/>
      <c r="DS22" s="213"/>
      <c r="DT22" s="213"/>
      <c r="DU22" s="213"/>
      <c r="DV22" s="213"/>
      <c r="DW22" s="213"/>
      <c r="DX22" s="213"/>
      <c r="DY22" s="213"/>
      <c r="DZ22" s="213"/>
      <c r="EA22" s="213"/>
      <c r="EB22" s="213"/>
      <c r="EC22" s="213"/>
      <c r="ED22" s="213"/>
      <c r="EE22" s="213"/>
      <c r="EF22" s="213"/>
      <c r="EG22" s="213"/>
      <c r="EH22" s="213"/>
      <c r="EI22" s="213"/>
      <c r="EJ22" s="213"/>
      <c r="EK22" s="213"/>
      <c r="EL22" s="213"/>
      <c r="EM22" s="213"/>
      <c r="EN22" s="213"/>
      <c r="EO22" s="213"/>
      <c r="EP22" s="213"/>
      <c r="EQ22" s="213"/>
      <c r="ER22" s="213"/>
      <c r="ES22" s="213"/>
      <c r="ET22" s="213"/>
      <c r="EU22" s="213"/>
      <c r="EV22" s="213"/>
      <c r="EW22" s="213"/>
      <c r="EX22" s="213"/>
      <c r="EY22" s="213"/>
      <c r="EZ22" s="213"/>
      <c r="FA22" s="213"/>
      <c r="FB22" s="213"/>
      <c r="FC22" s="213"/>
      <c r="FD22" s="213"/>
      <c r="FE22" s="213"/>
      <c r="FF22" s="213"/>
      <c r="FG22" s="213"/>
      <c r="FH22" s="213"/>
      <c r="FI22" s="213"/>
      <c r="FJ22" s="213"/>
      <c r="FK22" s="213"/>
      <c r="FL22" s="213"/>
      <c r="FM22" s="213"/>
      <c r="FN22" s="213"/>
      <c r="FO22" s="213"/>
      <c r="FP22" s="213"/>
      <c r="FQ22" s="213"/>
      <c r="FR22" s="213"/>
      <c r="FS22" s="213"/>
      <c r="FT22" s="213"/>
      <c r="FU22" s="213"/>
      <c r="FV22" s="213"/>
      <c r="FW22" s="213"/>
      <c r="FX22" s="213"/>
      <c r="FY22" s="213"/>
      <c r="FZ22" s="213"/>
      <c r="GA22" s="213"/>
      <c r="GB22" s="213"/>
      <c r="GC22" s="213"/>
      <c r="GD22" s="213"/>
      <c r="GE22" s="213"/>
      <c r="GF22" s="213"/>
      <c r="GG22" s="213"/>
      <c r="GH22" s="213"/>
      <c r="GI22" s="213"/>
      <c r="GJ22" s="213"/>
      <c r="GK22" s="213"/>
      <c r="GL22" s="213"/>
      <c r="GM22" s="213"/>
      <c r="GN22" s="213"/>
      <c r="GO22" s="213"/>
      <c r="GP22" s="213"/>
      <c r="GQ22" s="213"/>
      <c r="GR22" s="213"/>
      <c r="GS22" s="213"/>
      <c r="GT22" s="213"/>
      <c r="GU22" s="213"/>
      <c r="GV22" s="213"/>
      <c r="GW22" s="213"/>
      <c r="GX22" s="213"/>
      <c r="GY22" s="213"/>
      <c r="GZ22" s="213"/>
      <c r="HA22" s="213"/>
      <c r="HB22" s="213"/>
      <c r="HC22" s="213"/>
      <c r="HD22" s="213"/>
      <c r="HE22" s="213"/>
      <c r="HF22" s="213"/>
      <c r="HG22" s="213"/>
      <c r="HH22" s="213"/>
      <c r="HI22" s="213"/>
      <c r="HJ22" s="213"/>
      <c r="HK22" s="213"/>
      <c r="HL22" s="213"/>
      <c r="HM22" s="213"/>
      <c r="HN22" s="213"/>
      <c r="HO22" s="213"/>
      <c r="HP22" s="213"/>
      <c r="HQ22" s="213"/>
      <c r="HR22" s="213"/>
      <c r="HS22" s="213"/>
      <c r="HT22" s="213"/>
      <c r="HU22" s="213"/>
      <c r="HV22" s="213"/>
      <c r="HW22" s="213"/>
      <c r="HX22" s="213"/>
      <c r="HY22" s="213"/>
      <c r="HZ22" s="213"/>
      <c r="IA22" s="213"/>
      <c r="IB22" s="213"/>
      <c r="IC22" s="213"/>
      <c r="ID22" s="213"/>
      <c r="IE22" s="213"/>
      <c r="IF22" s="213"/>
      <c r="IG22" s="213"/>
      <c r="IH22" s="213"/>
      <c r="II22" s="213"/>
      <c r="IJ22" s="213"/>
      <c r="IK22" s="213"/>
      <c r="IL22" s="213"/>
      <c r="IM22" s="213"/>
      <c r="IN22" s="213"/>
      <c r="IO22" s="213"/>
      <c r="IP22" s="213"/>
      <c r="IQ22" s="213"/>
      <c r="IR22" s="213"/>
      <c r="IS22" s="213"/>
      <c r="IT22" s="213"/>
      <c r="IU22" s="213"/>
      <c r="IV22" s="213"/>
      <c r="IW22" s="213"/>
    </row>
    <row r="23" customFormat="false" ht="11.25" hidden="false" customHeight="false" outlineLevel="0" collapsed="false">
      <c r="A23" s="213" t="s">
        <v>654</v>
      </c>
      <c r="B23" s="230" t="s">
        <v>655</v>
      </c>
      <c r="C23" s="231" t="n">
        <v>37109</v>
      </c>
      <c r="D23" s="232" t="n">
        <v>14</v>
      </c>
      <c r="E23" s="232" t="n">
        <v>18.75</v>
      </c>
      <c r="F23" s="232" t="n">
        <v>11.9</v>
      </c>
      <c r="G23" s="233" t="n">
        <v>832.3504</v>
      </c>
      <c r="H23" s="233" t="n">
        <v>1109.0724</v>
      </c>
      <c r="I23" s="234" t="n">
        <v>9.71111106444274</v>
      </c>
      <c r="J23" s="234" t="n">
        <v>5.28080491537322</v>
      </c>
      <c r="K23" s="234" t="n">
        <v>7.96963795642544</v>
      </c>
      <c r="L23" s="234" t="n">
        <v>3.73092125628555</v>
      </c>
      <c r="M23" s="234" t="n">
        <v>2.40249598740268</v>
      </c>
      <c r="N23" s="234" t="n">
        <v>3.20566174818932</v>
      </c>
      <c r="O23" s="234" t="n">
        <v>4.50139781804013</v>
      </c>
      <c r="P23" s="234" t="n">
        <v>3.00124184779361</v>
      </c>
      <c r="Q23" s="234" t="n">
        <v>4.01483995089827</v>
      </c>
      <c r="R23" s="235" t="n">
        <v>0.368010176682954</v>
      </c>
      <c r="S23" s="234" t="n">
        <v>1.75065443126631</v>
      </c>
      <c r="T23" s="235" t="n">
        <v>0</v>
      </c>
      <c r="U23" s="236" t="n">
        <v>91.059</v>
      </c>
      <c r="V23" s="235" t="n">
        <v>0.94828627593099</v>
      </c>
      <c r="W23" s="237" t="n">
        <v>12.1797120548216</v>
      </c>
      <c r="X23" s="236" t="n">
        <v>59.4536</v>
      </c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  <c r="BM23" s="213"/>
      <c r="BN23" s="213"/>
      <c r="BO23" s="213"/>
      <c r="BP23" s="213"/>
      <c r="BQ23" s="213"/>
      <c r="BR23" s="213"/>
      <c r="BS23" s="213"/>
      <c r="BT23" s="213"/>
      <c r="BU23" s="213"/>
      <c r="BV23" s="213"/>
      <c r="BW23" s="213"/>
      <c r="BX23" s="213"/>
      <c r="BY23" s="213"/>
      <c r="BZ23" s="213"/>
      <c r="CA23" s="213"/>
      <c r="CB23" s="213"/>
      <c r="CC23" s="213"/>
      <c r="CD23" s="213"/>
      <c r="CE23" s="213"/>
      <c r="CF23" s="213"/>
      <c r="CG23" s="213"/>
      <c r="CH23" s="213"/>
      <c r="CI23" s="213"/>
      <c r="CJ23" s="213"/>
      <c r="CK23" s="213"/>
      <c r="CL23" s="213"/>
      <c r="CM23" s="213"/>
      <c r="CN23" s="213"/>
      <c r="CO23" s="213"/>
      <c r="CP23" s="213"/>
      <c r="CQ23" s="213"/>
      <c r="CR23" s="213"/>
      <c r="CS23" s="213"/>
      <c r="CT23" s="213"/>
      <c r="CU23" s="213"/>
      <c r="CV23" s="213"/>
      <c r="CW23" s="213"/>
      <c r="CX23" s="213"/>
      <c r="CY23" s="213"/>
      <c r="CZ23" s="213"/>
      <c r="DA23" s="213"/>
      <c r="DB23" s="213"/>
      <c r="DC23" s="213"/>
      <c r="DD23" s="213"/>
      <c r="DE23" s="213"/>
      <c r="DF23" s="213"/>
      <c r="DG23" s="213"/>
      <c r="DH23" s="213"/>
      <c r="DI23" s="213"/>
      <c r="DJ23" s="213"/>
      <c r="DK23" s="213"/>
      <c r="DL23" s="213"/>
      <c r="DM23" s="213"/>
      <c r="DN23" s="213"/>
      <c r="DO23" s="213"/>
      <c r="DP23" s="213"/>
      <c r="DQ23" s="213"/>
      <c r="DR23" s="213"/>
      <c r="DS23" s="213"/>
      <c r="DT23" s="213"/>
      <c r="DU23" s="213"/>
      <c r="DV23" s="213"/>
      <c r="DW23" s="213"/>
      <c r="DX23" s="213"/>
      <c r="DY23" s="213"/>
      <c r="DZ23" s="213"/>
      <c r="EA23" s="213"/>
      <c r="EB23" s="213"/>
      <c r="EC23" s="213"/>
      <c r="ED23" s="213"/>
      <c r="EE23" s="213"/>
      <c r="EF23" s="213"/>
      <c r="EG23" s="213"/>
      <c r="EH23" s="213"/>
      <c r="EI23" s="213"/>
      <c r="EJ23" s="213"/>
      <c r="EK23" s="213"/>
      <c r="EL23" s="213"/>
      <c r="EM23" s="213"/>
      <c r="EN23" s="213"/>
      <c r="EO23" s="213"/>
      <c r="EP23" s="213"/>
      <c r="EQ23" s="213"/>
      <c r="ER23" s="213"/>
      <c r="ES23" s="213"/>
      <c r="ET23" s="213"/>
      <c r="EU23" s="213"/>
      <c r="EV23" s="213"/>
      <c r="EW23" s="213"/>
      <c r="EX23" s="213"/>
      <c r="EY23" s="213"/>
      <c r="EZ23" s="213"/>
      <c r="FA23" s="213"/>
      <c r="FB23" s="213"/>
      <c r="FC23" s="213"/>
      <c r="FD23" s="213"/>
      <c r="FE23" s="213"/>
      <c r="FF23" s="213"/>
      <c r="FG23" s="213"/>
      <c r="FH23" s="213"/>
      <c r="FI23" s="213"/>
      <c r="FJ23" s="213"/>
      <c r="FK23" s="213"/>
      <c r="FL23" s="213"/>
      <c r="FM23" s="213"/>
      <c r="FN23" s="213"/>
      <c r="FO23" s="213"/>
      <c r="FP23" s="213"/>
      <c r="FQ23" s="213"/>
      <c r="FR23" s="213"/>
      <c r="FS23" s="213"/>
      <c r="FT23" s="213"/>
      <c r="FU23" s="213"/>
      <c r="FV23" s="213"/>
      <c r="FW23" s="213"/>
      <c r="FX23" s="213"/>
      <c r="FY23" s="213"/>
      <c r="FZ23" s="213"/>
      <c r="GA23" s="213"/>
      <c r="GB23" s="213"/>
      <c r="GC23" s="213"/>
      <c r="GD23" s="213"/>
      <c r="GE23" s="213"/>
      <c r="GF23" s="213"/>
      <c r="GG23" s="213"/>
      <c r="GH23" s="213"/>
      <c r="GI23" s="213"/>
      <c r="GJ23" s="213"/>
      <c r="GK23" s="213"/>
      <c r="GL23" s="213"/>
      <c r="GM23" s="213"/>
      <c r="GN23" s="213"/>
      <c r="GO23" s="213"/>
      <c r="GP23" s="213"/>
      <c r="GQ23" s="213"/>
      <c r="GR23" s="213"/>
      <c r="GS23" s="213"/>
      <c r="GT23" s="213"/>
      <c r="GU23" s="213"/>
      <c r="GV23" s="213"/>
      <c r="GW23" s="213"/>
      <c r="GX23" s="213"/>
      <c r="GY23" s="213"/>
      <c r="GZ23" s="213"/>
      <c r="HA23" s="213"/>
      <c r="HB23" s="213"/>
      <c r="HC23" s="213"/>
      <c r="HD23" s="213"/>
      <c r="HE23" s="213"/>
      <c r="HF23" s="213"/>
      <c r="HG23" s="213"/>
      <c r="HH23" s="213"/>
      <c r="HI23" s="213"/>
      <c r="HJ23" s="213"/>
      <c r="HK23" s="213"/>
      <c r="HL23" s="213"/>
      <c r="HM23" s="213"/>
      <c r="HN23" s="213"/>
      <c r="HO23" s="213"/>
      <c r="HP23" s="213"/>
      <c r="HQ23" s="213"/>
      <c r="HR23" s="213"/>
      <c r="HS23" s="213"/>
      <c r="HT23" s="213"/>
      <c r="HU23" s="213"/>
      <c r="HV23" s="213"/>
      <c r="HW23" s="213"/>
      <c r="HX23" s="213"/>
      <c r="HY23" s="213"/>
      <c r="HZ23" s="213"/>
      <c r="IA23" s="213"/>
      <c r="IB23" s="213"/>
      <c r="IC23" s="213"/>
      <c r="ID23" s="213"/>
      <c r="IE23" s="213"/>
      <c r="IF23" s="213"/>
      <c r="IG23" s="213"/>
      <c r="IH23" s="213"/>
      <c r="II23" s="213"/>
      <c r="IJ23" s="213"/>
      <c r="IK23" s="213"/>
      <c r="IL23" s="213"/>
      <c r="IM23" s="213"/>
      <c r="IN23" s="213"/>
      <c r="IO23" s="213"/>
      <c r="IP23" s="213"/>
      <c r="IQ23" s="213"/>
      <c r="IR23" s="213"/>
      <c r="IS23" s="213"/>
      <c r="IT23" s="213"/>
      <c r="IU23" s="213"/>
      <c r="IV23" s="213"/>
      <c r="IW23" s="213"/>
    </row>
    <row r="24" customFormat="false" ht="11.25" hidden="false" customHeight="false" outlineLevel="0" collapsed="false">
      <c r="A24" s="213" t="s">
        <v>656</v>
      </c>
      <c r="B24" s="230" t="s">
        <v>657</v>
      </c>
      <c r="C24" s="231" t="n">
        <v>37109</v>
      </c>
      <c r="D24" s="232" t="n">
        <v>34.3</v>
      </c>
      <c r="E24" s="232" t="n">
        <v>45.25</v>
      </c>
      <c r="F24" s="232" t="n">
        <v>30.25</v>
      </c>
      <c r="G24" s="233" t="n">
        <v>1786.13236235</v>
      </c>
      <c r="H24" s="233" t="n">
        <v>2208.03236235</v>
      </c>
      <c r="I24" s="234" t="n">
        <v>8.02756117910113</v>
      </c>
      <c r="J24" s="234" t="n">
        <v>5.71743484287822</v>
      </c>
      <c r="K24" s="234" t="n">
        <v>7.1112204926126</v>
      </c>
      <c r="L24" s="234" t="n">
        <v>3.18935121752406</v>
      </c>
      <c r="M24" s="234" t="n">
        <v>2.45156575961338</v>
      </c>
      <c r="N24" s="234" t="n">
        <v>3.24024933621536</v>
      </c>
      <c r="O24" s="234" t="n">
        <v>3.63521956264406</v>
      </c>
      <c r="P24" s="234" t="n">
        <v>2.77998335855594</v>
      </c>
      <c r="Q24" s="234" t="n">
        <v>3.33651016782038</v>
      </c>
      <c r="R24" s="235" t="n">
        <v>0.304489030023095</v>
      </c>
      <c r="S24" s="234" t="n">
        <v>1.85341118849227</v>
      </c>
      <c r="T24" s="235" t="n">
        <v>0</v>
      </c>
      <c r="U24" s="236" t="n">
        <v>319.316666666667</v>
      </c>
      <c r="V24" s="235" t="n">
        <v>0.486090088209197</v>
      </c>
      <c r="W24" s="237" t="n">
        <v>6.91485226435852</v>
      </c>
      <c r="X24" s="236" t="n">
        <v>52.0738298061225</v>
      </c>
      <c r="Y24" s="213"/>
      <c r="Z24" s="213"/>
      <c r="AA24" s="213"/>
      <c r="AB24" s="213"/>
      <c r="AC24" s="213"/>
      <c r="AD24" s="213"/>
      <c r="AE24" s="213"/>
      <c r="AF24" s="213"/>
      <c r="AG24" s="213"/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  <c r="BI24" s="213"/>
      <c r="BJ24" s="213"/>
      <c r="BK24" s="213"/>
      <c r="BL24" s="213"/>
      <c r="BM24" s="213"/>
      <c r="BN24" s="213"/>
      <c r="BO24" s="213"/>
      <c r="BP24" s="213"/>
      <c r="BQ24" s="213"/>
      <c r="BR24" s="213"/>
      <c r="BS24" s="213"/>
      <c r="BT24" s="213"/>
      <c r="BU24" s="213"/>
      <c r="BV24" s="213"/>
      <c r="BW24" s="213"/>
      <c r="BX24" s="213"/>
      <c r="BY24" s="213"/>
      <c r="BZ24" s="213"/>
      <c r="CA24" s="213"/>
      <c r="CB24" s="213"/>
      <c r="CC24" s="213"/>
      <c r="CD24" s="213"/>
      <c r="CE24" s="213"/>
      <c r="CF24" s="213"/>
      <c r="CG24" s="213"/>
      <c r="CH24" s="213"/>
      <c r="CI24" s="213"/>
      <c r="CJ24" s="213"/>
      <c r="CK24" s="213"/>
      <c r="CL24" s="213"/>
      <c r="CM24" s="213"/>
      <c r="CN24" s="213"/>
      <c r="CO24" s="213"/>
      <c r="CP24" s="213"/>
      <c r="CQ24" s="213"/>
      <c r="CR24" s="213"/>
      <c r="CS24" s="213"/>
      <c r="CT24" s="213"/>
      <c r="CU24" s="213"/>
      <c r="CV24" s="213"/>
      <c r="CW24" s="213"/>
      <c r="CX24" s="213"/>
      <c r="CY24" s="213"/>
      <c r="CZ24" s="213"/>
      <c r="DA24" s="213"/>
      <c r="DB24" s="213"/>
      <c r="DC24" s="213"/>
      <c r="DD24" s="213"/>
      <c r="DE24" s="213"/>
      <c r="DF24" s="213"/>
      <c r="DG24" s="213"/>
      <c r="DH24" s="213"/>
      <c r="DI24" s="213"/>
      <c r="DJ24" s="213"/>
      <c r="DK24" s="213"/>
      <c r="DL24" s="213"/>
      <c r="DM24" s="213"/>
      <c r="DN24" s="213"/>
      <c r="DO24" s="213"/>
      <c r="DP24" s="213"/>
      <c r="DQ24" s="213"/>
      <c r="DR24" s="213"/>
      <c r="DS24" s="213"/>
      <c r="DT24" s="213"/>
      <c r="DU24" s="213"/>
      <c r="DV24" s="213"/>
      <c r="DW24" s="213"/>
      <c r="DX24" s="213"/>
      <c r="DY24" s="213"/>
      <c r="DZ24" s="213"/>
      <c r="EA24" s="213"/>
      <c r="EB24" s="213"/>
      <c r="EC24" s="213"/>
      <c r="ED24" s="213"/>
      <c r="EE24" s="213"/>
      <c r="EF24" s="213"/>
      <c r="EG24" s="213"/>
      <c r="EH24" s="213"/>
      <c r="EI24" s="213"/>
      <c r="EJ24" s="213"/>
      <c r="EK24" s="213"/>
      <c r="EL24" s="213"/>
      <c r="EM24" s="213"/>
      <c r="EN24" s="213"/>
      <c r="EO24" s="213"/>
      <c r="EP24" s="213"/>
      <c r="EQ24" s="213"/>
      <c r="ER24" s="213"/>
      <c r="ES24" s="213"/>
      <c r="ET24" s="213"/>
      <c r="EU24" s="213"/>
      <c r="EV24" s="213"/>
      <c r="EW24" s="213"/>
      <c r="EX24" s="213"/>
      <c r="EY24" s="213"/>
      <c r="EZ24" s="213"/>
      <c r="FA24" s="213"/>
      <c r="FB24" s="213"/>
      <c r="FC24" s="213"/>
      <c r="FD24" s="213"/>
      <c r="FE24" s="213"/>
      <c r="FF24" s="213"/>
      <c r="FG24" s="213"/>
      <c r="FH24" s="213"/>
      <c r="FI24" s="213"/>
      <c r="FJ24" s="213"/>
      <c r="FK24" s="213"/>
      <c r="FL24" s="213"/>
      <c r="FM24" s="213"/>
      <c r="FN24" s="213"/>
      <c r="FO24" s="213"/>
      <c r="FP24" s="213"/>
      <c r="FQ24" s="213"/>
      <c r="FR24" s="213"/>
      <c r="FS24" s="213"/>
      <c r="FT24" s="213"/>
      <c r="FU24" s="213"/>
      <c r="FV24" s="213"/>
      <c r="FW24" s="213"/>
      <c r="FX24" s="213"/>
      <c r="FY24" s="213"/>
      <c r="FZ24" s="213"/>
      <c r="GA24" s="213"/>
      <c r="GB24" s="213"/>
      <c r="GC24" s="213"/>
      <c r="GD24" s="213"/>
      <c r="GE24" s="213"/>
      <c r="GF24" s="213"/>
      <c r="GG24" s="213"/>
      <c r="GH24" s="213"/>
      <c r="GI24" s="213"/>
      <c r="GJ24" s="213"/>
      <c r="GK24" s="213"/>
      <c r="GL24" s="213"/>
      <c r="GM24" s="213"/>
      <c r="GN24" s="213"/>
      <c r="GO24" s="213"/>
      <c r="GP24" s="213"/>
      <c r="GQ24" s="213"/>
      <c r="GR24" s="213"/>
      <c r="GS24" s="213"/>
      <c r="GT24" s="213"/>
      <c r="GU24" s="213"/>
      <c r="GV24" s="213"/>
      <c r="GW24" s="213"/>
      <c r="GX24" s="213"/>
      <c r="GY24" s="213"/>
      <c r="GZ24" s="213"/>
      <c r="HA24" s="213"/>
      <c r="HB24" s="213"/>
      <c r="HC24" s="213"/>
      <c r="HD24" s="213"/>
      <c r="HE24" s="213"/>
      <c r="HF24" s="213"/>
      <c r="HG24" s="213"/>
      <c r="HH24" s="213"/>
      <c r="HI24" s="213"/>
      <c r="HJ24" s="213"/>
      <c r="HK24" s="213"/>
      <c r="HL24" s="213"/>
      <c r="HM24" s="213"/>
      <c r="HN24" s="213"/>
      <c r="HO24" s="213"/>
      <c r="HP24" s="213"/>
      <c r="HQ24" s="213"/>
      <c r="HR24" s="213"/>
      <c r="HS24" s="213"/>
      <c r="HT24" s="213"/>
      <c r="HU24" s="213"/>
      <c r="HV24" s="213"/>
      <c r="HW24" s="213"/>
      <c r="HX24" s="213"/>
      <c r="HY24" s="213"/>
      <c r="HZ24" s="213"/>
      <c r="IA24" s="213"/>
      <c r="IB24" s="213"/>
      <c r="IC24" s="213"/>
      <c r="ID24" s="213"/>
      <c r="IE24" s="213"/>
      <c r="IF24" s="213"/>
      <c r="IG24" s="213"/>
      <c r="IH24" s="213"/>
      <c r="II24" s="213"/>
      <c r="IJ24" s="213"/>
      <c r="IK24" s="213"/>
      <c r="IL24" s="213"/>
      <c r="IM24" s="213"/>
      <c r="IN24" s="213"/>
      <c r="IO24" s="213"/>
      <c r="IP24" s="213"/>
      <c r="IQ24" s="213"/>
      <c r="IR24" s="213"/>
      <c r="IS24" s="213"/>
      <c r="IT24" s="213"/>
      <c r="IU24" s="213"/>
      <c r="IV24" s="213"/>
      <c r="IW24" s="213"/>
    </row>
    <row r="25" customFormat="false" ht="11.25" hidden="false" customHeight="false" outlineLevel="0" collapsed="false">
      <c r="A25" s="213" t="s">
        <v>658</v>
      </c>
      <c r="B25" s="230" t="s">
        <v>659</v>
      </c>
      <c r="C25" s="231" t="n">
        <v>37109</v>
      </c>
      <c r="D25" s="232" t="n">
        <v>39.2</v>
      </c>
      <c r="E25" s="232" t="n">
        <v>43.65</v>
      </c>
      <c r="F25" s="232" t="n">
        <v>29.5</v>
      </c>
      <c r="G25" s="233" t="n">
        <v>10563.95235</v>
      </c>
      <c r="H25" s="233" t="n">
        <v>10703.95235</v>
      </c>
      <c r="I25" s="234" t="n">
        <v>12.3122987762238</v>
      </c>
      <c r="J25" s="234" t="n">
        <v>10.9325431410145</v>
      </c>
      <c r="K25" s="234" t="n">
        <v>12.6681437549929</v>
      </c>
      <c r="L25" s="234" t="n">
        <v>5.79481752605595</v>
      </c>
      <c r="M25" s="234" t="n">
        <v>5.5417553594924</v>
      </c>
      <c r="N25" s="234" t="n">
        <v>5.40849522831369</v>
      </c>
      <c r="O25" s="234" t="n">
        <v>4.7488697204969</v>
      </c>
      <c r="P25" s="234" t="n">
        <v>4.26418590887436</v>
      </c>
      <c r="Q25" s="234" t="n">
        <v>4.67896581362518</v>
      </c>
      <c r="R25" s="235" t="n">
        <v>0.280596116212555</v>
      </c>
      <c r="S25" s="234" t="n">
        <v>2.21049431889517</v>
      </c>
      <c r="T25" s="235" t="n">
        <v>0.01020408</v>
      </c>
      <c r="U25" s="236" t="n">
        <v>802.5</v>
      </c>
      <c r="V25" s="235" t="n">
        <v>0.48411214953271</v>
      </c>
      <c r="W25" s="237" t="n">
        <v>8.70391455251513</v>
      </c>
      <c r="X25" s="236" t="n">
        <v>269.488580357143</v>
      </c>
      <c r="Y25" s="213"/>
      <c r="Z25" s="213"/>
      <c r="AA25" s="213"/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  <c r="BI25" s="213"/>
      <c r="BJ25" s="213"/>
      <c r="BK25" s="213"/>
      <c r="BL25" s="213"/>
      <c r="BM25" s="213"/>
      <c r="BN25" s="213"/>
      <c r="BO25" s="213"/>
      <c r="BP25" s="213"/>
      <c r="BQ25" s="213"/>
      <c r="BR25" s="213"/>
      <c r="BS25" s="213"/>
      <c r="BT25" s="213"/>
      <c r="BU25" s="213"/>
      <c r="BV25" s="213"/>
      <c r="BW25" s="213"/>
      <c r="BX25" s="213"/>
      <c r="BY25" s="213"/>
      <c r="BZ25" s="213"/>
      <c r="CA25" s="213"/>
      <c r="CB25" s="213"/>
      <c r="CC25" s="213"/>
      <c r="CD25" s="213"/>
      <c r="CE25" s="213"/>
      <c r="CF25" s="213"/>
      <c r="CG25" s="213"/>
      <c r="CH25" s="213"/>
      <c r="CI25" s="213"/>
      <c r="CJ25" s="213"/>
      <c r="CK25" s="213"/>
      <c r="CL25" s="213"/>
      <c r="CM25" s="213"/>
      <c r="CN25" s="213"/>
      <c r="CO25" s="213"/>
      <c r="CP25" s="213"/>
      <c r="CQ25" s="213"/>
      <c r="CR25" s="213"/>
      <c r="CS25" s="213"/>
      <c r="CT25" s="213"/>
      <c r="CU25" s="213"/>
      <c r="CV25" s="213"/>
      <c r="CW25" s="213"/>
      <c r="CX25" s="213"/>
      <c r="CY25" s="213"/>
      <c r="CZ25" s="213"/>
      <c r="DA25" s="213"/>
      <c r="DB25" s="213"/>
      <c r="DC25" s="213"/>
      <c r="DD25" s="213"/>
      <c r="DE25" s="213"/>
      <c r="DF25" s="213"/>
      <c r="DG25" s="213"/>
      <c r="DH25" s="213"/>
      <c r="DI25" s="213"/>
      <c r="DJ25" s="213"/>
      <c r="DK25" s="213"/>
      <c r="DL25" s="213"/>
      <c r="DM25" s="213"/>
      <c r="DN25" s="213"/>
      <c r="DO25" s="213"/>
      <c r="DP25" s="213"/>
      <c r="DQ25" s="213"/>
      <c r="DR25" s="213"/>
      <c r="DS25" s="213"/>
      <c r="DT25" s="213"/>
      <c r="DU25" s="213"/>
      <c r="DV25" s="213"/>
      <c r="DW25" s="213"/>
      <c r="DX25" s="213"/>
      <c r="DY25" s="213"/>
      <c r="DZ25" s="213"/>
      <c r="EA25" s="213"/>
      <c r="EB25" s="213"/>
      <c r="EC25" s="213"/>
      <c r="ED25" s="213"/>
      <c r="EE25" s="213"/>
      <c r="EF25" s="213"/>
      <c r="EG25" s="213"/>
      <c r="EH25" s="213"/>
      <c r="EI25" s="213"/>
      <c r="EJ25" s="213"/>
      <c r="EK25" s="213"/>
      <c r="EL25" s="213"/>
      <c r="EM25" s="213"/>
      <c r="EN25" s="213"/>
      <c r="EO25" s="213"/>
      <c r="EP25" s="213"/>
      <c r="EQ25" s="213"/>
      <c r="ER25" s="213"/>
      <c r="ES25" s="213"/>
      <c r="ET25" s="213"/>
      <c r="EU25" s="213"/>
      <c r="EV25" s="213"/>
      <c r="EW25" s="213"/>
      <c r="EX25" s="213"/>
      <c r="EY25" s="213"/>
      <c r="EZ25" s="213"/>
      <c r="FA25" s="213"/>
      <c r="FB25" s="213"/>
      <c r="FC25" s="213"/>
      <c r="FD25" s="213"/>
      <c r="FE25" s="213"/>
      <c r="FF25" s="213"/>
      <c r="FG25" s="213"/>
      <c r="FH25" s="213"/>
      <c r="FI25" s="213"/>
      <c r="FJ25" s="213"/>
      <c r="FK25" s="213"/>
      <c r="FL25" s="213"/>
      <c r="FM25" s="213"/>
      <c r="FN25" s="213"/>
      <c r="FO25" s="213"/>
      <c r="FP25" s="213"/>
      <c r="FQ25" s="213"/>
      <c r="FR25" s="213"/>
      <c r="FS25" s="213"/>
      <c r="FT25" s="213"/>
      <c r="FU25" s="213"/>
      <c r="FV25" s="213"/>
      <c r="FW25" s="213"/>
      <c r="FX25" s="213"/>
      <c r="FY25" s="213"/>
      <c r="FZ25" s="213"/>
      <c r="GA25" s="213"/>
      <c r="GB25" s="213"/>
      <c r="GC25" s="213"/>
      <c r="GD25" s="213"/>
      <c r="GE25" s="213"/>
      <c r="GF25" s="213"/>
      <c r="GG25" s="213"/>
      <c r="GH25" s="213"/>
      <c r="GI25" s="213"/>
      <c r="GJ25" s="213"/>
      <c r="GK25" s="213"/>
      <c r="GL25" s="213"/>
      <c r="GM25" s="213"/>
      <c r="GN25" s="213"/>
      <c r="GO25" s="213"/>
      <c r="GP25" s="213"/>
      <c r="GQ25" s="213"/>
      <c r="GR25" s="213"/>
      <c r="GS25" s="213"/>
      <c r="GT25" s="213"/>
      <c r="GU25" s="213"/>
      <c r="GV25" s="213"/>
      <c r="GW25" s="213"/>
      <c r="GX25" s="213"/>
      <c r="GY25" s="213"/>
      <c r="GZ25" s="213"/>
      <c r="HA25" s="213"/>
      <c r="HB25" s="213"/>
      <c r="HC25" s="213"/>
      <c r="HD25" s="213"/>
      <c r="HE25" s="213"/>
      <c r="HF25" s="213"/>
      <c r="HG25" s="213"/>
      <c r="HH25" s="213"/>
      <c r="HI25" s="213"/>
      <c r="HJ25" s="213"/>
      <c r="HK25" s="213"/>
      <c r="HL25" s="213"/>
      <c r="HM25" s="213"/>
      <c r="HN25" s="213"/>
      <c r="HO25" s="213"/>
      <c r="HP25" s="213"/>
      <c r="HQ25" s="213"/>
      <c r="HR25" s="213"/>
      <c r="HS25" s="213"/>
      <c r="HT25" s="213"/>
      <c r="HU25" s="213"/>
      <c r="HV25" s="213"/>
      <c r="HW25" s="213"/>
      <c r="HX25" s="213"/>
      <c r="HY25" s="213"/>
      <c r="HZ25" s="213"/>
      <c r="IA25" s="213"/>
      <c r="IB25" s="213"/>
      <c r="IC25" s="213"/>
      <c r="ID25" s="213"/>
      <c r="IE25" s="213"/>
      <c r="IF25" s="213"/>
      <c r="IG25" s="213"/>
      <c r="IH25" s="213"/>
      <c r="II25" s="213"/>
      <c r="IJ25" s="213"/>
      <c r="IK25" s="213"/>
      <c r="IL25" s="213"/>
      <c r="IM25" s="213"/>
      <c r="IN25" s="213"/>
      <c r="IO25" s="213"/>
      <c r="IP25" s="213"/>
      <c r="IQ25" s="213"/>
      <c r="IR25" s="213"/>
      <c r="IS25" s="213"/>
      <c r="IT25" s="213"/>
      <c r="IU25" s="213"/>
      <c r="IV25" s="213"/>
      <c r="IW25" s="213"/>
    </row>
    <row r="26" customFormat="false" ht="11.25" hidden="false" customHeight="false" outlineLevel="0" collapsed="false">
      <c r="A26" s="213" t="s">
        <v>660</v>
      </c>
      <c r="B26" s="230" t="s">
        <v>661</v>
      </c>
      <c r="C26" s="231" t="n">
        <v>37109</v>
      </c>
      <c r="D26" s="232" t="n">
        <v>22.35</v>
      </c>
      <c r="E26" s="232" t="n">
        <v>34</v>
      </c>
      <c r="F26" s="232" t="n">
        <v>20.85</v>
      </c>
      <c r="G26" s="233" t="n">
        <v>1660.47855616444</v>
      </c>
      <c r="H26" s="233" t="n">
        <v>2412.69355616444</v>
      </c>
      <c r="I26" s="234" t="n">
        <v>6.38171878630265</v>
      </c>
      <c r="J26" s="234" t="n">
        <v>5.0301069836673</v>
      </c>
      <c r="K26" s="234" t="n">
        <v>7.31256410373998</v>
      </c>
      <c r="L26" s="234" t="n">
        <v>2.88103464602019</v>
      </c>
      <c r="M26" s="234" t="n">
        <v>2.17123853879113</v>
      </c>
      <c r="N26" s="234" t="n">
        <v>2.72810677322567</v>
      </c>
      <c r="O26" s="234" t="n">
        <v>4.11004944638361</v>
      </c>
      <c r="P26" s="234" t="n">
        <v>2.91706592241341</v>
      </c>
      <c r="Q26" s="234" t="n">
        <v>3.45881587696985</v>
      </c>
      <c r="R26" s="235" t="n">
        <v>0.434797561899037</v>
      </c>
      <c r="S26" s="234" t="n">
        <v>1.69814337624966</v>
      </c>
      <c r="T26" s="235" t="n">
        <v>0</v>
      </c>
      <c r="U26" s="236" t="n">
        <v>268.386</v>
      </c>
      <c r="V26" s="235" t="n">
        <v>0.817851899875553</v>
      </c>
      <c r="W26" s="237" t="n">
        <v>8.93398164552971</v>
      </c>
      <c r="X26" s="236" t="n">
        <v>74.2943425576933</v>
      </c>
      <c r="Y26" s="213"/>
      <c r="Z26" s="213"/>
      <c r="AA26" s="213"/>
      <c r="AB26" s="213"/>
      <c r="AC26" s="213"/>
      <c r="AD26" s="213"/>
      <c r="AE26" s="213"/>
      <c r="AF26" s="213"/>
      <c r="AG26" s="213"/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  <c r="BI26" s="213"/>
      <c r="BJ26" s="213"/>
      <c r="BK26" s="213"/>
      <c r="BL26" s="213"/>
      <c r="BM26" s="213"/>
      <c r="BN26" s="213"/>
      <c r="BO26" s="213"/>
      <c r="BP26" s="213"/>
      <c r="BQ26" s="213"/>
      <c r="BR26" s="213"/>
      <c r="BS26" s="213"/>
      <c r="BT26" s="213"/>
      <c r="BU26" s="213"/>
      <c r="BV26" s="213"/>
      <c r="BW26" s="213"/>
      <c r="BX26" s="213"/>
      <c r="BY26" s="213"/>
      <c r="BZ26" s="213"/>
      <c r="CA26" s="213"/>
      <c r="CB26" s="213"/>
      <c r="CC26" s="213"/>
      <c r="CD26" s="213"/>
      <c r="CE26" s="213"/>
      <c r="CF26" s="213"/>
      <c r="CG26" s="213"/>
      <c r="CH26" s="213"/>
      <c r="CI26" s="213"/>
      <c r="CJ26" s="213"/>
      <c r="CK26" s="213"/>
      <c r="CL26" s="213"/>
      <c r="CM26" s="213"/>
      <c r="CN26" s="213"/>
      <c r="CO26" s="213"/>
      <c r="CP26" s="213"/>
      <c r="CQ26" s="213"/>
      <c r="CR26" s="213"/>
      <c r="CS26" s="213"/>
      <c r="CT26" s="213"/>
      <c r="CU26" s="213"/>
      <c r="CV26" s="213"/>
      <c r="CW26" s="213"/>
      <c r="CX26" s="213"/>
      <c r="CY26" s="213"/>
      <c r="CZ26" s="213"/>
      <c r="DA26" s="213"/>
      <c r="DB26" s="213"/>
      <c r="DC26" s="213"/>
      <c r="DD26" s="213"/>
      <c r="DE26" s="213"/>
      <c r="DF26" s="213"/>
      <c r="DG26" s="213"/>
      <c r="DH26" s="213"/>
      <c r="DI26" s="213"/>
      <c r="DJ26" s="213"/>
      <c r="DK26" s="213"/>
      <c r="DL26" s="213"/>
      <c r="DM26" s="213"/>
      <c r="DN26" s="213"/>
      <c r="DO26" s="213"/>
      <c r="DP26" s="213"/>
      <c r="DQ26" s="213"/>
      <c r="DR26" s="213"/>
      <c r="DS26" s="213"/>
      <c r="DT26" s="213"/>
      <c r="DU26" s="213"/>
      <c r="DV26" s="213"/>
      <c r="DW26" s="213"/>
      <c r="DX26" s="213"/>
      <c r="DY26" s="213"/>
      <c r="DZ26" s="213"/>
      <c r="EA26" s="213"/>
      <c r="EB26" s="213"/>
      <c r="EC26" s="213"/>
      <c r="ED26" s="213"/>
      <c r="EE26" s="213"/>
      <c r="EF26" s="213"/>
      <c r="EG26" s="213"/>
      <c r="EH26" s="213"/>
      <c r="EI26" s="213"/>
      <c r="EJ26" s="213"/>
      <c r="EK26" s="213"/>
      <c r="EL26" s="213"/>
      <c r="EM26" s="213"/>
      <c r="EN26" s="213"/>
      <c r="EO26" s="213"/>
      <c r="EP26" s="213"/>
      <c r="EQ26" s="213"/>
      <c r="ER26" s="213"/>
      <c r="ES26" s="213"/>
      <c r="ET26" s="213"/>
      <c r="EU26" s="213"/>
      <c r="EV26" s="213"/>
      <c r="EW26" s="213"/>
      <c r="EX26" s="213"/>
      <c r="EY26" s="213"/>
      <c r="EZ26" s="213"/>
      <c r="FA26" s="213"/>
      <c r="FB26" s="213"/>
      <c r="FC26" s="213"/>
      <c r="FD26" s="213"/>
      <c r="FE26" s="213"/>
      <c r="FF26" s="213"/>
      <c r="FG26" s="213"/>
      <c r="FH26" s="213"/>
      <c r="FI26" s="213"/>
      <c r="FJ26" s="213"/>
      <c r="FK26" s="213"/>
      <c r="FL26" s="213"/>
      <c r="FM26" s="213"/>
      <c r="FN26" s="213"/>
      <c r="FO26" s="213"/>
      <c r="FP26" s="213"/>
      <c r="FQ26" s="213"/>
      <c r="FR26" s="213"/>
      <c r="FS26" s="213"/>
      <c r="FT26" s="213"/>
      <c r="FU26" s="213"/>
      <c r="FV26" s="213"/>
      <c r="FW26" s="213"/>
      <c r="FX26" s="213"/>
      <c r="FY26" s="213"/>
      <c r="FZ26" s="213"/>
      <c r="GA26" s="213"/>
      <c r="GB26" s="213"/>
      <c r="GC26" s="213"/>
      <c r="GD26" s="213"/>
      <c r="GE26" s="213"/>
      <c r="GF26" s="213"/>
      <c r="GG26" s="213"/>
      <c r="GH26" s="213"/>
      <c r="GI26" s="213"/>
      <c r="GJ26" s="213"/>
      <c r="GK26" s="213"/>
      <c r="GL26" s="213"/>
      <c r="GM26" s="213"/>
      <c r="GN26" s="213"/>
      <c r="GO26" s="213"/>
      <c r="GP26" s="213"/>
      <c r="GQ26" s="213"/>
      <c r="GR26" s="213"/>
      <c r="GS26" s="213"/>
      <c r="GT26" s="213"/>
      <c r="GU26" s="213"/>
      <c r="GV26" s="213"/>
      <c r="GW26" s="213"/>
      <c r="GX26" s="213"/>
      <c r="GY26" s="213"/>
      <c r="GZ26" s="213"/>
      <c r="HA26" s="213"/>
      <c r="HB26" s="213"/>
      <c r="HC26" s="213"/>
      <c r="HD26" s="213"/>
      <c r="HE26" s="213"/>
      <c r="HF26" s="213"/>
      <c r="HG26" s="213"/>
      <c r="HH26" s="213"/>
      <c r="HI26" s="213"/>
      <c r="HJ26" s="213"/>
      <c r="HK26" s="213"/>
      <c r="HL26" s="213"/>
      <c r="HM26" s="213"/>
      <c r="HN26" s="213"/>
      <c r="HO26" s="213"/>
      <c r="HP26" s="213"/>
      <c r="HQ26" s="213"/>
      <c r="HR26" s="213"/>
      <c r="HS26" s="213"/>
      <c r="HT26" s="213"/>
      <c r="HU26" s="213"/>
      <c r="HV26" s="213"/>
      <c r="HW26" s="213"/>
      <c r="HX26" s="213"/>
      <c r="HY26" s="213"/>
      <c r="HZ26" s="213"/>
      <c r="IA26" s="213"/>
      <c r="IB26" s="213"/>
      <c r="IC26" s="213"/>
      <c r="ID26" s="213"/>
      <c r="IE26" s="213"/>
      <c r="IF26" s="213"/>
      <c r="IG26" s="213"/>
      <c r="IH26" s="213"/>
      <c r="II26" s="213"/>
      <c r="IJ26" s="213"/>
      <c r="IK26" s="213"/>
      <c r="IL26" s="213"/>
      <c r="IM26" s="213"/>
      <c r="IN26" s="213"/>
      <c r="IO26" s="213"/>
      <c r="IP26" s="213"/>
      <c r="IQ26" s="213"/>
      <c r="IR26" s="213"/>
      <c r="IS26" s="213"/>
      <c r="IT26" s="213"/>
      <c r="IU26" s="213"/>
      <c r="IV26" s="213"/>
      <c r="IW26" s="213"/>
    </row>
    <row r="27" customFormat="false" ht="11.25" hidden="false" customHeight="false" outlineLevel="0" collapsed="false">
      <c r="A27" s="213" t="s">
        <v>662</v>
      </c>
      <c r="B27" s="230" t="s">
        <v>663</v>
      </c>
      <c r="C27" s="231" t="n">
        <v>37109</v>
      </c>
      <c r="D27" s="232" t="n">
        <v>42</v>
      </c>
      <c r="E27" s="232" t="n">
        <v>48.25</v>
      </c>
      <c r="F27" s="232" t="n">
        <v>32.75</v>
      </c>
      <c r="G27" s="233" t="n">
        <v>11584.240402</v>
      </c>
      <c r="H27" s="233" t="n">
        <v>11375.240402</v>
      </c>
      <c r="I27" s="234" t="n">
        <v>13.5014456899767</v>
      </c>
      <c r="J27" s="234" t="n">
        <v>11.4095988955508</v>
      </c>
      <c r="K27" s="234" t="n">
        <v>13.8817460327953</v>
      </c>
      <c r="L27" s="234" t="n">
        <v>9.23047043984064</v>
      </c>
      <c r="M27" s="234" t="n">
        <v>7.76992871090408</v>
      </c>
      <c r="N27" s="234" t="n">
        <v>9.11602155982508</v>
      </c>
      <c r="O27" s="234" t="n">
        <v>6.15543311796537</v>
      </c>
      <c r="P27" s="234" t="n">
        <v>5.29341733867571</v>
      </c>
      <c r="Q27" s="234" t="n">
        <v>6.18288903077379</v>
      </c>
      <c r="R27" s="235" t="n">
        <v>0.0148906468124709</v>
      </c>
      <c r="S27" s="234" t="n">
        <v>2.7366502248996</v>
      </c>
      <c r="T27" s="235" t="n">
        <v>0.01809524</v>
      </c>
      <c r="U27" s="236" t="n">
        <v>1456.491</v>
      </c>
      <c r="V27" s="235" t="n">
        <v>0.342257521673666</v>
      </c>
      <c r="W27" s="237" t="n">
        <v>3.58017674738134</v>
      </c>
      <c r="X27" s="236" t="n">
        <v>275.815247666667</v>
      </c>
      <c r="Y27" s="213"/>
      <c r="Z27" s="213"/>
      <c r="AA27" s="213"/>
      <c r="AB27" s="213"/>
      <c r="AC27" s="213"/>
      <c r="AD27" s="213"/>
      <c r="AE27" s="213"/>
      <c r="AF27" s="213"/>
      <c r="AG27" s="213"/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  <c r="BI27" s="213"/>
      <c r="BJ27" s="213"/>
      <c r="BK27" s="213"/>
      <c r="BL27" s="213"/>
      <c r="BM27" s="213"/>
      <c r="BN27" s="213"/>
      <c r="BO27" s="213"/>
      <c r="BP27" s="213"/>
      <c r="BQ27" s="213"/>
      <c r="BR27" s="213"/>
      <c r="BS27" s="213"/>
      <c r="BT27" s="213"/>
      <c r="BU27" s="213"/>
      <c r="BV27" s="213"/>
      <c r="BW27" s="213"/>
      <c r="BX27" s="213"/>
      <c r="BY27" s="213"/>
      <c r="BZ27" s="213"/>
      <c r="CA27" s="213"/>
      <c r="CB27" s="213"/>
      <c r="CC27" s="213"/>
      <c r="CD27" s="213"/>
      <c r="CE27" s="213"/>
      <c r="CF27" s="213"/>
      <c r="CG27" s="213"/>
      <c r="CH27" s="213"/>
      <c r="CI27" s="213"/>
      <c r="CJ27" s="213"/>
      <c r="CK27" s="213"/>
      <c r="CL27" s="213"/>
      <c r="CM27" s="213"/>
      <c r="CN27" s="213"/>
      <c r="CO27" s="213"/>
      <c r="CP27" s="213"/>
      <c r="CQ27" s="213"/>
      <c r="CR27" s="213"/>
      <c r="CS27" s="213"/>
      <c r="CT27" s="213"/>
      <c r="CU27" s="213"/>
      <c r="CV27" s="213"/>
      <c r="CW27" s="213"/>
      <c r="CX27" s="213"/>
      <c r="CY27" s="213"/>
      <c r="CZ27" s="213"/>
      <c r="DA27" s="213"/>
      <c r="DB27" s="213"/>
      <c r="DC27" s="213"/>
      <c r="DD27" s="213"/>
      <c r="DE27" s="213"/>
      <c r="DF27" s="213"/>
      <c r="DG27" s="213"/>
      <c r="DH27" s="213"/>
      <c r="DI27" s="213"/>
      <c r="DJ27" s="213"/>
      <c r="DK27" s="213"/>
      <c r="DL27" s="213"/>
      <c r="DM27" s="213"/>
      <c r="DN27" s="213"/>
      <c r="DO27" s="213"/>
      <c r="DP27" s="213"/>
      <c r="DQ27" s="213"/>
      <c r="DR27" s="213"/>
      <c r="DS27" s="213"/>
      <c r="DT27" s="213"/>
      <c r="DU27" s="213"/>
      <c r="DV27" s="213"/>
      <c r="DW27" s="213"/>
      <c r="DX27" s="213"/>
      <c r="DY27" s="213"/>
      <c r="DZ27" s="213"/>
      <c r="EA27" s="213"/>
      <c r="EB27" s="213"/>
      <c r="EC27" s="213"/>
      <c r="ED27" s="213"/>
      <c r="EE27" s="213"/>
      <c r="EF27" s="213"/>
      <c r="EG27" s="213"/>
      <c r="EH27" s="213"/>
      <c r="EI27" s="213"/>
      <c r="EJ27" s="213"/>
      <c r="EK27" s="213"/>
      <c r="EL27" s="213"/>
      <c r="EM27" s="213"/>
      <c r="EN27" s="213"/>
      <c r="EO27" s="213"/>
      <c r="EP27" s="213"/>
      <c r="EQ27" s="213"/>
      <c r="ER27" s="213"/>
      <c r="ES27" s="213"/>
      <c r="ET27" s="213"/>
      <c r="EU27" s="213"/>
      <c r="EV27" s="213"/>
      <c r="EW27" s="213"/>
      <c r="EX27" s="213"/>
      <c r="EY27" s="213"/>
      <c r="EZ27" s="213"/>
      <c r="FA27" s="213"/>
      <c r="FB27" s="213"/>
      <c r="FC27" s="213"/>
      <c r="FD27" s="213"/>
      <c r="FE27" s="213"/>
      <c r="FF27" s="213"/>
      <c r="FG27" s="213"/>
      <c r="FH27" s="213"/>
      <c r="FI27" s="213"/>
      <c r="FJ27" s="213"/>
      <c r="FK27" s="213"/>
      <c r="FL27" s="213"/>
      <c r="FM27" s="213"/>
      <c r="FN27" s="213"/>
      <c r="FO27" s="213"/>
      <c r="FP27" s="213"/>
      <c r="FQ27" s="213"/>
      <c r="FR27" s="213"/>
      <c r="FS27" s="213"/>
      <c r="FT27" s="213"/>
      <c r="FU27" s="213"/>
      <c r="FV27" s="213"/>
      <c r="FW27" s="213"/>
      <c r="FX27" s="213"/>
      <c r="FY27" s="213"/>
      <c r="FZ27" s="213"/>
      <c r="GA27" s="213"/>
      <c r="GB27" s="213"/>
      <c r="GC27" s="213"/>
      <c r="GD27" s="213"/>
      <c r="GE27" s="213"/>
      <c r="GF27" s="213"/>
      <c r="GG27" s="213"/>
      <c r="GH27" s="213"/>
      <c r="GI27" s="213"/>
      <c r="GJ27" s="213"/>
      <c r="GK27" s="213"/>
      <c r="GL27" s="213"/>
      <c r="GM27" s="213"/>
      <c r="GN27" s="213"/>
      <c r="GO27" s="213"/>
      <c r="GP27" s="213"/>
      <c r="GQ27" s="213"/>
      <c r="GR27" s="213"/>
      <c r="GS27" s="213"/>
      <c r="GT27" s="213"/>
      <c r="GU27" s="213"/>
      <c r="GV27" s="213"/>
      <c r="GW27" s="213"/>
      <c r="GX27" s="213"/>
      <c r="GY27" s="213"/>
      <c r="GZ27" s="213"/>
      <c r="HA27" s="213"/>
      <c r="HB27" s="213"/>
      <c r="HC27" s="213"/>
      <c r="HD27" s="213"/>
      <c r="HE27" s="213"/>
      <c r="HF27" s="213"/>
      <c r="HG27" s="213"/>
      <c r="HH27" s="213"/>
      <c r="HI27" s="213"/>
      <c r="HJ27" s="213"/>
      <c r="HK27" s="213"/>
      <c r="HL27" s="213"/>
      <c r="HM27" s="213"/>
      <c r="HN27" s="213"/>
      <c r="HO27" s="213"/>
      <c r="HP27" s="213"/>
      <c r="HQ27" s="213"/>
      <c r="HR27" s="213"/>
      <c r="HS27" s="213"/>
      <c r="HT27" s="213"/>
      <c r="HU27" s="213"/>
      <c r="HV27" s="213"/>
      <c r="HW27" s="213"/>
      <c r="HX27" s="213"/>
      <c r="HY27" s="213"/>
      <c r="HZ27" s="213"/>
      <c r="IA27" s="213"/>
      <c r="IB27" s="213"/>
      <c r="IC27" s="213"/>
      <c r="ID27" s="213"/>
      <c r="IE27" s="213"/>
      <c r="IF27" s="213"/>
      <c r="IG27" s="213"/>
      <c r="IH27" s="213"/>
      <c r="II27" s="213"/>
      <c r="IJ27" s="213"/>
      <c r="IK27" s="213"/>
      <c r="IL27" s="213"/>
      <c r="IM27" s="213"/>
      <c r="IN27" s="213"/>
      <c r="IO27" s="213"/>
      <c r="IP27" s="213"/>
      <c r="IQ27" s="213"/>
      <c r="IR27" s="213"/>
      <c r="IS27" s="213"/>
      <c r="IT27" s="213"/>
      <c r="IU27" s="213"/>
      <c r="IV27" s="213"/>
      <c r="IW27" s="213"/>
    </row>
    <row r="28" customFormat="false" ht="11.25" hidden="false" customHeight="false" outlineLevel="0" collapsed="false">
      <c r="A28" s="213" t="s">
        <v>664</v>
      </c>
      <c r="B28" s="230" t="s">
        <v>665</v>
      </c>
      <c r="C28" s="231" t="n">
        <v>37109</v>
      </c>
      <c r="D28" s="232" t="n">
        <v>42.49</v>
      </c>
      <c r="E28" s="232" t="n">
        <v>44.38</v>
      </c>
      <c r="F28" s="232" t="n">
        <v>29.4</v>
      </c>
      <c r="G28" s="233" t="n">
        <v>9493.30079166</v>
      </c>
      <c r="H28" s="233" t="n">
        <v>12521.30079166</v>
      </c>
      <c r="I28" s="234" t="n">
        <v>23.5835723706364</v>
      </c>
      <c r="J28" s="234" t="n">
        <v>21.058714610555</v>
      </c>
      <c r="K28" s="234" t="n">
        <v>13.9593133161139</v>
      </c>
      <c r="L28" s="234" t="n">
        <v>9.64728389066323</v>
      </c>
      <c r="M28" s="234" t="n">
        <v>9.8389004513529</v>
      </c>
      <c r="N28" s="234" t="n">
        <v>5.96511956351442</v>
      </c>
      <c r="O28" s="234" t="n">
        <v>11.3520406089393</v>
      </c>
      <c r="P28" s="234" t="n">
        <v>10.2828078795071</v>
      </c>
      <c r="Q28" s="234" t="n">
        <v>7.8541914776733</v>
      </c>
      <c r="R28" s="235" t="n">
        <v>0.498053717399766</v>
      </c>
      <c r="S28" s="234" t="n">
        <v>4.59724009281356</v>
      </c>
      <c r="T28" s="235" t="n">
        <v>0.008001882</v>
      </c>
      <c r="U28" s="236" t="n">
        <v>909.833333333333</v>
      </c>
      <c r="V28" s="235" t="n">
        <v>0.145997435427734</v>
      </c>
      <c r="W28" s="237" t="n">
        <v>12.0474736528918</v>
      </c>
      <c r="X28" s="236" t="n">
        <v>223.424353769357</v>
      </c>
      <c r="Y28" s="213"/>
      <c r="Z28" s="213"/>
      <c r="AA28" s="213"/>
      <c r="AB28" s="213"/>
      <c r="AC28" s="213"/>
      <c r="AD28" s="213"/>
      <c r="AE28" s="213"/>
      <c r="AF28" s="213"/>
      <c r="AG28" s="213"/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  <c r="BI28" s="213"/>
      <c r="BJ28" s="213"/>
      <c r="BK28" s="213"/>
      <c r="BL28" s="213"/>
      <c r="BM28" s="213"/>
      <c r="BN28" s="213"/>
      <c r="BO28" s="213"/>
      <c r="BP28" s="213"/>
      <c r="BQ28" s="213"/>
      <c r="BR28" s="213"/>
      <c r="BS28" s="213"/>
      <c r="BT28" s="213"/>
      <c r="BU28" s="213"/>
      <c r="BV28" s="213"/>
      <c r="BW28" s="213"/>
      <c r="BX28" s="213"/>
      <c r="BY28" s="213"/>
      <c r="BZ28" s="213"/>
      <c r="CA28" s="213"/>
      <c r="CB28" s="213"/>
      <c r="CC28" s="213"/>
      <c r="CD28" s="213"/>
      <c r="CE28" s="213"/>
      <c r="CF28" s="213"/>
      <c r="CG28" s="213"/>
      <c r="CH28" s="213"/>
      <c r="CI28" s="213"/>
      <c r="CJ28" s="213"/>
      <c r="CK28" s="213"/>
      <c r="CL28" s="213"/>
      <c r="CM28" s="213"/>
      <c r="CN28" s="213"/>
      <c r="CO28" s="213"/>
      <c r="CP28" s="213"/>
      <c r="CQ28" s="213"/>
      <c r="CR28" s="213"/>
      <c r="CS28" s="213"/>
      <c r="CT28" s="213"/>
      <c r="CU28" s="213"/>
      <c r="CV28" s="213"/>
      <c r="CW28" s="213"/>
      <c r="CX28" s="213"/>
      <c r="CY28" s="213"/>
      <c r="CZ28" s="213"/>
      <c r="DA28" s="213"/>
      <c r="DB28" s="213"/>
      <c r="DC28" s="213"/>
      <c r="DD28" s="213"/>
      <c r="DE28" s="213"/>
      <c r="DF28" s="213"/>
      <c r="DG28" s="213"/>
      <c r="DH28" s="213"/>
      <c r="DI28" s="213"/>
      <c r="DJ28" s="213"/>
      <c r="DK28" s="213"/>
      <c r="DL28" s="213"/>
      <c r="DM28" s="213"/>
      <c r="DN28" s="213"/>
      <c r="DO28" s="213"/>
      <c r="DP28" s="213"/>
      <c r="DQ28" s="213"/>
      <c r="DR28" s="213"/>
      <c r="DS28" s="213"/>
      <c r="DT28" s="213"/>
      <c r="DU28" s="213"/>
      <c r="DV28" s="213"/>
      <c r="DW28" s="213"/>
      <c r="DX28" s="213"/>
      <c r="DY28" s="213"/>
      <c r="DZ28" s="213"/>
      <c r="EA28" s="213"/>
      <c r="EB28" s="213"/>
      <c r="EC28" s="213"/>
      <c r="ED28" s="213"/>
      <c r="EE28" s="213"/>
      <c r="EF28" s="213"/>
      <c r="EG28" s="213"/>
      <c r="EH28" s="213"/>
      <c r="EI28" s="213"/>
      <c r="EJ28" s="213"/>
      <c r="EK28" s="213"/>
      <c r="EL28" s="213"/>
      <c r="EM28" s="213"/>
      <c r="EN28" s="213"/>
      <c r="EO28" s="213"/>
      <c r="EP28" s="213"/>
      <c r="EQ28" s="213"/>
      <c r="ER28" s="213"/>
      <c r="ES28" s="213"/>
      <c r="ET28" s="213"/>
      <c r="EU28" s="213"/>
      <c r="EV28" s="213"/>
      <c r="EW28" s="213"/>
      <c r="EX28" s="213"/>
      <c r="EY28" s="213"/>
      <c r="EZ28" s="213"/>
      <c r="FA28" s="213"/>
      <c r="FB28" s="213"/>
      <c r="FC28" s="213"/>
      <c r="FD28" s="213"/>
      <c r="FE28" s="213"/>
      <c r="FF28" s="213"/>
      <c r="FG28" s="213"/>
      <c r="FH28" s="213"/>
      <c r="FI28" s="213"/>
      <c r="FJ28" s="213"/>
      <c r="FK28" s="213"/>
      <c r="FL28" s="213"/>
      <c r="FM28" s="213"/>
      <c r="FN28" s="213"/>
      <c r="FO28" s="213"/>
      <c r="FP28" s="213"/>
      <c r="FQ28" s="213"/>
      <c r="FR28" s="213"/>
      <c r="FS28" s="213"/>
      <c r="FT28" s="213"/>
      <c r="FU28" s="213"/>
      <c r="FV28" s="213"/>
      <c r="FW28" s="213"/>
      <c r="FX28" s="213"/>
      <c r="FY28" s="213"/>
      <c r="FZ28" s="213"/>
      <c r="GA28" s="213"/>
      <c r="GB28" s="213"/>
      <c r="GC28" s="213"/>
      <c r="GD28" s="213"/>
      <c r="GE28" s="213"/>
      <c r="GF28" s="213"/>
      <c r="GG28" s="213"/>
      <c r="GH28" s="213"/>
      <c r="GI28" s="213"/>
      <c r="GJ28" s="213"/>
      <c r="GK28" s="213"/>
      <c r="GL28" s="213"/>
      <c r="GM28" s="213"/>
      <c r="GN28" s="213"/>
      <c r="GO28" s="213"/>
      <c r="GP28" s="213"/>
      <c r="GQ28" s="213"/>
      <c r="GR28" s="213"/>
      <c r="GS28" s="213"/>
      <c r="GT28" s="213"/>
      <c r="GU28" s="213"/>
      <c r="GV28" s="213"/>
      <c r="GW28" s="213"/>
      <c r="GX28" s="213"/>
      <c r="GY28" s="213"/>
      <c r="GZ28" s="213"/>
      <c r="HA28" s="213"/>
      <c r="HB28" s="213"/>
      <c r="HC28" s="213"/>
      <c r="HD28" s="213"/>
      <c r="HE28" s="213"/>
      <c r="HF28" s="213"/>
      <c r="HG28" s="213"/>
      <c r="HH28" s="213"/>
      <c r="HI28" s="213"/>
      <c r="HJ28" s="213"/>
      <c r="HK28" s="213"/>
      <c r="HL28" s="213"/>
      <c r="HM28" s="213"/>
      <c r="HN28" s="213"/>
      <c r="HO28" s="213"/>
      <c r="HP28" s="213"/>
      <c r="HQ28" s="213"/>
      <c r="HR28" s="213"/>
      <c r="HS28" s="213"/>
      <c r="HT28" s="213"/>
      <c r="HU28" s="213"/>
      <c r="HV28" s="213"/>
      <c r="HW28" s="213"/>
      <c r="HX28" s="213"/>
      <c r="HY28" s="213"/>
      <c r="HZ28" s="213"/>
      <c r="IA28" s="213"/>
      <c r="IB28" s="213"/>
      <c r="IC28" s="213"/>
      <c r="ID28" s="213"/>
      <c r="IE28" s="213"/>
      <c r="IF28" s="213"/>
      <c r="IG28" s="213"/>
      <c r="IH28" s="213"/>
      <c r="II28" s="213"/>
      <c r="IJ28" s="213"/>
      <c r="IK28" s="213"/>
      <c r="IL28" s="213"/>
      <c r="IM28" s="213"/>
      <c r="IN28" s="213"/>
      <c r="IO28" s="213"/>
      <c r="IP28" s="213"/>
      <c r="IQ28" s="213"/>
      <c r="IR28" s="213"/>
      <c r="IS28" s="213"/>
      <c r="IT28" s="213"/>
      <c r="IU28" s="213"/>
      <c r="IV28" s="213"/>
      <c r="IW28" s="213"/>
    </row>
    <row r="29" customFormat="false" ht="11.25" hidden="false" customHeight="false" outlineLevel="0" collapsed="false">
      <c r="A29" s="213" t="s">
        <v>666</v>
      </c>
      <c r="B29" s="230" t="s">
        <v>667</v>
      </c>
      <c r="C29" s="231" t="n">
        <v>37109</v>
      </c>
      <c r="D29" s="232" t="n">
        <v>60.1</v>
      </c>
      <c r="E29" s="232" t="n">
        <v>65.77</v>
      </c>
      <c r="F29" s="232" t="n">
        <v>43.8</v>
      </c>
      <c r="G29" s="233" t="n">
        <v>8352.2536206</v>
      </c>
      <c r="H29" s="233" t="n">
        <v>11058.2536206</v>
      </c>
      <c r="I29" s="234" t="n">
        <v>9.21533417326553</v>
      </c>
      <c r="J29" s="234" t="n">
        <v>7.2344450474313</v>
      </c>
      <c r="K29" s="234" t="n">
        <v>9.74609079575488</v>
      </c>
      <c r="L29" s="234" t="n">
        <v>3.46158188518689</v>
      </c>
      <c r="M29" s="234" t="n">
        <v>2.84649488948356</v>
      </c>
      <c r="N29" s="234" t="n">
        <v>2.94493076893785</v>
      </c>
      <c r="O29" s="234" t="n">
        <v>3.71825613166992</v>
      </c>
      <c r="P29" s="234" t="n">
        <v>3.0804144732704</v>
      </c>
      <c r="Q29" s="234" t="n">
        <v>3.32215168245789</v>
      </c>
      <c r="R29" s="235" t="n">
        <v>0.395733842725247</v>
      </c>
      <c r="S29" s="234" t="n">
        <v>2.34930626141989</v>
      </c>
      <c r="T29" s="235" t="n">
        <v>0.009983362</v>
      </c>
      <c r="U29" s="236" t="n">
        <v>1232.68333333333</v>
      </c>
      <c r="V29" s="235" t="n">
        <v>0.481780938602777</v>
      </c>
      <c r="W29" s="237" t="n">
        <v>8.87125088240681</v>
      </c>
      <c r="X29" s="236" t="n">
        <v>138.972606</v>
      </c>
      <c r="Y29" s="213"/>
      <c r="Z29" s="213"/>
      <c r="AA29" s="213"/>
      <c r="AB29" s="213"/>
      <c r="AC29" s="213"/>
      <c r="AD29" s="213"/>
      <c r="AE29" s="213"/>
      <c r="AF29" s="213"/>
      <c r="AG29" s="213"/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  <c r="BI29" s="213"/>
      <c r="BJ29" s="213"/>
      <c r="BK29" s="213"/>
      <c r="BL29" s="213"/>
      <c r="BM29" s="213"/>
      <c r="BN29" s="213"/>
      <c r="BO29" s="213"/>
      <c r="BP29" s="213"/>
      <c r="BQ29" s="213"/>
      <c r="BR29" s="213"/>
      <c r="BS29" s="213"/>
      <c r="BT29" s="213"/>
      <c r="BU29" s="213"/>
      <c r="BV29" s="213"/>
      <c r="BW29" s="213"/>
      <c r="BX29" s="213"/>
      <c r="BY29" s="213"/>
      <c r="BZ29" s="213"/>
      <c r="CA29" s="213"/>
      <c r="CB29" s="213"/>
      <c r="CC29" s="213"/>
      <c r="CD29" s="213"/>
      <c r="CE29" s="213"/>
      <c r="CF29" s="213"/>
      <c r="CG29" s="213"/>
      <c r="CH29" s="213"/>
      <c r="CI29" s="213"/>
      <c r="CJ29" s="213"/>
      <c r="CK29" s="213"/>
      <c r="CL29" s="213"/>
      <c r="CM29" s="213"/>
      <c r="CN29" s="213"/>
      <c r="CO29" s="213"/>
      <c r="CP29" s="213"/>
      <c r="CQ29" s="213"/>
      <c r="CR29" s="213"/>
      <c r="CS29" s="213"/>
      <c r="CT29" s="213"/>
      <c r="CU29" s="213"/>
      <c r="CV29" s="213"/>
      <c r="CW29" s="213"/>
      <c r="CX29" s="213"/>
      <c r="CY29" s="213"/>
      <c r="CZ29" s="213"/>
      <c r="DA29" s="213"/>
      <c r="DB29" s="213"/>
      <c r="DC29" s="213"/>
      <c r="DD29" s="213"/>
      <c r="DE29" s="213"/>
      <c r="DF29" s="213"/>
      <c r="DG29" s="213"/>
      <c r="DH29" s="213"/>
      <c r="DI29" s="213"/>
      <c r="DJ29" s="213"/>
      <c r="DK29" s="213"/>
      <c r="DL29" s="213"/>
      <c r="DM29" s="213"/>
      <c r="DN29" s="213"/>
      <c r="DO29" s="213"/>
      <c r="DP29" s="213"/>
      <c r="DQ29" s="213"/>
      <c r="DR29" s="213"/>
      <c r="DS29" s="213"/>
      <c r="DT29" s="213"/>
      <c r="DU29" s="213"/>
      <c r="DV29" s="213"/>
      <c r="DW29" s="213"/>
      <c r="DX29" s="213"/>
      <c r="DY29" s="213"/>
      <c r="DZ29" s="213"/>
      <c r="EA29" s="213"/>
      <c r="EB29" s="213"/>
      <c r="EC29" s="213"/>
      <c r="ED29" s="213"/>
      <c r="EE29" s="213"/>
      <c r="EF29" s="213"/>
      <c r="EG29" s="213"/>
      <c r="EH29" s="213"/>
      <c r="EI29" s="213"/>
      <c r="EJ29" s="213"/>
      <c r="EK29" s="213"/>
      <c r="EL29" s="213"/>
      <c r="EM29" s="213"/>
      <c r="EN29" s="213"/>
      <c r="EO29" s="213"/>
      <c r="EP29" s="213"/>
      <c r="EQ29" s="213"/>
      <c r="ER29" s="213"/>
      <c r="ES29" s="213"/>
      <c r="ET29" s="213"/>
      <c r="EU29" s="213"/>
      <c r="EV29" s="213"/>
      <c r="EW29" s="213"/>
      <c r="EX29" s="213"/>
      <c r="EY29" s="213"/>
      <c r="EZ29" s="213"/>
      <c r="FA29" s="213"/>
      <c r="FB29" s="213"/>
      <c r="FC29" s="213"/>
      <c r="FD29" s="213"/>
      <c r="FE29" s="213"/>
      <c r="FF29" s="213"/>
      <c r="FG29" s="213"/>
      <c r="FH29" s="213"/>
      <c r="FI29" s="213"/>
      <c r="FJ29" s="213"/>
      <c r="FK29" s="213"/>
      <c r="FL29" s="213"/>
      <c r="FM29" s="213"/>
      <c r="FN29" s="213"/>
      <c r="FO29" s="213"/>
      <c r="FP29" s="213"/>
      <c r="FQ29" s="213"/>
      <c r="FR29" s="213"/>
      <c r="FS29" s="213"/>
      <c r="FT29" s="213"/>
      <c r="FU29" s="213"/>
      <c r="FV29" s="213"/>
      <c r="FW29" s="213"/>
      <c r="FX29" s="213"/>
      <c r="FY29" s="213"/>
      <c r="FZ29" s="213"/>
      <c r="GA29" s="213"/>
      <c r="GB29" s="213"/>
      <c r="GC29" s="213"/>
      <c r="GD29" s="213"/>
      <c r="GE29" s="213"/>
      <c r="GF29" s="213"/>
      <c r="GG29" s="213"/>
      <c r="GH29" s="213"/>
      <c r="GI29" s="213"/>
      <c r="GJ29" s="213"/>
      <c r="GK29" s="213"/>
      <c r="GL29" s="213"/>
      <c r="GM29" s="213"/>
      <c r="GN29" s="213"/>
      <c r="GO29" s="213"/>
      <c r="GP29" s="213"/>
      <c r="GQ29" s="213"/>
      <c r="GR29" s="213"/>
      <c r="GS29" s="213"/>
      <c r="GT29" s="213"/>
      <c r="GU29" s="213"/>
      <c r="GV29" s="213"/>
      <c r="GW29" s="213"/>
      <c r="GX29" s="213"/>
      <c r="GY29" s="213"/>
      <c r="GZ29" s="213"/>
      <c r="HA29" s="213"/>
      <c r="HB29" s="213"/>
      <c r="HC29" s="213"/>
      <c r="HD29" s="213"/>
      <c r="HE29" s="213"/>
      <c r="HF29" s="213"/>
      <c r="HG29" s="213"/>
      <c r="HH29" s="213"/>
      <c r="HI29" s="213"/>
      <c r="HJ29" s="213"/>
      <c r="HK29" s="213"/>
      <c r="HL29" s="213"/>
      <c r="HM29" s="213"/>
      <c r="HN29" s="213"/>
      <c r="HO29" s="213"/>
      <c r="HP29" s="213"/>
      <c r="HQ29" s="213"/>
      <c r="HR29" s="213"/>
      <c r="HS29" s="213"/>
      <c r="HT29" s="213"/>
      <c r="HU29" s="213"/>
      <c r="HV29" s="213"/>
      <c r="HW29" s="213"/>
      <c r="HX29" s="213"/>
      <c r="HY29" s="213"/>
      <c r="HZ29" s="213"/>
      <c r="IA29" s="213"/>
      <c r="IB29" s="213"/>
      <c r="IC29" s="213"/>
      <c r="ID29" s="213"/>
      <c r="IE29" s="213"/>
      <c r="IF29" s="213"/>
      <c r="IG29" s="213"/>
      <c r="IH29" s="213"/>
      <c r="II29" s="213"/>
      <c r="IJ29" s="213"/>
      <c r="IK29" s="213"/>
      <c r="IL29" s="213"/>
      <c r="IM29" s="213"/>
      <c r="IN29" s="213"/>
      <c r="IO29" s="213"/>
      <c r="IP29" s="213"/>
      <c r="IQ29" s="213"/>
      <c r="IR29" s="213"/>
      <c r="IS29" s="213"/>
      <c r="IT29" s="213"/>
      <c r="IU29" s="213"/>
      <c r="IV29" s="213"/>
      <c r="IW29" s="213"/>
    </row>
    <row r="30" customFormat="false" ht="11.25" hidden="false" customHeight="false" outlineLevel="0" collapsed="false">
      <c r="A30" s="213" t="s">
        <v>668</v>
      </c>
      <c r="B30" s="230" t="s">
        <v>669</v>
      </c>
      <c r="C30" s="231" t="n">
        <v>37109</v>
      </c>
      <c r="D30" s="232" t="n">
        <v>9.85</v>
      </c>
      <c r="E30" s="232" t="n">
        <v>12.5</v>
      </c>
      <c r="F30" s="232" t="n">
        <v>6.7</v>
      </c>
      <c r="G30" s="233" t="n">
        <v>491.74260244</v>
      </c>
      <c r="H30" s="233" t="n">
        <v>576.45960244</v>
      </c>
      <c r="I30" s="234" t="n">
        <v>8.00245085257693</v>
      </c>
      <c r="J30" s="234" t="n">
        <v>6.75814751286449</v>
      </c>
      <c r="K30" s="234" t="n">
        <v>7.3743331281996</v>
      </c>
      <c r="L30" s="234" t="n">
        <v>3.55945742296473</v>
      </c>
      <c r="M30" s="234" t="n">
        <v>3.23776502832469</v>
      </c>
      <c r="N30" s="234" t="n">
        <v>3.47510711973596</v>
      </c>
      <c r="O30" s="234" t="n">
        <v>3.91337430800041</v>
      </c>
      <c r="P30" s="234" t="n">
        <v>3.36481866974308</v>
      </c>
      <c r="Q30" s="234" t="n">
        <v>3.58822560109042</v>
      </c>
      <c r="R30" s="235" t="n">
        <v>0.289745231239741</v>
      </c>
      <c r="S30" s="234" t="n">
        <v>2.10061130071125</v>
      </c>
      <c r="T30" s="235" t="n">
        <v>0</v>
      </c>
      <c r="U30" s="236" t="n">
        <v>88.1143333333333</v>
      </c>
      <c r="V30" s="235" t="n">
        <v>0.33047215171198</v>
      </c>
      <c r="W30" s="237" t="n">
        <v>6.53053004336615</v>
      </c>
      <c r="X30" s="236" t="n">
        <v>49.9231068467005</v>
      </c>
      <c r="Y30" s="213"/>
      <c r="Z30" s="213"/>
      <c r="AA30" s="213"/>
      <c r="AB30" s="213"/>
      <c r="AC30" s="213"/>
      <c r="AD30" s="213"/>
      <c r="AE30" s="213"/>
      <c r="AF30" s="213"/>
      <c r="AG30" s="213"/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  <c r="BI30" s="213"/>
      <c r="BJ30" s="213"/>
      <c r="BK30" s="213"/>
      <c r="BL30" s="213"/>
      <c r="BM30" s="213"/>
      <c r="BN30" s="213"/>
      <c r="BO30" s="213"/>
      <c r="BP30" s="213"/>
      <c r="BQ30" s="213"/>
      <c r="BR30" s="213"/>
      <c r="BS30" s="213"/>
      <c r="BT30" s="213"/>
      <c r="BU30" s="213"/>
      <c r="BV30" s="213"/>
      <c r="BW30" s="213"/>
      <c r="BX30" s="213"/>
      <c r="BY30" s="213"/>
      <c r="BZ30" s="213"/>
      <c r="CA30" s="213"/>
      <c r="CB30" s="213"/>
      <c r="CC30" s="213"/>
      <c r="CD30" s="213"/>
      <c r="CE30" s="213"/>
      <c r="CF30" s="213"/>
      <c r="CG30" s="213"/>
      <c r="CH30" s="213"/>
      <c r="CI30" s="213"/>
      <c r="CJ30" s="213"/>
      <c r="CK30" s="213"/>
      <c r="CL30" s="213"/>
      <c r="CM30" s="213"/>
      <c r="CN30" s="213"/>
      <c r="CO30" s="213"/>
      <c r="CP30" s="213"/>
      <c r="CQ30" s="213"/>
      <c r="CR30" s="213"/>
      <c r="CS30" s="213"/>
      <c r="CT30" s="213"/>
      <c r="CU30" s="213"/>
      <c r="CV30" s="213"/>
      <c r="CW30" s="213"/>
      <c r="CX30" s="213"/>
      <c r="CY30" s="213"/>
      <c r="CZ30" s="213"/>
      <c r="DA30" s="213"/>
      <c r="DB30" s="213"/>
      <c r="DC30" s="213"/>
      <c r="DD30" s="213"/>
      <c r="DE30" s="213"/>
      <c r="DF30" s="213"/>
      <c r="DG30" s="213"/>
      <c r="DH30" s="213"/>
      <c r="DI30" s="213"/>
      <c r="DJ30" s="213"/>
      <c r="DK30" s="213"/>
      <c r="DL30" s="213"/>
      <c r="DM30" s="213"/>
      <c r="DN30" s="213"/>
      <c r="DO30" s="213"/>
      <c r="DP30" s="213"/>
      <c r="DQ30" s="213"/>
      <c r="DR30" s="213"/>
      <c r="DS30" s="213"/>
      <c r="DT30" s="213"/>
      <c r="DU30" s="213"/>
      <c r="DV30" s="213"/>
      <c r="DW30" s="213"/>
      <c r="DX30" s="213"/>
      <c r="DY30" s="213"/>
      <c r="DZ30" s="213"/>
      <c r="EA30" s="213"/>
      <c r="EB30" s="213"/>
      <c r="EC30" s="213"/>
      <c r="ED30" s="213"/>
      <c r="EE30" s="213"/>
      <c r="EF30" s="213"/>
      <c r="EG30" s="213"/>
      <c r="EH30" s="213"/>
      <c r="EI30" s="213"/>
      <c r="EJ30" s="213"/>
      <c r="EK30" s="213"/>
      <c r="EL30" s="213"/>
      <c r="EM30" s="213"/>
      <c r="EN30" s="213"/>
      <c r="EO30" s="213"/>
      <c r="EP30" s="213"/>
      <c r="EQ30" s="213"/>
      <c r="ER30" s="213"/>
      <c r="ES30" s="213"/>
      <c r="ET30" s="213"/>
      <c r="EU30" s="213"/>
      <c r="EV30" s="213"/>
      <c r="EW30" s="213"/>
      <c r="EX30" s="213"/>
      <c r="EY30" s="213"/>
      <c r="EZ30" s="213"/>
      <c r="FA30" s="213"/>
      <c r="FB30" s="213"/>
      <c r="FC30" s="213"/>
      <c r="FD30" s="213"/>
      <c r="FE30" s="213"/>
      <c r="FF30" s="213"/>
      <c r="FG30" s="213"/>
      <c r="FH30" s="213"/>
      <c r="FI30" s="213"/>
      <c r="FJ30" s="213"/>
      <c r="FK30" s="213"/>
      <c r="FL30" s="213"/>
      <c r="FM30" s="213"/>
      <c r="FN30" s="213"/>
      <c r="FO30" s="213"/>
      <c r="FP30" s="213"/>
      <c r="FQ30" s="213"/>
      <c r="FR30" s="213"/>
      <c r="FS30" s="213"/>
      <c r="FT30" s="213"/>
      <c r="FU30" s="213"/>
      <c r="FV30" s="213"/>
      <c r="FW30" s="213"/>
      <c r="FX30" s="213"/>
      <c r="FY30" s="213"/>
      <c r="FZ30" s="213"/>
      <c r="GA30" s="213"/>
      <c r="GB30" s="213"/>
      <c r="GC30" s="213"/>
      <c r="GD30" s="213"/>
      <c r="GE30" s="213"/>
      <c r="GF30" s="213"/>
      <c r="GG30" s="213"/>
      <c r="GH30" s="213"/>
      <c r="GI30" s="213"/>
      <c r="GJ30" s="213"/>
      <c r="GK30" s="213"/>
      <c r="GL30" s="213"/>
      <c r="GM30" s="213"/>
      <c r="GN30" s="213"/>
      <c r="GO30" s="213"/>
      <c r="GP30" s="213"/>
      <c r="GQ30" s="213"/>
      <c r="GR30" s="213"/>
      <c r="GS30" s="213"/>
      <c r="GT30" s="213"/>
      <c r="GU30" s="213"/>
      <c r="GV30" s="213"/>
      <c r="GW30" s="213"/>
      <c r="GX30" s="213"/>
      <c r="GY30" s="213"/>
      <c r="GZ30" s="213"/>
      <c r="HA30" s="213"/>
      <c r="HB30" s="213"/>
      <c r="HC30" s="213"/>
      <c r="HD30" s="213"/>
      <c r="HE30" s="213"/>
      <c r="HF30" s="213"/>
      <c r="HG30" s="213"/>
      <c r="HH30" s="213"/>
      <c r="HI30" s="213"/>
      <c r="HJ30" s="213"/>
      <c r="HK30" s="213"/>
      <c r="HL30" s="213"/>
      <c r="HM30" s="213"/>
      <c r="HN30" s="213"/>
      <c r="HO30" s="213"/>
      <c r="HP30" s="213"/>
      <c r="HQ30" s="213"/>
      <c r="HR30" s="213"/>
      <c r="HS30" s="213"/>
      <c r="HT30" s="213"/>
      <c r="HU30" s="213"/>
      <c r="HV30" s="213"/>
      <c r="HW30" s="213"/>
      <c r="HX30" s="213"/>
      <c r="HY30" s="213"/>
      <c r="HZ30" s="213"/>
      <c r="IA30" s="213"/>
      <c r="IB30" s="213"/>
      <c r="IC30" s="213"/>
      <c r="ID30" s="213"/>
      <c r="IE30" s="213"/>
      <c r="IF30" s="213"/>
      <c r="IG30" s="213"/>
      <c r="IH30" s="213"/>
      <c r="II30" s="213"/>
      <c r="IJ30" s="213"/>
      <c r="IK30" s="213"/>
      <c r="IL30" s="213"/>
      <c r="IM30" s="213"/>
      <c r="IN30" s="213"/>
      <c r="IO30" s="213"/>
      <c r="IP30" s="213"/>
      <c r="IQ30" s="213"/>
      <c r="IR30" s="213"/>
      <c r="IS30" s="213"/>
      <c r="IT30" s="213"/>
      <c r="IU30" s="213"/>
      <c r="IV30" s="213"/>
      <c r="IW30" s="213"/>
    </row>
    <row r="31" customFormat="false" ht="11.25" hidden="false" customHeight="false" outlineLevel="0" collapsed="false">
      <c r="A31" s="213"/>
      <c r="B31" s="213"/>
      <c r="C31" s="213"/>
      <c r="D31" s="239"/>
      <c r="E31" s="239"/>
      <c r="F31" s="239"/>
      <c r="G31" s="240"/>
      <c r="H31" s="240"/>
      <c r="I31" s="240"/>
      <c r="J31" s="241"/>
      <c r="K31" s="241"/>
      <c r="L31" s="241"/>
      <c r="M31" s="241"/>
      <c r="N31" s="241"/>
      <c r="O31" s="241"/>
      <c r="P31" s="241"/>
      <c r="Q31" s="241"/>
      <c r="R31" s="242"/>
      <c r="S31" s="241"/>
      <c r="T31" s="242"/>
      <c r="U31" s="243"/>
      <c r="V31" s="236"/>
      <c r="W31" s="237"/>
      <c r="X31" s="222"/>
      <c r="Y31" s="213"/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  <c r="BI31" s="213"/>
      <c r="BJ31" s="213"/>
      <c r="BK31" s="213"/>
      <c r="BL31" s="213"/>
      <c r="BM31" s="213"/>
      <c r="BN31" s="213"/>
      <c r="BO31" s="213"/>
      <c r="BP31" s="213"/>
      <c r="BQ31" s="213"/>
      <c r="BR31" s="213"/>
      <c r="BS31" s="213"/>
      <c r="BT31" s="213"/>
      <c r="BU31" s="213"/>
      <c r="BV31" s="213"/>
      <c r="BW31" s="213"/>
      <c r="BX31" s="213"/>
      <c r="BY31" s="213"/>
      <c r="BZ31" s="213"/>
      <c r="CA31" s="213"/>
      <c r="CB31" s="213"/>
      <c r="CC31" s="213"/>
      <c r="CD31" s="213"/>
      <c r="CE31" s="213"/>
      <c r="CF31" s="213"/>
      <c r="CG31" s="213"/>
      <c r="CH31" s="213"/>
      <c r="CI31" s="213"/>
      <c r="CJ31" s="213"/>
      <c r="CK31" s="213"/>
      <c r="CL31" s="213"/>
      <c r="CM31" s="213"/>
      <c r="CN31" s="213"/>
      <c r="CO31" s="213"/>
      <c r="CP31" s="213"/>
      <c r="CQ31" s="213"/>
      <c r="CR31" s="213"/>
      <c r="CS31" s="213"/>
      <c r="CT31" s="213"/>
      <c r="CU31" s="213"/>
      <c r="CV31" s="213"/>
      <c r="CW31" s="213"/>
      <c r="CX31" s="213"/>
      <c r="CY31" s="213"/>
      <c r="CZ31" s="213"/>
      <c r="DA31" s="213"/>
      <c r="DB31" s="213"/>
      <c r="DC31" s="213"/>
      <c r="DD31" s="213"/>
      <c r="DE31" s="213"/>
      <c r="DF31" s="213"/>
      <c r="DG31" s="213"/>
      <c r="DH31" s="213"/>
      <c r="DI31" s="213"/>
      <c r="DJ31" s="213"/>
      <c r="DK31" s="213"/>
      <c r="DL31" s="213"/>
      <c r="DM31" s="213"/>
      <c r="DN31" s="213"/>
      <c r="DO31" s="213"/>
      <c r="DP31" s="213"/>
      <c r="DQ31" s="213"/>
      <c r="DR31" s="213"/>
      <c r="DS31" s="213"/>
      <c r="DT31" s="213"/>
      <c r="DU31" s="213"/>
      <c r="DV31" s="213"/>
      <c r="DW31" s="213"/>
      <c r="DX31" s="213"/>
      <c r="DY31" s="213"/>
      <c r="DZ31" s="213"/>
      <c r="EA31" s="213"/>
      <c r="EB31" s="213"/>
      <c r="EC31" s="213"/>
      <c r="ED31" s="213"/>
      <c r="EE31" s="213"/>
      <c r="EF31" s="213"/>
      <c r="EG31" s="213"/>
      <c r="EH31" s="213"/>
      <c r="EI31" s="213"/>
      <c r="EJ31" s="213"/>
      <c r="EK31" s="213"/>
      <c r="EL31" s="213"/>
      <c r="EM31" s="213"/>
      <c r="EN31" s="213"/>
      <c r="EO31" s="213"/>
      <c r="EP31" s="213"/>
      <c r="EQ31" s="213"/>
      <c r="ER31" s="213"/>
      <c r="ES31" s="213"/>
      <c r="ET31" s="213"/>
      <c r="EU31" s="213"/>
      <c r="EV31" s="213"/>
      <c r="EW31" s="213"/>
      <c r="EX31" s="213"/>
      <c r="EY31" s="213"/>
      <c r="EZ31" s="213"/>
      <c r="FA31" s="213"/>
      <c r="FB31" s="213"/>
      <c r="FC31" s="213"/>
      <c r="FD31" s="213"/>
      <c r="FE31" s="213"/>
      <c r="FF31" s="213"/>
      <c r="FG31" s="213"/>
      <c r="FH31" s="213"/>
      <c r="FI31" s="213"/>
      <c r="FJ31" s="213"/>
      <c r="FK31" s="213"/>
      <c r="FL31" s="213"/>
      <c r="FM31" s="213"/>
      <c r="FN31" s="213"/>
      <c r="FO31" s="213"/>
      <c r="FP31" s="213"/>
      <c r="FQ31" s="213"/>
      <c r="FR31" s="213"/>
      <c r="FS31" s="213"/>
      <c r="FT31" s="213"/>
      <c r="FU31" s="213"/>
      <c r="FV31" s="213"/>
      <c r="FW31" s="213"/>
      <c r="FX31" s="213"/>
      <c r="FY31" s="213"/>
      <c r="FZ31" s="213"/>
      <c r="GA31" s="213"/>
      <c r="GB31" s="213"/>
      <c r="GC31" s="213"/>
      <c r="GD31" s="213"/>
      <c r="GE31" s="213"/>
      <c r="GF31" s="213"/>
      <c r="GG31" s="213"/>
      <c r="GH31" s="213"/>
      <c r="GI31" s="213"/>
      <c r="GJ31" s="213"/>
      <c r="GK31" s="213"/>
      <c r="GL31" s="213"/>
      <c r="GM31" s="213"/>
      <c r="GN31" s="213"/>
      <c r="GO31" s="213"/>
      <c r="GP31" s="213"/>
      <c r="GQ31" s="213"/>
      <c r="GR31" s="213"/>
      <c r="GS31" s="213"/>
      <c r="GT31" s="213"/>
      <c r="GU31" s="213"/>
      <c r="GV31" s="213"/>
      <c r="GW31" s="213"/>
      <c r="GX31" s="213"/>
      <c r="GY31" s="213"/>
      <c r="GZ31" s="213"/>
      <c r="HA31" s="213"/>
      <c r="HB31" s="213"/>
      <c r="HC31" s="213"/>
      <c r="HD31" s="213"/>
      <c r="HE31" s="213"/>
      <c r="HF31" s="213"/>
      <c r="HG31" s="213"/>
      <c r="HH31" s="213"/>
      <c r="HI31" s="213"/>
      <c r="HJ31" s="213"/>
      <c r="HK31" s="213"/>
      <c r="HL31" s="213"/>
      <c r="HM31" s="213"/>
      <c r="HN31" s="213"/>
      <c r="HO31" s="213"/>
      <c r="HP31" s="213"/>
      <c r="HQ31" s="213"/>
      <c r="HR31" s="213"/>
      <c r="HS31" s="213"/>
      <c r="HT31" s="213"/>
      <c r="HU31" s="213"/>
      <c r="HV31" s="213"/>
      <c r="HW31" s="213"/>
      <c r="HX31" s="213"/>
      <c r="HY31" s="213"/>
      <c r="HZ31" s="213"/>
      <c r="IA31" s="213"/>
      <c r="IB31" s="213"/>
      <c r="IC31" s="213"/>
      <c r="ID31" s="213"/>
      <c r="IE31" s="213"/>
      <c r="IF31" s="213"/>
      <c r="IG31" s="213"/>
      <c r="IH31" s="213"/>
      <c r="II31" s="213"/>
      <c r="IJ31" s="213"/>
      <c r="IK31" s="213"/>
      <c r="IL31" s="213"/>
      <c r="IM31" s="213"/>
      <c r="IN31" s="213"/>
      <c r="IO31" s="213"/>
      <c r="IP31" s="213"/>
      <c r="IQ31" s="213"/>
      <c r="IR31" s="213"/>
      <c r="IS31" s="213"/>
      <c r="IT31" s="213"/>
      <c r="IU31" s="213"/>
      <c r="IV31" s="213"/>
      <c r="IW31" s="213"/>
    </row>
    <row r="32" customFormat="false" ht="11.25" hidden="false" customHeight="false" outlineLevel="0" collapsed="false">
      <c r="A32" s="211" t="s">
        <v>670</v>
      </c>
      <c r="B32" s="213"/>
      <c r="C32" s="213"/>
      <c r="D32" s="213"/>
      <c r="E32" s="213"/>
      <c r="F32" s="244" t="s">
        <v>56</v>
      </c>
      <c r="G32" s="245"/>
      <c r="H32" s="245"/>
      <c r="I32" s="245"/>
      <c r="J32" s="246" t="n">
        <v>9.25936501962616</v>
      </c>
      <c r="K32" s="246" t="n">
        <v>12.1279695444486</v>
      </c>
      <c r="L32" s="246" t="n">
        <v>4.84802314103867</v>
      </c>
      <c r="M32" s="246" t="n">
        <v>3.96889346915706</v>
      </c>
      <c r="N32" s="246" t="n">
        <v>4.30280108518757</v>
      </c>
      <c r="O32" s="246" t="n">
        <v>5.16430831861617</v>
      </c>
      <c r="P32" s="246" t="n">
        <v>4.07908490674815</v>
      </c>
      <c r="Q32" s="247" t="n">
        <v>4.47092216582924</v>
      </c>
      <c r="R32" s="248" t="n">
        <v>0.337202290024221</v>
      </c>
      <c r="S32" s="246" t="n">
        <v>2.50352107321078</v>
      </c>
      <c r="T32" s="248" t="n">
        <v>0.00625902011764706</v>
      </c>
      <c r="U32" s="249"/>
      <c r="V32" s="248" t="n">
        <v>0.480822721753858</v>
      </c>
      <c r="W32" s="250" t="n">
        <v>8.33826918695459</v>
      </c>
      <c r="X32" s="222"/>
      <c r="Y32" s="213"/>
      <c r="Z32" s="213"/>
      <c r="AA32" s="213"/>
      <c r="AB32" s="213"/>
      <c r="AC32" s="213"/>
      <c r="AD32" s="213"/>
      <c r="AE32" s="213"/>
      <c r="AF32" s="213"/>
      <c r="AG32" s="213"/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  <c r="BI32" s="213"/>
      <c r="BJ32" s="213"/>
      <c r="BK32" s="213"/>
      <c r="BL32" s="213"/>
      <c r="BM32" s="213"/>
      <c r="BN32" s="213"/>
      <c r="BO32" s="213"/>
      <c r="BP32" s="213"/>
      <c r="BQ32" s="213"/>
      <c r="BR32" s="213"/>
      <c r="BS32" s="213"/>
      <c r="BT32" s="213"/>
      <c r="BU32" s="213"/>
      <c r="BV32" s="213"/>
      <c r="BW32" s="213"/>
      <c r="BX32" s="213"/>
      <c r="BY32" s="213"/>
      <c r="BZ32" s="213"/>
      <c r="CA32" s="213"/>
      <c r="CB32" s="213"/>
      <c r="CC32" s="213"/>
      <c r="CD32" s="213"/>
      <c r="CE32" s="213"/>
      <c r="CF32" s="213"/>
      <c r="CG32" s="213"/>
      <c r="CH32" s="213"/>
      <c r="CI32" s="213"/>
      <c r="CJ32" s="213"/>
      <c r="CK32" s="213"/>
      <c r="CL32" s="213"/>
      <c r="CM32" s="213"/>
      <c r="CN32" s="213"/>
      <c r="CO32" s="213"/>
      <c r="CP32" s="213"/>
      <c r="CQ32" s="213"/>
      <c r="CR32" s="213"/>
      <c r="CS32" s="213"/>
      <c r="CT32" s="213"/>
      <c r="CU32" s="213"/>
      <c r="CV32" s="213"/>
      <c r="CW32" s="213"/>
      <c r="CX32" s="213"/>
      <c r="CY32" s="213"/>
      <c r="CZ32" s="213"/>
      <c r="DA32" s="213"/>
      <c r="DB32" s="213"/>
      <c r="DC32" s="213"/>
      <c r="DD32" s="213"/>
      <c r="DE32" s="213"/>
      <c r="DF32" s="213"/>
      <c r="DG32" s="213"/>
      <c r="DH32" s="213"/>
      <c r="DI32" s="213"/>
      <c r="DJ32" s="213"/>
      <c r="DK32" s="213"/>
      <c r="DL32" s="213"/>
      <c r="DM32" s="213"/>
      <c r="DN32" s="213"/>
      <c r="DO32" s="213"/>
      <c r="DP32" s="213"/>
      <c r="DQ32" s="213"/>
      <c r="DR32" s="213"/>
      <c r="DS32" s="213"/>
      <c r="DT32" s="213"/>
      <c r="DU32" s="213"/>
      <c r="DV32" s="213"/>
      <c r="DW32" s="213"/>
      <c r="DX32" s="213"/>
      <c r="DY32" s="213"/>
      <c r="DZ32" s="213"/>
      <c r="EA32" s="213"/>
      <c r="EB32" s="213"/>
      <c r="EC32" s="213"/>
      <c r="ED32" s="213"/>
      <c r="EE32" s="213"/>
      <c r="EF32" s="213"/>
      <c r="EG32" s="213"/>
      <c r="EH32" s="213"/>
      <c r="EI32" s="213"/>
      <c r="EJ32" s="213"/>
      <c r="EK32" s="213"/>
      <c r="EL32" s="213"/>
      <c r="EM32" s="213"/>
      <c r="EN32" s="213"/>
      <c r="EO32" s="213"/>
      <c r="EP32" s="213"/>
      <c r="EQ32" s="213"/>
      <c r="ER32" s="213"/>
      <c r="ES32" s="213"/>
      <c r="ET32" s="213"/>
      <c r="EU32" s="213"/>
      <c r="EV32" s="213"/>
      <c r="EW32" s="213"/>
      <c r="EX32" s="213"/>
      <c r="EY32" s="213"/>
      <c r="EZ32" s="213"/>
      <c r="FA32" s="213"/>
      <c r="FB32" s="213"/>
      <c r="FC32" s="213"/>
      <c r="FD32" s="213"/>
      <c r="FE32" s="213"/>
      <c r="FF32" s="213"/>
      <c r="FG32" s="213"/>
      <c r="FH32" s="213"/>
      <c r="FI32" s="213"/>
      <c r="FJ32" s="213"/>
      <c r="FK32" s="213"/>
      <c r="FL32" s="213"/>
      <c r="FM32" s="213"/>
      <c r="FN32" s="213"/>
      <c r="FO32" s="213"/>
      <c r="FP32" s="213"/>
      <c r="FQ32" s="213"/>
      <c r="FR32" s="213"/>
      <c r="FS32" s="213"/>
      <c r="FT32" s="213"/>
      <c r="FU32" s="213"/>
      <c r="FV32" s="213"/>
      <c r="FW32" s="213"/>
      <c r="FX32" s="213"/>
      <c r="FY32" s="213"/>
      <c r="FZ32" s="213"/>
      <c r="GA32" s="213"/>
      <c r="GB32" s="213"/>
      <c r="GC32" s="213"/>
      <c r="GD32" s="213"/>
      <c r="GE32" s="213"/>
      <c r="GF32" s="213"/>
      <c r="GG32" s="213"/>
      <c r="GH32" s="213"/>
      <c r="GI32" s="213"/>
      <c r="GJ32" s="213"/>
      <c r="GK32" s="213"/>
      <c r="GL32" s="213"/>
      <c r="GM32" s="213"/>
      <c r="GN32" s="213"/>
      <c r="GO32" s="213"/>
      <c r="GP32" s="213"/>
      <c r="GQ32" s="213"/>
      <c r="GR32" s="213"/>
      <c r="GS32" s="213"/>
      <c r="GT32" s="213"/>
      <c r="GU32" s="213"/>
      <c r="GV32" s="213"/>
      <c r="GW32" s="213"/>
      <c r="GX32" s="213"/>
      <c r="GY32" s="213"/>
      <c r="GZ32" s="213"/>
      <c r="HA32" s="213"/>
      <c r="HB32" s="213"/>
      <c r="HC32" s="213"/>
      <c r="HD32" s="213"/>
      <c r="HE32" s="213"/>
      <c r="HF32" s="213"/>
      <c r="HG32" s="213"/>
      <c r="HH32" s="213"/>
      <c r="HI32" s="213"/>
      <c r="HJ32" s="213"/>
      <c r="HK32" s="213"/>
      <c r="HL32" s="213"/>
      <c r="HM32" s="213"/>
      <c r="HN32" s="213"/>
      <c r="HO32" s="213"/>
      <c r="HP32" s="213"/>
      <c r="HQ32" s="213"/>
      <c r="HR32" s="213"/>
      <c r="HS32" s="213"/>
      <c r="HT32" s="213"/>
      <c r="HU32" s="213"/>
      <c r="HV32" s="213"/>
      <c r="HW32" s="213"/>
      <c r="HX32" s="213"/>
      <c r="HY32" s="213"/>
      <c r="HZ32" s="213"/>
      <c r="IA32" s="213"/>
      <c r="IB32" s="213"/>
      <c r="IC32" s="213"/>
      <c r="ID32" s="213"/>
      <c r="IE32" s="213"/>
      <c r="IF32" s="213"/>
      <c r="IG32" s="213"/>
      <c r="IH32" s="213"/>
      <c r="II32" s="213"/>
      <c r="IJ32" s="213"/>
      <c r="IK32" s="213"/>
      <c r="IL32" s="213"/>
      <c r="IM32" s="213"/>
      <c r="IN32" s="213"/>
      <c r="IO32" s="213"/>
      <c r="IP32" s="213"/>
      <c r="IQ32" s="213"/>
      <c r="IR32" s="213"/>
      <c r="IS32" s="213"/>
      <c r="IT32" s="213"/>
      <c r="IU32" s="213"/>
      <c r="IV32" s="213"/>
      <c r="IW32" s="213"/>
    </row>
    <row r="33" customFormat="false" ht="11.25" hidden="false" customHeight="false" outlineLevel="0" collapsed="false">
      <c r="A33" s="213"/>
      <c r="B33" s="213"/>
      <c r="C33" s="213"/>
      <c r="D33" s="213"/>
      <c r="E33" s="213"/>
      <c r="F33" s="251" t="s">
        <v>57</v>
      </c>
      <c r="G33" s="252"/>
      <c r="H33" s="253"/>
      <c r="I33" s="253"/>
      <c r="J33" s="254" t="n">
        <v>7.2344450474313</v>
      </c>
      <c r="K33" s="254" t="n">
        <v>10.1073775470095</v>
      </c>
      <c r="L33" s="254" t="n">
        <v>4.01836078115725</v>
      </c>
      <c r="M33" s="254" t="n">
        <v>3.04352326155009</v>
      </c>
      <c r="N33" s="254" t="n">
        <v>3.47510711973596</v>
      </c>
      <c r="O33" s="254" t="n">
        <v>4.7488697204969</v>
      </c>
      <c r="P33" s="254" t="n">
        <v>3.68380105640578</v>
      </c>
      <c r="Q33" s="255" t="n">
        <v>4.19661669413992</v>
      </c>
      <c r="R33" s="256" t="n">
        <v>0.368010176682954</v>
      </c>
      <c r="S33" s="254" t="n">
        <v>2.21049431889517</v>
      </c>
      <c r="T33" s="256" t="n">
        <v>0</v>
      </c>
      <c r="U33" s="257"/>
      <c r="V33" s="256" t="n">
        <v>0.478329809725159</v>
      </c>
      <c r="W33" s="258" t="n">
        <v>7.7338453575791</v>
      </c>
      <c r="X33" s="222"/>
      <c r="Y33" s="213"/>
      <c r="Z33" s="213"/>
      <c r="AA33" s="213"/>
      <c r="AB33" s="213"/>
      <c r="AC33" s="213"/>
      <c r="AD33" s="213"/>
      <c r="AE33" s="213"/>
      <c r="AF33" s="213"/>
      <c r="AG33" s="213"/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  <c r="BI33" s="213"/>
      <c r="BJ33" s="213"/>
      <c r="BK33" s="213"/>
      <c r="BL33" s="213"/>
      <c r="BM33" s="213"/>
      <c r="BN33" s="213"/>
      <c r="BO33" s="213"/>
      <c r="BP33" s="213"/>
      <c r="BQ33" s="213"/>
      <c r="BR33" s="213"/>
      <c r="BS33" s="213"/>
      <c r="BT33" s="213"/>
      <c r="BU33" s="213"/>
      <c r="BV33" s="213"/>
      <c r="BW33" s="213"/>
      <c r="BX33" s="213"/>
      <c r="BY33" s="213"/>
      <c r="BZ33" s="213"/>
      <c r="CA33" s="213"/>
      <c r="CB33" s="213"/>
      <c r="CC33" s="213"/>
      <c r="CD33" s="213"/>
      <c r="CE33" s="213"/>
      <c r="CF33" s="213"/>
      <c r="CG33" s="213"/>
      <c r="CH33" s="213"/>
      <c r="CI33" s="213"/>
      <c r="CJ33" s="213"/>
      <c r="CK33" s="213"/>
      <c r="CL33" s="213"/>
      <c r="CM33" s="213"/>
      <c r="CN33" s="213"/>
      <c r="CO33" s="213"/>
      <c r="CP33" s="213"/>
      <c r="CQ33" s="213"/>
      <c r="CR33" s="213"/>
      <c r="CS33" s="213"/>
      <c r="CT33" s="213"/>
      <c r="CU33" s="213"/>
      <c r="CV33" s="213"/>
      <c r="CW33" s="213"/>
      <c r="CX33" s="213"/>
      <c r="CY33" s="213"/>
      <c r="CZ33" s="213"/>
      <c r="DA33" s="213"/>
      <c r="DB33" s="213"/>
      <c r="DC33" s="213"/>
      <c r="DD33" s="213"/>
      <c r="DE33" s="213"/>
      <c r="DF33" s="213"/>
      <c r="DG33" s="213"/>
      <c r="DH33" s="213"/>
      <c r="DI33" s="213"/>
      <c r="DJ33" s="213"/>
      <c r="DK33" s="213"/>
      <c r="DL33" s="213"/>
      <c r="DM33" s="213"/>
      <c r="DN33" s="213"/>
      <c r="DO33" s="213"/>
      <c r="DP33" s="213"/>
      <c r="DQ33" s="213"/>
      <c r="DR33" s="213"/>
      <c r="DS33" s="213"/>
      <c r="DT33" s="213"/>
      <c r="DU33" s="213"/>
      <c r="DV33" s="213"/>
      <c r="DW33" s="213"/>
      <c r="DX33" s="213"/>
      <c r="DY33" s="213"/>
      <c r="DZ33" s="213"/>
      <c r="EA33" s="213"/>
      <c r="EB33" s="213"/>
      <c r="EC33" s="213"/>
      <c r="ED33" s="213"/>
      <c r="EE33" s="213"/>
      <c r="EF33" s="213"/>
      <c r="EG33" s="213"/>
      <c r="EH33" s="213"/>
      <c r="EI33" s="213"/>
      <c r="EJ33" s="213"/>
      <c r="EK33" s="213"/>
      <c r="EL33" s="213"/>
      <c r="EM33" s="213"/>
      <c r="EN33" s="213"/>
      <c r="EO33" s="213"/>
      <c r="EP33" s="213"/>
      <c r="EQ33" s="213"/>
      <c r="ER33" s="213"/>
      <c r="ES33" s="213"/>
      <c r="ET33" s="213"/>
      <c r="EU33" s="213"/>
      <c r="EV33" s="213"/>
      <c r="EW33" s="213"/>
      <c r="EX33" s="213"/>
      <c r="EY33" s="213"/>
      <c r="EZ33" s="213"/>
      <c r="FA33" s="213"/>
      <c r="FB33" s="213"/>
      <c r="FC33" s="213"/>
      <c r="FD33" s="213"/>
      <c r="FE33" s="213"/>
      <c r="FF33" s="213"/>
      <c r="FG33" s="213"/>
      <c r="FH33" s="213"/>
      <c r="FI33" s="213"/>
      <c r="FJ33" s="213"/>
      <c r="FK33" s="213"/>
      <c r="FL33" s="213"/>
      <c r="FM33" s="213"/>
      <c r="FN33" s="213"/>
      <c r="FO33" s="213"/>
      <c r="FP33" s="213"/>
      <c r="FQ33" s="213"/>
      <c r="FR33" s="213"/>
      <c r="FS33" s="213"/>
      <c r="FT33" s="213"/>
      <c r="FU33" s="213"/>
      <c r="FV33" s="213"/>
      <c r="FW33" s="213"/>
      <c r="FX33" s="213"/>
      <c r="FY33" s="213"/>
      <c r="FZ33" s="213"/>
      <c r="GA33" s="213"/>
      <c r="GB33" s="213"/>
      <c r="GC33" s="213"/>
      <c r="GD33" s="213"/>
      <c r="GE33" s="213"/>
      <c r="GF33" s="213"/>
      <c r="GG33" s="213"/>
      <c r="GH33" s="213"/>
      <c r="GI33" s="213"/>
      <c r="GJ33" s="213"/>
      <c r="GK33" s="213"/>
      <c r="GL33" s="213"/>
      <c r="GM33" s="213"/>
      <c r="GN33" s="213"/>
      <c r="GO33" s="213"/>
      <c r="GP33" s="213"/>
      <c r="GQ33" s="213"/>
      <c r="GR33" s="213"/>
      <c r="GS33" s="213"/>
      <c r="GT33" s="213"/>
      <c r="GU33" s="213"/>
      <c r="GV33" s="213"/>
      <c r="GW33" s="213"/>
      <c r="GX33" s="213"/>
      <c r="GY33" s="213"/>
      <c r="GZ33" s="213"/>
      <c r="HA33" s="213"/>
      <c r="HB33" s="213"/>
      <c r="HC33" s="213"/>
      <c r="HD33" s="213"/>
      <c r="HE33" s="213"/>
      <c r="HF33" s="213"/>
      <c r="HG33" s="213"/>
      <c r="HH33" s="213"/>
      <c r="HI33" s="213"/>
      <c r="HJ33" s="213"/>
      <c r="HK33" s="213"/>
      <c r="HL33" s="213"/>
      <c r="HM33" s="213"/>
      <c r="HN33" s="213"/>
      <c r="HO33" s="213"/>
      <c r="HP33" s="213"/>
      <c r="HQ33" s="213"/>
      <c r="HR33" s="213"/>
      <c r="HS33" s="213"/>
      <c r="HT33" s="213"/>
      <c r="HU33" s="213"/>
      <c r="HV33" s="213"/>
      <c r="HW33" s="213"/>
      <c r="HX33" s="213"/>
      <c r="HY33" s="213"/>
      <c r="HZ33" s="213"/>
      <c r="IA33" s="213"/>
      <c r="IB33" s="213"/>
      <c r="IC33" s="213"/>
      <c r="ID33" s="213"/>
      <c r="IE33" s="213"/>
      <c r="IF33" s="213"/>
      <c r="IG33" s="213"/>
      <c r="IH33" s="213"/>
      <c r="II33" s="213"/>
      <c r="IJ33" s="213"/>
      <c r="IK33" s="213"/>
      <c r="IL33" s="213"/>
      <c r="IM33" s="213"/>
      <c r="IN33" s="213"/>
      <c r="IO33" s="213"/>
      <c r="IP33" s="213"/>
      <c r="IQ33" s="213"/>
      <c r="IR33" s="213"/>
      <c r="IS33" s="213"/>
      <c r="IT33" s="213"/>
      <c r="IU33" s="213"/>
      <c r="IV33" s="213"/>
      <c r="IW33" s="213"/>
    </row>
    <row r="34" customFormat="false" ht="11.25" hidden="false" customHeight="false" outlineLevel="0" collapsed="false">
      <c r="A34" s="213"/>
      <c r="B34" s="213"/>
      <c r="C34" s="213"/>
      <c r="D34" s="213"/>
      <c r="E34" s="213"/>
      <c r="F34" s="259" t="s">
        <v>26</v>
      </c>
      <c r="G34" s="222"/>
      <c r="H34" s="260"/>
      <c r="I34" s="260"/>
      <c r="J34" s="254" t="n">
        <v>21.058714610555</v>
      </c>
      <c r="K34" s="254" t="n">
        <v>33.4047189716681</v>
      </c>
      <c r="L34" s="254" t="n">
        <v>9.64728389066323</v>
      </c>
      <c r="M34" s="254" t="n">
        <v>9.8389004513529</v>
      </c>
      <c r="N34" s="254" t="n">
        <v>9.11602155982508</v>
      </c>
      <c r="O34" s="254" t="n">
        <v>11.3520406089393</v>
      </c>
      <c r="P34" s="254" t="n">
        <v>10.2828078795071</v>
      </c>
      <c r="Q34" s="255" t="n">
        <v>7.8541914776733</v>
      </c>
      <c r="R34" s="256" t="n">
        <v>0.582236126606853</v>
      </c>
      <c r="S34" s="254" t="n">
        <v>5.1695865735768</v>
      </c>
      <c r="T34" s="256" t="n">
        <v>0.02258469</v>
      </c>
      <c r="U34" s="257"/>
      <c r="V34" s="256" t="n">
        <v>0.94828627593099</v>
      </c>
      <c r="W34" s="258" t="n">
        <v>18.1265207039375</v>
      </c>
      <c r="X34" s="222"/>
      <c r="Y34" s="213"/>
      <c r="Z34" s="213"/>
      <c r="AA34" s="213"/>
      <c r="AB34" s="213"/>
      <c r="AC34" s="213"/>
      <c r="AD34" s="213"/>
      <c r="AE34" s="213"/>
      <c r="AF34" s="213"/>
      <c r="AG34" s="213"/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  <c r="BI34" s="213"/>
      <c r="BJ34" s="213"/>
      <c r="BK34" s="213"/>
      <c r="BL34" s="213"/>
      <c r="BM34" s="213"/>
      <c r="BN34" s="213"/>
      <c r="BO34" s="213"/>
      <c r="BP34" s="213"/>
      <c r="BQ34" s="213"/>
      <c r="BR34" s="213"/>
      <c r="BS34" s="213"/>
      <c r="BT34" s="213"/>
      <c r="BU34" s="213"/>
      <c r="BV34" s="213"/>
      <c r="BW34" s="213"/>
      <c r="BX34" s="213"/>
      <c r="BY34" s="213"/>
      <c r="BZ34" s="213"/>
      <c r="CA34" s="213"/>
      <c r="CB34" s="213"/>
      <c r="CC34" s="213"/>
      <c r="CD34" s="213"/>
      <c r="CE34" s="213"/>
      <c r="CF34" s="213"/>
      <c r="CG34" s="213"/>
      <c r="CH34" s="213"/>
      <c r="CI34" s="213"/>
      <c r="CJ34" s="213"/>
      <c r="CK34" s="213"/>
      <c r="CL34" s="213"/>
      <c r="CM34" s="213"/>
      <c r="CN34" s="213"/>
      <c r="CO34" s="213"/>
      <c r="CP34" s="213"/>
      <c r="CQ34" s="213"/>
      <c r="CR34" s="213"/>
      <c r="CS34" s="213"/>
      <c r="CT34" s="213"/>
      <c r="CU34" s="213"/>
      <c r="CV34" s="213"/>
      <c r="CW34" s="213"/>
      <c r="CX34" s="213"/>
      <c r="CY34" s="213"/>
      <c r="CZ34" s="213"/>
      <c r="DA34" s="213"/>
      <c r="DB34" s="213"/>
      <c r="DC34" s="213"/>
      <c r="DD34" s="213"/>
      <c r="DE34" s="213"/>
      <c r="DF34" s="213"/>
      <c r="DG34" s="213"/>
      <c r="DH34" s="213"/>
      <c r="DI34" s="213"/>
      <c r="DJ34" s="213"/>
      <c r="DK34" s="213"/>
      <c r="DL34" s="213"/>
      <c r="DM34" s="213"/>
      <c r="DN34" s="213"/>
      <c r="DO34" s="213"/>
      <c r="DP34" s="213"/>
      <c r="DQ34" s="213"/>
      <c r="DR34" s="213"/>
      <c r="DS34" s="213"/>
      <c r="DT34" s="213"/>
      <c r="DU34" s="213"/>
      <c r="DV34" s="213"/>
      <c r="DW34" s="213"/>
      <c r="DX34" s="213"/>
      <c r="DY34" s="213"/>
      <c r="DZ34" s="213"/>
      <c r="EA34" s="213"/>
      <c r="EB34" s="213"/>
      <c r="EC34" s="213"/>
      <c r="ED34" s="213"/>
      <c r="EE34" s="213"/>
      <c r="EF34" s="213"/>
      <c r="EG34" s="213"/>
      <c r="EH34" s="213"/>
      <c r="EI34" s="213"/>
      <c r="EJ34" s="213"/>
      <c r="EK34" s="213"/>
      <c r="EL34" s="213"/>
      <c r="EM34" s="213"/>
      <c r="EN34" s="213"/>
      <c r="EO34" s="213"/>
      <c r="EP34" s="213"/>
      <c r="EQ34" s="213"/>
      <c r="ER34" s="213"/>
      <c r="ES34" s="213"/>
      <c r="ET34" s="213"/>
      <c r="EU34" s="213"/>
      <c r="EV34" s="213"/>
      <c r="EW34" s="213"/>
      <c r="EX34" s="213"/>
      <c r="EY34" s="213"/>
      <c r="EZ34" s="213"/>
      <c r="FA34" s="213"/>
      <c r="FB34" s="213"/>
      <c r="FC34" s="213"/>
      <c r="FD34" s="213"/>
      <c r="FE34" s="213"/>
      <c r="FF34" s="213"/>
      <c r="FG34" s="213"/>
      <c r="FH34" s="213"/>
      <c r="FI34" s="213"/>
      <c r="FJ34" s="213"/>
      <c r="FK34" s="213"/>
      <c r="FL34" s="213"/>
      <c r="FM34" s="213"/>
      <c r="FN34" s="213"/>
      <c r="FO34" s="213"/>
      <c r="FP34" s="213"/>
      <c r="FQ34" s="213"/>
      <c r="FR34" s="213"/>
      <c r="FS34" s="213"/>
      <c r="FT34" s="213"/>
      <c r="FU34" s="213"/>
      <c r="FV34" s="213"/>
      <c r="FW34" s="213"/>
      <c r="FX34" s="213"/>
      <c r="FY34" s="213"/>
      <c r="FZ34" s="213"/>
      <c r="GA34" s="213"/>
      <c r="GB34" s="213"/>
      <c r="GC34" s="213"/>
      <c r="GD34" s="213"/>
      <c r="GE34" s="213"/>
      <c r="GF34" s="213"/>
      <c r="GG34" s="213"/>
      <c r="GH34" s="213"/>
      <c r="GI34" s="213"/>
      <c r="GJ34" s="213"/>
      <c r="GK34" s="213"/>
      <c r="GL34" s="213"/>
      <c r="GM34" s="213"/>
      <c r="GN34" s="213"/>
      <c r="GO34" s="213"/>
      <c r="GP34" s="213"/>
      <c r="GQ34" s="213"/>
      <c r="GR34" s="213"/>
      <c r="GS34" s="213"/>
      <c r="GT34" s="213"/>
      <c r="GU34" s="213"/>
      <c r="GV34" s="213"/>
      <c r="GW34" s="213"/>
      <c r="GX34" s="213"/>
      <c r="GY34" s="213"/>
      <c r="GZ34" s="213"/>
      <c r="HA34" s="213"/>
      <c r="HB34" s="213"/>
      <c r="HC34" s="213"/>
      <c r="HD34" s="213"/>
      <c r="HE34" s="213"/>
      <c r="HF34" s="213"/>
      <c r="HG34" s="213"/>
      <c r="HH34" s="213"/>
      <c r="HI34" s="213"/>
      <c r="HJ34" s="213"/>
      <c r="HK34" s="213"/>
      <c r="HL34" s="213"/>
      <c r="HM34" s="213"/>
      <c r="HN34" s="213"/>
      <c r="HO34" s="213"/>
      <c r="HP34" s="213"/>
      <c r="HQ34" s="213"/>
      <c r="HR34" s="213"/>
      <c r="HS34" s="213"/>
      <c r="HT34" s="213"/>
      <c r="HU34" s="213"/>
      <c r="HV34" s="213"/>
      <c r="HW34" s="213"/>
      <c r="HX34" s="213"/>
      <c r="HY34" s="213"/>
      <c r="HZ34" s="213"/>
      <c r="IA34" s="213"/>
      <c r="IB34" s="213"/>
      <c r="IC34" s="213"/>
      <c r="ID34" s="213"/>
      <c r="IE34" s="213"/>
      <c r="IF34" s="213"/>
      <c r="IG34" s="213"/>
      <c r="IH34" s="213"/>
      <c r="II34" s="213"/>
      <c r="IJ34" s="213"/>
      <c r="IK34" s="213"/>
      <c r="IL34" s="213"/>
      <c r="IM34" s="213"/>
      <c r="IN34" s="213"/>
      <c r="IO34" s="213"/>
      <c r="IP34" s="213"/>
      <c r="IQ34" s="213"/>
      <c r="IR34" s="213"/>
      <c r="IS34" s="213"/>
      <c r="IT34" s="213"/>
      <c r="IU34" s="213"/>
      <c r="IV34" s="213"/>
      <c r="IW34" s="213"/>
    </row>
    <row r="35" customFormat="false" ht="11.25" hidden="false" customHeight="false" outlineLevel="0" collapsed="false">
      <c r="A35" s="213"/>
      <c r="B35" s="213"/>
      <c r="C35" s="213"/>
      <c r="D35" s="213"/>
      <c r="E35" s="213"/>
      <c r="F35" s="261" t="s">
        <v>27</v>
      </c>
      <c r="G35" s="262"/>
      <c r="H35" s="263"/>
      <c r="I35" s="263"/>
      <c r="J35" s="264" t="n">
        <v>5.0301069836673</v>
      </c>
      <c r="K35" s="264" t="n">
        <v>7.1112204926126</v>
      </c>
      <c r="L35" s="264" t="n">
        <v>2.77425505066763</v>
      </c>
      <c r="M35" s="264" t="n">
        <v>2.17123853879113</v>
      </c>
      <c r="N35" s="264" t="n">
        <v>2.16561938958707</v>
      </c>
      <c r="O35" s="264" t="n">
        <v>3.30444281838494</v>
      </c>
      <c r="P35" s="264" t="n">
        <v>2.28890478648786</v>
      </c>
      <c r="Q35" s="265" t="n">
        <v>2.63388965354066</v>
      </c>
      <c r="R35" s="266" t="n">
        <v>0.0148906468124709</v>
      </c>
      <c r="S35" s="264" t="n">
        <v>1.11620987900562</v>
      </c>
      <c r="T35" s="266" t="n">
        <v>0</v>
      </c>
      <c r="U35" s="267"/>
      <c r="V35" s="266" t="n">
        <v>0.140741450024736</v>
      </c>
      <c r="W35" s="268" t="n">
        <v>3.58017674738134</v>
      </c>
      <c r="X35" s="222"/>
      <c r="Y35" s="213"/>
      <c r="Z35" s="213"/>
      <c r="AA35" s="213"/>
      <c r="AB35" s="213"/>
      <c r="AC35" s="213"/>
      <c r="AD35" s="213"/>
      <c r="AE35" s="213"/>
      <c r="AF35" s="213"/>
      <c r="AG35" s="213"/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  <c r="BI35" s="213"/>
      <c r="BJ35" s="213"/>
      <c r="BK35" s="213"/>
      <c r="BL35" s="213"/>
      <c r="BM35" s="213"/>
      <c r="BN35" s="213"/>
      <c r="BO35" s="213"/>
      <c r="BP35" s="213"/>
      <c r="BQ35" s="213"/>
      <c r="BR35" s="213"/>
      <c r="BS35" s="213"/>
      <c r="BT35" s="213"/>
      <c r="BU35" s="213"/>
      <c r="BV35" s="213"/>
      <c r="BW35" s="213"/>
      <c r="BX35" s="213"/>
      <c r="BY35" s="213"/>
      <c r="BZ35" s="213"/>
      <c r="CA35" s="213"/>
      <c r="CB35" s="213"/>
      <c r="CC35" s="213"/>
      <c r="CD35" s="213"/>
      <c r="CE35" s="213"/>
      <c r="CF35" s="213"/>
      <c r="CG35" s="213"/>
      <c r="CH35" s="213"/>
      <c r="CI35" s="213"/>
      <c r="CJ35" s="213"/>
      <c r="CK35" s="213"/>
      <c r="CL35" s="213"/>
      <c r="CM35" s="213"/>
      <c r="CN35" s="213"/>
      <c r="CO35" s="213"/>
      <c r="CP35" s="213"/>
      <c r="CQ35" s="213"/>
      <c r="CR35" s="213"/>
      <c r="CS35" s="213"/>
      <c r="CT35" s="213"/>
      <c r="CU35" s="213"/>
      <c r="CV35" s="213"/>
      <c r="CW35" s="213"/>
      <c r="CX35" s="213"/>
      <c r="CY35" s="213"/>
      <c r="CZ35" s="213"/>
      <c r="DA35" s="213"/>
      <c r="DB35" s="213"/>
      <c r="DC35" s="213"/>
      <c r="DD35" s="213"/>
      <c r="DE35" s="213"/>
      <c r="DF35" s="213"/>
      <c r="DG35" s="213"/>
      <c r="DH35" s="213"/>
      <c r="DI35" s="213"/>
      <c r="DJ35" s="213"/>
      <c r="DK35" s="213"/>
      <c r="DL35" s="213"/>
      <c r="DM35" s="213"/>
      <c r="DN35" s="213"/>
      <c r="DO35" s="213"/>
      <c r="DP35" s="213"/>
      <c r="DQ35" s="213"/>
      <c r="DR35" s="213"/>
      <c r="DS35" s="213"/>
      <c r="DT35" s="213"/>
      <c r="DU35" s="213"/>
      <c r="DV35" s="213"/>
      <c r="DW35" s="213"/>
      <c r="DX35" s="213"/>
      <c r="DY35" s="213"/>
      <c r="DZ35" s="213"/>
      <c r="EA35" s="213"/>
      <c r="EB35" s="213"/>
      <c r="EC35" s="213"/>
      <c r="ED35" s="213"/>
      <c r="EE35" s="213"/>
      <c r="EF35" s="213"/>
      <c r="EG35" s="213"/>
      <c r="EH35" s="213"/>
      <c r="EI35" s="213"/>
      <c r="EJ35" s="213"/>
      <c r="EK35" s="213"/>
      <c r="EL35" s="213"/>
      <c r="EM35" s="213"/>
      <c r="EN35" s="213"/>
      <c r="EO35" s="213"/>
      <c r="EP35" s="213"/>
      <c r="EQ35" s="213"/>
      <c r="ER35" s="213"/>
      <c r="ES35" s="213"/>
      <c r="ET35" s="213"/>
      <c r="EU35" s="213"/>
      <c r="EV35" s="213"/>
      <c r="EW35" s="213"/>
      <c r="EX35" s="213"/>
      <c r="EY35" s="213"/>
      <c r="EZ35" s="213"/>
      <c r="FA35" s="213"/>
      <c r="FB35" s="213"/>
      <c r="FC35" s="213"/>
      <c r="FD35" s="213"/>
      <c r="FE35" s="213"/>
      <c r="FF35" s="213"/>
      <c r="FG35" s="213"/>
      <c r="FH35" s="213"/>
      <c r="FI35" s="213"/>
      <c r="FJ35" s="213"/>
      <c r="FK35" s="213"/>
      <c r="FL35" s="213"/>
      <c r="FM35" s="213"/>
      <c r="FN35" s="213"/>
      <c r="FO35" s="213"/>
      <c r="FP35" s="213"/>
      <c r="FQ35" s="213"/>
      <c r="FR35" s="213"/>
      <c r="FS35" s="213"/>
      <c r="FT35" s="213"/>
      <c r="FU35" s="213"/>
      <c r="FV35" s="213"/>
      <c r="FW35" s="213"/>
      <c r="FX35" s="213"/>
      <c r="FY35" s="213"/>
      <c r="FZ35" s="213"/>
      <c r="GA35" s="213"/>
      <c r="GB35" s="213"/>
      <c r="GC35" s="213"/>
      <c r="GD35" s="213"/>
      <c r="GE35" s="213"/>
      <c r="GF35" s="213"/>
      <c r="GG35" s="213"/>
      <c r="GH35" s="213"/>
      <c r="GI35" s="213"/>
      <c r="GJ35" s="213"/>
      <c r="GK35" s="213"/>
      <c r="GL35" s="213"/>
      <c r="GM35" s="213"/>
      <c r="GN35" s="213"/>
      <c r="GO35" s="213"/>
      <c r="GP35" s="213"/>
      <c r="GQ35" s="213"/>
      <c r="GR35" s="213"/>
      <c r="GS35" s="213"/>
      <c r="GT35" s="213"/>
      <c r="GU35" s="213"/>
      <c r="GV35" s="213"/>
      <c r="GW35" s="213"/>
      <c r="GX35" s="213"/>
      <c r="GY35" s="213"/>
      <c r="GZ35" s="213"/>
      <c r="HA35" s="213"/>
      <c r="HB35" s="213"/>
      <c r="HC35" s="213"/>
      <c r="HD35" s="213"/>
      <c r="HE35" s="213"/>
      <c r="HF35" s="213"/>
      <c r="HG35" s="213"/>
      <c r="HH35" s="213"/>
      <c r="HI35" s="213"/>
      <c r="HJ35" s="213"/>
      <c r="HK35" s="213"/>
      <c r="HL35" s="213"/>
      <c r="HM35" s="213"/>
      <c r="HN35" s="213"/>
      <c r="HO35" s="213"/>
      <c r="HP35" s="213"/>
      <c r="HQ35" s="213"/>
      <c r="HR35" s="213"/>
      <c r="HS35" s="213"/>
      <c r="HT35" s="213"/>
      <c r="HU35" s="213"/>
      <c r="HV35" s="213"/>
      <c r="HW35" s="213"/>
      <c r="HX35" s="213"/>
      <c r="HY35" s="213"/>
      <c r="HZ35" s="213"/>
      <c r="IA35" s="213"/>
      <c r="IB35" s="213"/>
      <c r="IC35" s="213"/>
      <c r="ID35" s="213"/>
      <c r="IE35" s="213"/>
      <c r="IF35" s="213"/>
      <c r="IG35" s="213"/>
      <c r="IH35" s="213"/>
      <c r="II35" s="213"/>
      <c r="IJ35" s="213"/>
      <c r="IK35" s="213"/>
      <c r="IL35" s="213"/>
      <c r="IM35" s="213"/>
      <c r="IN35" s="213"/>
      <c r="IO35" s="213"/>
      <c r="IP35" s="213"/>
      <c r="IQ35" s="213"/>
      <c r="IR35" s="213"/>
      <c r="IS35" s="213"/>
      <c r="IT35" s="213"/>
      <c r="IU35" s="213"/>
      <c r="IV35" s="213"/>
      <c r="IW35" s="213"/>
    </row>
    <row r="36" customFormat="false" ht="12.75" hidden="false" customHeight="false" outlineLevel="0" collapsed="false">
      <c r="X36" s="269"/>
    </row>
    <row r="37" customFormat="false" ht="12.75" hidden="false" customHeight="false" outlineLevel="0" collapsed="false">
      <c r="L37" s="270"/>
      <c r="M37" s="270"/>
      <c r="N37" s="270"/>
      <c r="O37" s="270"/>
      <c r="P37" s="270"/>
      <c r="Q37" s="270"/>
      <c r="R37" s="270"/>
      <c r="S37" s="270"/>
      <c r="T37" s="270"/>
      <c r="U37" s="270"/>
      <c r="V37" s="270"/>
      <c r="W37" s="270"/>
      <c r="X37" s="271"/>
    </row>
    <row r="38" customFormat="false" ht="12.75" hidden="false" customHeight="false" outlineLevel="0" collapsed="false">
      <c r="A38" s="43"/>
      <c r="B38" s="12" t="s">
        <v>59</v>
      </c>
      <c r="C38" s="12"/>
      <c r="D38" s="12" t="s">
        <v>60</v>
      </c>
      <c r="E38" s="12"/>
      <c r="F38" s="12"/>
      <c r="G38" s="12" t="s">
        <v>61</v>
      </c>
      <c r="H38" s="12"/>
      <c r="I38" s="12"/>
      <c r="J38" s="12" t="s">
        <v>62</v>
      </c>
      <c r="K38" s="12"/>
      <c r="L38" s="13"/>
      <c r="P38" s="13" t="s">
        <v>63</v>
      </c>
      <c r="Q38" s="13"/>
      <c r="R38" s="13"/>
      <c r="S38" s="13"/>
      <c r="U38" s="12" t="s">
        <v>64</v>
      </c>
      <c r="V38" s="12"/>
      <c r="W38" s="12"/>
    </row>
    <row r="39" customFormat="false" ht="12.75" hidden="true" customHeight="false" outlineLevel="0" collapsed="false">
      <c r="A39" s="272"/>
      <c r="B39" s="79" t="s">
        <v>40</v>
      </c>
      <c r="C39" s="79"/>
      <c r="D39" s="79" t="s">
        <v>40</v>
      </c>
      <c r="E39" s="79"/>
      <c r="F39" s="79"/>
      <c r="G39" s="79" t="s">
        <v>40</v>
      </c>
      <c r="H39" s="79"/>
      <c r="I39" s="79"/>
      <c r="J39" s="197"/>
      <c r="K39" s="273" t="s">
        <v>40</v>
      </c>
      <c r="L39" s="274"/>
      <c r="P39" s="79" t="s">
        <v>40</v>
      </c>
      <c r="Q39" s="79"/>
      <c r="R39" s="79"/>
      <c r="S39" s="79"/>
      <c r="U39" s="275" t="s">
        <v>40</v>
      </c>
      <c r="V39" s="275"/>
      <c r="W39" s="275"/>
    </row>
    <row r="40" customFormat="false" ht="12.75" hidden="false" customHeight="false" outlineLevel="0" collapsed="false">
      <c r="B40" s="11"/>
      <c r="C40" s="11"/>
      <c r="D40" s="13" t="s">
        <v>65</v>
      </c>
      <c r="E40" s="13" t="s">
        <v>66</v>
      </c>
      <c r="F40" s="13" t="s">
        <v>8</v>
      </c>
      <c r="G40" s="11" t="s">
        <v>67</v>
      </c>
      <c r="H40" s="10"/>
      <c r="I40" s="10"/>
      <c r="J40" s="10"/>
      <c r="K40" s="274"/>
      <c r="L40" s="274"/>
      <c r="M40" s="276"/>
      <c r="N40" s="276"/>
      <c r="O40" s="276"/>
      <c r="P40" s="13" t="s">
        <v>68</v>
      </c>
      <c r="Q40" s="13" t="n">
        <v>2000</v>
      </c>
      <c r="R40" s="13" t="s">
        <v>69</v>
      </c>
      <c r="S40" s="13" t="s">
        <v>70</v>
      </c>
      <c r="U40" s="275" t="s">
        <v>71</v>
      </c>
      <c r="V40" s="275" t="s">
        <v>72</v>
      </c>
      <c r="W40" s="275" t="s">
        <v>73</v>
      </c>
    </row>
    <row r="41" customFormat="false" ht="12.75" hidden="false" customHeight="false" outlineLevel="0" collapsed="false">
      <c r="A41" s="213"/>
      <c r="B41" s="12" t="s">
        <v>76</v>
      </c>
      <c r="C41" s="12" t="s">
        <v>77</v>
      </c>
      <c r="D41" s="12" t="s">
        <v>78</v>
      </c>
      <c r="E41" s="12" t="s">
        <v>79</v>
      </c>
      <c r="F41" s="12" t="s">
        <v>80</v>
      </c>
      <c r="G41" s="12" t="s">
        <v>81</v>
      </c>
      <c r="H41" s="12" t="s">
        <v>8</v>
      </c>
      <c r="I41" s="12"/>
      <c r="J41" s="12" t="s">
        <v>82</v>
      </c>
      <c r="K41" s="12" t="s">
        <v>83</v>
      </c>
      <c r="L41" s="274"/>
      <c r="M41" s="277"/>
      <c r="N41" s="275"/>
      <c r="O41" s="275"/>
      <c r="P41" s="12" t="s">
        <v>84</v>
      </c>
      <c r="Q41" s="12" t="s">
        <v>85</v>
      </c>
      <c r="R41" s="12" t="s">
        <v>86</v>
      </c>
      <c r="S41" s="12" t="s">
        <v>87</v>
      </c>
      <c r="T41" s="213"/>
      <c r="U41" s="265" t="s">
        <v>88</v>
      </c>
      <c r="V41" s="265" t="s">
        <v>89</v>
      </c>
      <c r="W41" s="265" t="s">
        <v>90</v>
      </c>
      <c r="X41" s="236"/>
      <c r="Y41" s="213"/>
      <c r="Z41" s="213"/>
      <c r="AA41" s="213"/>
      <c r="AB41" s="213"/>
      <c r="AC41" s="213"/>
      <c r="AD41" s="213"/>
      <c r="AE41" s="213"/>
      <c r="AF41" s="213"/>
      <c r="AG41" s="213"/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  <c r="BI41" s="213"/>
      <c r="BJ41" s="213"/>
      <c r="BK41" s="213"/>
      <c r="BL41" s="213"/>
      <c r="BM41" s="213"/>
      <c r="BN41" s="213"/>
      <c r="BO41" s="213"/>
      <c r="BP41" s="213"/>
      <c r="BQ41" s="213"/>
      <c r="BR41" s="213"/>
      <c r="BS41" s="213"/>
      <c r="BT41" s="213"/>
      <c r="BU41" s="213"/>
      <c r="BV41" s="213"/>
      <c r="BW41" s="213"/>
      <c r="BX41" s="213"/>
      <c r="BY41" s="213"/>
      <c r="BZ41" s="213"/>
      <c r="CA41" s="213"/>
      <c r="CB41" s="213"/>
      <c r="CC41" s="213"/>
      <c r="CD41" s="213"/>
      <c r="CE41" s="213"/>
      <c r="CF41" s="213"/>
      <c r="CG41" s="213"/>
      <c r="CH41" s="213"/>
      <c r="CI41" s="213"/>
      <c r="CJ41" s="213"/>
      <c r="CK41" s="213"/>
      <c r="CL41" s="213"/>
      <c r="CM41" s="213"/>
      <c r="CN41" s="213"/>
      <c r="CO41" s="213"/>
      <c r="CP41" s="213"/>
      <c r="CQ41" s="213"/>
      <c r="CR41" s="213"/>
      <c r="CS41" s="213"/>
      <c r="CT41" s="213"/>
      <c r="CU41" s="213"/>
      <c r="CV41" s="213"/>
      <c r="CW41" s="213"/>
      <c r="CX41" s="213"/>
      <c r="CY41" s="213"/>
      <c r="CZ41" s="213"/>
      <c r="DA41" s="213"/>
      <c r="DB41" s="213"/>
      <c r="DC41" s="213"/>
      <c r="DD41" s="213"/>
      <c r="DE41" s="213"/>
      <c r="DF41" s="213"/>
      <c r="DG41" s="213"/>
      <c r="DH41" s="213"/>
      <c r="DI41" s="213"/>
      <c r="DJ41" s="213"/>
      <c r="DK41" s="213"/>
      <c r="DL41" s="213"/>
      <c r="DM41" s="213"/>
      <c r="DN41" s="213"/>
      <c r="DO41" s="213"/>
      <c r="DP41" s="213"/>
      <c r="DQ41" s="213"/>
      <c r="DR41" s="213"/>
      <c r="DS41" s="213"/>
      <c r="DT41" s="213"/>
      <c r="DU41" s="213"/>
      <c r="DV41" s="213"/>
      <c r="DW41" s="213"/>
      <c r="DX41" s="213"/>
      <c r="DY41" s="213"/>
      <c r="DZ41" s="213"/>
      <c r="EA41" s="213"/>
      <c r="EB41" s="213"/>
      <c r="EC41" s="213"/>
      <c r="ED41" s="213"/>
      <c r="EE41" s="213"/>
      <c r="EF41" s="213"/>
      <c r="EG41" s="213"/>
      <c r="EH41" s="213"/>
      <c r="EI41" s="213"/>
      <c r="EJ41" s="213"/>
      <c r="EK41" s="213"/>
      <c r="EL41" s="213"/>
      <c r="EM41" s="213"/>
      <c r="EN41" s="213"/>
      <c r="EO41" s="213"/>
      <c r="EP41" s="213"/>
      <c r="EQ41" s="213"/>
      <c r="ER41" s="213"/>
      <c r="ES41" s="213"/>
      <c r="ET41" s="213"/>
      <c r="EU41" s="213"/>
      <c r="EV41" s="213"/>
      <c r="EW41" s="213"/>
      <c r="EX41" s="213"/>
      <c r="EY41" s="213"/>
      <c r="EZ41" s="213"/>
      <c r="FA41" s="213"/>
      <c r="FB41" s="213"/>
      <c r="FC41" s="213"/>
      <c r="FD41" s="213"/>
      <c r="FE41" s="213"/>
      <c r="FF41" s="213"/>
      <c r="FG41" s="213"/>
      <c r="FH41" s="213"/>
      <c r="FI41" s="213"/>
      <c r="FJ41" s="213"/>
      <c r="FK41" s="213"/>
      <c r="FL41" s="213"/>
      <c r="FM41" s="213"/>
      <c r="FN41" s="213"/>
      <c r="FO41" s="213"/>
      <c r="FP41" s="213"/>
      <c r="FQ41" s="213"/>
      <c r="FR41" s="213"/>
      <c r="FS41" s="213"/>
      <c r="FT41" s="213"/>
      <c r="FU41" s="213"/>
      <c r="FV41" s="213"/>
      <c r="FW41" s="213"/>
      <c r="FX41" s="213"/>
      <c r="FY41" s="213"/>
      <c r="FZ41" s="213"/>
      <c r="GA41" s="213"/>
      <c r="GB41" s="213"/>
      <c r="GC41" s="213"/>
      <c r="GD41" s="213"/>
      <c r="GE41" s="213"/>
      <c r="GF41" s="213"/>
      <c r="GG41" s="213"/>
      <c r="GH41" s="213"/>
      <c r="GI41" s="213"/>
      <c r="GJ41" s="213"/>
      <c r="GK41" s="213"/>
      <c r="GL41" s="213"/>
      <c r="GM41" s="213"/>
      <c r="GN41" s="213"/>
      <c r="GO41" s="213"/>
      <c r="GP41" s="213"/>
      <c r="GQ41" s="213"/>
      <c r="GR41" s="213"/>
      <c r="GS41" s="213"/>
      <c r="GT41" s="213"/>
      <c r="GU41" s="213"/>
      <c r="GV41" s="213"/>
      <c r="GW41" s="213"/>
      <c r="GX41" s="213"/>
      <c r="GY41" s="213"/>
      <c r="GZ41" s="213"/>
      <c r="HA41" s="213"/>
      <c r="HB41" s="213"/>
      <c r="HC41" s="213"/>
      <c r="HD41" s="213"/>
      <c r="HE41" s="213"/>
      <c r="HF41" s="213"/>
      <c r="HG41" s="213"/>
      <c r="HH41" s="213"/>
      <c r="HI41" s="213"/>
      <c r="HJ41" s="213"/>
      <c r="HK41" s="213"/>
      <c r="HL41" s="213"/>
      <c r="HM41" s="213"/>
      <c r="HN41" s="213"/>
      <c r="HO41" s="213"/>
      <c r="HP41" s="213"/>
      <c r="HQ41" s="213"/>
      <c r="HR41" s="213"/>
      <c r="HS41" s="213"/>
      <c r="HT41" s="213"/>
      <c r="HU41" s="213"/>
      <c r="HV41" s="213"/>
      <c r="HW41" s="213"/>
      <c r="HX41" s="213"/>
      <c r="HY41" s="213"/>
      <c r="HZ41" s="213"/>
      <c r="IA41" s="213"/>
      <c r="IB41" s="213"/>
      <c r="IC41" s="213"/>
      <c r="ID41" s="213"/>
      <c r="IE41" s="213"/>
      <c r="IF41" s="213"/>
      <c r="IG41" s="213"/>
      <c r="IH41" s="213"/>
      <c r="II41" s="213"/>
      <c r="IJ41" s="213"/>
      <c r="IK41" s="213"/>
      <c r="IL41" s="213"/>
      <c r="IM41" s="213"/>
      <c r="IN41" s="213"/>
      <c r="IO41" s="213"/>
      <c r="IP41" s="213"/>
      <c r="IQ41" s="213"/>
      <c r="IR41" s="213"/>
      <c r="IS41" s="213"/>
      <c r="IT41" s="213"/>
      <c r="IU41" s="213"/>
      <c r="IV41" s="213"/>
      <c r="IW41" s="213"/>
    </row>
    <row r="42" customFormat="false" ht="12.75" hidden="true" customHeight="false" outlineLevel="0" collapsed="false">
      <c r="A42" s="213" t="s">
        <v>671</v>
      </c>
      <c r="B42" s="11"/>
      <c r="C42" s="11"/>
      <c r="D42" s="11" t="s">
        <v>672</v>
      </c>
      <c r="E42" s="11" t="s">
        <v>673</v>
      </c>
      <c r="F42" s="11" t="s">
        <v>674</v>
      </c>
      <c r="G42" s="11" t="s">
        <v>185</v>
      </c>
      <c r="H42" s="11" t="s">
        <v>545</v>
      </c>
      <c r="I42" s="11"/>
      <c r="J42" s="11"/>
      <c r="K42" s="11"/>
      <c r="L42" s="11"/>
      <c r="M42" s="277"/>
      <c r="N42" s="275"/>
      <c r="O42" s="275"/>
      <c r="P42" s="278" t="s">
        <v>188</v>
      </c>
      <c r="Q42" s="279" t="s">
        <v>675</v>
      </c>
      <c r="R42" s="279"/>
      <c r="S42" s="279"/>
      <c r="T42" s="213"/>
      <c r="U42" s="275" t="s">
        <v>40</v>
      </c>
      <c r="V42" s="275" t="s">
        <v>40</v>
      </c>
      <c r="W42" s="275" t="s">
        <v>40</v>
      </c>
      <c r="X42" s="236"/>
      <c r="Y42" s="213"/>
      <c r="Z42" s="213"/>
      <c r="AA42" s="213"/>
      <c r="AB42" s="213"/>
      <c r="AC42" s="213"/>
      <c r="AD42" s="213"/>
      <c r="AE42" s="213"/>
      <c r="AF42" s="213"/>
      <c r="AG42" s="213"/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  <c r="BI42" s="213"/>
      <c r="BJ42" s="213"/>
      <c r="BK42" s="213"/>
      <c r="BL42" s="213"/>
      <c r="BM42" s="213"/>
      <c r="BN42" s="213"/>
      <c r="BO42" s="213"/>
      <c r="BP42" s="213"/>
      <c r="BQ42" s="213"/>
      <c r="BR42" s="213"/>
      <c r="BS42" s="213"/>
      <c r="BT42" s="213"/>
      <c r="BU42" s="213"/>
      <c r="BV42" s="213"/>
      <c r="BW42" s="213"/>
      <c r="BX42" s="213"/>
      <c r="BY42" s="213"/>
      <c r="BZ42" s="213"/>
      <c r="CA42" s="213"/>
      <c r="CB42" s="213"/>
      <c r="CC42" s="213"/>
      <c r="CD42" s="213"/>
      <c r="CE42" s="213"/>
      <c r="CF42" s="213"/>
      <c r="CG42" s="213"/>
      <c r="CH42" s="213"/>
      <c r="CI42" s="213"/>
      <c r="CJ42" s="213"/>
      <c r="CK42" s="213"/>
      <c r="CL42" s="213"/>
      <c r="CM42" s="213"/>
      <c r="CN42" s="213"/>
      <c r="CO42" s="213"/>
      <c r="CP42" s="213"/>
      <c r="CQ42" s="213"/>
      <c r="CR42" s="213"/>
      <c r="CS42" s="213"/>
      <c r="CT42" s="213"/>
      <c r="CU42" s="213"/>
      <c r="CV42" s="213"/>
      <c r="CW42" s="213"/>
      <c r="CX42" s="213"/>
      <c r="CY42" s="213"/>
      <c r="CZ42" s="213"/>
      <c r="DA42" s="213"/>
      <c r="DB42" s="213"/>
      <c r="DC42" s="213"/>
      <c r="DD42" s="213"/>
      <c r="DE42" s="213"/>
      <c r="DF42" s="213"/>
      <c r="DG42" s="213"/>
      <c r="DH42" s="213"/>
      <c r="DI42" s="213"/>
      <c r="DJ42" s="213"/>
      <c r="DK42" s="213"/>
      <c r="DL42" s="213"/>
      <c r="DM42" s="213"/>
      <c r="DN42" s="213"/>
      <c r="DO42" s="213"/>
      <c r="DP42" s="213"/>
      <c r="DQ42" s="213"/>
      <c r="DR42" s="213"/>
      <c r="DS42" s="213"/>
      <c r="DT42" s="213"/>
      <c r="DU42" s="213"/>
      <c r="DV42" s="213"/>
      <c r="DW42" s="213"/>
      <c r="DX42" s="213"/>
      <c r="DY42" s="213"/>
      <c r="DZ42" s="213"/>
      <c r="EA42" s="213"/>
      <c r="EB42" s="213"/>
      <c r="EC42" s="213"/>
      <c r="ED42" s="213"/>
      <c r="EE42" s="213"/>
      <c r="EF42" s="213"/>
      <c r="EG42" s="213"/>
      <c r="EH42" s="213"/>
      <c r="EI42" s="213"/>
      <c r="EJ42" s="213"/>
      <c r="EK42" s="213"/>
      <c r="EL42" s="213"/>
      <c r="EM42" s="213"/>
      <c r="EN42" s="213"/>
      <c r="EO42" s="213"/>
      <c r="EP42" s="213"/>
      <c r="EQ42" s="213"/>
      <c r="ER42" s="213"/>
      <c r="ES42" s="213"/>
      <c r="ET42" s="213"/>
      <c r="EU42" s="213"/>
      <c r="EV42" s="213"/>
      <c r="EW42" s="213"/>
      <c r="EX42" s="213"/>
      <c r="EY42" s="213"/>
      <c r="EZ42" s="213"/>
      <c r="FA42" s="213"/>
      <c r="FB42" s="213"/>
      <c r="FC42" s="213"/>
      <c r="FD42" s="213"/>
      <c r="FE42" s="213"/>
      <c r="FF42" s="213"/>
      <c r="FG42" s="213"/>
      <c r="FH42" s="213"/>
      <c r="FI42" s="213"/>
      <c r="FJ42" s="213"/>
      <c r="FK42" s="213"/>
      <c r="FL42" s="213"/>
      <c r="FM42" s="213"/>
      <c r="FN42" s="213"/>
      <c r="FO42" s="213"/>
      <c r="FP42" s="213"/>
      <c r="FQ42" s="213"/>
      <c r="FR42" s="213"/>
      <c r="FS42" s="213"/>
      <c r="FT42" s="213"/>
      <c r="FU42" s="213"/>
      <c r="FV42" s="213"/>
      <c r="FW42" s="213"/>
      <c r="FX42" s="213"/>
      <c r="FY42" s="213"/>
      <c r="FZ42" s="213"/>
      <c r="GA42" s="213"/>
      <c r="GB42" s="213"/>
      <c r="GC42" s="213"/>
      <c r="GD42" s="213"/>
      <c r="GE42" s="213"/>
      <c r="GF42" s="213"/>
      <c r="GG42" s="213"/>
      <c r="GH42" s="213"/>
      <c r="GI42" s="213"/>
      <c r="GJ42" s="213"/>
      <c r="GK42" s="213"/>
      <c r="GL42" s="213"/>
      <c r="GM42" s="213"/>
      <c r="GN42" s="213"/>
      <c r="GO42" s="213"/>
      <c r="GP42" s="213"/>
      <c r="GQ42" s="213"/>
      <c r="GR42" s="213"/>
      <c r="GS42" s="213"/>
      <c r="GT42" s="213"/>
      <c r="GU42" s="213"/>
      <c r="GV42" s="213"/>
      <c r="GW42" s="213"/>
      <c r="GX42" s="213"/>
      <c r="GY42" s="213"/>
      <c r="GZ42" s="213"/>
      <c r="HA42" s="213"/>
      <c r="HB42" s="213"/>
      <c r="HC42" s="213"/>
      <c r="HD42" s="213"/>
      <c r="HE42" s="213"/>
      <c r="HF42" s="213"/>
      <c r="HG42" s="213"/>
      <c r="HH42" s="213"/>
      <c r="HI42" s="213"/>
      <c r="HJ42" s="213"/>
      <c r="HK42" s="213"/>
      <c r="HL42" s="213"/>
      <c r="HM42" s="213"/>
      <c r="HN42" s="213"/>
      <c r="HO42" s="213"/>
      <c r="HP42" s="213"/>
      <c r="HQ42" s="213"/>
      <c r="HR42" s="213"/>
      <c r="HS42" s="213"/>
      <c r="HT42" s="213"/>
      <c r="HU42" s="213"/>
      <c r="HV42" s="213"/>
      <c r="HW42" s="213"/>
      <c r="HX42" s="213"/>
      <c r="HY42" s="213"/>
      <c r="HZ42" s="213"/>
      <c r="IA42" s="213"/>
      <c r="IB42" s="213"/>
      <c r="IC42" s="213"/>
      <c r="ID42" s="213"/>
      <c r="IE42" s="213"/>
      <c r="IF42" s="213"/>
      <c r="IG42" s="213"/>
      <c r="IH42" s="213"/>
      <c r="II42" s="213"/>
      <c r="IJ42" s="213"/>
      <c r="IK42" s="213"/>
      <c r="IL42" s="213"/>
      <c r="IM42" s="213"/>
      <c r="IN42" s="213"/>
      <c r="IO42" s="213"/>
      <c r="IP42" s="213"/>
      <c r="IQ42" s="213"/>
      <c r="IR42" s="213"/>
      <c r="IS42" s="213"/>
      <c r="IT42" s="213"/>
      <c r="IU42" s="213"/>
      <c r="IV42" s="213"/>
      <c r="IW42" s="213"/>
    </row>
    <row r="43" customFormat="false" ht="12.75" hidden="false" customHeight="false" outlineLevel="0" collapsed="false">
      <c r="A43" s="213" t="s">
        <v>632</v>
      </c>
      <c r="B43" s="211" t="s">
        <v>676</v>
      </c>
      <c r="C43" s="280" t="s">
        <v>677</v>
      </c>
      <c r="D43" s="235" t="s">
        <v>123</v>
      </c>
      <c r="E43" s="235" t="s">
        <v>96</v>
      </c>
      <c r="F43" s="281" t="n">
        <v>37053</v>
      </c>
      <c r="G43" s="281" t="s">
        <v>234</v>
      </c>
      <c r="H43" s="282" t="s">
        <v>678</v>
      </c>
      <c r="I43" s="281"/>
      <c r="J43" s="283" t="n">
        <v>0.0427435651706428</v>
      </c>
      <c r="K43" s="284" t="n">
        <v>-0.178760098546797</v>
      </c>
      <c r="L43" s="284"/>
      <c r="M43" s="277"/>
      <c r="N43" s="275"/>
      <c r="O43" s="275"/>
      <c r="P43" s="285" t="n">
        <v>4.75472728854298</v>
      </c>
      <c r="Q43" s="286" t="n">
        <v>14.748229289896</v>
      </c>
      <c r="R43" s="287" t="n">
        <v>9.76</v>
      </c>
      <c r="S43" s="209" t="s">
        <v>679</v>
      </c>
      <c r="T43" s="213"/>
      <c r="U43" s="288" t="n">
        <v>0</v>
      </c>
      <c r="V43" s="236" t="n">
        <v>0</v>
      </c>
      <c r="W43" s="288" t="n">
        <v>0</v>
      </c>
      <c r="X43" s="236"/>
      <c r="Y43" s="213"/>
      <c r="Z43" s="213"/>
      <c r="AA43" s="213"/>
      <c r="AB43" s="213"/>
      <c r="AC43" s="213"/>
      <c r="AD43" s="213"/>
      <c r="AE43" s="213"/>
      <c r="AF43" s="213"/>
      <c r="AG43" s="213"/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  <c r="BI43" s="213"/>
      <c r="BJ43" s="213"/>
      <c r="BK43" s="213"/>
      <c r="BL43" s="213"/>
      <c r="BM43" s="213"/>
      <c r="BN43" s="213"/>
      <c r="BO43" s="213"/>
      <c r="BP43" s="213"/>
      <c r="BQ43" s="213"/>
      <c r="BR43" s="213"/>
      <c r="BS43" s="213"/>
      <c r="BT43" s="213"/>
      <c r="BU43" s="213"/>
      <c r="BV43" s="213"/>
      <c r="BW43" s="213"/>
      <c r="BX43" s="213"/>
      <c r="BY43" s="213"/>
      <c r="BZ43" s="213"/>
      <c r="CA43" s="213"/>
      <c r="CB43" s="213"/>
      <c r="CC43" s="213"/>
      <c r="CD43" s="213"/>
      <c r="CE43" s="213"/>
      <c r="CF43" s="213"/>
      <c r="CG43" s="213"/>
      <c r="CH43" s="213"/>
      <c r="CI43" s="213"/>
      <c r="CJ43" s="213"/>
      <c r="CK43" s="213"/>
      <c r="CL43" s="213"/>
      <c r="CM43" s="213"/>
      <c r="CN43" s="213"/>
      <c r="CO43" s="213"/>
      <c r="CP43" s="213"/>
      <c r="CQ43" s="213"/>
      <c r="CR43" s="213"/>
      <c r="CS43" s="213"/>
      <c r="CT43" s="213"/>
      <c r="CU43" s="213"/>
      <c r="CV43" s="213"/>
      <c r="CW43" s="213"/>
      <c r="CX43" s="213"/>
      <c r="CY43" s="213"/>
      <c r="CZ43" s="213"/>
      <c r="DA43" s="213"/>
      <c r="DB43" s="213"/>
      <c r="DC43" s="213"/>
      <c r="DD43" s="213"/>
      <c r="DE43" s="213"/>
      <c r="DF43" s="213"/>
      <c r="DG43" s="213"/>
      <c r="DH43" s="213"/>
      <c r="DI43" s="213"/>
      <c r="DJ43" s="213"/>
      <c r="DK43" s="213"/>
      <c r="DL43" s="213"/>
      <c r="DM43" s="213"/>
      <c r="DN43" s="213"/>
      <c r="DO43" s="213"/>
      <c r="DP43" s="213"/>
      <c r="DQ43" s="213"/>
      <c r="DR43" s="213"/>
      <c r="DS43" s="213"/>
      <c r="DT43" s="213"/>
      <c r="DU43" s="213"/>
      <c r="DV43" s="213"/>
      <c r="DW43" s="213"/>
      <c r="DX43" s="213"/>
      <c r="DY43" s="213"/>
      <c r="DZ43" s="213"/>
      <c r="EA43" s="213"/>
      <c r="EB43" s="213"/>
      <c r="EC43" s="213"/>
      <c r="ED43" s="213"/>
      <c r="EE43" s="213"/>
      <c r="EF43" s="213"/>
      <c r="EG43" s="213"/>
      <c r="EH43" s="213"/>
      <c r="EI43" s="213"/>
      <c r="EJ43" s="213"/>
      <c r="EK43" s="213"/>
      <c r="EL43" s="213"/>
      <c r="EM43" s="213"/>
      <c r="EN43" s="213"/>
      <c r="EO43" s="213"/>
      <c r="EP43" s="213"/>
      <c r="EQ43" s="213"/>
      <c r="ER43" s="213"/>
      <c r="ES43" s="213"/>
      <c r="ET43" s="213"/>
      <c r="EU43" s="213"/>
      <c r="EV43" s="213"/>
      <c r="EW43" s="213"/>
      <c r="EX43" s="213"/>
      <c r="EY43" s="213"/>
      <c r="EZ43" s="213"/>
      <c r="FA43" s="213"/>
      <c r="FB43" s="213"/>
      <c r="FC43" s="213"/>
      <c r="FD43" s="213"/>
      <c r="FE43" s="213"/>
      <c r="FF43" s="213"/>
      <c r="FG43" s="213"/>
      <c r="FH43" s="213"/>
      <c r="FI43" s="213"/>
      <c r="FJ43" s="213"/>
      <c r="FK43" s="213"/>
      <c r="FL43" s="213"/>
      <c r="FM43" s="213"/>
      <c r="FN43" s="213"/>
      <c r="FO43" s="213"/>
      <c r="FP43" s="213"/>
      <c r="FQ43" s="213"/>
      <c r="FR43" s="213"/>
      <c r="FS43" s="213"/>
      <c r="FT43" s="213"/>
      <c r="FU43" s="213"/>
      <c r="FV43" s="213"/>
      <c r="FW43" s="213"/>
      <c r="FX43" s="213"/>
      <c r="FY43" s="213"/>
      <c r="FZ43" s="213"/>
      <c r="GA43" s="213"/>
      <c r="GB43" s="213"/>
      <c r="GC43" s="213"/>
      <c r="GD43" s="213"/>
      <c r="GE43" s="213"/>
      <c r="GF43" s="213"/>
      <c r="GG43" s="213"/>
      <c r="GH43" s="213"/>
      <c r="GI43" s="213"/>
      <c r="GJ43" s="213"/>
      <c r="GK43" s="213"/>
      <c r="GL43" s="213"/>
      <c r="GM43" s="213"/>
      <c r="GN43" s="213"/>
      <c r="GO43" s="213"/>
      <c r="GP43" s="213"/>
      <c r="GQ43" s="213"/>
      <c r="GR43" s="213"/>
      <c r="GS43" s="213"/>
      <c r="GT43" s="213"/>
      <c r="GU43" s="213"/>
      <c r="GV43" s="213"/>
      <c r="GW43" s="213"/>
      <c r="GX43" s="213"/>
      <c r="GY43" s="213"/>
      <c r="GZ43" s="213"/>
      <c r="HA43" s="213"/>
      <c r="HB43" s="213"/>
      <c r="HC43" s="213"/>
      <c r="HD43" s="213"/>
      <c r="HE43" s="213"/>
      <c r="HF43" s="213"/>
      <c r="HG43" s="213"/>
      <c r="HH43" s="213"/>
      <c r="HI43" s="213"/>
      <c r="HJ43" s="213"/>
      <c r="HK43" s="213"/>
      <c r="HL43" s="213"/>
      <c r="HM43" s="213"/>
      <c r="HN43" s="213"/>
      <c r="HO43" s="213"/>
      <c r="HP43" s="213"/>
      <c r="HQ43" s="213"/>
      <c r="HR43" s="213"/>
      <c r="HS43" s="213"/>
      <c r="HT43" s="213"/>
      <c r="HU43" s="213"/>
      <c r="HV43" s="213"/>
      <c r="HW43" s="213"/>
      <c r="HX43" s="213"/>
      <c r="HY43" s="213"/>
      <c r="HZ43" s="213"/>
      <c r="IA43" s="213"/>
      <c r="IB43" s="213"/>
      <c r="IC43" s="213"/>
      <c r="ID43" s="213"/>
      <c r="IE43" s="213"/>
      <c r="IF43" s="213"/>
      <c r="IG43" s="213"/>
      <c r="IH43" s="213"/>
      <c r="II43" s="213"/>
      <c r="IJ43" s="213"/>
      <c r="IK43" s="213"/>
      <c r="IL43" s="213"/>
      <c r="IM43" s="213"/>
      <c r="IN43" s="213"/>
      <c r="IO43" s="213"/>
      <c r="IP43" s="213"/>
      <c r="IQ43" s="213"/>
      <c r="IR43" s="213"/>
      <c r="IS43" s="213"/>
      <c r="IT43" s="213"/>
      <c r="IU43" s="213"/>
      <c r="IV43" s="213"/>
      <c r="IW43" s="213"/>
    </row>
    <row r="44" customFormat="false" ht="12.75" hidden="false" customHeight="false" outlineLevel="0" collapsed="false">
      <c r="A44" s="213" t="s">
        <v>634</v>
      </c>
      <c r="B44" s="211" t="s">
        <v>676</v>
      </c>
      <c r="C44" s="280" t="s">
        <v>677</v>
      </c>
      <c r="D44" s="235" t="s">
        <v>123</v>
      </c>
      <c r="E44" s="235" t="s">
        <v>96</v>
      </c>
      <c r="F44" s="281" t="n">
        <v>37053</v>
      </c>
      <c r="G44" s="281" t="s">
        <v>680</v>
      </c>
      <c r="H44" s="282" t="s">
        <v>678</v>
      </c>
      <c r="I44" s="281"/>
      <c r="J44" s="283" t="n">
        <v>0.0866202534245169</v>
      </c>
      <c r="K44" s="284" t="n">
        <v>-0.183102518124453</v>
      </c>
      <c r="L44" s="284"/>
      <c r="M44" s="277"/>
      <c r="N44" s="275"/>
      <c r="O44" s="275"/>
      <c r="P44" s="285" t="n">
        <v>1.83133005012747</v>
      </c>
      <c r="Q44" s="286" t="n">
        <v>12.4246462382919</v>
      </c>
      <c r="R44" s="287" t="n">
        <v>12.15</v>
      </c>
      <c r="S44" s="209" t="s">
        <v>681</v>
      </c>
      <c r="T44" s="213"/>
      <c r="U44" s="288" t="n">
        <v>0</v>
      </c>
      <c r="V44" s="236" t="n">
        <v>0</v>
      </c>
      <c r="W44" s="288" t="n">
        <v>0</v>
      </c>
      <c r="X44" s="236"/>
      <c r="Y44" s="213"/>
      <c r="Z44" s="213"/>
      <c r="AA44" s="213"/>
      <c r="AB44" s="213"/>
      <c r="AC44" s="213"/>
      <c r="AD44" s="213"/>
      <c r="AE44" s="213"/>
      <c r="AF44" s="213"/>
      <c r="AG44" s="213"/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  <c r="BI44" s="213"/>
      <c r="BJ44" s="213"/>
      <c r="BK44" s="213"/>
      <c r="BL44" s="213"/>
      <c r="BM44" s="213"/>
      <c r="BN44" s="213"/>
      <c r="BO44" s="213"/>
      <c r="BP44" s="213"/>
      <c r="BQ44" s="213"/>
      <c r="BR44" s="213"/>
      <c r="BS44" s="213"/>
      <c r="BT44" s="213"/>
      <c r="BU44" s="213"/>
      <c r="BV44" s="213"/>
      <c r="BW44" s="213"/>
      <c r="BX44" s="213"/>
      <c r="BY44" s="213"/>
      <c r="BZ44" s="213"/>
      <c r="CA44" s="213"/>
      <c r="CB44" s="213"/>
      <c r="CC44" s="213"/>
      <c r="CD44" s="213"/>
      <c r="CE44" s="213"/>
      <c r="CF44" s="213"/>
      <c r="CG44" s="213"/>
      <c r="CH44" s="213"/>
      <c r="CI44" s="213"/>
      <c r="CJ44" s="213"/>
      <c r="CK44" s="213"/>
      <c r="CL44" s="213"/>
      <c r="CM44" s="213"/>
      <c r="CN44" s="213"/>
      <c r="CO44" s="213"/>
      <c r="CP44" s="213"/>
      <c r="CQ44" s="213"/>
      <c r="CR44" s="213"/>
      <c r="CS44" s="213"/>
      <c r="CT44" s="213"/>
      <c r="CU44" s="213"/>
      <c r="CV44" s="213"/>
      <c r="CW44" s="213"/>
      <c r="CX44" s="213"/>
      <c r="CY44" s="213"/>
      <c r="CZ44" s="213"/>
      <c r="DA44" s="213"/>
      <c r="DB44" s="213"/>
      <c r="DC44" s="213"/>
      <c r="DD44" s="213"/>
      <c r="DE44" s="213"/>
      <c r="DF44" s="213"/>
      <c r="DG44" s="213"/>
      <c r="DH44" s="213"/>
      <c r="DI44" s="213"/>
      <c r="DJ44" s="213"/>
      <c r="DK44" s="213"/>
      <c r="DL44" s="213"/>
      <c r="DM44" s="213"/>
      <c r="DN44" s="213"/>
      <c r="DO44" s="213"/>
      <c r="DP44" s="213"/>
      <c r="DQ44" s="213"/>
      <c r="DR44" s="213"/>
      <c r="DS44" s="213"/>
      <c r="DT44" s="213"/>
      <c r="DU44" s="213"/>
      <c r="DV44" s="213"/>
      <c r="DW44" s="213"/>
      <c r="DX44" s="213"/>
      <c r="DY44" s="213"/>
      <c r="DZ44" s="213"/>
      <c r="EA44" s="213"/>
      <c r="EB44" s="213"/>
      <c r="EC44" s="213"/>
      <c r="ED44" s="213"/>
      <c r="EE44" s="213"/>
      <c r="EF44" s="213"/>
      <c r="EG44" s="213"/>
      <c r="EH44" s="213"/>
      <c r="EI44" s="213"/>
      <c r="EJ44" s="213"/>
      <c r="EK44" s="213"/>
      <c r="EL44" s="213"/>
      <c r="EM44" s="213"/>
      <c r="EN44" s="213"/>
      <c r="EO44" s="213"/>
      <c r="EP44" s="213"/>
      <c r="EQ44" s="213"/>
      <c r="ER44" s="213"/>
      <c r="ES44" s="213"/>
      <c r="ET44" s="213"/>
      <c r="EU44" s="213"/>
      <c r="EV44" s="213"/>
      <c r="EW44" s="213"/>
      <c r="EX44" s="213"/>
      <c r="EY44" s="213"/>
      <c r="EZ44" s="213"/>
      <c r="FA44" s="213"/>
      <c r="FB44" s="213"/>
      <c r="FC44" s="213"/>
      <c r="FD44" s="213"/>
      <c r="FE44" s="213"/>
      <c r="FF44" s="213"/>
      <c r="FG44" s="213"/>
      <c r="FH44" s="213"/>
      <c r="FI44" s="213"/>
      <c r="FJ44" s="213"/>
      <c r="FK44" s="213"/>
      <c r="FL44" s="213"/>
      <c r="FM44" s="213"/>
      <c r="FN44" s="213"/>
      <c r="FO44" s="213"/>
      <c r="FP44" s="213"/>
      <c r="FQ44" s="213"/>
      <c r="FR44" s="213"/>
      <c r="FS44" s="213"/>
      <c r="FT44" s="213"/>
      <c r="FU44" s="213"/>
      <c r="FV44" s="213"/>
      <c r="FW44" s="213"/>
      <c r="FX44" s="213"/>
      <c r="FY44" s="213"/>
      <c r="FZ44" s="213"/>
      <c r="GA44" s="213"/>
      <c r="GB44" s="213"/>
      <c r="GC44" s="213"/>
      <c r="GD44" s="213"/>
      <c r="GE44" s="213"/>
      <c r="GF44" s="213"/>
      <c r="GG44" s="213"/>
      <c r="GH44" s="213"/>
      <c r="GI44" s="213"/>
      <c r="GJ44" s="213"/>
      <c r="GK44" s="213"/>
      <c r="GL44" s="213"/>
      <c r="GM44" s="213"/>
      <c r="GN44" s="213"/>
      <c r="GO44" s="213"/>
      <c r="GP44" s="213"/>
      <c r="GQ44" s="213"/>
      <c r="GR44" s="213"/>
      <c r="GS44" s="213"/>
      <c r="GT44" s="213"/>
      <c r="GU44" s="213"/>
      <c r="GV44" s="213"/>
      <c r="GW44" s="213"/>
      <c r="GX44" s="213"/>
      <c r="GY44" s="213"/>
      <c r="GZ44" s="213"/>
      <c r="HA44" s="213"/>
      <c r="HB44" s="213"/>
      <c r="HC44" s="213"/>
      <c r="HD44" s="213"/>
      <c r="HE44" s="213"/>
      <c r="HF44" s="213"/>
      <c r="HG44" s="213"/>
      <c r="HH44" s="213"/>
      <c r="HI44" s="213"/>
      <c r="HJ44" s="213"/>
      <c r="HK44" s="213"/>
      <c r="HL44" s="213"/>
      <c r="HM44" s="213"/>
      <c r="HN44" s="213"/>
      <c r="HO44" s="213"/>
      <c r="HP44" s="213"/>
      <c r="HQ44" s="213"/>
      <c r="HR44" s="213"/>
      <c r="HS44" s="213"/>
      <c r="HT44" s="213"/>
      <c r="HU44" s="213"/>
      <c r="HV44" s="213"/>
      <c r="HW44" s="213"/>
      <c r="HX44" s="213"/>
      <c r="HY44" s="213"/>
      <c r="HZ44" s="213"/>
      <c r="IA44" s="213"/>
      <c r="IB44" s="213"/>
      <c r="IC44" s="213"/>
      <c r="ID44" s="213"/>
      <c r="IE44" s="213"/>
      <c r="IF44" s="213"/>
      <c r="IG44" s="213"/>
      <c r="IH44" s="213"/>
      <c r="II44" s="213"/>
      <c r="IJ44" s="213"/>
      <c r="IK44" s="213"/>
      <c r="IL44" s="213"/>
      <c r="IM44" s="213"/>
      <c r="IN44" s="213"/>
      <c r="IO44" s="213"/>
      <c r="IP44" s="213"/>
      <c r="IQ44" s="213"/>
      <c r="IR44" s="213"/>
      <c r="IS44" s="213"/>
      <c r="IT44" s="213"/>
      <c r="IU44" s="213"/>
      <c r="IV44" s="213"/>
      <c r="IW44" s="213"/>
    </row>
    <row r="45" customFormat="false" ht="12.75" hidden="false" customHeight="false" outlineLevel="0" collapsed="false">
      <c r="A45" s="213" t="s">
        <v>636</v>
      </c>
      <c r="B45" s="211" t="s">
        <v>676</v>
      </c>
      <c r="C45" s="280" t="s">
        <v>677</v>
      </c>
      <c r="D45" s="235" t="s">
        <v>682</v>
      </c>
      <c r="E45" s="235" t="s">
        <v>232</v>
      </c>
      <c r="F45" s="281" t="n">
        <v>37110</v>
      </c>
      <c r="G45" s="281" t="s">
        <v>683</v>
      </c>
      <c r="H45" s="282" t="s">
        <v>678</v>
      </c>
      <c r="I45" s="281"/>
      <c r="J45" s="283" t="n">
        <v>-0.259883690492044</v>
      </c>
      <c r="K45" s="284" t="n">
        <v>-0.0508549956719631</v>
      </c>
      <c r="L45" s="284"/>
      <c r="M45" s="277"/>
      <c r="N45" s="275"/>
      <c r="O45" s="275"/>
      <c r="P45" s="285" t="n">
        <v>2.14972684774765</v>
      </c>
      <c r="Q45" s="286" t="n">
        <v>11.4511424404473</v>
      </c>
      <c r="R45" s="287"/>
      <c r="S45" s="209" t="s">
        <v>684</v>
      </c>
      <c r="T45" s="213"/>
      <c r="U45" s="288" t="n">
        <v>0</v>
      </c>
      <c r="V45" s="236" t="n">
        <v>0</v>
      </c>
      <c r="W45" s="288" t="n">
        <v>0</v>
      </c>
      <c r="X45" s="236"/>
      <c r="Y45" s="213"/>
      <c r="Z45" s="213"/>
      <c r="AA45" s="213"/>
      <c r="AB45" s="213"/>
      <c r="AC45" s="213"/>
      <c r="AD45" s="213"/>
      <c r="AE45" s="213"/>
      <c r="AF45" s="213"/>
      <c r="AG45" s="213"/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  <c r="BI45" s="213"/>
      <c r="BJ45" s="213"/>
      <c r="BK45" s="213"/>
      <c r="BL45" s="213"/>
      <c r="BM45" s="213"/>
      <c r="BN45" s="213"/>
      <c r="BO45" s="213"/>
      <c r="BP45" s="213"/>
      <c r="BQ45" s="213"/>
      <c r="BR45" s="213"/>
      <c r="BS45" s="213"/>
      <c r="BT45" s="213"/>
      <c r="BU45" s="213"/>
      <c r="BV45" s="213"/>
      <c r="BW45" s="213"/>
      <c r="BX45" s="213"/>
      <c r="BY45" s="213"/>
      <c r="BZ45" s="213"/>
      <c r="CA45" s="213"/>
      <c r="CB45" s="213"/>
      <c r="CC45" s="213"/>
      <c r="CD45" s="213"/>
      <c r="CE45" s="213"/>
      <c r="CF45" s="213"/>
      <c r="CG45" s="213"/>
      <c r="CH45" s="213"/>
      <c r="CI45" s="213"/>
      <c r="CJ45" s="213"/>
      <c r="CK45" s="213"/>
      <c r="CL45" s="213"/>
      <c r="CM45" s="213"/>
      <c r="CN45" s="213"/>
      <c r="CO45" s="213"/>
      <c r="CP45" s="213"/>
      <c r="CQ45" s="213"/>
      <c r="CR45" s="213"/>
      <c r="CS45" s="213"/>
      <c r="CT45" s="213"/>
      <c r="CU45" s="213"/>
      <c r="CV45" s="213"/>
      <c r="CW45" s="213"/>
      <c r="CX45" s="213"/>
      <c r="CY45" s="213"/>
      <c r="CZ45" s="213"/>
      <c r="DA45" s="213"/>
      <c r="DB45" s="213"/>
      <c r="DC45" s="213"/>
      <c r="DD45" s="213"/>
      <c r="DE45" s="213"/>
      <c r="DF45" s="213"/>
      <c r="DG45" s="213"/>
      <c r="DH45" s="213"/>
      <c r="DI45" s="213"/>
      <c r="DJ45" s="213"/>
      <c r="DK45" s="213"/>
      <c r="DL45" s="213"/>
      <c r="DM45" s="213"/>
      <c r="DN45" s="213"/>
      <c r="DO45" s="213"/>
      <c r="DP45" s="213"/>
      <c r="DQ45" s="213"/>
      <c r="DR45" s="213"/>
      <c r="DS45" s="213"/>
      <c r="DT45" s="213"/>
      <c r="DU45" s="213"/>
      <c r="DV45" s="213"/>
      <c r="DW45" s="213"/>
      <c r="DX45" s="213"/>
      <c r="DY45" s="213"/>
      <c r="DZ45" s="213"/>
      <c r="EA45" s="213"/>
      <c r="EB45" s="213"/>
      <c r="EC45" s="213"/>
      <c r="ED45" s="213"/>
      <c r="EE45" s="213"/>
      <c r="EF45" s="213"/>
      <c r="EG45" s="213"/>
      <c r="EH45" s="213"/>
      <c r="EI45" s="213"/>
      <c r="EJ45" s="213"/>
      <c r="EK45" s="213"/>
      <c r="EL45" s="213"/>
      <c r="EM45" s="213"/>
      <c r="EN45" s="213"/>
      <c r="EO45" s="213"/>
      <c r="EP45" s="213"/>
      <c r="EQ45" s="213"/>
      <c r="ER45" s="213"/>
      <c r="ES45" s="213"/>
      <c r="ET45" s="213"/>
      <c r="EU45" s="213"/>
      <c r="EV45" s="213"/>
      <c r="EW45" s="213"/>
      <c r="EX45" s="213"/>
      <c r="EY45" s="213"/>
      <c r="EZ45" s="213"/>
      <c r="FA45" s="213"/>
      <c r="FB45" s="213"/>
      <c r="FC45" s="213"/>
      <c r="FD45" s="213"/>
      <c r="FE45" s="213"/>
      <c r="FF45" s="213"/>
      <c r="FG45" s="213"/>
      <c r="FH45" s="213"/>
      <c r="FI45" s="213"/>
      <c r="FJ45" s="213"/>
      <c r="FK45" s="213"/>
      <c r="FL45" s="213"/>
      <c r="FM45" s="213"/>
      <c r="FN45" s="213"/>
      <c r="FO45" s="213"/>
      <c r="FP45" s="213"/>
      <c r="FQ45" s="213"/>
      <c r="FR45" s="213"/>
      <c r="FS45" s="213"/>
      <c r="FT45" s="213"/>
      <c r="FU45" s="213"/>
      <c r="FV45" s="213"/>
      <c r="FW45" s="213"/>
      <c r="FX45" s="213"/>
      <c r="FY45" s="213"/>
      <c r="FZ45" s="213"/>
      <c r="GA45" s="213"/>
      <c r="GB45" s="213"/>
      <c r="GC45" s="213"/>
      <c r="GD45" s="213"/>
      <c r="GE45" s="213"/>
      <c r="GF45" s="213"/>
      <c r="GG45" s="213"/>
      <c r="GH45" s="213"/>
      <c r="GI45" s="213"/>
      <c r="GJ45" s="213"/>
      <c r="GK45" s="213"/>
      <c r="GL45" s="213"/>
      <c r="GM45" s="213"/>
      <c r="GN45" s="213"/>
      <c r="GO45" s="213"/>
      <c r="GP45" s="213"/>
      <c r="GQ45" s="213"/>
      <c r="GR45" s="213"/>
      <c r="GS45" s="213"/>
      <c r="GT45" s="213"/>
      <c r="GU45" s="213"/>
      <c r="GV45" s="213"/>
      <c r="GW45" s="213"/>
      <c r="GX45" s="213"/>
      <c r="GY45" s="213"/>
      <c r="GZ45" s="213"/>
      <c r="HA45" s="213"/>
      <c r="HB45" s="213"/>
      <c r="HC45" s="213"/>
      <c r="HD45" s="213"/>
      <c r="HE45" s="213"/>
      <c r="HF45" s="213"/>
      <c r="HG45" s="213"/>
      <c r="HH45" s="213"/>
      <c r="HI45" s="213"/>
      <c r="HJ45" s="213"/>
      <c r="HK45" s="213"/>
      <c r="HL45" s="213"/>
      <c r="HM45" s="213"/>
      <c r="HN45" s="213"/>
      <c r="HO45" s="213"/>
      <c r="HP45" s="213"/>
      <c r="HQ45" s="213"/>
      <c r="HR45" s="213"/>
      <c r="HS45" s="213"/>
      <c r="HT45" s="213"/>
      <c r="HU45" s="213"/>
      <c r="HV45" s="213"/>
      <c r="HW45" s="213"/>
      <c r="HX45" s="213"/>
      <c r="HY45" s="213"/>
      <c r="HZ45" s="213"/>
      <c r="IA45" s="213"/>
      <c r="IB45" s="213"/>
      <c r="IC45" s="213"/>
      <c r="ID45" s="213"/>
      <c r="IE45" s="213"/>
      <c r="IF45" s="213"/>
      <c r="IG45" s="213"/>
      <c r="IH45" s="213"/>
      <c r="II45" s="213"/>
      <c r="IJ45" s="213"/>
      <c r="IK45" s="213"/>
      <c r="IL45" s="213"/>
      <c r="IM45" s="213"/>
      <c r="IN45" s="213"/>
      <c r="IO45" s="213"/>
      <c r="IP45" s="213"/>
      <c r="IQ45" s="213"/>
      <c r="IR45" s="213"/>
      <c r="IS45" s="213"/>
      <c r="IT45" s="213"/>
      <c r="IU45" s="213"/>
      <c r="IV45" s="213"/>
      <c r="IW45" s="213"/>
    </row>
    <row r="46" customFormat="false" ht="12.75" hidden="false" customHeight="false" outlineLevel="0" collapsed="false">
      <c r="A46" s="213" t="s">
        <v>638</v>
      </c>
      <c r="B46" s="211" t="s">
        <v>676</v>
      </c>
      <c r="C46" s="280" t="s">
        <v>677</v>
      </c>
      <c r="D46" s="235" t="s">
        <v>123</v>
      </c>
      <c r="E46" s="235" t="s">
        <v>96</v>
      </c>
      <c r="F46" s="281" t="n">
        <v>37053</v>
      </c>
      <c r="G46" s="281" t="n">
        <v>0</v>
      </c>
      <c r="H46" s="282" t="s">
        <v>678</v>
      </c>
      <c r="I46" s="281"/>
      <c r="J46" s="283" t="n">
        <v>0.143977787696949</v>
      </c>
      <c r="K46" s="284" t="n">
        <v>-0.135460604802409</v>
      </c>
      <c r="L46" s="284"/>
      <c r="M46" s="277"/>
      <c r="N46" s="275"/>
      <c r="O46" s="275"/>
      <c r="P46" s="285" t="n">
        <v>3.50722475194751</v>
      </c>
      <c r="Q46" s="286" t="n">
        <v>6.035380946974</v>
      </c>
      <c r="R46" s="287" t="n">
        <v>7.72</v>
      </c>
      <c r="S46" s="209" t="s">
        <v>685</v>
      </c>
      <c r="T46" s="213"/>
      <c r="U46" s="288" t="n">
        <v>0</v>
      </c>
      <c r="V46" s="236" t="n">
        <v>0</v>
      </c>
      <c r="W46" s="288" t="n">
        <v>0</v>
      </c>
      <c r="X46" s="236"/>
      <c r="Y46" s="213"/>
      <c r="Z46" s="213"/>
      <c r="AA46" s="213"/>
      <c r="AB46" s="213"/>
      <c r="AC46" s="213"/>
      <c r="AD46" s="213"/>
      <c r="AE46" s="213"/>
      <c r="AF46" s="213"/>
      <c r="AG46" s="213"/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  <c r="BI46" s="213"/>
      <c r="BJ46" s="213"/>
      <c r="BK46" s="213"/>
      <c r="BL46" s="213"/>
      <c r="BM46" s="213"/>
      <c r="BN46" s="213"/>
      <c r="BO46" s="213"/>
      <c r="BP46" s="213"/>
      <c r="BQ46" s="213"/>
      <c r="BR46" s="213"/>
      <c r="BS46" s="213"/>
      <c r="BT46" s="213"/>
      <c r="BU46" s="213"/>
      <c r="BV46" s="213"/>
      <c r="BW46" s="213"/>
      <c r="BX46" s="213"/>
      <c r="BY46" s="213"/>
      <c r="BZ46" s="213"/>
      <c r="CA46" s="213"/>
      <c r="CB46" s="213"/>
      <c r="CC46" s="213"/>
      <c r="CD46" s="213"/>
      <c r="CE46" s="213"/>
      <c r="CF46" s="213"/>
      <c r="CG46" s="213"/>
      <c r="CH46" s="213"/>
      <c r="CI46" s="213"/>
      <c r="CJ46" s="213"/>
      <c r="CK46" s="213"/>
      <c r="CL46" s="213"/>
      <c r="CM46" s="213"/>
      <c r="CN46" s="213"/>
      <c r="CO46" s="213"/>
      <c r="CP46" s="213"/>
      <c r="CQ46" s="213"/>
      <c r="CR46" s="213"/>
      <c r="CS46" s="213"/>
      <c r="CT46" s="213"/>
      <c r="CU46" s="213"/>
      <c r="CV46" s="213"/>
      <c r="CW46" s="213"/>
      <c r="CX46" s="213"/>
      <c r="CY46" s="213"/>
      <c r="CZ46" s="213"/>
      <c r="DA46" s="213"/>
      <c r="DB46" s="213"/>
      <c r="DC46" s="213"/>
      <c r="DD46" s="213"/>
      <c r="DE46" s="213"/>
      <c r="DF46" s="213"/>
      <c r="DG46" s="213"/>
      <c r="DH46" s="213"/>
      <c r="DI46" s="213"/>
      <c r="DJ46" s="213"/>
      <c r="DK46" s="213"/>
      <c r="DL46" s="213"/>
      <c r="DM46" s="213"/>
      <c r="DN46" s="213"/>
      <c r="DO46" s="213"/>
      <c r="DP46" s="213"/>
      <c r="DQ46" s="213"/>
      <c r="DR46" s="213"/>
      <c r="DS46" s="213"/>
      <c r="DT46" s="213"/>
      <c r="DU46" s="213"/>
      <c r="DV46" s="213"/>
      <c r="DW46" s="213"/>
      <c r="DX46" s="213"/>
      <c r="DY46" s="213"/>
      <c r="DZ46" s="213"/>
      <c r="EA46" s="213"/>
      <c r="EB46" s="213"/>
      <c r="EC46" s="213"/>
      <c r="ED46" s="213"/>
      <c r="EE46" s="213"/>
      <c r="EF46" s="213"/>
      <c r="EG46" s="213"/>
      <c r="EH46" s="213"/>
      <c r="EI46" s="213"/>
      <c r="EJ46" s="213"/>
      <c r="EK46" s="213"/>
      <c r="EL46" s="213"/>
      <c r="EM46" s="213"/>
      <c r="EN46" s="213"/>
      <c r="EO46" s="213"/>
      <c r="EP46" s="213"/>
      <c r="EQ46" s="213"/>
      <c r="ER46" s="213"/>
      <c r="ES46" s="213"/>
      <c r="ET46" s="213"/>
      <c r="EU46" s="213"/>
      <c r="EV46" s="213"/>
      <c r="EW46" s="213"/>
      <c r="EX46" s="213"/>
      <c r="EY46" s="213"/>
      <c r="EZ46" s="213"/>
      <c r="FA46" s="213"/>
      <c r="FB46" s="213"/>
      <c r="FC46" s="213"/>
      <c r="FD46" s="213"/>
      <c r="FE46" s="213"/>
      <c r="FF46" s="213"/>
      <c r="FG46" s="213"/>
      <c r="FH46" s="213"/>
      <c r="FI46" s="213"/>
      <c r="FJ46" s="213"/>
      <c r="FK46" s="213"/>
      <c r="FL46" s="213"/>
      <c r="FM46" s="213"/>
      <c r="FN46" s="213"/>
      <c r="FO46" s="213"/>
      <c r="FP46" s="213"/>
      <c r="FQ46" s="213"/>
      <c r="FR46" s="213"/>
      <c r="FS46" s="213"/>
      <c r="FT46" s="213"/>
      <c r="FU46" s="213"/>
      <c r="FV46" s="213"/>
      <c r="FW46" s="213"/>
      <c r="FX46" s="213"/>
      <c r="FY46" s="213"/>
      <c r="FZ46" s="213"/>
      <c r="GA46" s="213"/>
      <c r="GB46" s="213"/>
      <c r="GC46" s="213"/>
      <c r="GD46" s="213"/>
      <c r="GE46" s="213"/>
      <c r="GF46" s="213"/>
      <c r="GG46" s="213"/>
      <c r="GH46" s="213"/>
      <c r="GI46" s="213"/>
      <c r="GJ46" s="213"/>
      <c r="GK46" s="213"/>
      <c r="GL46" s="213"/>
      <c r="GM46" s="213"/>
      <c r="GN46" s="213"/>
      <c r="GO46" s="213"/>
      <c r="GP46" s="213"/>
      <c r="GQ46" s="213"/>
      <c r="GR46" s="213"/>
      <c r="GS46" s="213"/>
      <c r="GT46" s="213"/>
      <c r="GU46" s="213"/>
      <c r="GV46" s="213"/>
      <c r="GW46" s="213"/>
      <c r="GX46" s="213"/>
      <c r="GY46" s="213"/>
      <c r="GZ46" s="213"/>
      <c r="HA46" s="213"/>
      <c r="HB46" s="213"/>
      <c r="HC46" s="213"/>
      <c r="HD46" s="213"/>
      <c r="HE46" s="213"/>
      <c r="HF46" s="213"/>
      <c r="HG46" s="213"/>
      <c r="HH46" s="213"/>
      <c r="HI46" s="213"/>
      <c r="HJ46" s="213"/>
      <c r="HK46" s="213"/>
      <c r="HL46" s="213"/>
      <c r="HM46" s="213"/>
      <c r="HN46" s="213"/>
      <c r="HO46" s="213"/>
      <c r="HP46" s="213"/>
      <c r="HQ46" s="213"/>
      <c r="HR46" s="213"/>
      <c r="HS46" s="213"/>
      <c r="HT46" s="213"/>
      <c r="HU46" s="213"/>
      <c r="HV46" s="213"/>
      <c r="HW46" s="213"/>
      <c r="HX46" s="213"/>
      <c r="HY46" s="213"/>
      <c r="HZ46" s="213"/>
      <c r="IA46" s="213"/>
      <c r="IB46" s="213"/>
      <c r="IC46" s="213"/>
      <c r="ID46" s="213"/>
      <c r="IE46" s="213"/>
      <c r="IF46" s="213"/>
      <c r="IG46" s="213"/>
      <c r="IH46" s="213"/>
      <c r="II46" s="213"/>
      <c r="IJ46" s="213"/>
      <c r="IK46" s="213"/>
      <c r="IL46" s="213"/>
      <c r="IM46" s="213"/>
      <c r="IN46" s="213"/>
      <c r="IO46" s="213"/>
      <c r="IP46" s="213"/>
      <c r="IQ46" s="213"/>
      <c r="IR46" s="213"/>
      <c r="IS46" s="213"/>
      <c r="IT46" s="213"/>
      <c r="IU46" s="213"/>
      <c r="IV46" s="213"/>
      <c r="IW46" s="213"/>
    </row>
    <row r="47" customFormat="false" ht="12.75" hidden="false" customHeight="false" outlineLevel="0" collapsed="false">
      <c r="A47" s="213" t="s">
        <v>640</v>
      </c>
      <c r="B47" s="211" t="s">
        <v>676</v>
      </c>
      <c r="C47" s="280" t="s">
        <v>677</v>
      </c>
      <c r="D47" s="235" t="s">
        <v>123</v>
      </c>
      <c r="E47" s="235" t="s">
        <v>96</v>
      </c>
      <c r="F47" s="281" t="n">
        <v>37053</v>
      </c>
      <c r="G47" s="281" t="n">
        <v>0</v>
      </c>
      <c r="H47" s="282" t="s">
        <v>678</v>
      </c>
      <c r="I47" s="281"/>
      <c r="J47" s="283" t="n">
        <v>0.0402358552327552</v>
      </c>
      <c r="K47" s="284" t="n">
        <v>-0.210272057232737</v>
      </c>
      <c r="L47" s="284"/>
      <c r="M47" s="277"/>
      <c r="N47" s="275"/>
      <c r="O47" s="275"/>
      <c r="P47" s="285" t="n">
        <v>2.14083154947619</v>
      </c>
      <c r="Q47" s="286" t="n">
        <v>7.1458942632171</v>
      </c>
      <c r="R47" s="287" t="n">
        <v>7.68</v>
      </c>
      <c r="S47" s="209" t="s">
        <v>686</v>
      </c>
      <c r="T47" s="213"/>
      <c r="U47" s="288" t="n">
        <v>0</v>
      </c>
      <c r="V47" s="236" t="n">
        <v>0</v>
      </c>
      <c r="W47" s="288" t="n">
        <v>0</v>
      </c>
      <c r="X47" s="236"/>
      <c r="Y47" s="213"/>
      <c r="Z47" s="213"/>
      <c r="AA47" s="213"/>
      <c r="AB47" s="213"/>
      <c r="AC47" s="213"/>
      <c r="AD47" s="213"/>
      <c r="AE47" s="213"/>
      <c r="AF47" s="213"/>
      <c r="AG47" s="213"/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  <c r="BI47" s="213"/>
      <c r="BJ47" s="213"/>
      <c r="BK47" s="213"/>
      <c r="BL47" s="213"/>
      <c r="BM47" s="213"/>
      <c r="BN47" s="213"/>
      <c r="BO47" s="213"/>
      <c r="BP47" s="213"/>
      <c r="BQ47" s="213"/>
      <c r="BR47" s="213"/>
      <c r="BS47" s="213"/>
      <c r="BT47" s="213"/>
      <c r="BU47" s="213"/>
      <c r="BV47" s="213"/>
      <c r="BW47" s="213"/>
      <c r="BX47" s="213"/>
      <c r="BY47" s="213"/>
      <c r="BZ47" s="213"/>
      <c r="CA47" s="213"/>
      <c r="CB47" s="213"/>
      <c r="CC47" s="213"/>
      <c r="CD47" s="213"/>
      <c r="CE47" s="213"/>
      <c r="CF47" s="213"/>
      <c r="CG47" s="213"/>
      <c r="CH47" s="213"/>
      <c r="CI47" s="213"/>
      <c r="CJ47" s="213"/>
      <c r="CK47" s="213"/>
      <c r="CL47" s="213"/>
      <c r="CM47" s="213"/>
      <c r="CN47" s="213"/>
      <c r="CO47" s="213"/>
      <c r="CP47" s="213"/>
      <c r="CQ47" s="213"/>
      <c r="CR47" s="213"/>
      <c r="CS47" s="213"/>
      <c r="CT47" s="213"/>
      <c r="CU47" s="213"/>
      <c r="CV47" s="213"/>
      <c r="CW47" s="213"/>
      <c r="CX47" s="213"/>
      <c r="CY47" s="213"/>
      <c r="CZ47" s="213"/>
      <c r="DA47" s="213"/>
      <c r="DB47" s="213"/>
      <c r="DC47" s="213"/>
      <c r="DD47" s="213"/>
      <c r="DE47" s="213"/>
      <c r="DF47" s="213"/>
      <c r="DG47" s="213"/>
      <c r="DH47" s="213"/>
      <c r="DI47" s="213"/>
      <c r="DJ47" s="213"/>
      <c r="DK47" s="213"/>
      <c r="DL47" s="213"/>
      <c r="DM47" s="213"/>
      <c r="DN47" s="213"/>
      <c r="DO47" s="213"/>
      <c r="DP47" s="213"/>
      <c r="DQ47" s="213"/>
      <c r="DR47" s="213"/>
      <c r="DS47" s="213"/>
      <c r="DT47" s="213"/>
      <c r="DU47" s="213"/>
      <c r="DV47" s="213"/>
      <c r="DW47" s="213"/>
      <c r="DX47" s="213"/>
      <c r="DY47" s="213"/>
      <c r="DZ47" s="213"/>
      <c r="EA47" s="213"/>
      <c r="EB47" s="213"/>
      <c r="EC47" s="213"/>
      <c r="ED47" s="213"/>
      <c r="EE47" s="213"/>
      <c r="EF47" s="213"/>
      <c r="EG47" s="213"/>
      <c r="EH47" s="213"/>
      <c r="EI47" s="213"/>
      <c r="EJ47" s="213"/>
      <c r="EK47" s="213"/>
      <c r="EL47" s="213"/>
      <c r="EM47" s="213"/>
      <c r="EN47" s="213"/>
      <c r="EO47" s="213"/>
      <c r="EP47" s="213"/>
      <c r="EQ47" s="213"/>
      <c r="ER47" s="213"/>
      <c r="ES47" s="213"/>
      <c r="ET47" s="213"/>
      <c r="EU47" s="213"/>
      <c r="EV47" s="213"/>
      <c r="EW47" s="213"/>
      <c r="EX47" s="213"/>
      <c r="EY47" s="213"/>
      <c r="EZ47" s="213"/>
      <c r="FA47" s="213"/>
      <c r="FB47" s="213"/>
      <c r="FC47" s="213"/>
      <c r="FD47" s="213"/>
      <c r="FE47" s="213"/>
      <c r="FF47" s="213"/>
      <c r="FG47" s="213"/>
      <c r="FH47" s="213"/>
      <c r="FI47" s="213"/>
      <c r="FJ47" s="213"/>
      <c r="FK47" s="213"/>
      <c r="FL47" s="213"/>
      <c r="FM47" s="213"/>
      <c r="FN47" s="213"/>
      <c r="FO47" s="213"/>
      <c r="FP47" s="213"/>
      <c r="FQ47" s="213"/>
      <c r="FR47" s="213"/>
      <c r="FS47" s="213"/>
      <c r="FT47" s="213"/>
      <c r="FU47" s="213"/>
      <c r="FV47" s="213"/>
      <c r="FW47" s="213"/>
      <c r="FX47" s="213"/>
      <c r="FY47" s="213"/>
      <c r="FZ47" s="213"/>
      <c r="GA47" s="213"/>
      <c r="GB47" s="213"/>
      <c r="GC47" s="213"/>
      <c r="GD47" s="213"/>
      <c r="GE47" s="213"/>
      <c r="GF47" s="213"/>
      <c r="GG47" s="213"/>
      <c r="GH47" s="213"/>
      <c r="GI47" s="213"/>
      <c r="GJ47" s="213"/>
      <c r="GK47" s="213"/>
      <c r="GL47" s="213"/>
      <c r="GM47" s="213"/>
      <c r="GN47" s="213"/>
      <c r="GO47" s="213"/>
      <c r="GP47" s="213"/>
      <c r="GQ47" s="213"/>
      <c r="GR47" s="213"/>
      <c r="GS47" s="213"/>
      <c r="GT47" s="213"/>
      <c r="GU47" s="213"/>
      <c r="GV47" s="213"/>
      <c r="GW47" s="213"/>
      <c r="GX47" s="213"/>
      <c r="GY47" s="213"/>
      <c r="GZ47" s="213"/>
      <c r="HA47" s="213"/>
      <c r="HB47" s="213"/>
      <c r="HC47" s="213"/>
      <c r="HD47" s="213"/>
      <c r="HE47" s="213"/>
      <c r="HF47" s="213"/>
      <c r="HG47" s="213"/>
      <c r="HH47" s="213"/>
      <c r="HI47" s="213"/>
      <c r="HJ47" s="213"/>
      <c r="HK47" s="213"/>
      <c r="HL47" s="213"/>
      <c r="HM47" s="213"/>
      <c r="HN47" s="213"/>
      <c r="HO47" s="213"/>
      <c r="HP47" s="213"/>
      <c r="HQ47" s="213"/>
      <c r="HR47" s="213"/>
      <c r="HS47" s="213"/>
      <c r="HT47" s="213"/>
      <c r="HU47" s="213"/>
      <c r="HV47" s="213"/>
      <c r="HW47" s="213"/>
      <c r="HX47" s="213"/>
      <c r="HY47" s="213"/>
      <c r="HZ47" s="213"/>
      <c r="IA47" s="213"/>
      <c r="IB47" s="213"/>
      <c r="IC47" s="213"/>
      <c r="ID47" s="213"/>
      <c r="IE47" s="213"/>
      <c r="IF47" s="213"/>
      <c r="IG47" s="213"/>
      <c r="IH47" s="213"/>
      <c r="II47" s="213"/>
      <c r="IJ47" s="213"/>
      <c r="IK47" s="213"/>
      <c r="IL47" s="213"/>
      <c r="IM47" s="213"/>
      <c r="IN47" s="213"/>
      <c r="IO47" s="213"/>
      <c r="IP47" s="213"/>
      <c r="IQ47" s="213"/>
      <c r="IR47" s="213"/>
      <c r="IS47" s="213"/>
      <c r="IT47" s="213"/>
      <c r="IU47" s="213"/>
      <c r="IV47" s="213"/>
      <c r="IW47" s="213"/>
    </row>
    <row r="48" customFormat="false" ht="12.75" hidden="false" customHeight="false" outlineLevel="0" collapsed="false">
      <c r="A48" s="213" t="s">
        <v>642</v>
      </c>
      <c r="B48" s="211" t="s">
        <v>676</v>
      </c>
      <c r="C48" s="280" t="s">
        <v>677</v>
      </c>
      <c r="D48" s="235" t="s">
        <v>123</v>
      </c>
      <c r="E48" s="235" t="s">
        <v>99</v>
      </c>
      <c r="F48" s="281" t="n">
        <v>37053</v>
      </c>
      <c r="G48" s="281" t="s">
        <v>687</v>
      </c>
      <c r="H48" s="282" t="s">
        <v>678</v>
      </c>
      <c r="I48" s="281"/>
      <c r="J48" s="283" t="n">
        <v>0.0524099996546373</v>
      </c>
      <c r="K48" s="284" t="n">
        <v>0.11392282282054</v>
      </c>
      <c r="L48" s="284"/>
      <c r="P48" s="285" t="n">
        <v>2.18468979371609</v>
      </c>
      <c r="Q48" s="286" t="n">
        <v>10.7194844816168</v>
      </c>
      <c r="R48" s="287" t="n">
        <v>6.81</v>
      </c>
      <c r="S48" s="209" t="s">
        <v>686</v>
      </c>
      <c r="U48" s="288" t="n">
        <v>0</v>
      </c>
      <c r="V48" s="236" t="n">
        <v>0</v>
      </c>
      <c r="W48" s="288" t="n">
        <v>0</v>
      </c>
    </row>
    <row r="49" customFormat="false" ht="12.75" hidden="false" customHeight="false" outlineLevel="0" collapsed="false">
      <c r="A49" s="213" t="s">
        <v>644</v>
      </c>
      <c r="B49" s="211" t="s">
        <v>676</v>
      </c>
      <c r="C49" s="280" t="s">
        <v>677</v>
      </c>
      <c r="D49" s="235" t="s">
        <v>682</v>
      </c>
      <c r="E49" s="235" t="s">
        <v>232</v>
      </c>
      <c r="F49" s="281" t="n">
        <v>37110</v>
      </c>
      <c r="G49" s="281" t="s">
        <v>270</v>
      </c>
      <c r="H49" s="282" t="s">
        <v>678</v>
      </c>
      <c r="I49" s="281"/>
      <c r="J49" s="283" t="n">
        <v>0.744800594981461</v>
      </c>
      <c r="K49" s="284" t="n">
        <v>0.589140656890066</v>
      </c>
      <c r="L49" s="284"/>
      <c r="P49" s="285" t="n">
        <v>2.33775225325108</v>
      </c>
      <c r="Q49" s="286" t="n">
        <v>18.3244552058111</v>
      </c>
      <c r="R49" s="287"/>
      <c r="S49" s="209" t="s">
        <v>688</v>
      </c>
      <c r="U49" s="288" t="n">
        <v>0</v>
      </c>
      <c r="V49" s="236" t="n">
        <v>0</v>
      </c>
      <c r="W49" s="288" t="n">
        <v>0</v>
      </c>
    </row>
    <row r="50" customFormat="false" ht="12.75" hidden="false" customHeight="false" outlineLevel="0" collapsed="false">
      <c r="A50" s="213" t="s">
        <v>646</v>
      </c>
      <c r="B50" s="211" t="s">
        <v>676</v>
      </c>
      <c r="C50" s="280" t="s">
        <v>677</v>
      </c>
      <c r="D50" s="235" t="s">
        <v>123</v>
      </c>
      <c r="E50" s="235" t="s">
        <v>99</v>
      </c>
      <c r="F50" s="281" t="n">
        <v>37053</v>
      </c>
      <c r="G50" s="281" t="s">
        <v>235</v>
      </c>
      <c r="H50" s="282" t="s">
        <v>678</v>
      </c>
      <c r="I50" s="281"/>
      <c r="J50" s="283" t="n">
        <v>0.024830658551224</v>
      </c>
      <c r="K50" s="284" t="n">
        <v>0.0522219036755049</v>
      </c>
      <c r="L50" s="284"/>
      <c r="M50" s="274"/>
      <c r="N50" s="274"/>
      <c r="O50" s="274"/>
      <c r="P50" s="285" t="n">
        <v>6.51915880269576</v>
      </c>
      <c r="Q50" s="286" t="n">
        <v>13.452442159383</v>
      </c>
      <c r="R50" s="287" t="n">
        <v>9.53</v>
      </c>
      <c r="S50" s="209" t="s">
        <v>689</v>
      </c>
      <c r="T50" s="72"/>
      <c r="U50" s="288" t="n">
        <v>2</v>
      </c>
      <c r="V50" s="236" t="n">
        <v>35</v>
      </c>
      <c r="W50" s="288" t="s">
        <v>232</v>
      </c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  <c r="IW50" s="72"/>
    </row>
    <row r="51" customFormat="false" ht="12.75" hidden="false" customHeight="false" outlineLevel="0" collapsed="false">
      <c r="A51" s="213" t="s">
        <v>648</v>
      </c>
      <c r="B51" s="211" t="s">
        <v>676</v>
      </c>
      <c r="C51" s="280" t="s">
        <v>677</v>
      </c>
      <c r="D51" s="235" t="s">
        <v>682</v>
      </c>
      <c r="E51" s="235" t="s">
        <v>232</v>
      </c>
      <c r="F51" s="281" t="n">
        <v>37110</v>
      </c>
      <c r="G51" s="281" t="s">
        <v>690</v>
      </c>
      <c r="H51" s="282" t="n">
        <v>37054</v>
      </c>
      <c r="I51" s="281"/>
      <c r="J51" s="283" t="n">
        <v>0.128674830014295</v>
      </c>
      <c r="K51" s="284" t="n">
        <v>0.0227132546781171</v>
      </c>
      <c r="L51" s="284"/>
      <c r="M51" s="274"/>
      <c r="N51" s="274"/>
      <c r="O51" s="274"/>
      <c r="P51" s="285" t="n">
        <v>1.16326707832544</v>
      </c>
      <c r="Q51" s="286" t="n">
        <v>18.9147608848769</v>
      </c>
      <c r="R51" s="287"/>
      <c r="S51" s="209" t="s">
        <v>686</v>
      </c>
      <c r="T51" s="72"/>
      <c r="U51" s="288" t="n">
        <v>4</v>
      </c>
      <c r="V51" s="236" t="n">
        <v>495.023</v>
      </c>
      <c r="W51" s="288" t="s">
        <v>232</v>
      </c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  <c r="IW51" s="72"/>
    </row>
    <row r="52" customFormat="false" ht="12.75" hidden="false" customHeight="false" outlineLevel="0" collapsed="false">
      <c r="A52" s="213" t="s">
        <v>650</v>
      </c>
      <c r="B52" s="211" t="s">
        <v>676</v>
      </c>
      <c r="C52" s="280" t="s">
        <v>677</v>
      </c>
      <c r="D52" s="235" t="s">
        <v>123</v>
      </c>
      <c r="E52" s="235" t="s">
        <v>99</v>
      </c>
      <c r="F52" s="281" t="n">
        <v>37082</v>
      </c>
      <c r="G52" s="281" t="s">
        <v>235</v>
      </c>
      <c r="H52" s="282" t="s">
        <v>678</v>
      </c>
      <c r="I52" s="281"/>
      <c r="J52" s="283" t="n">
        <v>0.0119888761650431</v>
      </c>
      <c r="K52" s="284" t="n">
        <v>0.0633189749485359</v>
      </c>
      <c r="L52" s="284"/>
      <c r="M52" s="274"/>
      <c r="N52" s="274"/>
      <c r="O52" s="274"/>
      <c r="P52" s="285" t="n">
        <v>2.57643428007814</v>
      </c>
      <c r="Q52" s="286" t="n">
        <v>10.1434511434511</v>
      </c>
      <c r="R52" s="287" t="n">
        <v>6.24</v>
      </c>
      <c r="S52" s="209" t="s">
        <v>691</v>
      </c>
      <c r="T52" s="72"/>
      <c r="U52" s="288" t="n">
        <v>0</v>
      </c>
      <c r="V52" s="236" t="n">
        <v>0</v>
      </c>
      <c r="W52" s="288" t="n">
        <v>0</v>
      </c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  <c r="IW52" s="72"/>
    </row>
    <row r="53" customFormat="false" ht="12.75" hidden="false" customHeight="false" outlineLevel="0" collapsed="false">
      <c r="A53" s="213" t="s">
        <v>652</v>
      </c>
      <c r="B53" s="211" t="s">
        <v>676</v>
      </c>
      <c r="C53" s="280" t="s">
        <v>677</v>
      </c>
      <c r="D53" s="235" t="s">
        <v>123</v>
      </c>
      <c r="E53" s="235" t="s">
        <v>99</v>
      </c>
      <c r="F53" s="281" t="n">
        <v>37053</v>
      </c>
      <c r="G53" s="281" t="s">
        <v>239</v>
      </c>
      <c r="H53" s="282" t="s">
        <v>678</v>
      </c>
      <c r="I53" s="281"/>
      <c r="J53" s="283" t="n">
        <v>0.408784899373782</v>
      </c>
      <c r="K53" s="284" t="n">
        <v>0.0197637055144353</v>
      </c>
      <c r="L53" s="284"/>
      <c r="P53" s="285" t="n">
        <v>1.0091546784597</v>
      </c>
      <c r="Q53" s="286" t="n">
        <v>9.97964799855298</v>
      </c>
      <c r="R53" s="287" t="n">
        <v>8.49</v>
      </c>
      <c r="S53" s="209" t="s">
        <v>692</v>
      </c>
      <c r="U53" s="288" t="n">
        <v>0</v>
      </c>
      <c r="V53" s="236" t="n">
        <v>0</v>
      </c>
      <c r="W53" s="288" t="n">
        <v>0</v>
      </c>
    </row>
    <row r="54" customFormat="false" ht="12.75" hidden="false" customHeight="false" outlineLevel="0" collapsed="false">
      <c r="A54" s="213" t="s">
        <v>654</v>
      </c>
      <c r="B54" s="211" t="s">
        <v>676</v>
      </c>
      <c r="C54" s="280" t="s">
        <v>677</v>
      </c>
      <c r="D54" s="235" t="s">
        <v>682</v>
      </c>
      <c r="E54" s="235" t="s">
        <v>232</v>
      </c>
      <c r="F54" s="281" t="n">
        <v>37110</v>
      </c>
      <c r="G54" s="281" t="n">
        <v>0</v>
      </c>
      <c r="H54" s="282" t="s">
        <v>678</v>
      </c>
      <c r="I54" s="281"/>
      <c r="J54" s="283" t="n">
        <v>0.048965138552289</v>
      </c>
      <c r="K54" s="284" t="n">
        <v>-0.194737928969411</v>
      </c>
      <c r="L54" s="284"/>
      <c r="P54" s="285" t="n">
        <v>2.18085560187571</v>
      </c>
      <c r="Q54" s="286" t="n">
        <v>6.39698857249907</v>
      </c>
      <c r="R54" s="287"/>
      <c r="S54" s="209" t="s">
        <v>685</v>
      </c>
      <c r="U54" s="288" t="n">
        <v>0</v>
      </c>
      <c r="V54" s="236" t="n">
        <v>0</v>
      </c>
      <c r="W54" s="288" t="n">
        <v>0</v>
      </c>
    </row>
    <row r="55" customFormat="false" ht="12.75" hidden="false" customHeight="false" outlineLevel="0" collapsed="false">
      <c r="A55" s="213" t="s">
        <v>656</v>
      </c>
      <c r="B55" s="211" t="s">
        <v>676</v>
      </c>
      <c r="C55" s="280" t="s">
        <v>677</v>
      </c>
      <c r="D55" s="235" t="s">
        <v>123</v>
      </c>
      <c r="E55" s="235" t="s">
        <v>96</v>
      </c>
      <c r="F55" s="281" t="n">
        <v>37053</v>
      </c>
      <c r="G55" s="281" t="n">
        <v>0</v>
      </c>
      <c r="H55" s="282" t="s">
        <v>678</v>
      </c>
      <c r="I55" s="281"/>
      <c r="J55" s="283" t="n">
        <v>-0.0440758699263253</v>
      </c>
      <c r="K55" s="284" t="n">
        <v>-0.0979558232931727</v>
      </c>
      <c r="L55" s="284"/>
      <c r="P55" s="285" t="n">
        <v>3.83187446552389</v>
      </c>
      <c r="Q55" s="286" t="n">
        <v>10.4408719346049</v>
      </c>
      <c r="R55" s="287" t="n">
        <v>7.17</v>
      </c>
      <c r="S55" s="209" t="s">
        <v>693</v>
      </c>
      <c r="U55" s="288" t="n">
        <v>0</v>
      </c>
      <c r="V55" s="236" t="n">
        <v>0</v>
      </c>
      <c r="W55" s="288" t="n">
        <v>0</v>
      </c>
    </row>
    <row r="56" customFormat="false" ht="12.75" hidden="false" customHeight="false" outlineLevel="0" collapsed="false">
      <c r="A56" s="213" t="s">
        <v>658</v>
      </c>
      <c r="B56" s="211" t="s">
        <v>676</v>
      </c>
      <c r="C56" s="280" t="s">
        <v>677</v>
      </c>
      <c r="D56" s="235" t="s">
        <v>682</v>
      </c>
      <c r="E56" s="235" t="s">
        <v>232</v>
      </c>
      <c r="F56" s="281" t="n">
        <v>37110</v>
      </c>
      <c r="G56" s="281" t="s">
        <v>694</v>
      </c>
      <c r="H56" s="282" t="n">
        <v>37054</v>
      </c>
      <c r="I56" s="281"/>
      <c r="J56" s="283" t="n">
        <v>0.268515951577219</v>
      </c>
      <c r="K56" s="284" t="n">
        <v>0.0106408318644626</v>
      </c>
      <c r="L56" s="284"/>
      <c r="P56" s="285" t="n">
        <v>2.31248112621758</v>
      </c>
      <c r="Q56" s="286" t="n">
        <v>10.2665245202559</v>
      </c>
      <c r="R56" s="287"/>
      <c r="S56" s="209" t="s">
        <v>689</v>
      </c>
      <c r="U56" s="288" t="n">
        <v>3</v>
      </c>
      <c r="V56" s="236" t="n">
        <v>313.242</v>
      </c>
      <c r="W56" s="288" t="s">
        <v>232</v>
      </c>
    </row>
    <row r="57" customFormat="false" ht="12.75" hidden="false" customHeight="false" outlineLevel="0" collapsed="false">
      <c r="A57" s="213" t="s">
        <v>660</v>
      </c>
      <c r="B57" s="211" t="s">
        <v>676</v>
      </c>
      <c r="C57" s="280" t="s">
        <v>677</v>
      </c>
      <c r="D57" s="235" t="s">
        <v>123</v>
      </c>
      <c r="E57" s="235" t="s">
        <v>96</v>
      </c>
      <c r="F57" s="281" t="n">
        <v>37053</v>
      </c>
      <c r="G57" s="281" t="n">
        <v>0</v>
      </c>
      <c r="H57" s="282" t="s">
        <v>678</v>
      </c>
      <c r="I57" s="281"/>
      <c r="J57" s="283" t="n">
        <v>-0.212666538274081</v>
      </c>
      <c r="K57" s="284" t="n">
        <v>-0.325681075659306</v>
      </c>
      <c r="L57" s="284"/>
      <c r="P57" s="285" t="n">
        <v>2.37836049690188</v>
      </c>
      <c r="Q57" s="286" t="n">
        <v>8.69839246359276</v>
      </c>
      <c r="R57" s="287" t="n">
        <v>10.07</v>
      </c>
      <c r="S57" s="209" t="s">
        <v>695</v>
      </c>
      <c r="U57" s="288" t="n">
        <v>0</v>
      </c>
      <c r="V57" s="236" t="n">
        <v>0</v>
      </c>
      <c r="W57" s="288" t="n">
        <v>0</v>
      </c>
    </row>
    <row r="58" customFormat="false" ht="12.75" hidden="false" customHeight="false" outlineLevel="0" collapsed="false">
      <c r="A58" s="213" t="s">
        <v>662</v>
      </c>
      <c r="B58" s="211" t="s">
        <v>676</v>
      </c>
      <c r="C58" s="280" t="s">
        <v>677</v>
      </c>
      <c r="D58" s="235" t="s">
        <v>682</v>
      </c>
      <c r="E58" s="235" t="s">
        <v>232</v>
      </c>
      <c r="F58" s="281" t="n">
        <v>37110</v>
      </c>
      <c r="G58" s="281" t="s">
        <v>696</v>
      </c>
      <c r="H58" s="282" t="n">
        <v>37054</v>
      </c>
      <c r="I58" s="281"/>
      <c r="J58" s="283" t="n">
        <v>0.177256124992349</v>
      </c>
      <c r="K58" s="284" t="n">
        <v>0.0565204647698334</v>
      </c>
      <c r="L58" s="284"/>
      <c r="P58" s="285" t="n">
        <v>3.49007460742519</v>
      </c>
      <c r="Q58" s="286" t="n">
        <v>24.4909142882766</v>
      </c>
      <c r="R58" s="287"/>
      <c r="S58" s="209" t="s">
        <v>697</v>
      </c>
      <c r="U58" s="288" t="n">
        <v>3</v>
      </c>
      <c r="V58" s="236" t="n">
        <v>298.146</v>
      </c>
      <c r="W58" s="288" t="s">
        <v>232</v>
      </c>
    </row>
    <row r="59" customFormat="false" ht="12.75" hidden="false" customHeight="false" outlineLevel="0" collapsed="false">
      <c r="A59" s="213" t="s">
        <v>664</v>
      </c>
      <c r="B59" s="211" t="s">
        <v>676</v>
      </c>
      <c r="C59" s="280" t="s">
        <v>677</v>
      </c>
      <c r="D59" s="235" t="s">
        <v>682</v>
      </c>
      <c r="E59" s="235" t="s">
        <v>232</v>
      </c>
      <c r="F59" s="281" t="n">
        <v>37110</v>
      </c>
      <c r="G59" s="281" t="s">
        <v>609</v>
      </c>
      <c r="H59" s="282" t="n">
        <v>37054</v>
      </c>
      <c r="I59" s="281"/>
      <c r="J59" s="283" t="n">
        <v>0.263722613249739</v>
      </c>
      <c r="K59" s="284" t="n">
        <v>0.0911719156569287</v>
      </c>
      <c r="L59" s="284"/>
      <c r="P59" s="285" t="n">
        <v>1.34702620550063</v>
      </c>
      <c r="Q59" s="286" t="n">
        <v>16.1988130563798</v>
      </c>
      <c r="R59" s="287"/>
      <c r="S59" s="209" t="s">
        <v>697</v>
      </c>
      <c r="U59" s="288" t="n">
        <v>1</v>
      </c>
      <c r="V59" s="236" t="n">
        <v>70</v>
      </c>
      <c r="W59" s="288" t="s">
        <v>232</v>
      </c>
    </row>
    <row r="60" customFormat="false" ht="12.75" hidden="false" customHeight="false" outlineLevel="0" collapsed="false">
      <c r="A60" s="213" t="s">
        <v>666</v>
      </c>
      <c r="B60" s="211" t="s">
        <v>676</v>
      </c>
      <c r="C60" s="280" t="s">
        <v>677</v>
      </c>
      <c r="D60" s="235" t="s">
        <v>123</v>
      </c>
      <c r="E60" s="235" t="s">
        <v>99</v>
      </c>
      <c r="F60" s="281" t="n">
        <v>37053</v>
      </c>
      <c r="G60" s="281" t="s">
        <v>234</v>
      </c>
      <c r="H60" s="282" t="s">
        <v>678</v>
      </c>
      <c r="I60" s="281"/>
      <c r="J60" s="283" t="n">
        <v>0.232415715400969</v>
      </c>
      <c r="K60" s="284" t="n">
        <v>0.0622201109839571</v>
      </c>
      <c r="L60" s="284"/>
      <c r="P60" s="285" t="n">
        <v>2.41277895548851</v>
      </c>
      <c r="Q60" s="286" t="n">
        <v>13.9286252354049</v>
      </c>
      <c r="R60" s="287" t="n">
        <v>7.94</v>
      </c>
      <c r="S60" s="209" t="s">
        <v>697</v>
      </c>
      <c r="U60" s="288" t="n">
        <v>0</v>
      </c>
      <c r="V60" s="236" t="n">
        <v>0</v>
      </c>
      <c r="W60" s="288" t="n">
        <v>0</v>
      </c>
    </row>
    <row r="61" customFormat="false" ht="12.75" hidden="false" customHeight="false" outlineLevel="0" collapsed="false">
      <c r="A61" s="213" t="s">
        <v>668</v>
      </c>
      <c r="B61" s="211" t="s">
        <v>676</v>
      </c>
      <c r="C61" s="280" t="s">
        <v>677</v>
      </c>
      <c r="D61" s="235" t="s">
        <v>682</v>
      </c>
      <c r="E61" s="235" t="s">
        <v>232</v>
      </c>
      <c r="F61" s="281" t="n">
        <v>37110</v>
      </c>
      <c r="G61" s="281" t="n">
        <v>0</v>
      </c>
      <c r="H61" s="282" t="s">
        <v>678</v>
      </c>
      <c r="I61" s="281"/>
      <c r="J61" s="283" t="n">
        <v>0.370612250795734</v>
      </c>
      <c r="K61" s="284" t="n">
        <v>0.211021178326011</v>
      </c>
      <c r="L61" s="284"/>
      <c r="P61" s="285" t="n">
        <v>3.81817723334219</v>
      </c>
      <c r="Q61" s="286" t="n">
        <v>13.1259248224837</v>
      </c>
      <c r="R61" s="287" t="n">
        <v>7.56</v>
      </c>
      <c r="S61" s="209" t="s">
        <v>698</v>
      </c>
      <c r="U61" s="288" t="n">
        <v>0</v>
      </c>
      <c r="V61" s="236" t="n">
        <v>0</v>
      </c>
      <c r="W61" s="288" t="n">
        <v>0</v>
      </c>
    </row>
    <row r="62" customFormat="false" ht="12.75" hidden="false" customHeight="false" outlineLevel="0" collapsed="false">
      <c r="U62" s="275"/>
      <c r="V62" s="275"/>
      <c r="W62" s="275"/>
    </row>
    <row r="63" customFormat="false" ht="12.75" hidden="false" customHeight="false" outlineLevel="0" collapsed="false">
      <c r="U63" s="275"/>
      <c r="V63" s="275"/>
      <c r="W63" s="275"/>
    </row>
    <row r="64" customFormat="false" ht="12.75" hidden="false" customHeight="false" outlineLevel="0" collapsed="false">
      <c r="U64" s="275"/>
      <c r="V64" s="275"/>
      <c r="W64" s="275"/>
    </row>
    <row r="65" customFormat="false" ht="12.75" hidden="false" customHeight="false" outlineLevel="0" collapsed="false">
      <c r="U65" s="275"/>
      <c r="V65" s="275"/>
      <c r="W65" s="275"/>
    </row>
    <row r="69" customFormat="false" ht="12.75" hidden="false" customHeight="false" outlineLevel="0" collapsed="false">
      <c r="A69" s="72" t="s">
        <v>699</v>
      </c>
    </row>
    <row r="70" customFormat="false" ht="12.75" hidden="false" customHeight="false" outlineLevel="0" collapsed="false">
      <c r="A70" s="43" t="s">
        <v>700</v>
      </c>
    </row>
    <row r="71" customFormat="false" ht="12.75" hidden="false" customHeight="false" outlineLevel="0" collapsed="false">
      <c r="A71" s="43" t="s">
        <v>701</v>
      </c>
    </row>
    <row r="74" customFormat="false" ht="12.75" hidden="false" customHeight="false" outlineLevel="0" collapsed="false">
      <c r="A74" s="72" t="s">
        <v>702</v>
      </c>
      <c r="B74" s="289" t="n">
        <v>37109</v>
      </c>
      <c r="C74" s="289" t="n">
        <v>36744</v>
      </c>
      <c r="D74" s="72" t="s">
        <v>703</v>
      </c>
      <c r="E74" s="72"/>
      <c r="F74" s="72"/>
      <c r="G74" s="290" t="n">
        <v>36892</v>
      </c>
      <c r="H74" s="289" t="n">
        <v>37109</v>
      </c>
      <c r="I74" s="289"/>
      <c r="J74" s="72" t="s">
        <v>704</v>
      </c>
    </row>
    <row r="75" customFormat="false" ht="12.75" hidden="false" customHeight="false" outlineLevel="0" collapsed="false">
      <c r="A75" s="230" t="s">
        <v>633</v>
      </c>
      <c r="B75" s="85" t="n">
        <v>39.25746</v>
      </c>
      <c r="C75" s="85" t="n">
        <v>37.64824</v>
      </c>
      <c r="D75" s="136" t="n">
        <v>0.0427435651706428</v>
      </c>
      <c r="F75" s="230" t="s">
        <v>633</v>
      </c>
      <c r="G75" s="85" t="n">
        <v>47.80267</v>
      </c>
      <c r="H75" s="85" t="n">
        <v>39.25746</v>
      </c>
      <c r="I75" s="85"/>
      <c r="J75" s="291" t="n">
        <v>-0.178760098546797</v>
      </c>
    </row>
    <row r="76" customFormat="false" ht="12.75" hidden="false" customHeight="false" outlineLevel="0" collapsed="false">
      <c r="A76" s="230" t="s">
        <v>635</v>
      </c>
      <c r="B76" s="85" t="n">
        <v>18.51878</v>
      </c>
      <c r="C76" s="85" t="n">
        <v>17.04255</v>
      </c>
      <c r="D76" s="136" t="n">
        <v>0.0866202534245169</v>
      </c>
      <c r="F76" s="230" t="s">
        <v>635</v>
      </c>
      <c r="G76" s="85" t="n">
        <v>22.66965</v>
      </c>
      <c r="H76" s="85" t="n">
        <v>18.51878</v>
      </c>
      <c r="I76" s="85"/>
      <c r="J76" s="291" t="n">
        <v>-0.183102518124453</v>
      </c>
    </row>
    <row r="77" customFormat="false" ht="12.75" hidden="false" customHeight="false" outlineLevel="0" collapsed="false">
      <c r="A77" s="230" t="s">
        <v>637</v>
      </c>
      <c r="B77" s="85" t="n">
        <v>6.319173</v>
      </c>
      <c r="C77" s="85" t="n">
        <v>8.538081</v>
      </c>
      <c r="D77" s="136" t="n">
        <v>-0.259883690492044</v>
      </c>
      <c r="F77" s="230" t="s">
        <v>637</v>
      </c>
      <c r="G77" s="85" t="n">
        <v>6.657753</v>
      </c>
      <c r="H77" s="85" t="n">
        <v>6.319173</v>
      </c>
      <c r="I77" s="85"/>
      <c r="J77" s="291" t="n">
        <v>-0.0508549956719631</v>
      </c>
    </row>
    <row r="78" customFormat="false" ht="12.75" hidden="false" customHeight="false" outlineLevel="0" collapsed="false">
      <c r="A78" s="238" t="s">
        <v>639</v>
      </c>
      <c r="B78" s="85" t="n">
        <v>18.07349</v>
      </c>
      <c r="C78" s="85" t="n">
        <v>15.798812</v>
      </c>
      <c r="D78" s="136" t="n">
        <v>0.143977787696949</v>
      </c>
      <c r="F78" s="238" t="s">
        <v>639</v>
      </c>
      <c r="G78" s="85" t="n">
        <v>20.90534</v>
      </c>
      <c r="H78" s="85" t="n">
        <v>18.07349</v>
      </c>
      <c r="I78" s="85"/>
      <c r="J78" s="291" t="n">
        <v>-0.135460604802409</v>
      </c>
    </row>
    <row r="79" customFormat="false" ht="12.75" hidden="false" customHeight="false" outlineLevel="0" collapsed="false">
      <c r="A79" s="230" t="s">
        <v>641</v>
      </c>
      <c r="B79" s="85" t="n">
        <v>21.60961</v>
      </c>
      <c r="C79" s="85" t="n">
        <v>20.77376</v>
      </c>
      <c r="D79" s="136" t="n">
        <v>0.0402358552327552</v>
      </c>
      <c r="F79" s="230" t="s">
        <v>641</v>
      </c>
      <c r="G79" s="85" t="n">
        <v>27.36336</v>
      </c>
      <c r="H79" s="85" t="n">
        <v>21.60961</v>
      </c>
      <c r="I79" s="85"/>
      <c r="J79" s="291" t="n">
        <v>-0.210272057232737</v>
      </c>
    </row>
    <row r="80" customFormat="false" ht="12.75" hidden="false" customHeight="false" outlineLevel="0" collapsed="false">
      <c r="A80" s="230" t="s">
        <v>643</v>
      </c>
      <c r="B80" s="85" t="n">
        <v>30.77732</v>
      </c>
      <c r="C80" s="85" t="n">
        <v>29.24461</v>
      </c>
      <c r="D80" s="136" t="n">
        <v>0.0524099996546373</v>
      </c>
      <c r="F80" s="230" t="s">
        <v>643</v>
      </c>
      <c r="G80" s="85" t="n">
        <v>27.62967</v>
      </c>
      <c r="H80" s="85" t="n">
        <v>30.77732</v>
      </c>
      <c r="I80" s="85"/>
      <c r="J80" s="291" t="n">
        <v>0.11392282282054</v>
      </c>
    </row>
    <row r="81" customFormat="false" ht="12.75" hidden="false" customHeight="false" outlineLevel="0" collapsed="false">
      <c r="A81" s="230" t="s">
        <v>645</v>
      </c>
      <c r="B81" s="85" t="n">
        <v>8.093781</v>
      </c>
      <c r="C81" s="85" t="n">
        <v>4.6388</v>
      </c>
      <c r="D81" s="136" t="n">
        <v>0.744800594981461</v>
      </c>
      <c r="F81" s="230" t="s">
        <v>645</v>
      </c>
      <c r="G81" s="85" t="n">
        <v>5.093181</v>
      </c>
      <c r="H81" s="85" t="n">
        <v>8.093781</v>
      </c>
      <c r="I81" s="85"/>
      <c r="J81" s="291" t="n">
        <v>0.589140656890066</v>
      </c>
    </row>
    <row r="82" customFormat="false" ht="12.75" hidden="false" customHeight="false" outlineLevel="0" collapsed="false">
      <c r="A82" s="230" t="s">
        <v>647</v>
      </c>
      <c r="B82" s="85" t="n">
        <v>10.438096</v>
      </c>
      <c r="C82" s="85" t="n">
        <v>10.185191</v>
      </c>
      <c r="D82" s="136" t="n">
        <v>0.024830658551224</v>
      </c>
      <c r="F82" s="230" t="s">
        <v>647</v>
      </c>
      <c r="G82" s="85" t="n">
        <v>9.920052</v>
      </c>
      <c r="H82" s="85" t="n">
        <v>10.438096</v>
      </c>
      <c r="I82" s="85"/>
      <c r="J82" s="291" t="n">
        <v>0.0522219036755049</v>
      </c>
    </row>
    <row r="83" customFormat="false" ht="12.75" hidden="false" customHeight="false" outlineLevel="0" collapsed="false">
      <c r="A83" s="230" t="s">
        <v>649</v>
      </c>
      <c r="B83" s="85" t="n">
        <v>26.8614</v>
      </c>
      <c r="C83" s="85" t="n">
        <v>23.79906</v>
      </c>
      <c r="D83" s="136" t="n">
        <v>0.128674830014295</v>
      </c>
      <c r="F83" s="230" t="s">
        <v>649</v>
      </c>
      <c r="G83" s="85" t="n">
        <v>26.26484</v>
      </c>
      <c r="H83" s="85" t="n">
        <v>26.8614</v>
      </c>
      <c r="I83" s="85"/>
      <c r="J83" s="291" t="n">
        <v>0.0227132546781171</v>
      </c>
    </row>
    <row r="84" customFormat="false" ht="12.75" hidden="false" customHeight="false" outlineLevel="0" collapsed="false">
      <c r="A84" s="230" t="s">
        <v>651</v>
      </c>
      <c r="B84" s="85" t="n">
        <v>26.19347</v>
      </c>
      <c r="C84" s="85" t="n">
        <v>25.88316</v>
      </c>
      <c r="D84" s="136" t="n">
        <v>0.0119888761650431</v>
      </c>
      <c r="F84" s="230" t="s">
        <v>651</v>
      </c>
      <c r="G84" s="85" t="n">
        <v>24.63369</v>
      </c>
      <c r="H84" s="85" t="n">
        <v>26.19347</v>
      </c>
      <c r="I84" s="85"/>
      <c r="J84" s="291" t="n">
        <v>0.0633189749485359</v>
      </c>
    </row>
    <row r="85" customFormat="false" ht="12.75" hidden="false" customHeight="false" outlineLevel="0" collapsed="false">
      <c r="A85" s="230" t="s">
        <v>653</v>
      </c>
      <c r="B85" s="85" t="n">
        <v>28.41336</v>
      </c>
      <c r="C85" s="85" t="n">
        <v>20.1687</v>
      </c>
      <c r="D85" s="136" t="n">
        <v>0.408784899373782</v>
      </c>
      <c r="F85" s="230" t="s">
        <v>653</v>
      </c>
      <c r="G85" s="85" t="n">
        <v>27.86269</v>
      </c>
      <c r="H85" s="85" t="n">
        <v>28.41336</v>
      </c>
      <c r="I85" s="85"/>
      <c r="J85" s="291" t="n">
        <v>0.0197637055144353</v>
      </c>
    </row>
    <row r="86" customFormat="false" ht="12.75" hidden="false" customHeight="false" outlineLevel="0" collapsed="false">
      <c r="A86" s="230" t="s">
        <v>655</v>
      </c>
      <c r="B86" s="85" t="n">
        <v>9.167713</v>
      </c>
      <c r="C86" s="85" t="n">
        <v>8.739769</v>
      </c>
      <c r="D86" s="136" t="n">
        <v>0.048965138552289</v>
      </c>
      <c r="F86" s="230" t="s">
        <v>655</v>
      </c>
      <c r="G86" s="85" t="n">
        <v>11.384757</v>
      </c>
      <c r="H86" s="85" t="n">
        <v>9.167713</v>
      </c>
      <c r="I86" s="85"/>
      <c r="J86" s="291" t="n">
        <v>-0.194737928969411</v>
      </c>
    </row>
    <row r="87" customFormat="false" ht="12.75" hidden="false" customHeight="false" outlineLevel="0" collapsed="false">
      <c r="A87" s="230" t="s">
        <v>657</v>
      </c>
      <c r="B87" s="85" t="n">
        <v>22.4609</v>
      </c>
      <c r="C87" s="85" t="n">
        <v>23.49653</v>
      </c>
      <c r="D87" s="136" t="n">
        <v>-0.0440758699263253</v>
      </c>
      <c r="F87" s="230" t="s">
        <v>657</v>
      </c>
      <c r="G87" s="85" t="n">
        <v>24.9</v>
      </c>
      <c r="H87" s="85" t="n">
        <v>22.4609</v>
      </c>
      <c r="I87" s="85"/>
      <c r="J87" s="291" t="n">
        <v>-0.0979558232931727</v>
      </c>
    </row>
    <row r="88" customFormat="false" ht="12.75" hidden="false" customHeight="false" outlineLevel="0" collapsed="false">
      <c r="A88" s="230" t="s">
        <v>659</v>
      </c>
      <c r="B88" s="85" t="n">
        <v>25.6696</v>
      </c>
      <c r="C88" s="85" t="n">
        <v>20.23593</v>
      </c>
      <c r="D88" s="136" t="n">
        <v>0.268515951577219</v>
      </c>
      <c r="F88" s="230" t="s">
        <v>659</v>
      </c>
      <c r="G88" s="85" t="n">
        <v>25.39933</v>
      </c>
      <c r="H88" s="85" t="n">
        <v>25.6696</v>
      </c>
      <c r="I88" s="85"/>
      <c r="J88" s="291" t="n">
        <v>0.0106408318644626</v>
      </c>
    </row>
    <row r="89" customFormat="false" ht="12.75" hidden="false" customHeight="false" outlineLevel="0" collapsed="false">
      <c r="A89" s="230" t="s">
        <v>661</v>
      </c>
      <c r="B89" s="85" t="n">
        <v>14.6356</v>
      </c>
      <c r="C89" s="85" t="n">
        <v>18.58882</v>
      </c>
      <c r="D89" s="136" t="n">
        <v>-0.212666538274081</v>
      </c>
      <c r="F89" s="230" t="s">
        <v>661</v>
      </c>
      <c r="G89" s="85" t="n">
        <v>21.70427</v>
      </c>
      <c r="H89" s="85" t="n">
        <v>14.6356</v>
      </c>
      <c r="I89" s="85"/>
      <c r="J89" s="291" t="n">
        <v>-0.325681075659306</v>
      </c>
    </row>
    <row r="90" customFormat="false" ht="12.75" hidden="false" customHeight="false" outlineLevel="0" collapsed="false">
      <c r="A90" s="230" t="s">
        <v>663</v>
      </c>
      <c r="B90" s="85" t="n">
        <v>27.50314</v>
      </c>
      <c r="C90" s="85" t="n">
        <v>23.36207</v>
      </c>
      <c r="D90" s="136" t="n">
        <v>0.177256124992349</v>
      </c>
      <c r="F90" s="230" t="s">
        <v>663</v>
      </c>
      <c r="G90" s="85" t="n">
        <v>26.03181</v>
      </c>
      <c r="H90" s="85" t="n">
        <v>27.50314</v>
      </c>
      <c r="I90" s="85"/>
      <c r="J90" s="291" t="n">
        <v>0.0565204647698334</v>
      </c>
    </row>
    <row r="91" customFormat="false" ht="12.75" hidden="false" customHeight="false" outlineLevel="0" collapsed="false">
      <c r="A91" s="230" t="s">
        <v>665</v>
      </c>
      <c r="B91" s="85" t="n">
        <v>27.824</v>
      </c>
      <c r="C91" s="85" t="n">
        <v>22.01749</v>
      </c>
      <c r="D91" s="136" t="n">
        <v>0.263722613249739</v>
      </c>
      <c r="F91" s="230" t="s">
        <v>665</v>
      </c>
      <c r="G91" s="85" t="n">
        <v>25.49919</v>
      </c>
      <c r="H91" s="85" t="n">
        <v>27.824</v>
      </c>
      <c r="I91" s="85"/>
      <c r="J91" s="291" t="n">
        <v>0.0911719156569287</v>
      </c>
    </row>
    <row r="92" customFormat="false" ht="12.75" hidden="false" customHeight="false" outlineLevel="0" collapsed="false">
      <c r="A92" s="230" t="s">
        <v>667</v>
      </c>
      <c r="B92" s="85" t="n">
        <v>39.35568</v>
      </c>
      <c r="C92" s="85" t="n">
        <v>31.93377</v>
      </c>
      <c r="D92" s="136" t="n">
        <v>0.232415715400969</v>
      </c>
      <c r="F92" s="230" t="s">
        <v>667</v>
      </c>
      <c r="G92" s="85" t="n">
        <v>37.0504</v>
      </c>
      <c r="H92" s="85" t="n">
        <v>39.35568</v>
      </c>
      <c r="I92" s="85"/>
      <c r="J92" s="291" t="n">
        <v>0.0622201109839571</v>
      </c>
    </row>
    <row r="93" customFormat="false" ht="12.75" hidden="false" customHeight="false" outlineLevel="0" collapsed="false">
      <c r="A93" s="230" t="s">
        <v>669</v>
      </c>
      <c r="B93" s="85" t="n">
        <v>6.450141</v>
      </c>
      <c r="C93" s="85" t="n">
        <v>4.706029</v>
      </c>
      <c r="D93" s="136" t="n">
        <v>0.370612250795734</v>
      </c>
      <c r="F93" s="230" t="s">
        <v>669</v>
      </c>
      <c r="G93" s="85" t="n">
        <v>5.3262</v>
      </c>
      <c r="H93" s="85" t="n">
        <v>6.450141</v>
      </c>
      <c r="I93" s="85"/>
      <c r="J93" s="291" t="n">
        <v>0.211021178326011</v>
      </c>
    </row>
  </sheetData>
  <mergeCells count="21">
    <mergeCell ref="U7:W7"/>
    <mergeCell ref="E8:F8"/>
    <mergeCell ref="I8:K8"/>
    <mergeCell ref="L8:N8"/>
    <mergeCell ref="O8:Q8"/>
    <mergeCell ref="A10:C10"/>
    <mergeCell ref="H10:I10"/>
    <mergeCell ref="L10:M10"/>
    <mergeCell ref="N10:O10"/>
    <mergeCell ref="Q10:R10"/>
    <mergeCell ref="B38:C38"/>
    <mergeCell ref="D38:F38"/>
    <mergeCell ref="G38:I38"/>
    <mergeCell ref="J38:K38"/>
    <mergeCell ref="P38:S38"/>
    <mergeCell ref="U38:W38"/>
    <mergeCell ref="B39:C39"/>
    <mergeCell ref="D39:F39"/>
    <mergeCell ref="G39:I39"/>
    <mergeCell ref="P39:S39"/>
    <mergeCell ref="Q42:S42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9.71"/>
    <col collapsed="false" customWidth="true" hidden="false" outlineLevel="0" max="2" min="2" style="1" width="15.41"/>
    <col collapsed="false" customWidth="true" hidden="false" outlineLevel="0" max="3" min="3" style="1" width="12.7"/>
    <col collapsed="false" customWidth="true" hidden="false" outlineLevel="0" max="4" min="4" style="1" width="13.28"/>
    <col collapsed="false" customWidth="true" hidden="false" outlineLevel="0" max="5" min="5" style="1" width="11.7"/>
    <col collapsed="false" customWidth="true" hidden="false" outlineLevel="0" max="6" min="6" style="1" width="10.71"/>
    <col collapsed="false" customWidth="true" hidden="false" outlineLevel="0" max="7" min="7" style="1" width="11.7"/>
    <col collapsed="false" customWidth="true" hidden="false" outlineLevel="0" max="8" min="8" style="1" width="10.71"/>
    <col collapsed="false" customWidth="true" hidden="false" outlineLevel="0" max="9" min="9" style="1" width="10.13"/>
    <col collapsed="false" customWidth="true" hidden="false" outlineLevel="0" max="10" min="10" style="1" width="9.7"/>
    <col collapsed="false" customWidth="true" hidden="false" outlineLevel="0" max="11" min="11" style="1" width="10.28"/>
    <col collapsed="false" customWidth="true" hidden="false" outlineLevel="0" max="12" min="12" style="1" width="10.13"/>
    <col collapsed="false" customWidth="true" hidden="false" outlineLevel="0" max="14" min="13" style="1" width="8.7"/>
    <col collapsed="false" customWidth="true" hidden="false" outlineLevel="0" max="22" min="15" style="1" width="9.7"/>
    <col collapsed="false" customWidth="true" hidden="false" outlineLevel="0" max="23" min="23" style="1" width="10.71"/>
    <col collapsed="false" customWidth="false" hidden="false" outlineLevel="0" max="24" min="24" style="1" width="9.14"/>
    <col collapsed="false" customWidth="true" hidden="false" outlineLevel="0" max="27" min="25" style="1" width="10.71"/>
    <col collapsed="false" customWidth="true" hidden="false" outlineLevel="0" max="28" min="28" style="1" width="15.7"/>
    <col collapsed="false" customWidth="false" hidden="false" outlineLevel="0" max="257" min="29" style="1" width="9.14"/>
  </cols>
  <sheetData>
    <row r="1" customFormat="false" ht="18" hidden="false" customHeight="false" outlineLevel="0" collapsed="false">
      <c r="A1" s="2" t="s">
        <v>106</v>
      </c>
      <c r="B1" s="2"/>
      <c r="C1" s="2"/>
    </row>
    <row r="2" customFormat="false" ht="15" hidden="false" customHeight="true" outlineLevel="0" collapsed="false">
      <c r="A2" s="3" t="s">
        <v>1</v>
      </c>
      <c r="B2" s="3"/>
      <c r="C2" s="3"/>
      <c r="AD2" s="4"/>
    </row>
    <row r="3" customFormat="false" ht="12.75" hidden="false" customHeight="false" outlineLevel="0" collapsed="false">
      <c r="A3" s="5" t="s">
        <v>2</v>
      </c>
      <c r="B3" s="5"/>
      <c r="C3" s="5"/>
      <c r="AD3" s="4"/>
    </row>
    <row r="4" customFormat="false" ht="12.75" hidden="false" customHeight="false" outlineLevel="0" collapsed="false">
      <c r="A4" s="5"/>
      <c r="B4" s="5"/>
      <c r="C4" s="5"/>
      <c r="AD4" s="4"/>
    </row>
    <row r="5" customFormat="false" ht="12.75" hidden="false" customHeight="false" outlineLevel="0" collapsed="false">
      <c r="A5" s="5"/>
      <c r="B5" s="5"/>
      <c r="C5" s="5"/>
      <c r="AD5" s="4"/>
    </row>
    <row r="6" customFormat="false" ht="12.75" hidden="false" customHeight="false" outlineLevel="0" collapsed="false">
      <c r="A6" s="7" t="s">
        <v>3</v>
      </c>
      <c r="B6" s="8" t="n">
        <v>37106</v>
      </c>
      <c r="C6" s="9"/>
    </row>
    <row r="7" customFormat="false" ht="12.75" hidden="false" customHeight="false" outlineLevel="0" collapsed="false">
      <c r="D7" s="10"/>
      <c r="E7" s="10"/>
      <c r="F7" s="10"/>
      <c r="G7" s="10"/>
      <c r="H7" s="11" t="s">
        <v>4</v>
      </c>
      <c r="I7" s="10"/>
      <c r="J7" s="10"/>
      <c r="K7" s="10"/>
      <c r="L7" s="10"/>
      <c r="M7" s="10"/>
      <c r="N7" s="10"/>
      <c r="O7" s="10"/>
      <c r="P7" s="10"/>
      <c r="Q7" s="10"/>
      <c r="R7" s="12" t="s">
        <v>5</v>
      </c>
      <c r="S7" s="12"/>
      <c r="T7" s="12"/>
      <c r="U7" s="12" t="s">
        <v>6</v>
      </c>
      <c r="V7" s="12"/>
      <c r="W7" s="11" t="s">
        <v>7</v>
      </c>
    </row>
    <row r="8" customFormat="false" ht="12.75" hidden="false" customHeight="false" outlineLevel="0" collapsed="false">
      <c r="A8" s="10"/>
      <c r="B8" s="10"/>
      <c r="C8" s="11" t="s">
        <v>8</v>
      </c>
      <c r="D8" s="11" t="s">
        <v>9</v>
      </c>
      <c r="E8" s="13" t="s">
        <v>10</v>
      </c>
      <c r="F8" s="13"/>
      <c r="G8" s="11" t="s">
        <v>11</v>
      </c>
      <c r="H8" s="11" t="s">
        <v>11</v>
      </c>
      <c r="I8" s="12" t="s">
        <v>12</v>
      </c>
      <c r="J8" s="12"/>
      <c r="K8" s="66" t="s">
        <v>13</v>
      </c>
      <c r="L8" s="66"/>
      <c r="M8" s="12" t="s">
        <v>14</v>
      </c>
      <c r="N8" s="12"/>
      <c r="O8" s="13" t="s">
        <v>107</v>
      </c>
      <c r="P8" s="13" t="s">
        <v>16</v>
      </c>
      <c r="Q8" s="11" t="s">
        <v>17</v>
      </c>
      <c r="R8" s="11" t="s">
        <v>18</v>
      </c>
      <c r="S8" s="11"/>
      <c r="T8" s="11" t="s">
        <v>19</v>
      </c>
      <c r="U8" s="11" t="s">
        <v>18</v>
      </c>
      <c r="V8" s="11" t="s">
        <v>20</v>
      </c>
      <c r="W8" s="11" t="s">
        <v>21</v>
      </c>
      <c r="X8" s="13"/>
    </row>
    <row r="9" customFormat="false" ht="12.75" hidden="false" customHeight="false" outlineLevel="0" collapsed="false">
      <c r="A9" s="11" t="s">
        <v>22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30</v>
      </c>
      <c r="J9" s="11" t="s">
        <v>31</v>
      </c>
      <c r="K9" s="11" t="s">
        <v>30</v>
      </c>
      <c r="L9" s="11" t="s">
        <v>31</v>
      </c>
      <c r="M9" s="11" t="s">
        <v>30</v>
      </c>
      <c r="N9" s="11" t="s">
        <v>31</v>
      </c>
      <c r="O9" s="11" t="s">
        <v>32</v>
      </c>
      <c r="P9" s="11" t="s">
        <v>33</v>
      </c>
      <c r="Q9" s="11" t="s">
        <v>34</v>
      </c>
      <c r="R9" s="11" t="s">
        <v>35</v>
      </c>
      <c r="S9" s="11" t="s">
        <v>36</v>
      </c>
      <c r="T9" s="11" t="s">
        <v>37</v>
      </c>
      <c r="U9" s="11" t="s">
        <v>38</v>
      </c>
      <c r="V9" s="11" t="s">
        <v>6</v>
      </c>
      <c r="W9" s="11" t="s">
        <v>39</v>
      </c>
      <c r="X9" s="13"/>
    </row>
    <row r="10" customFormat="false" ht="4.9" hidden="false" customHeight="true" outlineLevel="0" collapsed="false">
      <c r="A10" s="14" t="s">
        <v>40</v>
      </c>
      <c r="B10" s="14" t="s">
        <v>40</v>
      </c>
      <c r="C10" s="14" t="s">
        <v>40</v>
      </c>
      <c r="D10" s="14" t="s">
        <v>40</v>
      </c>
      <c r="E10" s="14" t="s">
        <v>40</v>
      </c>
      <c r="F10" s="14" t="s">
        <v>40</v>
      </c>
      <c r="G10" s="14" t="s">
        <v>40</v>
      </c>
      <c r="H10" s="14" t="s">
        <v>40</v>
      </c>
      <c r="I10" s="14" t="s">
        <v>40</v>
      </c>
      <c r="J10" s="14" t="s">
        <v>40</v>
      </c>
      <c r="K10" s="14" t="s">
        <v>40</v>
      </c>
      <c r="L10" s="14" t="s">
        <v>40</v>
      </c>
      <c r="M10" s="14" t="s">
        <v>40</v>
      </c>
      <c r="N10" s="14" t="s">
        <v>40</v>
      </c>
      <c r="O10" s="14" t="s">
        <v>40</v>
      </c>
      <c r="P10" s="14" t="s">
        <v>40</v>
      </c>
      <c r="Q10" s="14" t="s">
        <v>40</v>
      </c>
      <c r="R10" s="14" t="s">
        <v>40</v>
      </c>
      <c r="S10" s="14" t="s">
        <v>40</v>
      </c>
      <c r="T10" s="14" t="s">
        <v>40</v>
      </c>
      <c r="U10" s="14" t="s">
        <v>40</v>
      </c>
      <c r="V10" s="14" t="s">
        <v>40</v>
      </c>
      <c r="W10" s="14" t="s">
        <v>40</v>
      </c>
      <c r="X10" s="15"/>
    </row>
    <row r="11" customFormat="false" ht="12.95" hidden="false" customHeight="true" outlineLevel="0" collapsed="false">
      <c r="A11" s="1" t="s">
        <v>108</v>
      </c>
      <c r="B11" s="25" t="s">
        <v>109</v>
      </c>
      <c r="C11" s="25" t="n">
        <v>37085</v>
      </c>
      <c r="D11" s="18" t="n">
        <v>76.5</v>
      </c>
      <c r="E11" s="18" t="n">
        <v>90.4</v>
      </c>
      <c r="F11" s="18" t="n">
        <v>58.125</v>
      </c>
      <c r="G11" s="19" t="n">
        <v>6821.00063545</v>
      </c>
      <c r="H11" s="19" t="n">
        <v>8163.00063545</v>
      </c>
      <c r="I11" s="21" t="n">
        <v>6.37959049854152</v>
      </c>
      <c r="J11" s="21" t="n">
        <v>12.5514096231062</v>
      </c>
      <c r="K11" s="21" t="n">
        <v>3.29135621863499</v>
      </c>
      <c r="L11" s="21" t="n">
        <v>4.60636252102741</v>
      </c>
      <c r="M11" s="21" t="n">
        <v>2.7624301663094</v>
      </c>
      <c r="N11" s="21" t="n">
        <v>4.1352320011015</v>
      </c>
      <c r="O11" s="22" t="n">
        <v>0.322692793931732</v>
      </c>
      <c r="P11" s="21" t="n">
        <v>1.59146071755716</v>
      </c>
      <c r="Q11" s="22" t="n">
        <v>0.01568628</v>
      </c>
      <c r="R11" s="26" t="n">
        <v>1120.5</v>
      </c>
      <c r="S11" s="22" t="n">
        <v>0.316376617581437</v>
      </c>
      <c r="T11" s="18" t="n">
        <v>5.88642099580409</v>
      </c>
      <c r="U11" s="19" t="n">
        <v>7200</v>
      </c>
      <c r="V11" s="21" t="n">
        <v>0.808003701133472</v>
      </c>
      <c r="W11" s="24" t="n">
        <v>89.9986889490698</v>
      </c>
      <c r="AB11" s="67" t="s">
        <v>110</v>
      </c>
    </row>
    <row r="12" customFormat="false" ht="12.95" hidden="false" customHeight="true" outlineLevel="0" collapsed="false">
      <c r="A12" s="1" t="s">
        <v>111</v>
      </c>
      <c r="B12" s="25" t="s">
        <v>112</v>
      </c>
      <c r="C12" s="25" t="n">
        <v>37106</v>
      </c>
      <c r="D12" s="18" t="n">
        <v>29.9050140209243</v>
      </c>
      <c r="E12" s="18" t="n">
        <v>33.2420336502183</v>
      </c>
      <c r="F12" s="18" t="n">
        <v>22.5938376307768</v>
      </c>
      <c r="G12" s="19" t="n">
        <v>19014.455965796</v>
      </c>
      <c r="H12" s="19" t="n">
        <v>28921.1039855395</v>
      </c>
      <c r="I12" s="21" t="n">
        <v>8.91391425272854</v>
      </c>
      <c r="J12" s="21" t="n">
        <v>14.5036177425432</v>
      </c>
      <c r="K12" s="21" t="n">
        <v>4.61500729963755</v>
      </c>
      <c r="L12" s="21" t="n">
        <v>5.27010425745565</v>
      </c>
      <c r="M12" s="21" t="n">
        <v>4.31485465676413</v>
      </c>
      <c r="N12" s="21" t="n">
        <v>5.33974234238206</v>
      </c>
      <c r="O12" s="22" t="n">
        <v>0.601762657302611</v>
      </c>
      <c r="P12" s="21" t="n">
        <v>2.48209285243582</v>
      </c>
      <c r="Q12" s="22" t="n">
        <v>0.02537563</v>
      </c>
      <c r="R12" s="26" t="n">
        <v>3920.7835</v>
      </c>
      <c r="S12" s="22" t="n">
        <v>0.412756659478903</v>
      </c>
      <c r="T12" s="18" t="n">
        <v>3.59060480275444</v>
      </c>
      <c r="U12" s="19" t="n">
        <v>17776</v>
      </c>
      <c r="V12" s="21" t="n">
        <v>0.486772015089718</v>
      </c>
      <c r="W12" s="24" t="n">
        <v>635.828358164011</v>
      </c>
      <c r="X12" s="28"/>
      <c r="AB12" s="68" t="n">
        <v>50</v>
      </c>
    </row>
    <row r="13" customFormat="false" ht="12.95" hidden="false" customHeight="true" outlineLevel="0" collapsed="false">
      <c r="A13" s="1" t="s">
        <v>113</v>
      </c>
      <c r="B13" s="25" t="s">
        <v>114</v>
      </c>
      <c r="C13" s="25" t="n">
        <v>37106</v>
      </c>
      <c r="D13" s="18" t="n">
        <v>29.6</v>
      </c>
      <c r="E13" s="18" t="n">
        <v>33.73</v>
      </c>
      <c r="F13" s="18" t="n">
        <v>25.1875</v>
      </c>
      <c r="G13" s="19" t="n">
        <v>9150.1769275</v>
      </c>
      <c r="H13" s="19" t="n">
        <v>14238.1769275</v>
      </c>
      <c r="I13" s="21" t="n">
        <v>6.09442528967397</v>
      </c>
      <c r="J13" s="21" t="n">
        <v>11.1238347568172</v>
      </c>
      <c r="K13" s="21" t="n">
        <v>2.62611198537841</v>
      </c>
      <c r="L13" s="21" t="n">
        <v>3.61113689730831</v>
      </c>
      <c r="M13" s="21" t="n">
        <v>4.1405104337616</v>
      </c>
      <c r="N13" s="21" t="n">
        <v>5.88386960424873</v>
      </c>
      <c r="O13" s="22" t="n">
        <v>0.329447682486817</v>
      </c>
      <c r="P13" s="21" t="n">
        <v>1.72319716148776</v>
      </c>
      <c r="Q13" s="22" t="n">
        <v>0.03108108</v>
      </c>
      <c r="R13" s="26" t="n">
        <v>1232.66666666667</v>
      </c>
      <c r="S13" s="22" t="n">
        <v>0.418334234721471</v>
      </c>
      <c r="T13" s="18" t="n">
        <v>6.7998268004649</v>
      </c>
      <c r="U13" s="19" t="n">
        <v>10273</v>
      </c>
      <c r="V13" s="21" t="n">
        <v>0.588693333333333</v>
      </c>
      <c r="W13" s="24" t="n">
        <v>309.127598902027</v>
      </c>
      <c r="X13" s="28"/>
    </row>
    <row r="14" customFormat="false" ht="12.95" hidden="false" customHeight="true" outlineLevel="0" collapsed="false">
      <c r="A14" s="1" t="s">
        <v>115</v>
      </c>
      <c r="B14" s="25" t="s">
        <v>116</v>
      </c>
      <c r="C14" s="25" t="n">
        <v>37106</v>
      </c>
      <c r="D14" s="18" t="n">
        <v>75.75</v>
      </c>
      <c r="E14" s="18" t="n">
        <v>87.85</v>
      </c>
      <c r="F14" s="18" t="n">
        <v>53.375</v>
      </c>
      <c r="G14" s="19" t="n">
        <v>3428.61271745</v>
      </c>
      <c r="H14" s="19" t="n">
        <v>3822.23471745</v>
      </c>
      <c r="I14" s="21" t="n">
        <v>11.0422309740741</v>
      </c>
      <c r="J14" s="21" t="n">
        <v>10.9575350509748</v>
      </c>
      <c r="K14" s="21" t="n">
        <v>4.63576624858031</v>
      </c>
      <c r="L14" s="21" t="n">
        <v>4.3872203678183</v>
      </c>
      <c r="M14" s="21" t="n">
        <v>4.37576956777333</v>
      </c>
      <c r="N14" s="21" t="n">
        <v>3.9918900443342</v>
      </c>
      <c r="O14" s="22" t="n">
        <v>0.300681875035304</v>
      </c>
      <c r="P14" s="21" t="n">
        <v>2.63754859318699</v>
      </c>
      <c r="Q14" s="22" t="n">
        <v>0.019802</v>
      </c>
      <c r="R14" s="26" t="n">
        <v>442.333333333333</v>
      </c>
      <c r="S14" s="22" t="n">
        <v>0.262773172569706</v>
      </c>
      <c r="T14" s="18" t="n">
        <v>6.32441795307284</v>
      </c>
      <c r="U14" s="19" t="n">
        <v>2603.8</v>
      </c>
      <c r="V14" s="21" t="n">
        <v>0.731901905920167</v>
      </c>
      <c r="W14" s="24" t="n">
        <v>45.2622140917492</v>
      </c>
      <c r="X14" s="28"/>
    </row>
    <row r="15" customFormat="false" ht="12.95" hidden="false" customHeight="true" outlineLevel="0" collapsed="false">
      <c r="A15" s="1" t="s">
        <v>117</v>
      </c>
      <c r="B15" s="25" t="s">
        <v>118</v>
      </c>
      <c r="C15" s="25" t="n">
        <v>37106</v>
      </c>
      <c r="D15" s="18" t="n">
        <v>27.3</v>
      </c>
      <c r="E15" s="18" t="n">
        <v>31.1</v>
      </c>
      <c r="F15" s="18" t="n">
        <v>19.0625</v>
      </c>
      <c r="G15" s="19" t="n">
        <v>10151.4886436</v>
      </c>
      <c r="H15" s="19" t="n">
        <v>17823.4886436</v>
      </c>
      <c r="I15" s="21" t="n">
        <v>7.6499537630746</v>
      </c>
      <c r="J15" s="21" t="n">
        <v>13.5715088818182</v>
      </c>
      <c r="K15" s="21" t="n">
        <v>4.29965635052944</v>
      </c>
      <c r="L15" s="21" t="n">
        <v>5.74179221923077</v>
      </c>
      <c r="M15" s="21" t="n">
        <v>4.96061470737545</v>
      </c>
      <c r="N15" s="21" t="n">
        <v>6.665478176365</v>
      </c>
      <c r="O15" s="22" t="n">
        <v>0.435979562266453</v>
      </c>
      <c r="P15" s="21" t="n">
        <v>1.97422960785687</v>
      </c>
      <c r="Q15" s="22" t="n">
        <v>0.03663004</v>
      </c>
      <c r="R15" s="26" t="n">
        <v>2171.33333333333</v>
      </c>
      <c r="S15" s="22" t="n">
        <v>0.169634633097943</v>
      </c>
      <c r="T15" s="18" t="n">
        <v>6.11360239322042</v>
      </c>
      <c r="U15" s="19" t="n">
        <v>15344</v>
      </c>
      <c r="V15" s="21" t="n">
        <v>0.744785093905427</v>
      </c>
      <c r="W15" s="24" t="n">
        <v>371.849400864469</v>
      </c>
      <c r="X15" s="28"/>
    </row>
    <row r="16" customFormat="false" ht="12.95" hidden="false" customHeight="true" outlineLevel="0" collapsed="false">
      <c r="A16" s="1" t="s">
        <v>119</v>
      </c>
      <c r="B16" s="25" t="s">
        <v>120</v>
      </c>
      <c r="C16" s="25" t="n">
        <v>37106</v>
      </c>
      <c r="D16" s="18" t="n">
        <v>56.66</v>
      </c>
      <c r="E16" s="18" t="n">
        <v>70</v>
      </c>
      <c r="F16" s="18" t="n">
        <v>51.5</v>
      </c>
      <c r="G16" s="19" t="n">
        <v>21787.294162926</v>
      </c>
      <c r="H16" s="19" t="n">
        <v>30837.794162926</v>
      </c>
      <c r="I16" s="21" t="n">
        <v>9.5703632150521</v>
      </c>
      <c r="J16" s="21" t="n">
        <v>12.2596533112255</v>
      </c>
      <c r="K16" s="21" t="n">
        <v>4.9355179977415</v>
      </c>
      <c r="L16" s="21" t="n">
        <v>5.55830993355558</v>
      </c>
      <c r="M16" s="21" t="n">
        <v>4.44409385417324</v>
      </c>
      <c r="N16" s="21" t="n">
        <v>5.19209144118182</v>
      </c>
      <c r="O16" s="22" t="n">
        <v>0.492098597507751</v>
      </c>
      <c r="P16" s="21" t="n">
        <v>2.29714736284738</v>
      </c>
      <c r="Q16" s="22" t="n">
        <v>0.02541476</v>
      </c>
      <c r="R16" s="26" t="n">
        <v>5019.33333333333</v>
      </c>
      <c r="S16" s="22" t="n">
        <v>0.283370965599681</v>
      </c>
      <c r="T16" s="18" t="n">
        <v>3.10340950846795</v>
      </c>
      <c r="U16" s="19" t="n">
        <v>20417</v>
      </c>
      <c r="V16" s="21" t="n">
        <v>0.505128437868748</v>
      </c>
      <c r="W16" s="24" t="n">
        <v>384.526900157536</v>
      </c>
      <c r="X16" s="28"/>
    </row>
    <row r="17" customFormat="false" ht="12.95" hidden="false" customHeight="true" outlineLevel="0" collapsed="false">
      <c r="A17" s="35"/>
      <c r="B17" s="36"/>
      <c r="C17" s="53"/>
      <c r="D17" s="18"/>
      <c r="E17" s="18"/>
      <c r="F17" s="18"/>
      <c r="G17" s="19"/>
      <c r="H17" s="19"/>
      <c r="I17" s="21"/>
      <c r="J17" s="21"/>
      <c r="K17" s="21"/>
      <c r="L17" s="21"/>
      <c r="M17" s="21"/>
      <c r="N17" s="21"/>
      <c r="O17" s="22"/>
      <c r="P17" s="21"/>
      <c r="Q17" s="22"/>
      <c r="R17" s="26"/>
      <c r="S17" s="22"/>
      <c r="T17" s="18"/>
      <c r="U17" s="19"/>
      <c r="V17" s="21"/>
      <c r="W17" s="27"/>
      <c r="X17" s="28"/>
      <c r="Y17" s="16"/>
      <c r="Z17" s="69"/>
      <c r="AA17" s="70"/>
      <c r="AB17" s="15"/>
    </row>
    <row r="18" customFormat="false" ht="12.95" hidden="false" customHeight="true" outlineLevel="0" collapsed="false">
      <c r="B18" s="16"/>
      <c r="C18" s="25"/>
      <c r="D18" s="18"/>
      <c r="E18" s="18"/>
      <c r="F18" s="18"/>
      <c r="G18" s="19"/>
      <c r="H18" s="19"/>
      <c r="I18" s="21"/>
      <c r="J18" s="21"/>
      <c r="K18" s="21"/>
      <c r="L18" s="21"/>
      <c r="M18" s="21"/>
      <c r="N18" s="21"/>
      <c r="O18" s="22"/>
      <c r="P18" s="21"/>
      <c r="Q18" s="22"/>
      <c r="R18" s="26"/>
      <c r="S18" s="22"/>
      <c r="T18" s="18"/>
      <c r="U18" s="37"/>
      <c r="V18" s="21"/>
      <c r="W18" s="27"/>
    </row>
    <row r="19" customFormat="false" ht="12.95" hidden="false" customHeight="true" outlineLevel="0" collapsed="false">
      <c r="B19" s="30"/>
      <c r="C19" s="30"/>
      <c r="D19" s="30"/>
      <c r="E19" s="30"/>
      <c r="F19" s="30"/>
      <c r="G19" s="39"/>
      <c r="H19" s="40" t="s">
        <v>56</v>
      </c>
      <c r="I19" s="21" t="n">
        <v>8.27507966552413</v>
      </c>
      <c r="J19" s="21" t="n">
        <v>12.4945932277475</v>
      </c>
      <c r="K19" s="21" t="n">
        <v>4.06723601675036</v>
      </c>
      <c r="L19" s="21" t="n">
        <v>4.86248769939934</v>
      </c>
      <c r="M19" s="21" t="n">
        <v>4.16637889769286</v>
      </c>
      <c r="N19" s="21" t="n">
        <v>5.20138393493555</v>
      </c>
      <c r="O19" s="22" t="n">
        <v>0.413777194755111</v>
      </c>
      <c r="P19" s="21" t="n">
        <v>2.11761271589533</v>
      </c>
      <c r="Q19" s="22" t="n">
        <v>0.025664965</v>
      </c>
      <c r="R19" s="26"/>
      <c r="S19" s="22" t="n">
        <v>0.310541047174857</v>
      </c>
      <c r="T19" s="18" t="n">
        <v>5.30304707563077</v>
      </c>
      <c r="U19" s="19"/>
      <c r="V19" s="21" t="n">
        <v>0.644214081208478</v>
      </c>
      <c r="W19" s="30"/>
    </row>
    <row r="20" customFormat="false" ht="12.95" hidden="false" customHeight="true" outlineLevel="0" collapsed="false">
      <c r="B20" s="30"/>
      <c r="C20" s="30"/>
      <c r="D20" s="30"/>
      <c r="E20" s="30"/>
      <c r="F20" s="30"/>
      <c r="G20" s="39"/>
      <c r="H20" s="40" t="s">
        <v>57</v>
      </c>
      <c r="I20" s="21" t="n">
        <v>8.28193400790157</v>
      </c>
      <c r="J20" s="21" t="n">
        <v>12.4055314671658</v>
      </c>
      <c r="K20" s="21" t="n">
        <v>4.45733182508349</v>
      </c>
      <c r="L20" s="21" t="n">
        <v>4.93823338924153</v>
      </c>
      <c r="M20" s="21" t="n">
        <v>4.34531211226873</v>
      </c>
      <c r="N20" s="21" t="n">
        <v>5.26591689178194</v>
      </c>
      <c r="O20" s="22" t="n">
        <v>0.382713622376635</v>
      </c>
      <c r="P20" s="21" t="n">
        <v>2.13568848535212</v>
      </c>
      <c r="Q20" s="22" t="n">
        <v>0.025395195</v>
      </c>
      <c r="R20" s="26"/>
      <c r="S20" s="22" t="n">
        <v>0.299873791590559</v>
      </c>
      <c r="T20" s="18" t="n">
        <v>6.00001169451225</v>
      </c>
      <c r="U20" s="19"/>
      <c r="V20" s="21" t="n">
        <v>0.66029761962675</v>
      </c>
      <c r="W20" s="30"/>
    </row>
    <row r="21" customFormat="false" ht="12.95" hidden="false" customHeight="true" outlineLevel="0" collapsed="false">
      <c r="B21" s="30"/>
      <c r="C21" s="30"/>
      <c r="D21" s="30"/>
      <c r="E21" s="30"/>
      <c r="F21" s="30"/>
      <c r="G21" s="39"/>
      <c r="H21" s="40" t="s">
        <v>26</v>
      </c>
      <c r="I21" s="21" t="n">
        <v>11.0422309740741</v>
      </c>
      <c r="J21" s="21" t="n">
        <v>14.5036177425432</v>
      </c>
      <c r="K21" s="21" t="n">
        <v>4.9355179977415</v>
      </c>
      <c r="L21" s="21" t="n">
        <v>5.74179221923077</v>
      </c>
      <c r="M21" s="21" t="n">
        <v>4.96061470737545</v>
      </c>
      <c r="N21" s="21" t="n">
        <v>6.665478176365</v>
      </c>
      <c r="O21" s="22" t="n">
        <v>0.601762657302611</v>
      </c>
      <c r="P21" s="21" t="n">
        <v>2.63754859318699</v>
      </c>
      <c r="Q21" s="22" t="n">
        <v>0.03663004</v>
      </c>
      <c r="R21" s="26"/>
      <c r="S21" s="22" t="n">
        <v>0.418334234721471</v>
      </c>
      <c r="T21" s="18" t="n">
        <v>6.7998268004649</v>
      </c>
      <c r="U21" s="19"/>
      <c r="V21" s="21" t="n">
        <v>0.808003701133472</v>
      </c>
      <c r="W21" s="30"/>
    </row>
    <row r="22" customFormat="false" ht="12.95" hidden="false" customHeight="true" outlineLevel="0" collapsed="false">
      <c r="B22" s="30"/>
      <c r="C22" s="30"/>
      <c r="D22" s="30"/>
      <c r="E22" s="30"/>
      <c r="F22" s="30"/>
      <c r="G22" s="39"/>
      <c r="H22" s="40" t="s">
        <v>27</v>
      </c>
      <c r="I22" s="21" t="n">
        <v>6.09442528967397</v>
      </c>
      <c r="J22" s="21" t="n">
        <v>10.9575350509748</v>
      </c>
      <c r="K22" s="21" t="n">
        <v>2.62611198537841</v>
      </c>
      <c r="L22" s="21" t="n">
        <v>3.61113689730831</v>
      </c>
      <c r="M22" s="21" t="n">
        <v>2.7624301663094</v>
      </c>
      <c r="N22" s="21" t="n">
        <v>3.9918900443342</v>
      </c>
      <c r="O22" s="22" t="n">
        <v>0.300681875035304</v>
      </c>
      <c r="P22" s="21" t="n">
        <v>1.59146071755716</v>
      </c>
      <c r="Q22" s="22" t="n">
        <v>0.01568628</v>
      </c>
      <c r="R22" s="26"/>
      <c r="S22" s="22" t="n">
        <v>0.169634633097943</v>
      </c>
      <c r="T22" s="18" t="n">
        <v>3.10340950846795</v>
      </c>
      <c r="U22" s="19"/>
      <c r="V22" s="21" t="n">
        <v>0.486772015089718</v>
      </c>
      <c r="W22" s="30"/>
    </row>
    <row r="23" customFormat="false" ht="12.95" hidden="false" customHeight="true" outlineLevel="0" collapsed="false"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customFormat="false" ht="12.95" hidden="false" customHeight="true" outlineLevel="0" collapsed="false">
      <c r="B24" s="30"/>
      <c r="C24" s="30"/>
      <c r="D24" s="30"/>
      <c r="R24" s="13" t="s">
        <v>58</v>
      </c>
      <c r="S24" s="13"/>
      <c r="T24" s="13"/>
      <c r="U24" s="13"/>
      <c r="V24" s="13"/>
    </row>
    <row r="25" customFormat="false" ht="12.95" hidden="false" customHeight="true" outlineLevel="0" collapsed="false">
      <c r="A25" s="43"/>
      <c r="B25" s="13" t="s">
        <v>59</v>
      </c>
      <c r="C25" s="13"/>
      <c r="D25" s="13" t="s">
        <v>60</v>
      </c>
      <c r="E25" s="13"/>
      <c r="F25" s="13"/>
      <c r="G25" s="13" t="s">
        <v>61</v>
      </c>
      <c r="H25" s="13"/>
      <c r="I25" s="13" t="s">
        <v>62</v>
      </c>
      <c r="J25" s="13"/>
      <c r="M25" s="13" t="s">
        <v>63</v>
      </c>
      <c r="N25" s="13"/>
      <c r="O25" s="13"/>
      <c r="P25" s="13"/>
      <c r="R25" s="13" t="s">
        <v>64</v>
      </c>
      <c r="S25" s="13"/>
      <c r="T25" s="13"/>
      <c r="U25" s="13"/>
      <c r="V25" s="13"/>
      <c r="X25" s="44"/>
    </row>
    <row r="26" customFormat="false" ht="3.6" hidden="false" customHeight="true" outlineLevel="0" collapsed="false">
      <c r="A26" s="43"/>
      <c r="B26" s="45" t="s">
        <v>40</v>
      </c>
      <c r="C26" s="45"/>
      <c r="D26" s="45" t="s">
        <v>40</v>
      </c>
      <c r="E26" s="45"/>
      <c r="F26" s="45"/>
      <c r="G26" s="45" t="s">
        <v>40</v>
      </c>
      <c r="H26" s="45"/>
      <c r="I26" s="45" t="s">
        <v>40</v>
      </c>
      <c r="J26" s="45"/>
      <c r="M26" s="45" t="s">
        <v>40</v>
      </c>
      <c r="N26" s="45"/>
      <c r="O26" s="45"/>
      <c r="P26" s="45"/>
      <c r="R26" s="45" t="s">
        <v>40</v>
      </c>
      <c r="S26" s="45"/>
      <c r="T26" s="45"/>
      <c r="U26" s="45"/>
      <c r="V26" s="45"/>
      <c r="X26" s="44"/>
    </row>
    <row r="27" customFormat="false" ht="12.75" hidden="false" customHeight="false" outlineLevel="0" collapsed="false">
      <c r="A27" s="10"/>
      <c r="B27" s="16"/>
      <c r="C27" s="16"/>
      <c r="D27" s="13" t="s">
        <v>65</v>
      </c>
      <c r="E27" s="13" t="s">
        <v>66</v>
      </c>
      <c r="F27" s="13" t="s">
        <v>8</v>
      </c>
      <c r="G27" s="16" t="s">
        <v>67</v>
      </c>
      <c r="M27" s="13" t="s">
        <v>68</v>
      </c>
      <c r="N27" s="13"/>
      <c r="O27" s="13" t="s">
        <v>69</v>
      </c>
      <c r="P27" s="13" t="s">
        <v>70</v>
      </c>
      <c r="R27" s="13" t="s">
        <v>71</v>
      </c>
      <c r="S27" s="13" t="s">
        <v>72</v>
      </c>
      <c r="T27" s="13" t="s">
        <v>73</v>
      </c>
      <c r="U27" s="13" t="s">
        <v>74</v>
      </c>
      <c r="V27" s="13" t="s">
        <v>75</v>
      </c>
      <c r="X27" s="44"/>
    </row>
    <row r="28" customFormat="false" ht="12.75" hidden="false" customHeight="false" outlineLevel="0" collapsed="false">
      <c r="A28" s="11" t="s">
        <v>22</v>
      </c>
      <c r="B28" s="16" t="s">
        <v>76</v>
      </c>
      <c r="C28" s="16" t="s">
        <v>77</v>
      </c>
      <c r="D28" s="11" t="s">
        <v>78</v>
      </c>
      <c r="E28" s="11" t="s">
        <v>79</v>
      </c>
      <c r="F28" s="11" t="s">
        <v>80</v>
      </c>
      <c r="G28" s="16" t="s">
        <v>81</v>
      </c>
      <c r="H28" s="16" t="s">
        <v>8</v>
      </c>
      <c r="I28" s="11" t="s">
        <v>82</v>
      </c>
      <c r="J28" s="11" t="s">
        <v>83</v>
      </c>
      <c r="M28" s="11" t="s">
        <v>84</v>
      </c>
      <c r="N28" s="11" t="s">
        <v>85</v>
      </c>
      <c r="O28" s="11" t="s">
        <v>86</v>
      </c>
      <c r="P28" s="11" t="s">
        <v>87</v>
      </c>
      <c r="R28" s="11" t="s">
        <v>88</v>
      </c>
      <c r="S28" s="11" t="s">
        <v>89</v>
      </c>
      <c r="T28" s="11" t="s">
        <v>90</v>
      </c>
      <c r="U28" s="11" t="s">
        <v>91</v>
      </c>
      <c r="V28" s="11" t="s">
        <v>92</v>
      </c>
      <c r="X28" s="13"/>
    </row>
    <row r="29" customFormat="false" ht="3.6" hidden="false" customHeight="true" outlineLevel="0" collapsed="false">
      <c r="A29" s="14" t="s">
        <v>40</v>
      </c>
      <c r="B29" s="14" t="s">
        <v>40</v>
      </c>
      <c r="C29" s="14" t="s">
        <v>40</v>
      </c>
      <c r="D29" s="14" t="s">
        <v>40</v>
      </c>
      <c r="E29" s="14" t="s">
        <v>40</v>
      </c>
      <c r="F29" s="14" t="s">
        <v>40</v>
      </c>
      <c r="G29" s="14" t="s">
        <v>40</v>
      </c>
      <c r="H29" s="14" t="s">
        <v>40</v>
      </c>
      <c r="I29" s="14" t="s">
        <v>40</v>
      </c>
      <c r="J29" s="14" t="s">
        <v>40</v>
      </c>
      <c r="M29" s="14" t="s">
        <v>40</v>
      </c>
      <c r="N29" s="14" t="s">
        <v>40</v>
      </c>
      <c r="O29" s="14" t="s">
        <v>40</v>
      </c>
      <c r="P29" s="14" t="s">
        <v>40</v>
      </c>
      <c r="R29" s="14" t="s">
        <v>40</v>
      </c>
      <c r="S29" s="14" t="s">
        <v>40</v>
      </c>
      <c r="T29" s="14" t="s">
        <v>40</v>
      </c>
      <c r="U29" s="14" t="s">
        <v>40</v>
      </c>
      <c r="V29" s="14" t="s">
        <v>40</v>
      </c>
      <c r="X29" s="46"/>
    </row>
    <row r="30" customFormat="false" ht="12.95" hidden="false" customHeight="true" outlineLevel="0" collapsed="false">
      <c r="A30" s="1" t="s">
        <v>108</v>
      </c>
      <c r="B30" s="1" t="s">
        <v>121</v>
      </c>
      <c r="C30" s="15" t="s">
        <v>122</v>
      </c>
      <c r="D30" s="15" t="s">
        <v>123</v>
      </c>
      <c r="E30" s="15" t="s">
        <v>96</v>
      </c>
      <c r="F30" s="25" t="n">
        <v>37032</v>
      </c>
      <c r="G30" s="16" t="s">
        <v>124</v>
      </c>
      <c r="H30" s="25" t="n">
        <v>37032</v>
      </c>
      <c r="I30" s="22" t="n">
        <v>0</v>
      </c>
      <c r="J30" s="22" t="n">
        <v>0</v>
      </c>
      <c r="K30" s="16"/>
      <c r="L30" s="16"/>
      <c r="M30" s="22" t="n">
        <v>1.37309417040359</v>
      </c>
      <c r="N30" s="21" t="n">
        <v>8.14909090909091</v>
      </c>
      <c r="O30" s="18" t="n">
        <v>6.21881703953417</v>
      </c>
      <c r="P30" s="15" t="s">
        <v>98</v>
      </c>
      <c r="Q30" s="16"/>
      <c r="R30" s="23" t="n">
        <v>2</v>
      </c>
      <c r="S30" s="23" t="n">
        <v>605</v>
      </c>
      <c r="T30" s="24" t="n">
        <v>7.49425619834711</v>
      </c>
      <c r="U30" s="23" t="n">
        <v>929</v>
      </c>
      <c r="V30" s="23" t="s">
        <v>51</v>
      </c>
      <c r="W30" s="16"/>
      <c r="X30" s="48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  <c r="GU30" s="16"/>
      <c r="GV30" s="16"/>
      <c r="GW30" s="16"/>
      <c r="GX30" s="16"/>
      <c r="GY30" s="16"/>
      <c r="GZ30" s="16"/>
      <c r="HA30" s="16"/>
      <c r="HB30" s="16"/>
      <c r="HC30" s="16"/>
      <c r="HD30" s="16"/>
      <c r="HE30" s="16"/>
      <c r="HF30" s="16"/>
      <c r="HG30" s="16"/>
      <c r="HH30" s="16"/>
      <c r="HI30" s="16"/>
      <c r="HJ30" s="16"/>
      <c r="HK30" s="16"/>
      <c r="HL30" s="16"/>
      <c r="HM30" s="16"/>
      <c r="HN30" s="16"/>
      <c r="HO30" s="16"/>
      <c r="HP30" s="16"/>
      <c r="HQ30" s="16"/>
      <c r="HR30" s="16"/>
      <c r="HS30" s="16"/>
      <c r="HT30" s="16"/>
      <c r="HU30" s="16"/>
      <c r="HV30" s="16"/>
      <c r="HW30" s="16"/>
      <c r="HX30" s="16"/>
      <c r="HY30" s="16"/>
      <c r="HZ30" s="16"/>
      <c r="IA30" s="16"/>
      <c r="IB30" s="16"/>
      <c r="IC30" s="16"/>
      <c r="ID30" s="16"/>
      <c r="IE30" s="16"/>
      <c r="IF30" s="16"/>
      <c r="IG30" s="16"/>
      <c r="IH30" s="16"/>
      <c r="II30" s="16"/>
      <c r="IJ30" s="16"/>
      <c r="IK30" s="16"/>
      <c r="IL30" s="16"/>
      <c r="IM30" s="16"/>
      <c r="IN30" s="16"/>
      <c r="IO30" s="16"/>
      <c r="IP30" s="16"/>
      <c r="IQ30" s="16"/>
      <c r="IR30" s="16"/>
      <c r="IS30" s="16"/>
      <c r="IT30" s="16"/>
      <c r="IU30" s="16"/>
      <c r="IV30" s="16"/>
      <c r="IW30" s="16"/>
    </row>
    <row r="31" customFormat="false" ht="12.95" hidden="false" customHeight="true" outlineLevel="0" collapsed="false">
      <c r="A31" s="1" t="s">
        <v>111</v>
      </c>
      <c r="B31" s="1" t="s">
        <v>121</v>
      </c>
      <c r="C31" s="15" t="s">
        <v>122</v>
      </c>
      <c r="D31" s="15" t="s">
        <v>123</v>
      </c>
      <c r="E31" s="15" t="s">
        <v>99</v>
      </c>
      <c r="F31" s="25" t="n">
        <v>37032</v>
      </c>
      <c r="G31" s="16" t="s">
        <v>125</v>
      </c>
      <c r="H31" s="25" t="n">
        <v>37032</v>
      </c>
      <c r="I31" s="22" t="n">
        <v>0</v>
      </c>
      <c r="J31" s="22" t="n">
        <v>0</v>
      </c>
      <c r="K31" s="16"/>
      <c r="L31" s="49"/>
      <c r="M31" s="22" t="n">
        <v>1.06716962764663</v>
      </c>
      <c r="N31" s="21" t="n">
        <v>10.3391927083333</v>
      </c>
      <c r="O31" s="18" t="n">
        <v>7.54846676270838</v>
      </c>
      <c r="P31" s="15" t="s">
        <v>98</v>
      </c>
      <c r="Q31" s="16"/>
      <c r="R31" s="23" t="n">
        <v>8</v>
      </c>
      <c r="S31" s="23" t="n">
        <v>904</v>
      </c>
      <c r="T31" s="24" t="n">
        <v>9.22711411351886</v>
      </c>
      <c r="U31" s="23" t="n">
        <v>7960</v>
      </c>
      <c r="V31" s="23" t="s">
        <v>51</v>
      </c>
      <c r="W31" s="51"/>
      <c r="X31" s="52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T31" s="16"/>
      <c r="GU31" s="16"/>
      <c r="GV31" s="16"/>
      <c r="GW31" s="16"/>
      <c r="GX31" s="16"/>
      <c r="GY31" s="16"/>
      <c r="GZ31" s="16"/>
      <c r="HA31" s="16"/>
      <c r="HB31" s="16"/>
      <c r="HC31" s="16"/>
      <c r="HD31" s="16"/>
      <c r="HE31" s="16"/>
      <c r="HF31" s="16"/>
      <c r="HG31" s="16"/>
      <c r="HH31" s="16"/>
      <c r="HI31" s="16"/>
      <c r="HJ31" s="16"/>
      <c r="HK31" s="16"/>
      <c r="HL31" s="16"/>
      <c r="HM31" s="16"/>
      <c r="HN31" s="16"/>
      <c r="HO31" s="16"/>
      <c r="HP31" s="16"/>
      <c r="HQ31" s="16"/>
      <c r="HR31" s="16"/>
      <c r="HS31" s="16"/>
      <c r="HT31" s="16"/>
      <c r="HU31" s="16"/>
      <c r="HV31" s="16"/>
      <c r="HW31" s="16"/>
      <c r="HX31" s="16"/>
      <c r="HY31" s="16"/>
      <c r="HZ31" s="16"/>
      <c r="IA31" s="16"/>
      <c r="IB31" s="16"/>
      <c r="IC31" s="16"/>
      <c r="ID31" s="16"/>
      <c r="IE31" s="16"/>
      <c r="IF31" s="16"/>
      <c r="IG31" s="16"/>
      <c r="IH31" s="16"/>
      <c r="II31" s="16"/>
      <c r="IJ31" s="16"/>
      <c r="IK31" s="16"/>
      <c r="IL31" s="16"/>
      <c r="IM31" s="16"/>
      <c r="IN31" s="16"/>
      <c r="IO31" s="16"/>
      <c r="IP31" s="16"/>
      <c r="IQ31" s="16"/>
      <c r="IR31" s="16"/>
      <c r="IS31" s="16"/>
      <c r="IT31" s="16"/>
      <c r="IU31" s="16"/>
      <c r="IV31" s="16"/>
      <c r="IW31" s="16"/>
    </row>
    <row r="32" customFormat="false" ht="12.95" hidden="false" customHeight="true" outlineLevel="0" collapsed="false">
      <c r="A32" s="1" t="s">
        <v>113</v>
      </c>
      <c r="B32" s="1" t="s">
        <v>121</v>
      </c>
      <c r="C32" s="15" t="s">
        <v>122</v>
      </c>
      <c r="D32" s="15" t="s">
        <v>123</v>
      </c>
      <c r="E32" s="15" t="s">
        <v>96</v>
      </c>
      <c r="F32" s="25" t="n">
        <v>37032</v>
      </c>
      <c r="G32" s="16" t="s">
        <v>126</v>
      </c>
      <c r="H32" s="25" t="n">
        <v>37032</v>
      </c>
      <c r="I32" s="22" t="n">
        <v>0</v>
      </c>
      <c r="J32" s="22" t="n">
        <v>0</v>
      </c>
      <c r="K32" s="16"/>
      <c r="L32" s="49"/>
      <c r="M32" s="22" t="n">
        <v>0.56071964017991</v>
      </c>
      <c r="N32" s="21" t="n">
        <v>8.2914798206278</v>
      </c>
      <c r="O32" s="18" t="n">
        <v>10.8581591818586</v>
      </c>
      <c r="P32" s="15" t="s">
        <v>98</v>
      </c>
      <c r="Q32" s="16"/>
      <c r="R32" s="23" t="n">
        <v>7</v>
      </c>
      <c r="S32" s="23" t="n">
        <v>579.7</v>
      </c>
      <c r="T32" s="24" t="n">
        <v>8.56785022459893</v>
      </c>
      <c r="U32" s="23" t="n">
        <v>5970</v>
      </c>
      <c r="V32" s="23" t="n">
        <v>354</v>
      </c>
      <c r="W32" s="51"/>
      <c r="X32" s="52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  <c r="GU32" s="16"/>
      <c r="GV32" s="16"/>
      <c r="GW32" s="16"/>
      <c r="GX32" s="16"/>
      <c r="GY32" s="16"/>
      <c r="GZ32" s="16"/>
      <c r="HA32" s="16"/>
      <c r="HB32" s="16"/>
      <c r="HC32" s="16"/>
      <c r="HD32" s="16"/>
      <c r="HE32" s="16"/>
      <c r="HF32" s="16"/>
      <c r="HG32" s="16"/>
      <c r="HH32" s="16"/>
      <c r="HI32" s="16"/>
      <c r="HJ32" s="16"/>
      <c r="HK32" s="16"/>
      <c r="HL32" s="16"/>
      <c r="HM32" s="16"/>
      <c r="HN32" s="16"/>
      <c r="HO32" s="16"/>
      <c r="HP32" s="16"/>
      <c r="HQ32" s="16"/>
      <c r="HR32" s="16"/>
      <c r="HS32" s="16"/>
      <c r="HT32" s="16"/>
      <c r="HU32" s="16"/>
      <c r="HV32" s="16"/>
      <c r="HW32" s="16"/>
      <c r="HX32" s="16"/>
      <c r="HY32" s="16"/>
      <c r="HZ32" s="16"/>
      <c r="IA32" s="16"/>
      <c r="IB32" s="16"/>
      <c r="IC32" s="16"/>
      <c r="ID32" s="16"/>
      <c r="IE32" s="16"/>
      <c r="IF32" s="16"/>
      <c r="IG32" s="16"/>
      <c r="IH32" s="16"/>
      <c r="II32" s="16"/>
      <c r="IJ32" s="16"/>
      <c r="IK32" s="16"/>
      <c r="IL32" s="16"/>
      <c r="IM32" s="16"/>
      <c r="IN32" s="16"/>
      <c r="IO32" s="16"/>
      <c r="IP32" s="16"/>
      <c r="IQ32" s="16"/>
      <c r="IR32" s="16"/>
      <c r="IS32" s="16"/>
      <c r="IT32" s="16"/>
      <c r="IU32" s="16"/>
      <c r="IV32" s="16"/>
      <c r="IW32" s="16"/>
    </row>
    <row r="33" customFormat="false" ht="12.95" hidden="false" customHeight="true" outlineLevel="0" collapsed="false">
      <c r="A33" s="1" t="s">
        <v>115</v>
      </c>
      <c r="B33" s="1" t="s">
        <v>121</v>
      </c>
      <c r="C33" s="15" t="s">
        <v>122</v>
      </c>
      <c r="D33" s="15" t="s">
        <v>127</v>
      </c>
      <c r="E33" s="15" t="s">
        <v>128</v>
      </c>
      <c r="F33" s="25" t="n">
        <v>37020</v>
      </c>
      <c r="G33" s="16" t="s">
        <v>125</v>
      </c>
      <c r="H33" s="25" t="n">
        <v>37032</v>
      </c>
      <c r="I33" s="22" t="n">
        <v>0</v>
      </c>
      <c r="J33" s="22" t="n">
        <v>0</v>
      </c>
      <c r="K33" s="16"/>
      <c r="L33" s="49"/>
      <c r="M33" s="22" t="n">
        <v>1.71490120338731</v>
      </c>
      <c r="N33" s="21" t="n">
        <v>11.6710642040457</v>
      </c>
      <c r="O33" s="18" t="n">
        <v>5.22242129511134</v>
      </c>
      <c r="P33" s="15" t="s">
        <v>98</v>
      </c>
      <c r="Q33" s="16"/>
      <c r="R33" s="23" t="n">
        <v>3</v>
      </c>
      <c r="S33" s="23" t="n">
        <v>167.4</v>
      </c>
      <c r="T33" s="24" t="n">
        <v>6.97545997610514</v>
      </c>
      <c r="U33" s="23" t="n">
        <v>712</v>
      </c>
      <c r="V33" s="23" t="n">
        <v>145</v>
      </c>
      <c r="W33" s="51"/>
      <c r="X33" s="52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6"/>
      <c r="IM33" s="16"/>
      <c r="IN33" s="16"/>
      <c r="IO33" s="16"/>
      <c r="IP33" s="16"/>
      <c r="IQ33" s="16"/>
      <c r="IR33" s="16"/>
      <c r="IS33" s="16"/>
      <c r="IT33" s="16"/>
      <c r="IU33" s="16"/>
      <c r="IV33" s="16"/>
      <c r="IW33" s="16"/>
    </row>
    <row r="34" customFormat="false" ht="12.95" hidden="false" customHeight="true" outlineLevel="0" collapsed="false">
      <c r="A34" s="1" t="s">
        <v>117</v>
      </c>
      <c r="B34" s="1" t="s">
        <v>121</v>
      </c>
      <c r="C34" s="15" t="s">
        <v>122</v>
      </c>
      <c r="D34" s="15" t="s">
        <v>129</v>
      </c>
      <c r="E34" s="15" t="s">
        <v>130</v>
      </c>
      <c r="F34" s="25" t="n">
        <v>37011</v>
      </c>
      <c r="G34" s="16" t="s">
        <v>131</v>
      </c>
      <c r="H34" s="25" t="n">
        <v>37032</v>
      </c>
      <c r="I34" s="22" t="n">
        <v>0</v>
      </c>
      <c r="J34" s="22" t="n">
        <v>0</v>
      </c>
      <c r="K34" s="16"/>
      <c r="L34" s="49"/>
      <c r="M34" s="22" t="n">
        <v>2.78275862068966</v>
      </c>
      <c r="N34" s="21" t="n">
        <v>12.0118015858381</v>
      </c>
      <c r="O34" s="18" t="n">
        <v>4.70624093264249</v>
      </c>
      <c r="P34" s="15" t="s">
        <v>98</v>
      </c>
      <c r="Q34" s="16"/>
      <c r="R34" s="23" t="s">
        <v>51</v>
      </c>
      <c r="S34" s="23" t="s">
        <v>51</v>
      </c>
      <c r="T34" s="24" t="s">
        <v>51</v>
      </c>
      <c r="U34" s="23" t="s">
        <v>51</v>
      </c>
      <c r="V34" s="23" t="s">
        <v>51</v>
      </c>
      <c r="W34" s="51"/>
      <c r="X34" s="52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6"/>
      <c r="FI34" s="16"/>
      <c r="FJ34" s="16"/>
      <c r="FK34" s="16"/>
      <c r="FL34" s="16"/>
      <c r="FM34" s="16"/>
      <c r="FN34" s="16"/>
      <c r="FO34" s="16"/>
      <c r="FP34" s="16"/>
      <c r="FQ34" s="16"/>
      <c r="FR34" s="16"/>
      <c r="FS34" s="16"/>
      <c r="FT34" s="16"/>
      <c r="FU34" s="16"/>
      <c r="FV34" s="16"/>
      <c r="FW34" s="16"/>
      <c r="FX34" s="16"/>
      <c r="FY34" s="16"/>
      <c r="FZ34" s="16"/>
      <c r="GA34" s="16"/>
      <c r="GB34" s="16"/>
      <c r="GC34" s="16"/>
      <c r="GD34" s="16"/>
      <c r="GE34" s="16"/>
      <c r="GF34" s="16"/>
      <c r="GG34" s="16"/>
      <c r="GH34" s="16"/>
      <c r="GI34" s="16"/>
      <c r="GJ34" s="16"/>
      <c r="GK34" s="16"/>
      <c r="GL34" s="16"/>
      <c r="GM34" s="16"/>
      <c r="GN34" s="16"/>
      <c r="GO34" s="16"/>
      <c r="GP34" s="16"/>
      <c r="GQ34" s="16"/>
      <c r="GR34" s="16"/>
      <c r="GS34" s="16"/>
      <c r="GT34" s="16"/>
      <c r="GU34" s="16"/>
      <c r="GV34" s="16"/>
      <c r="GW34" s="16"/>
      <c r="GX34" s="16"/>
      <c r="GY34" s="16"/>
      <c r="GZ34" s="16"/>
      <c r="HA34" s="16"/>
      <c r="HB34" s="16"/>
      <c r="HC34" s="16"/>
      <c r="HD34" s="16"/>
      <c r="HE34" s="16"/>
      <c r="HF34" s="16"/>
      <c r="HG34" s="16"/>
      <c r="HH34" s="16"/>
      <c r="HI34" s="16"/>
      <c r="HJ34" s="16"/>
      <c r="HK34" s="16"/>
      <c r="HL34" s="16"/>
      <c r="HM34" s="16"/>
      <c r="HN34" s="16"/>
      <c r="HO34" s="16"/>
      <c r="HP34" s="16"/>
      <c r="HQ34" s="16"/>
      <c r="HR34" s="16"/>
      <c r="HS34" s="16"/>
      <c r="HT34" s="16"/>
      <c r="HU34" s="16"/>
      <c r="HV34" s="16"/>
      <c r="HW34" s="16"/>
      <c r="HX34" s="16"/>
      <c r="HY34" s="16"/>
      <c r="HZ34" s="16"/>
      <c r="IA34" s="16"/>
      <c r="IB34" s="16"/>
      <c r="IC34" s="16"/>
      <c r="ID34" s="16"/>
      <c r="IE34" s="16"/>
      <c r="IF34" s="16"/>
      <c r="IG34" s="16"/>
      <c r="IH34" s="16"/>
      <c r="II34" s="16"/>
      <c r="IJ34" s="16"/>
      <c r="IK34" s="16"/>
      <c r="IL34" s="16"/>
      <c r="IM34" s="16"/>
      <c r="IN34" s="16"/>
      <c r="IO34" s="16"/>
      <c r="IP34" s="16"/>
      <c r="IQ34" s="16"/>
      <c r="IR34" s="16"/>
      <c r="IS34" s="16"/>
      <c r="IT34" s="16"/>
      <c r="IU34" s="16"/>
      <c r="IV34" s="16"/>
      <c r="IW34" s="16"/>
    </row>
    <row r="35" customFormat="false" ht="12.95" hidden="false" customHeight="true" outlineLevel="0" collapsed="false">
      <c r="A35" s="1" t="s">
        <v>119</v>
      </c>
      <c r="B35" s="1" t="s">
        <v>121</v>
      </c>
      <c r="C35" s="15" t="s">
        <v>122</v>
      </c>
      <c r="D35" s="15" t="s">
        <v>123</v>
      </c>
      <c r="E35" s="15" t="s">
        <v>96</v>
      </c>
      <c r="F35" s="25" t="n">
        <v>36979</v>
      </c>
      <c r="G35" s="16" t="s">
        <v>132</v>
      </c>
      <c r="H35" s="25" t="n">
        <v>37000</v>
      </c>
      <c r="I35" s="22" t="n">
        <v>0</v>
      </c>
      <c r="J35" s="22" t="n">
        <v>0</v>
      </c>
      <c r="K35" s="16"/>
      <c r="L35" s="49"/>
      <c r="M35" s="22" t="n">
        <v>5.32160672092413</v>
      </c>
      <c r="N35" s="21" t="n">
        <v>18.7755610972569</v>
      </c>
      <c r="O35" s="18" t="n">
        <v>2.94831503218478</v>
      </c>
      <c r="P35" s="15" t="s">
        <v>98</v>
      </c>
      <c r="Q35" s="16"/>
      <c r="R35" s="23" t="n">
        <v>12</v>
      </c>
      <c r="S35" s="23" t="n">
        <v>1574</v>
      </c>
      <c r="T35" s="24" t="n">
        <v>18.768824766702</v>
      </c>
      <c r="U35" s="23" t="n">
        <v>13330</v>
      </c>
      <c r="V35" s="23" t="n">
        <v>3841</v>
      </c>
      <c r="W35" s="51"/>
      <c r="X35" s="52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T35" s="16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16"/>
      <c r="HK35" s="16"/>
      <c r="HL35" s="16"/>
      <c r="HM35" s="16"/>
      <c r="HN35" s="16"/>
      <c r="HO35" s="16"/>
      <c r="HP35" s="16"/>
      <c r="HQ35" s="16"/>
      <c r="HR35" s="16"/>
      <c r="HS35" s="16"/>
      <c r="HT35" s="16"/>
      <c r="HU35" s="16"/>
      <c r="HV35" s="16"/>
      <c r="HW35" s="16"/>
      <c r="HX35" s="16"/>
      <c r="HY35" s="16"/>
      <c r="HZ35" s="16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6"/>
      <c r="IM35" s="16"/>
      <c r="IN35" s="16"/>
      <c r="IO35" s="16"/>
      <c r="IP35" s="16"/>
      <c r="IQ35" s="16"/>
      <c r="IR35" s="16"/>
      <c r="IS35" s="16"/>
      <c r="IT35" s="16"/>
      <c r="IU35" s="16"/>
      <c r="IV35" s="16"/>
      <c r="IW35" s="16"/>
    </row>
    <row r="36" customFormat="false" ht="12.95" hidden="false" customHeight="true" outlineLevel="0" collapsed="false">
      <c r="C36" s="15"/>
      <c r="D36" s="15"/>
      <c r="E36" s="15"/>
      <c r="F36" s="25"/>
      <c r="G36" s="16"/>
      <c r="H36" s="25"/>
      <c r="I36" s="22"/>
      <c r="J36" s="22"/>
      <c r="K36" s="16"/>
      <c r="L36" s="16"/>
      <c r="M36" s="16"/>
      <c r="N36" s="16"/>
      <c r="O36" s="16"/>
      <c r="P36" s="16"/>
      <c r="Q36" s="50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  <c r="IP36" s="16"/>
      <c r="IQ36" s="16"/>
      <c r="IR36" s="16"/>
      <c r="IS36" s="16"/>
      <c r="IT36" s="16"/>
      <c r="IU36" s="16"/>
      <c r="IV36" s="16"/>
      <c r="IW36" s="16"/>
    </row>
    <row r="37" customFormat="false" ht="12.95" hidden="false" customHeight="true" outlineLevel="0" collapsed="false">
      <c r="C37" s="15"/>
      <c r="D37" s="15"/>
      <c r="E37" s="15"/>
      <c r="F37" s="25"/>
      <c r="G37" s="16"/>
      <c r="H37" s="25"/>
      <c r="I37" s="22"/>
      <c r="J37" s="22"/>
      <c r="K37" s="16"/>
      <c r="L37" s="16"/>
      <c r="M37" s="16"/>
      <c r="N37" s="16"/>
      <c r="O37" s="16"/>
      <c r="P37" s="16"/>
      <c r="Q37" s="50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  <c r="IQ37" s="16"/>
      <c r="IR37" s="16"/>
      <c r="IS37" s="16"/>
      <c r="IT37" s="16"/>
      <c r="IU37" s="16"/>
      <c r="IV37" s="16"/>
      <c r="IW37" s="16"/>
    </row>
    <row r="38" customFormat="false" ht="12.95" hidden="false" customHeight="true" outlineLevel="0" collapsed="false">
      <c r="A38" s="16"/>
      <c r="B38" s="58"/>
      <c r="C38" s="58"/>
      <c r="D38" s="16"/>
      <c r="E38" s="58"/>
      <c r="F38" s="16"/>
      <c r="G38" s="16"/>
      <c r="H38" s="16"/>
      <c r="I38" s="16"/>
      <c r="J38" s="16"/>
      <c r="K38" s="16"/>
      <c r="L38" s="40" t="s">
        <v>56</v>
      </c>
      <c r="M38" s="59" t="n">
        <v>2.13670833053854</v>
      </c>
      <c r="N38" s="22" t="n">
        <v>11.5396983875321</v>
      </c>
      <c r="O38" s="71" t="n">
        <v>6.25040337400663</v>
      </c>
      <c r="P38" s="50"/>
      <c r="Q38" s="50"/>
      <c r="R38" s="26"/>
      <c r="S38" s="26"/>
      <c r="T38" s="24"/>
      <c r="U38" s="26"/>
      <c r="V38" s="26"/>
      <c r="W38" s="51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  <c r="HN38" s="16"/>
      <c r="HO38" s="16"/>
      <c r="HP38" s="16"/>
      <c r="HQ38" s="16"/>
      <c r="HR38" s="16"/>
      <c r="HS38" s="16"/>
      <c r="HT38" s="16"/>
      <c r="HU38" s="16"/>
      <c r="HV38" s="16"/>
      <c r="HW38" s="16"/>
      <c r="HX38" s="16"/>
      <c r="HY38" s="16"/>
      <c r="HZ38" s="16"/>
      <c r="IA38" s="16"/>
      <c r="IB38" s="16"/>
      <c r="IC38" s="16"/>
      <c r="ID38" s="16"/>
      <c r="IE38" s="16"/>
      <c r="IF38" s="16"/>
      <c r="IG38" s="16"/>
      <c r="IH38" s="16"/>
      <c r="II38" s="16"/>
      <c r="IJ38" s="16"/>
      <c r="IK38" s="16"/>
      <c r="IL38" s="16"/>
      <c r="IM38" s="16"/>
      <c r="IN38" s="16"/>
      <c r="IO38" s="16"/>
      <c r="IP38" s="16"/>
      <c r="IQ38" s="16"/>
      <c r="IR38" s="16"/>
      <c r="IS38" s="16"/>
      <c r="IT38" s="16"/>
      <c r="IU38" s="16"/>
      <c r="IV38" s="16"/>
      <c r="IW38" s="16"/>
    </row>
    <row r="39" customFormat="false" ht="12.95" hidden="false" customHeight="true" outlineLevel="0" collapsed="false">
      <c r="A39" s="16"/>
      <c r="B39" s="58"/>
      <c r="C39" s="58"/>
      <c r="D39" s="58"/>
      <c r="E39" s="18"/>
      <c r="F39" s="16"/>
      <c r="G39" s="16"/>
      <c r="H39" s="16"/>
      <c r="I39" s="16"/>
      <c r="J39" s="16"/>
      <c r="K39" s="16"/>
      <c r="L39" s="40" t="s">
        <v>57</v>
      </c>
      <c r="M39" s="59" t="n">
        <v>1.54399768689545</v>
      </c>
      <c r="N39" s="22" t="n">
        <v>11.0051284561895</v>
      </c>
      <c r="O39" s="71" t="n">
        <v>5.72061916732275</v>
      </c>
      <c r="P39" s="50"/>
      <c r="Q39" s="50"/>
      <c r="R39" s="26"/>
      <c r="S39" s="26"/>
      <c r="T39" s="24"/>
      <c r="U39" s="26"/>
      <c r="V39" s="26"/>
      <c r="W39" s="51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6"/>
      <c r="IM39" s="16"/>
      <c r="IN39" s="16"/>
      <c r="IO39" s="16"/>
      <c r="IP39" s="16"/>
      <c r="IQ39" s="16"/>
      <c r="IR39" s="16"/>
      <c r="IS39" s="16"/>
      <c r="IT39" s="16"/>
      <c r="IU39" s="16"/>
      <c r="IV39" s="16"/>
      <c r="IW39" s="16"/>
    </row>
    <row r="40" customFormat="false" ht="12.95" hidden="false" customHeight="true" outlineLevel="0" collapsed="false">
      <c r="A40" s="16"/>
      <c r="B40" s="58"/>
      <c r="C40" s="58"/>
      <c r="D40" s="58"/>
      <c r="E40" s="18"/>
      <c r="F40" s="16"/>
      <c r="G40" s="16"/>
      <c r="H40" s="16"/>
      <c r="I40" s="16"/>
      <c r="J40" s="16"/>
      <c r="K40" s="16"/>
      <c r="L40" s="40" t="s">
        <v>26</v>
      </c>
      <c r="M40" s="59" t="n">
        <v>5.32160672092413</v>
      </c>
      <c r="N40" s="22" t="n">
        <v>18.7755610972569</v>
      </c>
      <c r="O40" s="71" t="n">
        <v>10.8581591818586</v>
      </c>
      <c r="P40" s="50"/>
      <c r="Q40" s="50"/>
      <c r="R40" s="26"/>
      <c r="S40" s="26"/>
      <c r="T40" s="24"/>
      <c r="U40" s="26"/>
      <c r="V40" s="26"/>
      <c r="W40" s="51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</row>
    <row r="41" customFormat="false" ht="12.95" hidden="false" customHeight="true" outlineLevel="0" collapsed="false">
      <c r="A41" s="16"/>
      <c r="B41" s="58"/>
      <c r="C41" s="58"/>
      <c r="D41" s="58"/>
      <c r="E41" s="18"/>
      <c r="F41" s="16"/>
      <c r="G41" s="16"/>
      <c r="H41" s="16"/>
      <c r="I41" s="16"/>
      <c r="J41" s="16"/>
      <c r="K41" s="16"/>
      <c r="L41" s="40" t="s">
        <v>27</v>
      </c>
      <c r="M41" s="59" t="n">
        <v>0.56071964017991</v>
      </c>
      <c r="N41" s="22" t="n">
        <v>8.14909090909091</v>
      </c>
      <c r="O41" s="71" t="n">
        <v>2.94831503218478</v>
      </c>
      <c r="P41" s="50"/>
      <c r="Q41" s="50"/>
      <c r="R41" s="26"/>
      <c r="S41" s="26"/>
      <c r="T41" s="24"/>
      <c r="U41" s="26"/>
      <c r="V41" s="26"/>
      <c r="W41" s="51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</row>
    <row r="42" customFormat="false" ht="12.95" hidden="false" customHeight="true" outlineLevel="0" collapsed="false">
      <c r="A42" s="61" t="s">
        <v>104</v>
      </c>
      <c r="B42" s="16"/>
      <c r="C42" s="16"/>
      <c r="D42" s="16"/>
      <c r="E42" s="18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2.95" hidden="false" customHeight="true" outlineLevel="0" collapsed="false">
      <c r="A43" s="15" t="s">
        <v>133</v>
      </c>
      <c r="B43" s="16"/>
      <c r="C43" s="16"/>
      <c r="D43" s="16"/>
      <c r="E43" s="18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2.95" hidden="false" customHeight="true" outlineLevel="0" collapsed="false">
      <c r="A44" s="15" t="s">
        <v>134</v>
      </c>
      <c r="B44" s="16"/>
      <c r="C44" s="16"/>
      <c r="D44" s="16"/>
      <c r="E44" s="18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6"/>
      <c r="IM44" s="16"/>
      <c r="IN44" s="16"/>
      <c r="IO44" s="16"/>
      <c r="IP44" s="16"/>
      <c r="IQ44" s="16"/>
      <c r="IR44" s="16"/>
      <c r="IS44" s="16"/>
      <c r="IT44" s="16"/>
      <c r="IU44" s="16"/>
      <c r="IV44" s="16"/>
      <c r="IW44" s="16"/>
    </row>
    <row r="45" customFormat="false" ht="12.95" hidden="false" customHeight="true" outlineLevel="0" collapsed="false">
      <c r="A45" s="15" t="s">
        <v>135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6"/>
      <c r="IM45" s="16"/>
      <c r="IN45" s="16"/>
      <c r="IO45" s="16"/>
      <c r="IP45" s="16"/>
      <c r="IQ45" s="16"/>
      <c r="IR45" s="16"/>
      <c r="IS45" s="16"/>
      <c r="IT45" s="16"/>
      <c r="IU45" s="16"/>
      <c r="IV45" s="16"/>
      <c r="IW45" s="16"/>
    </row>
    <row r="46" customFormat="false" ht="12.95" hidden="false" customHeight="true" outlineLevel="0" collapsed="false">
      <c r="A46" s="15" t="s">
        <v>136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  <c r="IQ46" s="16"/>
      <c r="IR46" s="16"/>
      <c r="IS46" s="16"/>
      <c r="IT46" s="16"/>
      <c r="IU46" s="16"/>
      <c r="IV46" s="16"/>
      <c r="IW46" s="16"/>
    </row>
    <row r="47" customFormat="false" ht="12.95" hidden="false" customHeight="true" outlineLevel="0" collapsed="false">
      <c r="A47" s="15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</row>
    <row r="48" customFormat="false" ht="12.95" hidden="false" customHeight="true" outlineLevel="0" collapsed="false">
      <c r="A48" s="15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</row>
    <row r="49" customFormat="false" ht="12.95" hidden="false" customHeight="true" outlineLevel="0" collapsed="false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2.95" hidden="false" customHeight="true" outlineLevel="0" collapsed="false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2.95" hidden="false" customHeight="true" outlineLevel="0" collapsed="false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2.95" hidden="false" customHeight="true" outlineLevel="0" collapsed="false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2.95" hidden="false" customHeight="true" outlineLevel="0" collapsed="false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12.95" hidden="false" customHeight="true" outlineLevel="0" collapsed="false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12.95" hidden="false" customHeight="true" outlineLevel="0" collapsed="false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12.95" hidden="false" customHeight="true" outlineLevel="0" collapsed="false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12.95" hidden="false" customHeight="true" outlineLevel="0" collapsed="false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12.95" hidden="false" customHeight="true" outlineLevel="0" collapsed="false">
      <c r="A58" s="16"/>
      <c r="B58" s="16"/>
      <c r="C58" s="16"/>
      <c r="D58" s="16"/>
      <c r="E58" s="16"/>
      <c r="F58" s="25"/>
      <c r="G58" s="25"/>
      <c r="H58" s="16"/>
      <c r="I58" s="16"/>
      <c r="J58" s="16"/>
      <c r="K58" s="16"/>
      <c r="L58" s="16"/>
      <c r="M58" s="16"/>
      <c r="N58" s="25"/>
      <c r="O58" s="25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12.95" hidden="false" customHeight="true" outlineLevel="0" collapsed="false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</row>
    <row r="60" customFormat="false" ht="12.95" hidden="false" customHeight="true" outlineLevel="0" collapsed="false">
      <c r="A60" s="16"/>
      <c r="B60" s="16"/>
      <c r="C60" s="16"/>
      <c r="D60" s="16"/>
      <c r="E60" s="25"/>
      <c r="F60" s="18"/>
      <c r="G60" s="18"/>
      <c r="H60" s="65"/>
      <c r="I60" s="16"/>
      <c r="J60" s="16"/>
      <c r="K60" s="16"/>
      <c r="L60" s="16"/>
      <c r="M60" s="25"/>
      <c r="N60" s="18"/>
      <c r="O60" s="18"/>
      <c r="P60" s="65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</row>
    <row r="61" customFormat="false" ht="12.95" hidden="false" customHeight="true" outlineLevel="0" collapsed="false">
      <c r="A61" s="16"/>
      <c r="B61" s="16"/>
      <c r="C61" s="16"/>
      <c r="D61" s="16"/>
      <c r="E61" s="25"/>
      <c r="F61" s="18"/>
      <c r="G61" s="18"/>
      <c r="H61" s="65"/>
      <c r="I61" s="16"/>
      <c r="J61" s="16"/>
      <c r="K61" s="16"/>
      <c r="L61" s="16"/>
      <c r="M61" s="25"/>
      <c r="N61" s="18"/>
      <c r="O61" s="18"/>
      <c r="P61" s="65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6"/>
      <c r="IM61" s="16"/>
      <c r="IN61" s="16"/>
      <c r="IO61" s="16"/>
      <c r="IP61" s="16"/>
      <c r="IQ61" s="16"/>
      <c r="IR61" s="16"/>
      <c r="IS61" s="16"/>
      <c r="IT61" s="16"/>
      <c r="IU61" s="16"/>
      <c r="IV61" s="16"/>
      <c r="IW61" s="16"/>
    </row>
    <row r="62" customFormat="false" ht="12.95" hidden="false" customHeight="true" outlineLevel="0" collapsed="false">
      <c r="A62" s="16"/>
      <c r="B62" s="16"/>
      <c r="C62" s="16"/>
      <c r="D62" s="16"/>
      <c r="E62" s="25"/>
      <c r="F62" s="18"/>
      <c r="G62" s="18"/>
      <c r="H62" s="65"/>
      <c r="I62" s="16"/>
      <c r="J62" s="16"/>
      <c r="K62" s="16"/>
      <c r="L62" s="16"/>
      <c r="M62" s="25"/>
      <c r="N62" s="18"/>
      <c r="O62" s="18"/>
      <c r="P62" s="65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</row>
    <row r="63" customFormat="false" ht="12.95" hidden="false" customHeight="true" outlineLevel="0" collapsed="false">
      <c r="A63" s="16"/>
      <c r="B63" s="16"/>
      <c r="C63" s="16"/>
      <c r="D63" s="16"/>
      <c r="E63" s="25"/>
      <c r="F63" s="18"/>
      <c r="G63" s="18"/>
      <c r="H63" s="65"/>
      <c r="I63" s="16"/>
      <c r="J63" s="16"/>
      <c r="K63" s="16"/>
      <c r="L63" s="16"/>
      <c r="M63" s="25"/>
      <c r="N63" s="18"/>
      <c r="O63" s="18"/>
      <c r="P63" s="65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</row>
    <row r="64" customFormat="false" ht="12.95" hidden="false" customHeight="true" outlineLevel="0" collapsed="false">
      <c r="A64" s="16"/>
      <c r="B64" s="16"/>
      <c r="C64" s="16"/>
      <c r="D64" s="16"/>
      <c r="E64" s="25"/>
      <c r="F64" s="18"/>
      <c r="G64" s="18"/>
      <c r="H64" s="65"/>
      <c r="I64" s="16"/>
      <c r="J64" s="16"/>
      <c r="K64" s="16"/>
      <c r="L64" s="16"/>
      <c r="M64" s="25"/>
      <c r="N64" s="18"/>
      <c r="O64" s="18"/>
      <c r="P64" s="65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</row>
    <row r="65" customFormat="false" ht="12.95" hidden="false" customHeight="true" outlineLevel="0" collapsed="false">
      <c r="A65" s="16"/>
      <c r="B65" s="16"/>
      <c r="C65" s="16"/>
      <c r="D65" s="16"/>
      <c r="E65" s="25"/>
      <c r="F65" s="18"/>
      <c r="G65" s="18"/>
      <c r="H65" s="65"/>
      <c r="I65" s="16"/>
      <c r="J65" s="16"/>
      <c r="K65" s="16"/>
      <c r="L65" s="16"/>
      <c r="M65" s="25"/>
      <c r="N65" s="18"/>
      <c r="O65" s="18"/>
      <c r="P65" s="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6"/>
      <c r="IM65" s="16"/>
      <c r="IN65" s="16"/>
      <c r="IO65" s="16"/>
      <c r="IP65" s="16"/>
      <c r="IQ65" s="16"/>
      <c r="IR65" s="16"/>
      <c r="IS65" s="16"/>
      <c r="IT65" s="16"/>
      <c r="IU65" s="16"/>
      <c r="IV65" s="16"/>
      <c r="IW65" s="16"/>
    </row>
    <row r="66" customFormat="false" ht="12.95" hidden="false" customHeight="true" outlineLevel="0" collapsed="false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  <c r="GU66" s="16"/>
      <c r="GV66" s="16"/>
      <c r="GW66" s="16"/>
      <c r="GX66" s="16"/>
      <c r="GY66" s="16"/>
      <c r="GZ66" s="16"/>
      <c r="HA66" s="16"/>
      <c r="HB66" s="16"/>
      <c r="HC66" s="16"/>
      <c r="HD66" s="16"/>
      <c r="HE66" s="16"/>
      <c r="HF66" s="16"/>
      <c r="HG66" s="16"/>
      <c r="HH66" s="16"/>
      <c r="HI66" s="16"/>
      <c r="HJ66" s="16"/>
      <c r="HK66" s="16"/>
      <c r="HL66" s="16"/>
      <c r="HM66" s="16"/>
      <c r="HN66" s="16"/>
      <c r="HO66" s="16"/>
      <c r="HP66" s="16"/>
      <c r="HQ66" s="16"/>
      <c r="HR66" s="16"/>
      <c r="HS66" s="16"/>
      <c r="HT66" s="16"/>
      <c r="HU66" s="16"/>
      <c r="HV66" s="16"/>
      <c r="HW66" s="16"/>
      <c r="HX66" s="16"/>
      <c r="HY66" s="16"/>
      <c r="HZ66" s="16"/>
      <c r="IA66" s="16"/>
      <c r="IB66" s="16"/>
      <c r="IC66" s="16"/>
      <c r="ID66" s="16"/>
      <c r="IE66" s="16"/>
      <c r="IF66" s="16"/>
      <c r="IG66" s="16"/>
      <c r="IH66" s="16"/>
      <c r="II66" s="16"/>
      <c r="IJ66" s="16"/>
      <c r="IK66" s="16"/>
      <c r="IL66" s="16"/>
      <c r="IM66" s="16"/>
      <c r="IN66" s="16"/>
      <c r="IO66" s="16"/>
      <c r="IP66" s="16"/>
      <c r="IQ66" s="16"/>
      <c r="IR66" s="16"/>
      <c r="IS66" s="16"/>
      <c r="IT66" s="16"/>
      <c r="IU66" s="16"/>
      <c r="IV66" s="16"/>
      <c r="IW66" s="16"/>
    </row>
    <row r="67" customFormat="false" ht="12.95" hidden="false" customHeight="true" outlineLevel="0" collapsed="false"/>
    <row r="68" customFormat="false" ht="12.95" hidden="false" customHeight="true" outlineLevel="0" collapsed="false"/>
    <row r="69" customFormat="false" ht="12.95" hidden="false" customHeight="true" outlineLevel="0" collapsed="false"/>
    <row r="70" customFormat="false" ht="12.95" hidden="false" customHeight="true" outlineLevel="0" collapsed="false"/>
    <row r="71" customFormat="false" ht="12.95" hidden="false" customHeight="true" outlineLevel="0" collapsed="false"/>
    <row r="72" customFormat="false" ht="12.95" hidden="false" customHeight="true" outlineLevel="0" collapsed="false"/>
    <row r="73" customFormat="false" ht="12.95" hidden="false" customHeight="true" outlineLevel="0" collapsed="false"/>
    <row r="74" customFormat="false" ht="12.95" hidden="false" customHeight="true" outlineLevel="0" collapsed="false"/>
    <row r="75" customFormat="false" ht="12.95" hidden="false" customHeight="true" outlineLevel="0" collapsed="false"/>
    <row r="76" customFormat="false" ht="12.95" hidden="false" customHeight="true" outlineLevel="0" collapsed="false"/>
    <row r="77" customFormat="false" ht="12.95" hidden="false" customHeight="true" outlineLevel="0" collapsed="false"/>
    <row r="78" customFormat="false" ht="12.95" hidden="false" customHeight="true" outlineLevel="0" collapsed="false"/>
    <row r="79" customFormat="false" ht="12.95" hidden="false" customHeight="true" outlineLevel="0" collapsed="false"/>
    <row r="80" customFormat="false" ht="12.95" hidden="false" customHeight="true" outlineLevel="0" collapsed="false"/>
    <row r="81" customFormat="false" ht="12.95" hidden="false" customHeight="true" outlineLevel="0" collapsed="false"/>
    <row r="82" customFormat="false" ht="12.95" hidden="false" customHeight="true" outlineLevel="0" collapsed="false"/>
    <row r="83" customFormat="false" ht="12.95" hidden="false" customHeight="true" outlineLevel="0" collapsed="false"/>
    <row r="84" customFormat="false" ht="12.95" hidden="false" customHeight="true" outlineLevel="0" collapsed="false"/>
    <row r="85" customFormat="false" ht="12.95" hidden="false" customHeight="true" outlineLevel="0" collapsed="false"/>
    <row r="86" customFormat="false" ht="12.95" hidden="false" customHeight="true" outlineLevel="0" collapsed="false"/>
    <row r="87" customFormat="false" ht="12.95" hidden="false" customHeight="true" outlineLevel="0" collapsed="false"/>
    <row r="88" customFormat="false" ht="12.95" hidden="false" customHeight="true" outlineLevel="0" collapsed="false"/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</sheetData>
  <mergeCells count="18">
    <mergeCell ref="R7:T7"/>
    <mergeCell ref="U7:V7"/>
    <mergeCell ref="E8:F8"/>
    <mergeCell ref="I8:J8"/>
    <mergeCell ref="M8:N8"/>
    <mergeCell ref="R24:V24"/>
    <mergeCell ref="B25:C25"/>
    <mergeCell ref="D25:F25"/>
    <mergeCell ref="G25:H25"/>
    <mergeCell ref="I25:J25"/>
    <mergeCell ref="M25:P25"/>
    <mergeCell ref="R25:V25"/>
    <mergeCell ref="B26:C26"/>
    <mergeCell ref="D26:F26"/>
    <mergeCell ref="G26:H26"/>
    <mergeCell ref="I26:J26"/>
    <mergeCell ref="M26:P26"/>
    <mergeCell ref="R26:V26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"/>
  <sheetViews>
    <sheetView showFormulas="false" showGridLines="true" showRowColHeaders="true" showZeros="true" rightToLeft="false" tabSelected="false" showOutlineSymbols="true" defaultGridColor="true" view="normal" topLeftCell="A2" colorId="64" zoomScale="50" zoomScaleNormal="5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10" width="33.7"/>
    <col collapsed="false" customWidth="true" hidden="false" outlineLevel="0" max="3" min="2" style="10" width="17.7"/>
    <col collapsed="false" customWidth="true" hidden="false" outlineLevel="0" max="4" min="4" style="10" width="10.71"/>
    <col collapsed="false" customWidth="true" hidden="false" outlineLevel="0" max="5" min="5" style="10" width="11.7"/>
    <col collapsed="false" customWidth="true" hidden="false" outlineLevel="0" max="6" min="6" style="10" width="10.71"/>
    <col collapsed="false" customWidth="true" hidden="true" outlineLevel="1" max="9" min="7" style="10" width="10.71"/>
    <col collapsed="false" customWidth="true" hidden="false" outlineLevel="0" max="10" min="10" style="10" width="13.41"/>
    <col collapsed="false" customWidth="true" hidden="false" outlineLevel="0" max="11" min="11" style="10" width="12.56"/>
    <col collapsed="false" customWidth="true" hidden="false" outlineLevel="0" max="12" min="12" style="10" width="11.13"/>
    <col collapsed="false" customWidth="true" hidden="false" outlineLevel="0" max="13" min="13" style="10" width="12.28"/>
    <col collapsed="false" customWidth="true" hidden="false" outlineLevel="0" max="14" min="14" style="10" width="10.41"/>
    <col collapsed="false" customWidth="true" hidden="false" outlineLevel="0" max="15" min="15" style="10" width="11.28"/>
    <col collapsed="false" customWidth="true" hidden="false" outlineLevel="0" max="17" min="16" style="10" width="8.7"/>
    <col collapsed="false" customWidth="true" hidden="false" outlineLevel="0" max="20" min="18" style="10" width="9.7"/>
    <col collapsed="false" customWidth="true" hidden="false" outlineLevel="0" max="21" min="21" style="10" width="11.85"/>
    <col collapsed="false" customWidth="true" hidden="false" outlineLevel="0" max="25" min="22" style="10" width="9.7"/>
    <col collapsed="false" customWidth="true" hidden="false" outlineLevel="0" max="26" min="26" style="10" width="10.71"/>
    <col collapsed="false" customWidth="false" hidden="false" outlineLevel="0" max="27" min="27" style="10" width="9.14"/>
    <col collapsed="false" customWidth="true" hidden="false" outlineLevel="0" max="30" min="28" style="10" width="10.71"/>
    <col collapsed="false" customWidth="true" hidden="false" outlineLevel="0" max="31" min="31" style="10" width="15.7"/>
    <col collapsed="false" customWidth="false" hidden="false" outlineLevel="0" max="257" min="32" style="10" width="9.14"/>
  </cols>
  <sheetData>
    <row r="1" customFormat="false" ht="12.75" hidden="true" customHeight="false" outlineLevel="1" collapsed="false">
      <c r="A1" s="72" t="s">
        <v>137</v>
      </c>
      <c r="B1" s="72"/>
      <c r="C1" s="72"/>
      <c r="D1" s="72" t="s">
        <v>138</v>
      </c>
      <c r="E1" s="72" t="s">
        <v>139</v>
      </c>
      <c r="F1" s="72" t="s">
        <v>140</v>
      </c>
      <c r="G1" s="72" t="s">
        <v>141</v>
      </c>
      <c r="H1" s="72" t="s">
        <v>142</v>
      </c>
      <c r="I1" s="72" t="s">
        <v>143</v>
      </c>
      <c r="J1" s="72"/>
      <c r="K1" s="72"/>
      <c r="L1" s="72" t="s">
        <v>144</v>
      </c>
      <c r="M1" s="72" t="s">
        <v>145</v>
      </c>
      <c r="N1" s="72" t="s">
        <v>146</v>
      </c>
      <c r="O1" s="72" t="s">
        <v>147</v>
      </c>
      <c r="P1" s="72" t="s">
        <v>148</v>
      </c>
      <c r="Q1" s="72" t="s">
        <v>149</v>
      </c>
      <c r="R1" s="72" t="s">
        <v>150</v>
      </c>
      <c r="S1" s="72" t="s">
        <v>151</v>
      </c>
      <c r="T1" s="72" t="s">
        <v>152</v>
      </c>
      <c r="U1" s="72" t="s">
        <v>153</v>
      </c>
      <c r="V1" s="72" t="s">
        <v>154</v>
      </c>
      <c r="W1" s="72" t="s">
        <v>155</v>
      </c>
      <c r="X1" s="72" t="s">
        <v>156</v>
      </c>
      <c r="Y1" s="72" t="s">
        <v>157</v>
      </c>
      <c r="Z1" s="72" t="s">
        <v>158</v>
      </c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IB1" s="72"/>
      <c r="IC1" s="72"/>
      <c r="ID1" s="72"/>
      <c r="IE1" s="72"/>
      <c r="IF1" s="72"/>
      <c r="IG1" s="72"/>
      <c r="IH1" s="72"/>
      <c r="II1" s="72"/>
      <c r="IJ1" s="72"/>
      <c r="IK1" s="72"/>
      <c r="IL1" s="72"/>
      <c r="IM1" s="72"/>
      <c r="IN1" s="72"/>
      <c r="IO1" s="72"/>
      <c r="IP1" s="72"/>
      <c r="IQ1" s="72"/>
      <c r="IR1" s="72"/>
      <c r="IS1" s="72"/>
      <c r="IT1" s="72"/>
      <c r="IU1" s="72"/>
      <c r="IV1" s="72"/>
      <c r="IW1" s="72"/>
    </row>
    <row r="2" customFormat="false" ht="18" hidden="false" customHeight="false" outlineLevel="0" collapsed="false">
      <c r="A2" s="73" t="s">
        <v>159</v>
      </c>
      <c r="B2" s="73"/>
      <c r="C2" s="73"/>
    </row>
    <row r="3" customFormat="false" ht="15" hidden="false" customHeight="true" outlineLevel="0" collapsed="false">
      <c r="A3" s="3" t="s">
        <v>1</v>
      </c>
      <c r="B3" s="3"/>
      <c r="C3" s="3"/>
      <c r="AG3" s="43"/>
    </row>
    <row r="4" customFormat="false" ht="12.75" hidden="false" customHeight="false" outlineLevel="0" collapsed="false">
      <c r="A4" s="74" t="s">
        <v>2</v>
      </c>
      <c r="B4" s="74"/>
      <c r="C4" s="74"/>
      <c r="AG4" s="43"/>
    </row>
    <row r="5" customFormat="false" ht="12.75" hidden="false" customHeight="false" outlineLevel="0" collapsed="false">
      <c r="A5" s="74"/>
      <c r="B5" s="74"/>
      <c r="C5" s="74"/>
      <c r="AG5" s="43"/>
    </row>
    <row r="6" customFormat="false" ht="12.75" hidden="false" customHeight="false" outlineLevel="0" collapsed="false">
      <c r="A6" s="74"/>
      <c r="B6" s="74"/>
      <c r="C6" s="74"/>
      <c r="AG6" s="43"/>
    </row>
    <row r="7" customFormat="false" ht="12.75" hidden="false" customHeight="false" outlineLevel="0" collapsed="false">
      <c r="A7" s="75" t="s">
        <v>3</v>
      </c>
      <c r="B7" s="76" t="n">
        <v>37108</v>
      </c>
      <c r="C7" s="77"/>
    </row>
    <row r="8" customFormat="false" ht="12.75" hidden="false" customHeight="false" outlineLevel="0" collapsed="false">
      <c r="K8" s="11" t="s">
        <v>4</v>
      </c>
      <c r="U8" s="12" t="s">
        <v>5</v>
      </c>
      <c r="V8" s="12"/>
      <c r="W8" s="12"/>
      <c r="X8" s="12" t="s">
        <v>6</v>
      </c>
      <c r="Y8" s="12"/>
      <c r="Z8" s="11" t="s">
        <v>7</v>
      </c>
    </row>
    <row r="9" customFormat="false" ht="12.75" hidden="false" customHeight="false" outlineLevel="0" collapsed="false">
      <c r="C9" s="11" t="s">
        <v>8</v>
      </c>
      <c r="D9" s="11" t="s">
        <v>9</v>
      </c>
      <c r="E9" s="13" t="s">
        <v>10</v>
      </c>
      <c r="F9" s="13"/>
      <c r="H9" s="11"/>
      <c r="I9" s="11"/>
      <c r="J9" s="11" t="s">
        <v>11</v>
      </c>
      <c r="K9" s="11" t="s">
        <v>11</v>
      </c>
      <c r="L9" s="12" t="s">
        <v>160</v>
      </c>
      <c r="M9" s="12"/>
      <c r="N9" s="12" t="s">
        <v>161</v>
      </c>
      <c r="O9" s="12"/>
      <c r="P9" s="12" t="s">
        <v>14</v>
      </c>
      <c r="Q9" s="12"/>
      <c r="R9" s="13" t="s">
        <v>15</v>
      </c>
      <c r="S9" s="13" t="s">
        <v>16</v>
      </c>
      <c r="T9" s="11" t="s">
        <v>17</v>
      </c>
      <c r="U9" s="11" t="s">
        <v>18</v>
      </c>
      <c r="V9" s="11"/>
      <c r="W9" s="11" t="s">
        <v>19</v>
      </c>
      <c r="X9" s="11" t="s">
        <v>18</v>
      </c>
      <c r="Y9" s="11" t="s">
        <v>20</v>
      </c>
      <c r="Z9" s="11" t="s">
        <v>21</v>
      </c>
      <c r="AA9" s="13"/>
    </row>
    <row r="10" customFormat="false" ht="12.75" hidden="false" customHeight="false" outlineLevel="0" collapsed="false">
      <c r="A10" s="11" t="s">
        <v>22</v>
      </c>
      <c r="B10" s="11" t="s">
        <v>23</v>
      </c>
      <c r="C10" s="11" t="s">
        <v>24</v>
      </c>
      <c r="D10" s="11" t="s">
        <v>25</v>
      </c>
      <c r="E10" s="11" t="s">
        <v>26</v>
      </c>
      <c r="F10" s="11" t="s">
        <v>27</v>
      </c>
      <c r="G10" s="11" t="s">
        <v>162</v>
      </c>
      <c r="H10" s="11" t="s">
        <v>163</v>
      </c>
      <c r="I10" s="11" t="s">
        <v>164</v>
      </c>
      <c r="J10" s="11" t="s">
        <v>28</v>
      </c>
      <c r="K10" s="11" t="s">
        <v>28</v>
      </c>
      <c r="L10" s="11" t="s">
        <v>30</v>
      </c>
      <c r="M10" s="11" t="s">
        <v>31</v>
      </c>
      <c r="N10" s="11" t="s">
        <v>30</v>
      </c>
      <c r="O10" s="11" t="s">
        <v>31</v>
      </c>
      <c r="P10" s="11" t="s">
        <v>30</v>
      </c>
      <c r="Q10" s="11" t="s">
        <v>31</v>
      </c>
      <c r="R10" s="11" t="s">
        <v>32</v>
      </c>
      <c r="S10" s="11" t="s">
        <v>33</v>
      </c>
      <c r="T10" s="11" t="s">
        <v>34</v>
      </c>
      <c r="U10" s="11" t="s">
        <v>35</v>
      </c>
      <c r="V10" s="11" t="s">
        <v>36</v>
      </c>
      <c r="W10" s="11" t="s">
        <v>37</v>
      </c>
      <c r="X10" s="11" t="s">
        <v>38</v>
      </c>
      <c r="Y10" s="11" t="s">
        <v>6</v>
      </c>
      <c r="Z10" s="11" t="s">
        <v>39</v>
      </c>
      <c r="AA10" s="13"/>
    </row>
    <row r="11" customFormat="false" ht="4.9" hidden="false" customHeight="true" outlineLevel="0" collapsed="false">
      <c r="A11" s="78" t="s">
        <v>40</v>
      </c>
      <c r="B11" s="78" t="s">
        <v>40</v>
      </c>
      <c r="C11" s="78" t="s">
        <v>40</v>
      </c>
      <c r="D11" s="78" t="s">
        <v>40</v>
      </c>
      <c r="E11" s="78" t="s">
        <v>40</v>
      </c>
      <c r="F11" s="79" t="s">
        <v>40</v>
      </c>
      <c r="G11" s="79"/>
      <c r="H11" s="79"/>
      <c r="I11" s="79"/>
      <c r="J11" s="78" t="s">
        <v>40</v>
      </c>
      <c r="K11" s="78" t="s">
        <v>40</v>
      </c>
      <c r="L11" s="78" t="s">
        <v>40</v>
      </c>
      <c r="M11" s="78" t="s">
        <v>40</v>
      </c>
      <c r="N11" s="78" t="s">
        <v>40</v>
      </c>
      <c r="O11" s="78" t="s">
        <v>40</v>
      </c>
      <c r="P11" s="78" t="s">
        <v>40</v>
      </c>
      <c r="Q11" s="78" t="s">
        <v>40</v>
      </c>
      <c r="R11" s="78" t="s">
        <v>40</v>
      </c>
      <c r="S11" s="78" t="s">
        <v>40</v>
      </c>
      <c r="T11" s="78" t="s">
        <v>40</v>
      </c>
      <c r="U11" s="78" t="s">
        <v>40</v>
      </c>
      <c r="V11" s="78" t="s">
        <v>40</v>
      </c>
      <c r="W11" s="78" t="s">
        <v>40</v>
      </c>
      <c r="X11" s="78" t="s">
        <v>40</v>
      </c>
      <c r="Y11" s="78" t="s">
        <v>40</v>
      </c>
      <c r="Z11" s="78" t="s">
        <v>40</v>
      </c>
      <c r="AA11" s="40"/>
    </row>
    <row r="12" customFormat="false" ht="12.95" hidden="false" customHeight="true" outlineLevel="0" collapsed="false">
      <c r="A12" s="80" t="s">
        <v>165</v>
      </c>
      <c r="B12" s="40" t="s">
        <v>166</v>
      </c>
      <c r="C12" s="81" t="n">
        <v>37101</v>
      </c>
      <c r="D12" s="82" t="n">
        <v>13.69</v>
      </c>
      <c r="E12" s="82" t="n">
        <v>15.72</v>
      </c>
      <c r="F12" s="82" t="n">
        <v>11.96</v>
      </c>
      <c r="G12" s="82" t="n">
        <v>54371.314731565</v>
      </c>
      <c r="H12" s="82" t="n">
        <v>63305.314731565</v>
      </c>
      <c r="I12" s="82" t="n">
        <v>1.129084</v>
      </c>
      <c r="J12" s="82" t="n">
        <v>48155.2433048073</v>
      </c>
      <c r="K12" s="82" t="n">
        <v>56067.8521098209</v>
      </c>
      <c r="L12" s="83" t="n">
        <v>8.67945455513723</v>
      </c>
      <c r="M12" s="83" t="n">
        <v>12.1686685581842</v>
      </c>
      <c r="N12" s="83" t="n">
        <v>5.28114237094587</v>
      </c>
      <c r="O12" s="83" t="n">
        <v>6.24947583964913</v>
      </c>
      <c r="P12" s="83" t="n">
        <v>4.28462367049509</v>
      </c>
      <c r="Q12" s="83" t="n">
        <v>5.30328514128885</v>
      </c>
      <c r="R12" s="84" t="n">
        <v>0.314491556795854</v>
      </c>
      <c r="S12" s="83" t="n">
        <v>2.42718247986987</v>
      </c>
      <c r="T12" s="84" t="n">
        <v>0.03093426</v>
      </c>
      <c r="U12" s="82" t="n">
        <v>5884</v>
      </c>
      <c r="V12" s="84" t="n">
        <v>0.418422841604351</v>
      </c>
      <c r="W12" s="85" t="s">
        <v>51</v>
      </c>
      <c r="X12" s="82" t="n">
        <v>28962.415551013</v>
      </c>
      <c r="Y12" s="85" t="s">
        <v>51</v>
      </c>
      <c r="Z12" s="82" t="n">
        <v>3971.6080885</v>
      </c>
      <c r="AA12" s="86"/>
    </row>
    <row r="13" customFormat="false" ht="12.95" hidden="false" customHeight="true" outlineLevel="0" collapsed="false">
      <c r="A13" s="80" t="s">
        <v>167</v>
      </c>
      <c r="B13" s="87" t="s">
        <v>168</v>
      </c>
      <c r="C13" s="81" t="n">
        <v>37101</v>
      </c>
      <c r="D13" s="82" t="n">
        <v>10.8625</v>
      </c>
      <c r="E13" s="82" t="n">
        <v>16.62</v>
      </c>
      <c r="F13" s="82" t="n">
        <v>8.05</v>
      </c>
      <c r="G13" s="82" t="n">
        <v>9059.325</v>
      </c>
      <c r="H13" s="82" t="n">
        <v>10275.325</v>
      </c>
      <c r="I13" s="82" t="n">
        <v>1</v>
      </c>
      <c r="J13" s="82" t="n">
        <v>9059.325</v>
      </c>
      <c r="K13" s="82" t="n">
        <v>10275.325</v>
      </c>
      <c r="L13" s="83" t="n">
        <v>3.74352272727273</v>
      </c>
      <c r="M13" s="83" t="n">
        <v>5.12985560588902</v>
      </c>
      <c r="N13" s="83" t="n">
        <v>2.75443143812709</v>
      </c>
      <c r="O13" s="83" t="n">
        <v>3.37405027932961</v>
      </c>
      <c r="P13" s="83" t="n">
        <v>2.42858071377925</v>
      </c>
      <c r="Q13" s="83" t="n">
        <v>3.02215441176471</v>
      </c>
      <c r="R13" s="84" t="s">
        <v>51</v>
      </c>
      <c r="S13" s="83" t="s">
        <v>169</v>
      </c>
      <c r="T13" s="84" t="n">
        <v>0.7364787</v>
      </c>
      <c r="U13" s="82" t="n">
        <v>13404</v>
      </c>
      <c r="V13" s="84" t="n">
        <v>0</v>
      </c>
      <c r="W13" s="85" t="s">
        <v>51</v>
      </c>
      <c r="X13" s="82" t="s">
        <v>51</v>
      </c>
      <c r="Y13" s="85" t="s">
        <v>51</v>
      </c>
      <c r="Z13" s="82" t="n">
        <v>815.563255</v>
      </c>
      <c r="AA13" s="86"/>
    </row>
    <row r="14" customFormat="false" ht="12.95" hidden="false" customHeight="true" outlineLevel="0" collapsed="false">
      <c r="A14" s="80" t="s">
        <v>170</v>
      </c>
      <c r="B14" s="40" t="s">
        <v>171</v>
      </c>
      <c r="C14" s="81" t="n">
        <v>37101</v>
      </c>
      <c r="D14" s="82" t="n">
        <v>4375.05138</v>
      </c>
      <c r="E14" s="82" t="n">
        <v>5260.80828</v>
      </c>
      <c r="F14" s="82" t="n">
        <v>3558.97962</v>
      </c>
      <c r="G14" s="82" t="n">
        <v>428914.772740935</v>
      </c>
      <c r="H14" s="82" t="n">
        <v>733877.772740935</v>
      </c>
      <c r="I14" s="82" t="n">
        <v>279.86</v>
      </c>
      <c r="J14" s="82" t="n">
        <v>1532.604776463</v>
      </c>
      <c r="K14" s="82" t="n">
        <v>2622.30319710189</v>
      </c>
      <c r="L14" s="83" t="s">
        <v>169</v>
      </c>
      <c r="M14" s="83" t="n">
        <v>21.0097855861345</v>
      </c>
      <c r="N14" s="83" t="n">
        <v>12.2863011383826</v>
      </c>
      <c r="O14" s="83" t="n">
        <v>4.52384479539442</v>
      </c>
      <c r="P14" s="83" t="n">
        <v>10.4375954365737</v>
      </c>
      <c r="Q14" s="83" t="n">
        <v>5.66884837353377</v>
      </c>
      <c r="R14" s="84" t="n">
        <v>0.482728577862853</v>
      </c>
      <c r="S14" s="83" t="n">
        <v>1.18748812342623</v>
      </c>
      <c r="T14" s="84" t="s">
        <v>51</v>
      </c>
      <c r="U14" s="82" t="n">
        <v>261.066666666667</v>
      </c>
      <c r="V14" s="84" t="n">
        <v>0.726506639427988</v>
      </c>
      <c r="W14" s="85" t="s">
        <v>51</v>
      </c>
      <c r="X14" s="82" t="s">
        <v>51</v>
      </c>
      <c r="Y14" s="85" t="s">
        <v>51</v>
      </c>
      <c r="Z14" s="82" t="n">
        <v>98.036511</v>
      </c>
      <c r="AA14" s="86"/>
    </row>
    <row r="15" customFormat="false" ht="12.95" hidden="false" customHeight="true" outlineLevel="0" collapsed="false">
      <c r="A15" s="80" t="s">
        <v>172</v>
      </c>
      <c r="B15" s="40" t="s">
        <v>173</v>
      </c>
      <c r="C15" s="81" t="n">
        <v>37101</v>
      </c>
      <c r="D15" s="82" t="n">
        <v>380</v>
      </c>
      <c r="E15" s="82" t="n">
        <v>415</v>
      </c>
      <c r="F15" s="82" t="n">
        <v>343</v>
      </c>
      <c r="G15" s="82" t="n">
        <v>97670.46482</v>
      </c>
      <c r="H15" s="82" t="n">
        <v>122362.46482</v>
      </c>
      <c r="I15" s="82" t="n">
        <v>9.0028</v>
      </c>
      <c r="J15" s="82" t="n">
        <v>10848.8986559737</v>
      </c>
      <c r="K15" s="82" t="n">
        <v>13591.6009263785</v>
      </c>
      <c r="L15" s="83" t="n">
        <v>8.69883014071963</v>
      </c>
      <c r="M15" s="83" t="n">
        <v>11.3306803735499</v>
      </c>
      <c r="N15" s="83" t="n">
        <v>4.30361158052434</v>
      </c>
      <c r="O15" s="83" t="n">
        <v>4.85053957191101</v>
      </c>
      <c r="P15" s="83" t="n">
        <v>2.88244010317778</v>
      </c>
      <c r="Q15" s="83" t="n">
        <v>3.56897957765787</v>
      </c>
      <c r="R15" s="84" t="n">
        <v>0.410519420345428</v>
      </c>
      <c r="S15" s="83" t="n">
        <v>1.34504530496454</v>
      </c>
      <c r="T15" s="84" t="n">
        <v>0.025</v>
      </c>
      <c r="U15" s="82" t="n">
        <v>1974.40166666667</v>
      </c>
      <c r="V15" s="84" t="n">
        <v>0.505673026680657</v>
      </c>
      <c r="W15" s="85" t="s">
        <v>51</v>
      </c>
      <c r="X15" s="82" t="n">
        <v>5998.13391389345</v>
      </c>
      <c r="Y15" s="85" t="s">
        <v>51</v>
      </c>
      <c r="Z15" s="82" t="n">
        <v>257.027539</v>
      </c>
      <c r="AA15" s="86"/>
    </row>
    <row r="16" customFormat="false" ht="12.95" hidden="false" customHeight="true" outlineLevel="0" collapsed="false">
      <c r="A16" s="80" t="s">
        <v>174</v>
      </c>
      <c r="B16" s="40" t="s">
        <v>175</v>
      </c>
      <c r="C16" s="81" t="n">
        <v>37101</v>
      </c>
      <c r="D16" s="82" t="n">
        <v>103.75</v>
      </c>
      <c r="E16" s="82" t="n">
        <v>123.94</v>
      </c>
      <c r="F16" s="82" t="n">
        <v>75.85</v>
      </c>
      <c r="G16" s="82" t="n">
        <v>2801.25</v>
      </c>
      <c r="H16" s="82" t="n">
        <v>3862.7136</v>
      </c>
      <c r="I16" s="82" t="n">
        <v>1.129084</v>
      </c>
      <c r="J16" s="82" t="n">
        <v>2480.99344247195</v>
      </c>
      <c r="K16" s="82" t="n">
        <v>3421.10383284149</v>
      </c>
      <c r="L16" s="83" t="n">
        <v>6.17800241064898</v>
      </c>
      <c r="M16" s="83" t="n">
        <v>7.19932627742664</v>
      </c>
      <c r="N16" s="83" t="n">
        <v>3.35028354118486</v>
      </c>
      <c r="O16" s="83" t="n">
        <v>3.502442887228</v>
      </c>
      <c r="P16" s="83" t="n">
        <v>3.35829733959311</v>
      </c>
      <c r="Q16" s="83" t="n">
        <v>3.56832665127021</v>
      </c>
      <c r="R16" s="84" t="n">
        <v>0.380707620643306</v>
      </c>
      <c r="S16" s="83" t="n">
        <v>1.44049257672587</v>
      </c>
      <c r="T16" s="84" t="s">
        <v>51</v>
      </c>
      <c r="U16" s="82" t="n">
        <v>337.95</v>
      </c>
      <c r="V16" s="84" t="n">
        <v>0.472998964343838</v>
      </c>
      <c r="W16" s="85" t="s">
        <v>51</v>
      </c>
      <c r="X16" s="82" t="n">
        <v>1684.22331730854</v>
      </c>
      <c r="Y16" s="85" t="s">
        <v>51</v>
      </c>
      <c r="Z16" s="82" t="n">
        <v>27</v>
      </c>
      <c r="AA16" s="86"/>
    </row>
    <row r="17" customFormat="false" ht="12.95" hidden="false" customHeight="true" outlineLevel="0" collapsed="false">
      <c r="A17" s="80" t="s">
        <v>176</v>
      </c>
      <c r="B17" s="87" t="s">
        <v>177</v>
      </c>
      <c r="C17" s="81" t="n">
        <v>37101</v>
      </c>
      <c r="D17" s="82" t="n">
        <v>1.21</v>
      </c>
      <c r="E17" s="82" t="n">
        <v>1.9</v>
      </c>
      <c r="F17" s="82" t="n">
        <v>1</v>
      </c>
      <c r="G17" s="82" t="n">
        <v>942.59</v>
      </c>
      <c r="H17" s="82" t="n">
        <v>2964.59</v>
      </c>
      <c r="I17" s="82" t="n">
        <v>0.99979</v>
      </c>
      <c r="J17" s="82" t="n">
        <v>942.78798547695</v>
      </c>
      <c r="K17" s="82" t="n">
        <v>2965.21269466588</v>
      </c>
      <c r="L17" s="83" t="n">
        <v>4.64330049261084</v>
      </c>
      <c r="M17" s="83" t="n">
        <v>4.04545064377682</v>
      </c>
      <c r="N17" s="83" t="n">
        <v>2.07618942731278</v>
      </c>
      <c r="O17" s="83" t="n">
        <v>1.9475</v>
      </c>
      <c r="P17" s="83" t="n">
        <v>5.05902730375427</v>
      </c>
      <c r="Q17" s="83" t="n">
        <v>4.97414429530201</v>
      </c>
      <c r="R17" s="84" t="n">
        <v>0.440758293838863</v>
      </c>
      <c r="S17" s="83" t="n">
        <v>0.321593312862504</v>
      </c>
      <c r="T17" s="84" t="n">
        <v>0.02632066</v>
      </c>
      <c r="U17" s="82" t="n">
        <v>1276.04816666667</v>
      </c>
      <c r="V17" s="84" t="n">
        <v>0.361964523543978</v>
      </c>
      <c r="W17" s="85" t="s">
        <v>51</v>
      </c>
      <c r="X17" s="82" t="n">
        <v>4775</v>
      </c>
      <c r="Y17" s="85" t="s">
        <v>51</v>
      </c>
      <c r="Z17" s="82" t="n">
        <v>779</v>
      </c>
      <c r="AA17" s="86"/>
    </row>
    <row r="18" customFormat="false" ht="12.95" hidden="false" customHeight="true" outlineLevel="0" collapsed="false">
      <c r="A18" s="80" t="s">
        <v>178</v>
      </c>
      <c r="B18" s="40" t="s">
        <v>179</v>
      </c>
      <c r="C18" s="81" t="n">
        <v>37101</v>
      </c>
      <c r="D18" s="82" t="n">
        <v>55.8861757118864</v>
      </c>
      <c r="E18" s="82" t="n">
        <v>62.88</v>
      </c>
      <c r="F18" s="82" t="n">
        <v>44</v>
      </c>
      <c r="G18" s="82" t="n">
        <v>60698.20384748</v>
      </c>
      <c r="H18" s="82" t="n">
        <v>64775.20384748</v>
      </c>
      <c r="I18" s="82" t="n">
        <v>2.499545</v>
      </c>
      <c r="J18" s="82" t="n">
        <v>24283.7011726054</v>
      </c>
      <c r="K18" s="82" t="n">
        <v>25914.7980322339</v>
      </c>
      <c r="L18" s="83" t="n">
        <v>5.71246793051174</v>
      </c>
      <c r="M18" s="83" t="n">
        <v>6.77558626467785</v>
      </c>
      <c r="N18" s="83" t="n">
        <v>3.96274496941994</v>
      </c>
      <c r="O18" s="83" t="n">
        <v>4.38333956184213</v>
      </c>
      <c r="P18" s="83" t="n">
        <v>3.2762070837211</v>
      </c>
      <c r="Q18" s="83" t="n">
        <v>3.88935885220379</v>
      </c>
      <c r="R18" s="84" t="n">
        <v>0.383647233334832</v>
      </c>
      <c r="S18" s="83" t="n">
        <v>2.22411065360302</v>
      </c>
      <c r="T18" s="84" t="n">
        <v>1.927438E-005</v>
      </c>
      <c r="U18" s="82" t="n">
        <v>9762.96666666667</v>
      </c>
      <c r="V18" s="84" t="n">
        <v>0.144081887677584</v>
      </c>
      <c r="W18" s="85" t="s">
        <v>51</v>
      </c>
      <c r="X18" s="82" t="s">
        <v>51</v>
      </c>
      <c r="Y18" s="85" t="s">
        <v>51</v>
      </c>
      <c r="Z18" s="82" t="n">
        <v>1086.104087</v>
      </c>
      <c r="AA18" s="86"/>
    </row>
    <row r="19" customFormat="false" ht="12.95" hidden="false" customHeight="true" outlineLevel="0" collapsed="false">
      <c r="A19" s="80" t="s">
        <v>180</v>
      </c>
      <c r="B19" s="87" t="s">
        <v>181</v>
      </c>
      <c r="C19" s="81" t="n">
        <v>37101</v>
      </c>
      <c r="D19" s="82" t="n">
        <v>18.62</v>
      </c>
      <c r="E19" s="82" t="n">
        <v>24.01</v>
      </c>
      <c r="F19" s="82" t="n">
        <v>16.2</v>
      </c>
      <c r="G19" s="82" t="n">
        <v>22732.47768106</v>
      </c>
      <c r="H19" s="82" t="n">
        <v>47038.47768106</v>
      </c>
      <c r="I19" s="82" t="n">
        <v>1.129084</v>
      </c>
      <c r="J19" s="82" t="n">
        <v>20133.5575396162</v>
      </c>
      <c r="K19" s="82" t="n">
        <v>41660.7424080582</v>
      </c>
      <c r="L19" s="83" t="n">
        <v>9.8408994290303</v>
      </c>
      <c r="M19" s="83" t="n">
        <v>11.6816432071223</v>
      </c>
      <c r="N19" s="83" t="n">
        <v>4.16184940314011</v>
      </c>
      <c r="O19" s="83" t="n">
        <v>4.29716571001025</v>
      </c>
      <c r="P19" s="83" t="n">
        <v>5.85492627347025</v>
      </c>
      <c r="Q19" s="83" t="n">
        <v>6.32152636487838</v>
      </c>
      <c r="R19" s="84" t="n">
        <v>0.527661696267452</v>
      </c>
      <c r="S19" s="83" t="n">
        <v>1.42603837156138</v>
      </c>
      <c r="T19" s="84" t="n">
        <v>0.02201933</v>
      </c>
      <c r="U19" s="82" t="n">
        <v>4777.59433333333</v>
      </c>
      <c r="V19" s="84" t="n">
        <v>0.502161373684371</v>
      </c>
      <c r="W19" s="85" t="s">
        <v>51</v>
      </c>
      <c r="X19" s="82" t="n">
        <v>15942.1265379724</v>
      </c>
      <c r="Y19" s="85" t="s">
        <v>51</v>
      </c>
      <c r="Z19" s="82" t="n">
        <v>1220.863463</v>
      </c>
      <c r="AA19" s="86"/>
      <c r="AB19" s="11"/>
      <c r="AC19" s="88"/>
      <c r="AD19" s="89"/>
    </row>
    <row r="20" customFormat="false" ht="12.95" hidden="false" customHeight="true" outlineLevel="0" collapsed="false">
      <c r="A20" s="90"/>
      <c r="B20" s="91"/>
      <c r="C20" s="92"/>
      <c r="D20" s="85"/>
      <c r="E20" s="85"/>
      <c r="F20" s="85"/>
      <c r="G20" s="85"/>
      <c r="H20" s="85"/>
      <c r="I20" s="85"/>
      <c r="J20" s="93"/>
      <c r="K20" s="93"/>
      <c r="L20" s="94"/>
      <c r="M20" s="94"/>
      <c r="N20" s="94"/>
      <c r="O20" s="94"/>
      <c r="P20" s="94"/>
      <c r="Q20" s="94"/>
      <c r="R20" s="29"/>
      <c r="S20" s="94"/>
      <c r="T20" s="29"/>
      <c r="U20" s="95"/>
      <c r="V20" s="29"/>
      <c r="W20" s="85"/>
      <c r="X20" s="93"/>
      <c r="Y20" s="94"/>
      <c r="Z20" s="86"/>
      <c r="AA20" s="11"/>
      <c r="AB20" s="88"/>
      <c r="AC20" s="89"/>
      <c r="AD20" s="40"/>
    </row>
    <row r="21" customFormat="false" ht="13.5" hidden="false" customHeight="true" outlineLevel="0" collapsed="false">
      <c r="B21" s="39"/>
      <c r="C21" s="39"/>
      <c r="D21" s="39"/>
      <c r="E21" s="39"/>
      <c r="F21" s="39"/>
      <c r="G21" s="39"/>
      <c r="H21" s="39"/>
      <c r="I21" s="39"/>
      <c r="J21" s="39"/>
      <c r="K21" s="96" t="s">
        <v>56</v>
      </c>
      <c r="L21" s="97" t="n">
        <v>6.78521109799021</v>
      </c>
      <c r="M21" s="97" t="n">
        <v>9.91762456459514</v>
      </c>
      <c r="N21" s="97" t="n">
        <v>4.7720692336297</v>
      </c>
      <c r="O21" s="97" t="n">
        <v>4.14104483067057</v>
      </c>
      <c r="P21" s="97" t="n">
        <v>4.69771224057057</v>
      </c>
      <c r="Q21" s="97" t="n">
        <v>4.53957795848745</v>
      </c>
      <c r="R21" s="98" t="n">
        <v>0.420073485584084</v>
      </c>
      <c r="S21" s="97" t="n">
        <v>1.48170726043049</v>
      </c>
      <c r="T21" s="98" t="n">
        <v>0.140128704063333</v>
      </c>
      <c r="U21" s="99" t="n">
        <v>4709.7534375</v>
      </c>
      <c r="V21" s="98" t="n">
        <v>0.391476157120346</v>
      </c>
      <c r="W21" s="100" t="s">
        <v>51</v>
      </c>
      <c r="X21" s="99" t="n">
        <v>13919.4190007197</v>
      </c>
      <c r="Y21" s="101" t="s">
        <v>51</v>
      </c>
      <c r="AB21" s="88"/>
      <c r="AC21" s="89"/>
      <c r="AD21" s="40"/>
    </row>
    <row r="22" customFormat="false" ht="12.95" hidden="false" customHeight="true" outlineLevel="0" collapsed="false">
      <c r="B22" s="39"/>
      <c r="C22" s="39"/>
      <c r="D22" s="39"/>
      <c r="E22" s="39"/>
      <c r="F22" s="39"/>
      <c r="G22" s="39"/>
      <c r="H22" s="39"/>
      <c r="I22" s="39"/>
      <c r="J22" s="39"/>
      <c r="K22" s="102" t="s">
        <v>57</v>
      </c>
      <c r="L22" s="83" t="n">
        <v>6.17800241064898</v>
      </c>
      <c r="M22" s="83" t="n">
        <v>9.26500332548826</v>
      </c>
      <c r="N22" s="83" t="n">
        <v>4.06229718628003</v>
      </c>
      <c r="O22" s="83" t="n">
        <v>4.34025263592619</v>
      </c>
      <c r="P22" s="83" t="n">
        <v>3.8214605050441</v>
      </c>
      <c r="Q22" s="83" t="n">
        <v>4.4317515737529</v>
      </c>
      <c r="R22" s="84" t="n">
        <v>0.410519420345428</v>
      </c>
      <c r="S22" s="83" t="n">
        <v>1.42603837156138</v>
      </c>
      <c r="T22" s="84" t="n">
        <v>0.02566033</v>
      </c>
      <c r="U22" s="82" t="n">
        <v>3375.998</v>
      </c>
      <c r="V22" s="84" t="n">
        <v>0.445710902974094</v>
      </c>
      <c r="W22" s="85" t="s">
        <v>51</v>
      </c>
      <c r="X22" s="82" t="n">
        <v>10970.1302259329</v>
      </c>
      <c r="Y22" s="103" t="s">
        <v>51</v>
      </c>
      <c r="AB22" s="88"/>
      <c r="AC22" s="89"/>
      <c r="AD22" s="40"/>
    </row>
    <row r="23" customFormat="false" ht="12.95" hidden="false" customHeight="true" outlineLevel="0" collapsed="false">
      <c r="B23" s="39"/>
      <c r="C23" s="39"/>
      <c r="D23" s="39"/>
      <c r="E23" s="39"/>
      <c r="F23" s="39"/>
      <c r="G23" s="39"/>
      <c r="H23" s="39"/>
      <c r="I23" s="39"/>
      <c r="J23" s="39"/>
      <c r="K23" s="102" t="s">
        <v>26</v>
      </c>
      <c r="L23" s="83" t="n">
        <v>9.8408994290303</v>
      </c>
      <c r="M23" s="83" t="n">
        <v>21.0097855861345</v>
      </c>
      <c r="N23" s="83" t="n">
        <v>12.2863011383826</v>
      </c>
      <c r="O23" s="83" t="n">
        <v>6.24947583964913</v>
      </c>
      <c r="P23" s="83" t="n">
        <v>10.4375954365737</v>
      </c>
      <c r="Q23" s="83" t="n">
        <v>6.32152636487838</v>
      </c>
      <c r="R23" s="84" t="n">
        <v>0.527661696267452</v>
      </c>
      <c r="S23" s="83" t="n">
        <v>2.42718247986987</v>
      </c>
      <c r="T23" s="84" t="n">
        <v>0.7364787</v>
      </c>
      <c r="U23" s="82" t="n">
        <v>13404</v>
      </c>
      <c r="V23" s="84" t="n">
        <v>0.726506639427988</v>
      </c>
      <c r="W23" s="85" t="s">
        <v>51</v>
      </c>
      <c r="X23" s="82" t="n">
        <v>28962.415551013</v>
      </c>
      <c r="Y23" s="103" t="s">
        <v>51</v>
      </c>
      <c r="AB23" s="88"/>
      <c r="AC23" s="89"/>
      <c r="AD23" s="40"/>
    </row>
    <row r="24" customFormat="false" ht="12.95" hidden="false" customHeight="true" outlineLevel="0" collapsed="false">
      <c r="B24" s="39"/>
      <c r="C24" s="39"/>
      <c r="D24" s="39"/>
      <c r="E24" s="39"/>
      <c r="F24" s="39"/>
      <c r="G24" s="39"/>
      <c r="H24" s="39"/>
      <c r="I24" s="39"/>
      <c r="J24" s="39"/>
      <c r="K24" s="104" t="s">
        <v>27</v>
      </c>
      <c r="L24" s="105" t="n">
        <v>3.74352272727273</v>
      </c>
      <c r="M24" s="105" t="n">
        <v>4.04545064377682</v>
      </c>
      <c r="N24" s="105" t="n">
        <v>2.07618942731278</v>
      </c>
      <c r="O24" s="105" t="n">
        <v>1.9475</v>
      </c>
      <c r="P24" s="105" t="n">
        <v>2.42858071377925</v>
      </c>
      <c r="Q24" s="105" t="n">
        <v>3.02215441176471</v>
      </c>
      <c r="R24" s="106" t="n">
        <v>0.314491556795854</v>
      </c>
      <c r="S24" s="105" t="n">
        <v>0.321593312862504</v>
      </c>
      <c r="T24" s="106" t="n">
        <v>1.927438E-005</v>
      </c>
      <c r="U24" s="107" t="n">
        <v>261.066666666667</v>
      </c>
      <c r="V24" s="106" t="n">
        <v>0</v>
      </c>
      <c r="W24" s="108" t="s">
        <v>51</v>
      </c>
      <c r="X24" s="107" t="n">
        <v>4775</v>
      </c>
      <c r="Y24" s="109" t="s">
        <v>51</v>
      </c>
      <c r="AB24" s="88"/>
      <c r="AC24" s="89"/>
      <c r="AD24" s="40"/>
    </row>
    <row r="25" customFormat="false" ht="12.95" hidden="false" customHeight="true" outlineLevel="0" collapsed="false"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86"/>
      <c r="AA25" s="11"/>
      <c r="AB25" s="88"/>
      <c r="AC25" s="89"/>
      <c r="AD25" s="40"/>
    </row>
    <row r="26" customFormat="false" ht="12.95" hidden="true" customHeight="true" outlineLevel="1" collapsed="false">
      <c r="A26" s="72"/>
      <c r="B26" s="110"/>
      <c r="C26" s="110"/>
      <c r="D26" s="110" t="s">
        <v>182</v>
      </c>
      <c r="E26" s="110" t="s">
        <v>183</v>
      </c>
      <c r="F26" s="110" t="s">
        <v>184</v>
      </c>
      <c r="G26" s="110"/>
      <c r="H26" s="110"/>
      <c r="I26" s="110"/>
      <c r="J26" s="110" t="s">
        <v>185</v>
      </c>
      <c r="K26" s="110"/>
      <c r="L26" s="110" t="s">
        <v>186</v>
      </c>
      <c r="M26" s="110" t="s">
        <v>187</v>
      </c>
      <c r="N26" s="110"/>
      <c r="O26" s="110"/>
      <c r="P26" s="110" t="s">
        <v>188</v>
      </c>
      <c r="Q26" s="110" t="s">
        <v>189</v>
      </c>
      <c r="R26" s="110" t="s">
        <v>190</v>
      </c>
      <c r="S26" s="110"/>
      <c r="T26" s="110"/>
      <c r="U26" s="110"/>
      <c r="V26" s="110"/>
      <c r="W26" s="110"/>
      <c r="X26" s="110"/>
      <c r="Y26" s="110"/>
      <c r="Z26" s="111"/>
      <c r="AA26" s="112"/>
      <c r="AB26" s="113"/>
      <c r="AC26" s="114"/>
      <c r="AD26" s="115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  <c r="FL26" s="72"/>
      <c r="FM26" s="72"/>
      <c r="FN26" s="72"/>
      <c r="FO26" s="72"/>
      <c r="FP26" s="72"/>
      <c r="FQ26" s="72"/>
      <c r="FR26" s="72"/>
      <c r="FS26" s="72"/>
      <c r="FT26" s="72"/>
      <c r="FU26" s="72"/>
      <c r="FV26" s="72"/>
      <c r="FW26" s="72"/>
      <c r="FX26" s="72"/>
      <c r="FY26" s="72"/>
      <c r="FZ26" s="72"/>
      <c r="GA26" s="72"/>
      <c r="GB26" s="72"/>
      <c r="GC26" s="72"/>
      <c r="GD26" s="72"/>
      <c r="GE26" s="72"/>
      <c r="GF26" s="72"/>
      <c r="GG26" s="72"/>
      <c r="GH26" s="72"/>
      <c r="GI26" s="72"/>
      <c r="GJ26" s="72"/>
      <c r="GK26" s="72"/>
      <c r="GL26" s="72"/>
      <c r="GM26" s="72"/>
      <c r="GN26" s="72"/>
      <c r="GO26" s="72"/>
      <c r="GP26" s="72"/>
      <c r="GQ26" s="72"/>
      <c r="GR26" s="72"/>
      <c r="GS26" s="72"/>
      <c r="GT26" s="72"/>
      <c r="GU26" s="72"/>
      <c r="GV26" s="72"/>
      <c r="GW26" s="72"/>
      <c r="GX26" s="72"/>
      <c r="GY26" s="72"/>
      <c r="GZ26" s="72"/>
      <c r="HA26" s="72"/>
      <c r="HB26" s="72"/>
      <c r="HC26" s="72"/>
      <c r="HD26" s="72"/>
      <c r="HE26" s="72"/>
      <c r="HF26" s="72"/>
      <c r="HG26" s="72"/>
      <c r="HH26" s="72"/>
      <c r="HI26" s="72"/>
      <c r="HJ26" s="72"/>
      <c r="HK26" s="72"/>
      <c r="HL26" s="72"/>
      <c r="HM26" s="72"/>
      <c r="HN26" s="72"/>
      <c r="HO26" s="72"/>
      <c r="HP26" s="72"/>
      <c r="HQ26" s="72"/>
      <c r="HR26" s="72"/>
      <c r="HS26" s="72"/>
      <c r="HT26" s="72"/>
      <c r="HU26" s="72"/>
      <c r="HV26" s="72"/>
      <c r="HW26" s="72"/>
      <c r="HX26" s="72"/>
      <c r="HY26" s="72"/>
      <c r="HZ26" s="72"/>
      <c r="IA26" s="72"/>
      <c r="IB26" s="72"/>
      <c r="IC26" s="72"/>
      <c r="ID26" s="72"/>
      <c r="IE26" s="72"/>
      <c r="IF26" s="72"/>
      <c r="IG26" s="72"/>
      <c r="IH26" s="72"/>
      <c r="II26" s="72"/>
      <c r="IJ26" s="72"/>
      <c r="IK26" s="72"/>
      <c r="IL26" s="72"/>
      <c r="IM26" s="72"/>
      <c r="IN26" s="72"/>
      <c r="IO26" s="72"/>
      <c r="IP26" s="72"/>
      <c r="IQ26" s="72"/>
      <c r="IR26" s="72"/>
      <c r="IS26" s="72"/>
      <c r="IT26" s="72"/>
      <c r="IU26" s="72"/>
      <c r="IV26" s="72"/>
      <c r="IW26" s="72"/>
    </row>
    <row r="27" customFormat="false" ht="12.95" hidden="false" customHeight="true" outlineLevel="0" collapsed="false">
      <c r="B27" s="39"/>
      <c r="C27" s="39"/>
      <c r="D27" s="39"/>
      <c r="Z27" s="86"/>
      <c r="AA27" s="11"/>
      <c r="AB27" s="88"/>
      <c r="AC27" s="89"/>
      <c r="AD27" s="40"/>
    </row>
    <row r="28" customFormat="false" ht="12.95" hidden="false" customHeight="true" outlineLevel="0" collapsed="false">
      <c r="A28" s="43"/>
      <c r="B28" s="13" t="s">
        <v>191</v>
      </c>
      <c r="C28" s="13"/>
      <c r="D28" s="13" t="s">
        <v>60</v>
      </c>
      <c r="E28" s="13"/>
      <c r="F28" s="13"/>
      <c r="G28" s="13"/>
      <c r="H28" s="13"/>
      <c r="I28" s="13"/>
      <c r="J28" s="13" t="s">
        <v>61</v>
      </c>
      <c r="K28" s="13"/>
      <c r="L28" s="13" t="s">
        <v>62</v>
      </c>
      <c r="M28" s="13"/>
      <c r="P28" s="13" t="s">
        <v>63</v>
      </c>
      <c r="Q28" s="13"/>
      <c r="R28" s="13"/>
      <c r="S28" s="13"/>
      <c r="Z28" s="86"/>
      <c r="AA28" s="11"/>
      <c r="AB28" s="88"/>
      <c r="AC28" s="89"/>
      <c r="AD28" s="40"/>
    </row>
    <row r="29" customFormat="false" ht="12.95" hidden="false" customHeight="true" outlineLevel="0" collapsed="false">
      <c r="A29" s="43"/>
      <c r="B29" s="79" t="s">
        <v>40</v>
      </c>
      <c r="C29" s="79"/>
      <c r="D29" s="79" t="s">
        <v>40</v>
      </c>
      <c r="E29" s="79"/>
      <c r="F29" s="79"/>
      <c r="G29" s="79"/>
      <c r="H29" s="79"/>
      <c r="I29" s="79"/>
      <c r="J29" s="79" t="s">
        <v>40</v>
      </c>
      <c r="K29" s="79"/>
      <c r="L29" s="79" t="s">
        <v>40</v>
      </c>
      <c r="M29" s="79"/>
      <c r="P29" s="79" t="s">
        <v>40</v>
      </c>
      <c r="Q29" s="79"/>
      <c r="R29" s="79"/>
      <c r="S29" s="79"/>
    </row>
    <row r="30" customFormat="false" ht="12.95" hidden="false" customHeight="true" outlineLevel="0" collapsed="false">
      <c r="B30" s="11"/>
      <c r="C30" s="11"/>
      <c r="D30" s="13" t="s">
        <v>123</v>
      </c>
      <c r="E30" s="13" t="s">
        <v>66</v>
      </c>
      <c r="F30" s="13" t="s">
        <v>8</v>
      </c>
      <c r="G30" s="13"/>
      <c r="H30" s="13"/>
      <c r="I30" s="13"/>
      <c r="J30" s="11"/>
      <c r="P30" s="13" t="s">
        <v>68</v>
      </c>
      <c r="Q30" s="13"/>
      <c r="R30" s="13" t="s">
        <v>69</v>
      </c>
      <c r="S30" s="13" t="s">
        <v>70</v>
      </c>
    </row>
    <row r="31" customFormat="false" ht="12.95" hidden="false" customHeight="true" outlineLevel="0" collapsed="false">
      <c r="A31" s="11" t="s">
        <v>22</v>
      </c>
      <c r="B31" s="11" t="s">
        <v>76</v>
      </c>
      <c r="C31" s="11" t="s">
        <v>77</v>
      </c>
      <c r="D31" s="11" t="s">
        <v>192</v>
      </c>
      <c r="E31" s="11" t="s">
        <v>79</v>
      </c>
      <c r="F31" s="11" t="s">
        <v>80</v>
      </c>
      <c r="G31" s="11"/>
      <c r="H31" s="11"/>
      <c r="I31" s="11"/>
      <c r="J31" s="11" t="s">
        <v>81</v>
      </c>
      <c r="K31" s="11" t="s">
        <v>8</v>
      </c>
      <c r="L31" s="11" t="s">
        <v>82</v>
      </c>
      <c r="M31" s="11" t="s">
        <v>83</v>
      </c>
      <c r="P31" s="11" t="s">
        <v>84</v>
      </c>
      <c r="Q31" s="11" t="s">
        <v>85</v>
      </c>
      <c r="R31" s="11" t="s">
        <v>86</v>
      </c>
      <c r="S31" s="11" t="s">
        <v>87</v>
      </c>
    </row>
    <row r="32" customFormat="false" ht="12.95" hidden="false" customHeight="true" outlineLevel="0" collapsed="false">
      <c r="A32" s="78" t="s">
        <v>40</v>
      </c>
      <c r="B32" s="78" t="s">
        <v>40</v>
      </c>
      <c r="C32" s="78" t="s">
        <v>40</v>
      </c>
      <c r="D32" s="78" t="s">
        <v>40</v>
      </c>
      <c r="E32" s="78" t="s">
        <v>40</v>
      </c>
      <c r="F32" s="79" t="s">
        <v>40</v>
      </c>
      <c r="G32" s="79"/>
      <c r="H32" s="79"/>
      <c r="I32" s="79"/>
      <c r="J32" s="78" t="s">
        <v>40</v>
      </c>
      <c r="K32" s="78" t="s">
        <v>40</v>
      </c>
      <c r="L32" s="78" t="s">
        <v>40</v>
      </c>
      <c r="M32" s="78" t="s">
        <v>40</v>
      </c>
      <c r="P32" s="78" t="s">
        <v>40</v>
      </c>
      <c r="Q32" s="78" t="s">
        <v>40</v>
      </c>
      <c r="R32" s="78" t="s">
        <v>40</v>
      </c>
      <c r="S32" s="78" t="s">
        <v>40</v>
      </c>
    </row>
    <row r="33" customFormat="false" ht="12.95" hidden="false" customHeight="true" outlineLevel="0" collapsed="false">
      <c r="A33" s="116" t="s">
        <v>165</v>
      </c>
      <c r="B33" s="11" t="s">
        <v>193</v>
      </c>
      <c r="C33" s="40" t="s">
        <v>194</v>
      </c>
      <c r="D33" s="82" t="s">
        <v>195</v>
      </c>
      <c r="E33" s="82" t="s">
        <v>99</v>
      </c>
      <c r="F33" s="117" t="n">
        <v>37052</v>
      </c>
      <c r="G33" s="82" t="e">
        <f aca="false"/>
        <v>#REF!</v>
      </c>
      <c r="H33" s="82" t="e">
        <f aca="false"/>
        <v>#REF!</v>
      </c>
      <c r="I33" s="82" t="e">
        <f aca="false"/>
        <v>#REF!</v>
      </c>
      <c r="J33" s="82" t="s">
        <v>196</v>
      </c>
      <c r="K33" s="117" t="n">
        <v>37052</v>
      </c>
      <c r="L33" s="84" t="n">
        <v>0.104032258064516</v>
      </c>
      <c r="M33" s="84" t="n">
        <v>0.00661764705882339</v>
      </c>
      <c r="N33" s="11"/>
      <c r="O33" s="11"/>
      <c r="P33" s="84" t="n">
        <v>1.77156971808942</v>
      </c>
      <c r="Q33" s="83" t="n">
        <v>13.9817821782178</v>
      </c>
      <c r="R33" s="118" t="n">
        <v>4.11638917367718</v>
      </c>
      <c r="S33" s="84" t="s">
        <v>51</v>
      </c>
      <c r="T33" s="11"/>
      <c r="Z33" s="11"/>
    </row>
    <row r="34" customFormat="false" ht="12.95" hidden="false" customHeight="true" outlineLevel="0" collapsed="false">
      <c r="A34" s="116" t="s">
        <v>167</v>
      </c>
      <c r="B34" s="11" t="s">
        <v>193</v>
      </c>
      <c r="C34" s="40" t="s">
        <v>194</v>
      </c>
      <c r="D34" s="82" t="s">
        <v>197</v>
      </c>
      <c r="E34" s="82" t="s">
        <v>99</v>
      </c>
      <c r="F34" s="117" t="n">
        <v>37052</v>
      </c>
      <c r="G34" s="82" t="e">
        <f aca="false"/>
        <v>#REF!</v>
      </c>
      <c r="H34" s="82" t="e">
        <f aca="false"/>
        <v>#REF!</v>
      </c>
      <c r="I34" s="82" t="e">
        <f aca="false"/>
        <v>#REF!</v>
      </c>
      <c r="J34" s="82" t="s">
        <v>198</v>
      </c>
      <c r="K34" s="117" t="n">
        <v>37052</v>
      </c>
      <c r="L34" s="84" t="n">
        <v>-0.240384615384615</v>
      </c>
      <c r="M34" s="84" t="n">
        <v>0.174324324324324</v>
      </c>
      <c r="N34" s="11"/>
      <c r="O34" s="119"/>
      <c r="P34" s="84" t="n">
        <v>4.11826768120719</v>
      </c>
      <c r="Q34" s="83" t="s">
        <v>51</v>
      </c>
      <c r="R34" s="118" t="n">
        <v>0.565803667745415</v>
      </c>
      <c r="S34" s="84" t="s">
        <v>51</v>
      </c>
      <c r="T34" s="120"/>
      <c r="Z34" s="51"/>
    </row>
    <row r="35" customFormat="false" ht="12.95" hidden="false" customHeight="true" outlineLevel="0" collapsed="false">
      <c r="A35" s="116" t="s">
        <v>170</v>
      </c>
      <c r="B35" s="11" t="s">
        <v>193</v>
      </c>
      <c r="C35" s="40" t="s">
        <v>194</v>
      </c>
      <c r="D35" s="82" t="s">
        <v>199</v>
      </c>
      <c r="E35" s="82" t="s">
        <v>96</v>
      </c>
      <c r="F35" s="117" t="n">
        <v>36982</v>
      </c>
      <c r="G35" s="82" t="e">
        <f aca="false"/>
        <v>#REF!</v>
      </c>
      <c r="H35" s="82" t="e">
        <f aca="false"/>
        <v>#REF!</v>
      </c>
      <c r="I35" s="82" t="e">
        <f aca="false"/>
        <v>#REF!</v>
      </c>
      <c r="J35" s="82" t="s">
        <v>51</v>
      </c>
      <c r="K35" s="117" t="n">
        <v>36982</v>
      </c>
      <c r="L35" s="84" t="n">
        <v>0.177272384968748</v>
      </c>
      <c r="M35" s="84" t="n">
        <v>-0.0746966558153298</v>
      </c>
      <c r="N35" s="11"/>
      <c r="O35" s="11"/>
      <c r="P35" s="84" t="n">
        <v>0.660119696897219</v>
      </c>
      <c r="Q35" s="83" t="n">
        <v>10.2782152230971</v>
      </c>
      <c r="R35" s="118" t="s">
        <v>51</v>
      </c>
      <c r="S35" s="84" t="s">
        <v>51</v>
      </c>
      <c r="T35" s="120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</row>
    <row r="36" customFormat="false" ht="12.95" hidden="false" customHeight="true" outlineLevel="0" collapsed="false">
      <c r="A36" s="116" t="s">
        <v>172</v>
      </c>
      <c r="B36" s="11" t="s">
        <v>193</v>
      </c>
      <c r="C36" s="40" t="s">
        <v>194</v>
      </c>
      <c r="D36" s="82" t="s">
        <v>195</v>
      </c>
      <c r="E36" s="82" t="s">
        <v>96</v>
      </c>
      <c r="F36" s="117" t="n">
        <v>37104</v>
      </c>
      <c r="G36" s="82" t="e">
        <f aca="false"/>
        <v>#REF!</v>
      </c>
      <c r="H36" s="82" t="e">
        <f aca="false"/>
        <v>#REF!</v>
      </c>
      <c r="I36" s="82" t="e">
        <f aca="false"/>
        <v>#REF!</v>
      </c>
      <c r="J36" s="82" t="s">
        <v>200</v>
      </c>
      <c r="K36" s="117" t="n">
        <v>37104</v>
      </c>
      <c r="L36" s="84" t="n">
        <v>0.0764872521246459</v>
      </c>
      <c r="M36" s="84" t="n">
        <v>0.0187667560321716</v>
      </c>
      <c r="N36" s="11"/>
      <c r="O36" s="119"/>
      <c r="P36" s="84" t="n">
        <v>2.47580487731558</v>
      </c>
      <c r="Q36" s="83" t="n">
        <v>13.2505732469828</v>
      </c>
      <c r="R36" s="118" t="s">
        <v>51</v>
      </c>
      <c r="S36" s="84" t="s">
        <v>51</v>
      </c>
      <c r="T36" s="120"/>
      <c r="Z36" s="51"/>
    </row>
    <row r="37" customFormat="false" ht="12.75" hidden="false" customHeight="true" outlineLevel="0" collapsed="false">
      <c r="A37" s="116" t="s">
        <v>174</v>
      </c>
      <c r="B37" s="11" t="s">
        <v>193</v>
      </c>
      <c r="C37" s="40" t="s">
        <v>194</v>
      </c>
      <c r="D37" s="82" t="s">
        <v>195</v>
      </c>
      <c r="E37" s="82" t="s">
        <v>96</v>
      </c>
      <c r="F37" s="117" t="n">
        <v>37052</v>
      </c>
      <c r="G37" s="82" t="e">
        <f aca="false"/>
        <v>#REF!</v>
      </c>
      <c r="H37" s="82" t="e">
        <f aca="false"/>
        <v>#REF!</v>
      </c>
      <c r="I37" s="82" t="e">
        <f aca="false"/>
        <v>#REF!</v>
      </c>
      <c r="J37" s="82" t="s">
        <v>51</v>
      </c>
      <c r="K37" s="117" t="n">
        <v>37052</v>
      </c>
      <c r="L37" s="84" t="n">
        <v>0.296712910886139</v>
      </c>
      <c r="M37" s="84" t="n">
        <v>0.257575757575758</v>
      </c>
      <c r="N37" s="11"/>
      <c r="O37" s="119"/>
      <c r="P37" s="84" t="n">
        <v>1.37313643180447</v>
      </c>
      <c r="Q37" s="83" t="n">
        <v>11.8233236151603</v>
      </c>
      <c r="R37" s="118" t="n">
        <v>3.61407243765499</v>
      </c>
      <c r="S37" s="84" t="s">
        <v>51</v>
      </c>
      <c r="T37" s="120"/>
      <c r="Z37" s="51"/>
      <c r="AA37" s="44"/>
    </row>
    <row r="38" customFormat="false" ht="12.75" hidden="false" customHeight="false" outlineLevel="0" collapsed="false">
      <c r="A38" s="116" t="s">
        <v>176</v>
      </c>
      <c r="B38" s="11" t="s">
        <v>193</v>
      </c>
      <c r="C38" s="40" t="s">
        <v>194</v>
      </c>
      <c r="D38" s="82" t="s">
        <v>201</v>
      </c>
      <c r="E38" s="82" t="s">
        <v>99</v>
      </c>
      <c r="F38" s="117" t="n">
        <v>37012</v>
      </c>
      <c r="G38" s="82" t="e">
        <f aca="false"/>
        <v>#REF!</v>
      </c>
      <c r="H38" s="82" t="e">
        <f aca="false"/>
        <v>#REF!</v>
      </c>
      <c r="I38" s="82" t="e">
        <f aca="false"/>
        <v>#REF!</v>
      </c>
      <c r="J38" s="82" t="s">
        <v>202</v>
      </c>
      <c r="K38" s="117" t="n">
        <v>37012</v>
      </c>
      <c r="L38" s="84" t="n">
        <v>-0.275449101796407</v>
      </c>
      <c r="M38" s="84" t="n">
        <v>-0.214285714285714</v>
      </c>
      <c r="N38" s="11"/>
      <c r="O38" s="119"/>
      <c r="P38" s="84" t="n">
        <v>5.07063942005448</v>
      </c>
      <c r="Q38" s="83" t="n">
        <v>24.4117737085939</v>
      </c>
      <c r="R38" s="118" t="n">
        <v>1.73817354283023</v>
      </c>
      <c r="S38" s="84" t="s">
        <v>51</v>
      </c>
      <c r="T38" s="120"/>
      <c r="Z38" s="51"/>
      <c r="AA38" s="44"/>
    </row>
    <row r="39" customFormat="false" ht="12" hidden="false" customHeight="true" outlineLevel="0" collapsed="false">
      <c r="A39" s="116" t="s">
        <v>178</v>
      </c>
      <c r="B39" s="11" t="s">
        <v>193</v>
      </c>
      <c r="C39" s="40" t="s">
        <v>194</v>
      </c>
      <c r="D39" s="82" t="s">
        <v>201</v>
      </c>
      <c r="E39" s="82" t="s">
        <v>99</v>
      </c>
      <c r="F39" s="117" t="n">
        <v>37012</v>
      </c>
      <c r="G39" s="82" t="e">
        <f aca="false"/>
        <v>#REF!</v>
      </c>
      <c r="H39" s="82" t="e">
        <f aca="false"/>
        <v>#REF!</v>
      </c>
      <c r="I39" s="82" t="e">
        <f aca="false"/>
        <v>#REF!</v>
      </c>
      <c r="J39" s="82" t="s">
        <v>203</v>
      </c>
      <c r="K39" s="117" t="n">
        <v>37012</v>
      </c>
      <c r="L39" s="84" t="n">
        <v>0.198245619894649</v>
      </c>
      <c r="M39" s="84" t="n">
        <v>0.220755258014121</v>
      </c>
      <c r="N39" s="11"/>
      <c r="O39" s="119"/>
      <c r="P39" s="84" t="s">
        <v>51</v>
      </c>
      <c r="Q39" s="83" t="s">
        <v>51</v>
      </c>
      <c r="R39" s="118" t="s">
        <v>51</v>
      </c>
      <c r="S39" s="84" t="s">
        <v>51</v>
      </c>
      <c r="T39" s="120"/>
      <c r="Z39" s="51"/>
      <c r="AA39" s="13"/>
    </row>
    <row r="40" customFormat="false" ht="12.75" hidden="false" customHeight="false" outlineLevel="0" collapsed="false">
      <c r="A40" s="116" t="s">
        <v>180</v>
      </c>
      <c r="B40" s="11" t="s">
        <v>193</v>
      </c>
      <c r="C40" s="40" t="s">
        <v>194</v>
      </c>
      <c r="D40" s="82" t="s">
        <v>195</v>
      </c>
      <c r="E40" s="82" t="s">
        <v>96</v>
      </c>
      <c r="F40" s="117" t="n">
        <v>37052</v>
      </c>
      <c r="G40" s="82" t="e">
        <f aca="false"/>
        <v>#REF!</v>
      </c>
      <c r="H40" s="82" t="e">
        <f aca="false"/>
        <v>#REF!</v>
      </c>
      <c r="I40" s="82" t="e">
        <f aca="false"/>
        <v>#REF!</v>
      </c>
      <c r="J40" s="82" t="s">
        <v>200</v>
      </c>
      <c r="K40" s="117" t="n">
        <v>37052</v>
      </c>
      <c r="L40" s="84" t="n">
        <v>-0.0859106529209622</v>
      </c>
      <c r="M40" s="84" t="n">
        <v>0.0940070505287897</v>
      </c>
      <c r="N40" s="11"/>
      <c r="O40" s="119"/>
      <c r="P40" s="84" t="n">
        <v>5.93957934042488</v>
      </c>
      <c r="Q40" s="83" t="n">
        <v>12.9923257730202</v>
      </c>
      <c r="R40" s="118" t="n">
        <v>2.54680490303506</v>
      </c>
      <c r="S40" s="84" t="s">
        <v>51</v>
      </c>
      <c r="T40" s="120"/>
      <c r="Z40" s="51"/>
      <c r="AA40" s="44"/>
    </row>
    <row r="41" customFormat="false" ht="12.95" hidden="false" customHeight="true" outlineLevel="0" collapsed="false">
      <c r="A41" s="116"/>
      <c r="C41" s="40"/>
      <c r="D41" s="40"/>
      <c r="E41" s="40"/>
      <c r="F41" s="81"/>
      <c r="G41" s="81"/>
      <c r="H41" s="81"/>
      <c r="I41" s="81"/>
      <c r="J41" s="11"/>
      <c r="K41" s="81"/>
      <c r="L41" s="29"/>
      <c r="M41" s="29"/>
      <c r="N41" s="11"/>
      <c r="O41" s="119"/>
      <c r="P41" s="29"/>
      <c r="Q41" s="94"/>
      <c r="R41" s="85"/>
      <c r="S41" s="40"/>
      <c r="T41" s="120"/>
      <c r="Z41" s="51"/>
      <c r="AA41" s="44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  <c r="IJ41" s="11"/>
      <c r="IK41" s="11"/>
      <c r="IL41" s="11"/>
      <c r="IM41" s="11"/>
      <c r="IN41" s="11"/>
      <c r="IO41" s="11"/>
      <c r="IP41" s="11"/>
      <c r="IQ41" s="11"/>
      <c r="IR41" s="11"/>
      <c r="IS41" s="11"/>
      <c r="IT41" s="11"/>
      <c r="IU41" s="11"/>
      <c r="IV41" s="11"/>
      <c r="IW41" s="11"/>
    </row>
    <row r="42" customFormat="false" ht="12.95" hidden="false" customHeight="true" outlineLevel="0" collapsed="false">
      <c r="A42" s="11"/>
      <c r="B42" s="121"/>
      <c r="C42" s="121"/>
      <c r="D42" s="11"/>
      <c r="E42" s="121"/>
      <c r="F42" s="11"/>
      <c r="G42" s="11"/>
      <c r="H42" s="11"/>
      <c r="I42" s="11"/>
      <c r="J42" s="11"/>
      <c r="K42" s="11"/>
      <c r="L42" s="11"/>
      <c r="M42" s="11"/>
      <c r="N42" s="11"/>
      <c r="O42" s="96" t="s">
        <v>56</v>
      </c>
      <c r="P42" s="97" t="n">
        <v>3.05844530939903</v>
      </c>
      <c r="Q42" s="97" t="n">
        <v>14.4563322908453</v>
      </c>
      <c r="R42" s="97" t="n">
        <v>2.51624874498857</v>
      </c>
      <c r="S42" s="122" t="s">
        <v>51</v>
      </c>
      <c r="T42" s="120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  <c r="IR42" s="11"/>
      <c r="IS42" s="11"/>
      <c r="IT42" s="11"/>
      <c r="IU42" s="11"/>
      <c r="IV42" s="11"/>
      <c r="IW42" s="11"/>
    </row>
    <row r="43" customFormat="false" ht="12.95" hidden="false" customHeight="true" outlineLevel="0" collapsed="false">
      <c r="A43" s="11"/>
      <c r="B43" s="121"/>
      <c r="C43" s="121"/>
      <c r="D43" s="12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02" t="s">
        <v>57</v>
      </c>
      <c r="P43" s="83" t="n">
        <v>2.47580487731558</v>
      </c>
      <c r="Q43" s="83" t="n">
        <v>13.1214495100015</v>
      </c>
      <c r="R43" s="83" t="n">
        <v>2.54680490303506</v>
      </c>
      <c r="S43" s="123" t="s">
        <v>51</v>
      </c>
      <c r="T43" s="120"/>
      <c r="Z43" s="5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2.95" hidden="false" customHeight="true" outlineLevel="0" collapsed="false">
      <c r="A44" s="11"/>
      <c r="B44" s="121"/>
      <c r="C44" s="121"/>
      <c r="D44" s="12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02" t="s">
        <v>26</v>
      </c>
      <c r="P44" s="83" t="n">
        <v>5.93957934042488</v>
      </c>
      <c r="Q44" s="83" t="n">
        <v>24.4117737085939</v>
      </c>
      <c r="R44" s="83" t="n">
        <v>4.11638917367718</v>
      </c>
      <c r="S44" s="123" t="s">
        <v>51</v>
      </c>
      <c r="T44" s="120"/>
      <c r="Z44" s="5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  <c r="IJ44" s="11"/>
      <c r="IK44" s="11"/>
      <c r="IL44" s="11"/>
      <c r="IM44" s="11"/>
      <c r="IN44" s="11"/>
      <c r="IO44" s="11"/>
      <c r="IP44" s="11"/>
      <c r="IQ44" s="11"/>
      <c r="IR44" s="11"/>
      <c r="IS44" s="11"/>
      <c r="IT44" s="11"/>
      <c r="IU44" s="11"/>
      <c r="IV44" s="11"/>
      <c r="IW44" s="11"/>
    </row>
    <row r="45" customFormat="false" ht="12.95" hidden="false" customHeight="true" outlineLevel="0" collapsed="false">
      <c r="A45" s="124" t="s">
        <v>104</v>
      </c>
      <c r="B45" s="11"/>
      <c r="C45" s="121"/>
      <c r="D45" s="12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04" t="s">
        <v>27</v>
      </c>
      <c r="P45" s="105" t="n">
        <v>0.660119696897219</v>
      </c>
      <c r="Q45" s="105" t="n">
        <v>10.2782152230971</v>
      </c>
      <c r="R45" s="105" t="n">
        <v>0.565803667745415</v>
      </c>
      <c r="S45" s="125" t="s">
        <v>51</v>
      </c>
      <c r="T45" s="120"/>
      <c r="Z45" s="5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  <c r="IJ45" s="11"/>
      <c r="IK45" s="11"/>
      <c r="IL45" s="11"/>
      <c r="IM45" s="11"/>
      <c r="IN45" s="11"/>
      <c r="IO45" s="11"/>
      <c r="IP45" s="11"/>
      <c r="IQ45" s="11"/>
      <c r="IR45" s="11"/>
      <c r="IS45" s="11"/>
      <c r="IT45" s="11"/>
      <c r="IU45" s="11"/>
      <c r="IV45" s="11"/>
      <c r="IW45" s="11"/>
    </row>
    <row r="46" customFormat="false" ht="12.95" hidden="false" customHeight="true" outlineLevel="0" collapsed="false">
      <c r="A46" s="126" t="s">
        <v>204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5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  <c r="IV46" s="11"/>
      <c r="IW46" s="11"/>
    </row>
    <row r="47" customFormat="false" ht="12.95" hidden="false" customHeight="true" outlineLevel="0" collapsed="false">
      <c r="A47" s="40" t="s">
        <v>205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  <c r="IJ47" s="11"/>
      <c r="IK47" s="11"/>
      <c r="IL47" s="11"/>
      <c r="IM47" s="11"/>
      <c r="IN47" s="11"/>
      <c r="IO47" s="11"/>
      <c r="IP47" s="11"/>
      <c r="IQ47" s="11"/>
      <c r="IR47" s="11"/>
      <c r="IS47" s="11"/>
      <c r="IT47" s="11"/>
      <c r="IU47" s="11"/>
      <c r="IV47" s="11"/>
      <c r="IW47" s="11"/>
    </row>
    <row r="48" customFormat="false" ht="12.95" hidden="false" customHeight="true" outlineLevel="0" collapsed="false">
      <c r="A48" s="40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  <c r="IJ48" s="11"/>
      <c r="IK48" s="11"/>
      <c r="IL48" s="11"/>
      <c r="IM48" s="11"/>
      <c r="IN48" s="11"/>
      <c r="IO48" s="11"/>
      <c r="IP48" s="11"/>
      <c r="IQ48" s="11"/>
      <c r="IR48" s="11"/>
      <c r="IS48" s="11"/>
      <c r="IT48" s="11"/>
      <c r="IU48" s="11"/>
      <c r="IV48" s="11"/>
      <c r="IW48" s="11"/>
    </row>
    <row r="49" customFormat="false" ht="12.95" hidden="false" customHeight="true" outlineLevel="0" collapsed="false">
      <c r="A49" s="40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  <c r="IV49" s="11"/>
      <c r="IW49" s="11"/>
    </row>
    <row r="50" customFormat="false" ht="12.95" hidden="false" customHeight="true" outlineLevel="0" collapsed="false">
      <c r="A50" s="40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2.95" hidden="false" customHeight="true" outlineLevel="0" collapsed="false">
      <c r="A51" s="40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2.95" hidden="false" customHeight="true" outlineLevel="0" collapsed="false">
      <c r="A52" s="40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2.95" hidden="false" customHeight="true" outlineLevel="0" collapsed="false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12.95" hidden="false" customHeight="true" outlineLevel="0" collapsed="false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12.95" hidden="false" customHeight="true" outlineLevel="0" collapsed="false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12.95" hidden="false" customHeight="true" outlineLevel="0" collapsed="false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12.95" hidden="false" customHeight="true" outlineLevel="0" collapsed="false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12.95" hidden="false" customHeight="true" outlineLevel="0" collapsed="false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12.95" hidden="false" customHeight="true" outlineLevel="0" collapsed="false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  <c r="II59" s="11"/>
      <c r="IJ59" s="11"/>
      <c r="IK59" s="11"/>
      <c r="IL59" s="11"/>
      <c r="IM59" s="11"/>
      <c r="IN59" s="11"/>
      <c r="IO59" s="11"/>
      <c r="IP59" s="11"/>
      <c r="IQ59" s="11"/>
      <c r="IR59" s="11"/>
      <c r="IS59" s="11"/>
      <c r="IT59" s="11"/>
      <c r="IU59" s="11"/>
      <c r="IV59" s="11"/>
      <c r="IW59" s="11"/>
    </row>
    <row r="60" customFormat="false" ht="12.95" hidden="false" customHeight="true" outlineLevel="0" collapsed="false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  <c r="IE60" s="11"/>
      <c r="IF60" s="11"/>
      <c r="IG60" s="11"/>
      <c r="IH60" s="11"/>
      <c r="II60" s="11"/>
      <c r="IJ60" s="11"/>
      <c r="IK60" s="11"/>
      <c r="IL60" s="11"/>
      <c r="IM60" s="11"/>
      <c r="IN60" s="11"/>
      <c r="IO60" s="11"/>
      <c r="IP60" s="11"/>
      <c r="IQ60" s="11"/>
      <c r="IR60" s="11"/>
      <c r="IS60" s="11"/>
      <c r="IT60" s="11"/>
      <c r="IU60" s="11"/>
      <c r="IV60" s="11"/>
      <c r="IW60" s="11"/>
    </row>
    <row r="61" customFormat="false" ht="12.95" hidden="false" customHeight="true" outlineLevel="0" collapsed="false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  <c r="IE61" s="11"/>
      <c r="IF61" s="11"/>
      <c r="IG61" s="11"/>
      <c r="IH61" s="11"/>
      <c r="II61" s="11"/>
      <c r="IJ61" s="11"/>
      <c r="IK61" s="11"/>
      <c r="IL61" s="11"/>
      <c r="IM61" s="11"/>
      <c r="IN61" s="11"/>
      <c r="IO61" s="11"/>
      <c r="IP61" s="11"/>
      <c r="IQ61" s="11"/>
      <c r="IR61" s="11"/>
      <c r="IS61" s="11"/>
      <c r="IT61" s="11"/>
      <c r="IU61" s="11"/>
      <c r="IV61" s="11"/>
      <c r="IW61" s="11"/>
    </row>
    <row r="62" customFormat="false" ht="12.95" hidden="false" customHeight="true" outlineLevel="0" collapsed="false"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  <c r="II62" s="11"/>
      <c r="IJ62" s="11"/>
      <c r="IK62" s="11"/>
      <c r="IL62" s="11"/>
      <c r="IM62" s="11"/>
      <c r="IN62" s="11"/>
      <c r="IO62" s="11"/>
      <c r="IP62" s="11"/>
      <c r="IQ62" s="11"/>
      <c r="IR62" s="11"/>
      <c r="IS62" s="11"/>
      <c r="IT62" s="11"/>
      <c r="IU62" s="11"/>
      <c r="IV62" s="11"/>
      <c r="IW62" s="11"/>
    </row>
    <row r="63" customFormat="false" ht="12.95" hidden="false" customHeight="true" outlineLevel="0" collapsed="false">
      <c r="AA63" s="11"/>
      <c r="AB63" s="11"/>
      <c r="AC63" s="11"/>
      <c r="AD63" s="11"/>
      <c r="AE63" s="11"/>
      <c r="AF63" s="11"/>
    </row>
    <row r="64" customFormat="false" ht="12.95" hidden="false" customHeight="true" outlineLevel="0" collapsed="false"/>
    <row r="65" customFormat="false" ht="12.95" hidden="false" customHeight="true" outlineLevel="0" collapsed="false"/>
    <row r="66" customFormat="false" ht="12.95" hidden="false" customHeight="true" outlineLevel="0" collapsed="false"/>
    <row r="67" customFormat="false" ht="12.95" hidden="false" customHeight="true" outlineLevel="0" collapsed="false"/>
    <row r="68" customFormat="false" ht="12.95" hidden="false" customHeight="true" outlineLevel="0" collapsed="false"/>
    <row r="69" customFormat="false" ht="12.95" hidden="false" customHeight="true" outlineLevel="0" collapsed="false"/>
    <row r="70" customFormat="false" ht="12.95" hidden="false" customHeight="true" outlineLevel="0" collapsed="false"/>
    <row r="71" customFormat="false" ht="12.95" hidden="false" customHeight="true" outlineLevel="0" collapsed="false"/>
    <row r="72" customFormat="false" ht="12.95" hidden="false" customHeight="true" outlineLevel="0" collapsed="false"/>
    <row r="73" customFormat="false" ht="12.95" hidden="false" customHeight="true" outlineLevel="0" collapsed="false"/>
    <row r="74" customFormat="false" ht="12.95" hidden="false" customHeight="true" outlineLevel="0" collapsed="false"/>
    <row r="75" customFormat="false" ht="12.95" hidden="false" customHeight="true" outlineLevel="0" collapsed="false"/>
    <row r="76" customFormat="false" ht="12.95" hidden="false" customHeight="true" outlineLevel="0" collapsed="false"/>
    <row r="77" customFormat="false" ht="12.95" hidden="false" customHeight="true" outlineLevel="0" collapsed="false"/>
    <row r="78" customFormat="false" ht="12.95" hidden="false" customHeight="true" outlineLevel="0" collapsed="false"/>
    <row r="79" customFormat="false" ht="12.95" hidden="false" customHeight="true" outlineLevel="0" collapsed="false"/>
    <row r="80" customFormat="false" ht="12.95" hidden="false" customHeight="true" outlineLevel="0" collapsed="false"/>
    <row r="81" customFormat="false" ht="12.95" hidden="false" customHeight="true" outlineLevel="0" collapsed="false"/>
    <row r="82" customFormat="false" ht="12.95" hidden="false" customHeight="true" outlineLevel="0" collapsed="false"/>
    <row r="83" customFormat="false" ht="12.95" hidden="false" customHeight="true" outlineLevel="0" collapsed="false"/>
    <row r="84" customFormat="false" ht="12.95" hidden="false" customHeight="true" outlineLevel="0" collapsed="false"/>
    <row r="85" customFormat="false" ht="12.95" hidden="false" customHeight="true" outlineLevel="0" collapsed="false"/>
    <row r="86" customFormat="false" ht="12.95" hidden="false" customHeight="true" outlineLevel="0" collapsed="false"/>
    <row r="87" customFormat="false" ht="12.95" hidden="false" customHeight="true" outlineLevel="0" collapsed="false"/>
    <row r="88" customFormat="false" ht="12.95" hidden="false" customHeight="true" outlineLevel="0" collapsed="false"/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</sheetData>
  <mergeCells count="18">
    <mergeCell ref="U8:W8"/>
    <mergeCell ref="X8:Y8"/>
    <mergeCell ref="E9:F9"/>
    <mergeCell ref="L9:M9"/>
    <mergeCell ref="N9:O9"/>
    <mergeCell ref="P9:Q9"/>
    <mergeCell ref="F11:I11"/>
    <mergeCell ref="B28:C28"/>
    <mergeCell ref="D28:I28"/>
    <mergeCell ref="J28:K28"/>
    <mergeCell ref="L28:M28"/>
    <mergeCell ref="P28:S28"/>
    <mergeCell ref="B29:C29"/>
    <mergeCell ref="D29:I29"/>
    <mergeCell ref="J29:K29"/>
    <mergeCell ref="L29:M29"/>
    <mergeCell ref="P29:S29"/>
    <mergeCell ref="F32:I32"/>
  </mergeCells>
  <printOptions headings="false" gridLines="false" gridLinesSet="true" horizontalCentered="false" verticalCentered="false"/>
  <pageMargins left="0" right="0" top="0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" width="29.71"/>
    <col collapsed="false" customWidth="true" hidden="false" outlineLevel="0" max="2" min="2" style="1" width="12.85"/>
    <col collapsed="false" customWidth="true" hidden="false" outlineLevel="0" max="3" min="3" style="1" width="12.7"/>
    <col collapsed="false" customWidth="true" hidden="false" outlineLevel="0" max="4" min="4" style="1" width="10.71"/>
    <col collapsed="false" customWidth="true" hidden="false" outlineLevel="0" max="5" min="5" style="1" width="11.7"/>
    <col collapsed="false" customWidth="true" hidden="false" outlineLevel="0" max="6" min="6" style="1" width="10.71"/>
    <col collapsed="false" customWidth="true" hidden="false" outlineLevel="0" max="7" min="7" style="1" width="11.7"/>
    <col collapsed="false" customWidth="true" hidden="false" outlineLevel="0" max="8" min="8" style="1" width="10.71"/>
    <col collapsed="false" customWidth="true" hidden="true" outlineLevel="1" max="9" min="9" style="1" width="8.7"/>
    <col collapsed="false" customWidth="true" hidden="false" outlineLevel="0" max="11" min="10" style="1" width="8.7"/>
    <col collapsed="false" customWidth="true" hidden="true" outlineLevel="1" max="12" min="12" style="1" width="8.7"/>
    <col collapsed="false" customWidth="true" hidden="false" outlineLevel="0" max="14" min="13" style="1" width="8.7"/>
    <col collapsed="false" customWidth="true" hidden="true" outlineLevel="1" max="15" min="15" style="1" width="8.7"/>
    <col collapsed="false" customWidth="true" hidden="false" outlineLevel="0" max="17" min="16" style="1" width="8.7"/>
    <col collapsed="false" customWidth="true" hidden="false" outlineLevel="0" max="25" min="18" style="1" width="9.7"/>
    <col collapsed="false" customWidth="true" hidden="false" outlineLevel="0" max="26" min="26" style="1" width="10.71"/>
    <col collapsed="false" customWidth="false" hidden="false" outlineLevel="0" max="27" min="27" style="1" width="9.14"/>
    <col collapsed="false" customWidth="true" hidden="false" outlineLevel="0" max="30" min="28" style="1" width="10.71"/>
    <col collapsed="false" customWidth="true" hidden="false" outlineLevel="0" max="31" min="31" style="1" width="15.7"/>
    <col collapsed="false" customWidth="false" hidden="false" outlineLevel="0" max="257" min="32" style="1" width="9.14"/>
  </cols>
  <sheetData>
    <row r="1" customFormat="false" ht="18" hidden="false" customHeight="false" outlineLevel="0" collapsed="false">
      <c r="A1" s="2" t="s">
        <v>206</v>
      </c>
      <c r="B1" s="2"/>
      <c r="C1" s="2"/>
    </row>
    <row r="2" customFormat="false" ht="15" hidden="false" customHeight="true" outlineLevel="0" collapsed="false">
      <c r="A2" s="3" t="s">
        <v>1</v>
      </c>
      <c r="B2" s="3"/>
      <c r="C2" s="3"/>
      <c r="AF2" s="4"/>
    </row>
    <row r="3" customFormat="false" ht="12.75" hidden="false" customHeight="false" outlineLevel="0" collapsed="false">
      <c r="A3" s="5" t="s">
        <v>2</v>
      </c>
      <c r="B3" s="5"/>
      <c r="C3" s="5"/>
      <c r="AF3" s="4"/>
    </row>
    <row r="4" customFormat="false" ht="12.75" hidden="false" customHeight="false" outlineLevel="0" collapsed="false">
      <c r="A4" s="5"/>
      <c r="B4" s="5"/>
      <c r="C4" s="5"/>
      <c r="AF4" s="4"/>
    </row>
    <row r="5" customFormat="false" ht="12.75" hidden="false" customHeight="false" outlineLevel="0" collapsed="false">
      <c r="A5" s="5"/>
      <c r="B5" s="5"/>
      <c r="C5" s="5"/>
      <c r="E5" s="1" t="s">
        <v>207</v>
      </c>
      <c r="AF5" s="4"/>
    </row>
    <row r="6" customFormat="false" ht="12.75" hidden="false" customHeight="false" outlineLevel="0" collapsed="false">
      <c r="A6" s="7" t="s">
        <v>3</v>
      </c>
      <c r="B6" s="8" t="n">
        <v>37106</v>
      </c>
      <c r="C6" s="9"/>
    </row>
    <row r="7" customFormat="false" ht="12.75" hidden="false" customHeight="false" outlineLevel="0" collapsed="false">
      <c r="D7" s="10"/>
      <c r="E7" s="10"/>
      <c r="F7" s="10"/>
      <c r="G7" s="10"/>
      <c r="H7" s="11" t="s">
        <v>4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2" t="s">
        <v>5</v>
      </c>
      <c r="V7" s="12"/>
      <c r="W7" s="12"/>
      <c r="X7" s="12" t="s">
        <v>6</v>
      </c>
      <c r="Y7" s="12"/>
      <c r="Z7" s="11" t="s">
        <v>7</v>
      </c>
    </row>
    <row r="8" customFormat="false" ht="12.75" hidden="false" customHeight="false" outlineLevel="0" collapsed="false">
      <c r="A8" s="10"/>
      <c r="B8" s="10"/>
      <c r="C8" s="11" t="s">
        <v>8</v>
      </c>
      <c r="D8" s="11" t="s">
        <v>9</v>
      </c>
      <c r="E8" s="13" t="s">
        <v>10</v>
      </c>
      <c r="F8" s="13"/>
      <c r="G8" s="11" t="s">
        <v>11</v>
      </c>
      <c r="H8" s="11" t="s">
        <v>11</v>
      </c>
      <c r="I8" s="12" t="s">
        <v>12</v>
      </c>
      <c r="J8" s="12"/>
      <c r="K8" s="12"/>
      <c r="L8" s="12" t="s">
        <v>13</v>
      </c>
      <c r="M8" s="12"/>
      <c r="N8" s="12"/>
      <c r="O8" s="12" t="s">
        <v>14</v>
      </c>
      <c r="P8" s="12"/>
      <c r="Q8" s="12"/>
      <c r="R8" s="13" t="s">
        <v>15</v>
      </c>
      <c r="S8" s="13" t="s">
        <v>16</v>
      </c>
      <c r="T8" s="11" t="s">
        <v>17</v>
      </c>
      <c r="U8" s="11" t="s">
        <v>18</v>
      </c>
      <c r="V8" s="11"/>
      <c r="W8" s="11" t="s">
        <v>19</v>
      </c>
      <c r="X8" s="11" t="s">
        <v>18</v>
      </c>
      <c r="Y8" s="11" t="s">
        <v>20</v>
      </c>
      <c r="Z8" s="11" t="s">
        <v>21</v>
      </c>
      <c r="AA8" s="13"/>
    </row>
    <row r="9" customFormat="false" ht="12.75" hidden="false" customHeight="false" outlineLevel="0" collapsed="false">
      <c r="A9" s="11" t="s">
        <v>22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29</v>
      </c>
      <c r="J9" s="11" t="s">
        <v>30</v>
      </c>
      <c r="K9" s="11" t="s">
        <v>31</v>
      </c>
      <c r="L9" s="11" t="s">
        <v>29</v>
      </c>
      <c r="M9" s="11" t="s">
        <v>30</v>
      </c>
      <c r="N9" s="11" t="s">
        <v>31</v>
      </c>
      <c r="O9" s="11" t="s">
        <v>29</v>
      </c>
      <c r="P9" s="11" t="s">
        <v>30</v>
      </c>
      <c r="Q9" s="11" t="s">
        <v>31</v>
      </c>
      <c r="R9" s="11" t="s">
        <v>32</v>
      </c>
      <c r="S9" s="11" t="s">
        <v>33</v>
      </c>
      <c r="T9" s="11" t="s">
        <v>34</v>
      </c>
      <c r="U9" s="11" t="s">
        <v>35</v>
      </c>
      <c r="V9" s="11" t="s">
        <v>36</v>
      </c>
      <c r="W9" s="11" t="s">
        <v>37</v>
      </c>
      <c r="X9" s="11" t="s">
        <v>38</v>
      </c>
      <c r="Y9" s="11" t="s">
        <v>6</v>
      </c>
      <c r="Z9" s="11" t="s">
        <v>39</v>
      </c>
      <c r="AA9" s="13"/>
    </row>
    <row r="10" customFormat="false" ht="4.9" hidden="false" customHeight="true" outlineLevel="0" collapsed="false">
      <c r="A10" s="14" t="s">
        <v>40</v>
      </c>
      <c r="B10" s="14" t="s">
        <v>40</v>
      </c>
      <c r="C10" s="14" t="s">
        <v>40</v>
      </c>
      <c r="D10" s="14" t="s">
        <v>40</v>
      </c>
      <c r="E10" s="14" t="s">
        <v>40</v>
      </c>
      <c r="F10" s="14" t="s">
        <v>40</v>
      </c>
      <c r="G10" s="14" t="s">
        <v>40</v>
      </c>
      <c r="H10" s="14" t="s">
        <v>40</v>
      </c>
      <c r="I10" s="14" t="s">
        <v>40</v>
      </c>
      <c r="J10" s="14" t="s">
        <v>40</v>
      </c>
      <c r="K10" s="14" t="s">
        <v>40</v>
      </c>
      <c r="L10" s="14" t="s">
        <v>40</v>
      </c>
      <c r="M10" s="14" t="s">
        <v>40</v>
      </c>
      <c r="N10" s="14" t="s">
        <v>40</v>
      </c>
      <c r="O10" s="14" t="s">
        <v>40</v>
      </c>
      <c r="P10" s="14" t="s">
        <v>40</v>
      </c>
      <c r="Q10" s="14" t="s">
        <v>40</v>
      </c>
      <c r="R10" s="14" t="s">
        <v>40</v>
      </c>
      <c r="S10" s="14" t="s">
        <v>40</v>
      </c>
      <c r="T10" s="14" t="s">
        <v>40</v>
      </c>
      <c r="U10" s="14" t="s">
        <v>40</v>
      </c>
      <c r="V10" s="14" t="s">
        <v>40</v>
      </c>
      <c r="W10" s="14" t="s">
        <v>40</v>
      </c>
      <c r="X10" s="14" t="s">
        <v>40</v>
      </c>
      <c r="Y10" s="14" t="s">
        <v>40</v>
      </c>
      <c r="Z10" s="14" t="s">
        <v>40</v>
      </c>
      <c r="AA10" s="15"/>
    </row>
    <row r="11" customFormat="false" ht="12.95" hidden="false" customHeight="true" outlineLevel="0" collapsed="false">
      <c r="A11" s="1" t="s">
        <v>208</v>
      </c>
      <c r="B11" s="16" t="s">
        <v>209</v>
      </c>
      <c r="C11" s="25" t="n">
        <v>37106</v>
      </c>
      <c r="D11" s="18" t="n">
        <v>46.99</v>
      </c>
      <c r="E11" s="18" t="n">
        <v>59.875</v>
      </c>
      <c r="F11" s="18" t="n">
        <v>36.1875</v>
      </c>
      <c r="G11" s="19" t="n">
        <v>15817.74249814</v>
      </c>
      <c r="H11" s="19" t="n">
        <v>20879.74249814</v>
      </c>
      <c r="I11" s="21" t="n">
        <v>29.4557588419739</v>
      </c>
      <c r="J11" s="21" t="n">
        <v>23.495</v>
      </c>
      <c r="K11" s="21" t="n">
        <v>19.1795918367347</v>
      </c>
      <c r="L11" s="21" t="s">
        <v>169</v>
      </c>
      <c r="M11" s="21" t="n">
        <v>12.2051948051948</v>
      </c>
      <c r="N11" s="21" t="n">
        <v>10.8022988505747</v>
      </c>
      <c r="O11" s="21" t="n">
        <v>11.1157712565987</v>
      </c>
      <c r="P11" s="21" t="n">
        <v>11.6451436130173</v>
      </c>
      <c r="Q11" s="21" t="n">
        <v>9.72953998737625</v>
      </c>
      <c r="R11" s="22" t="n">
        <v>0.454098897500273</v>
      </c>
      <c r="S11" s="21" t="n">
        <v>4.15163845095538</v>
      </c>
      <c r="T11" s="22" t="n">
        <v>0.006384338</v>
      </c>
      <c r="U11" s="23" t="n">
        <v>0</v>
      </c>
      <c r="V11" s="22" t="s">
        <v>51</v>
      </c>
      <c r="W11" s="18" t="s">
        <v>51</v>
      </c>
      <c r="X11" s="18" t="s">
        <v>51</v>
      </c>
      <c r="Y11" s="21" t="s">
        <v>51</v>
      </c>
      <c r="Z11" s="24" t="n">
        <v>336.619333861247</v>
      </c>
    </row>
    <row r="12" customFormat="false" ht="12.95" hidden="false" customHeight="true" outlineLevel="0" collapsed="false">
      <c r="A12" s="1" t="s">
        <v>210</v>
      </c>
      <c r="B12" s="16" t="s">
        <v>211</v>
      </c>
      <c r="C12" s="25" t="n">
        <v>37106</v>
      </c>
      <c r="D12" s="18" t="n">
        <v>40.65</v>
      </c>
      <c r="E12" s="18" t="n">
        <v>44</v>
      </c>
      <c r="F12" s="18" t="n">
        <v>32.1</v>
      </c>
      <c r="G12" s="19" t="n">
        <v>6377.985</v>
      </c>
      <c r="H12" s="19" t="n">
        <v>13536.285</v>
      </c>
      <c r="I12" s="21" t="e">
        <f aca="false"/>
        <v>#REF!</v>
      </c>
      <c r="J12" s="21" t="n">
        <v>16.6530110610406</v>
      </c>
      <c r="K12" s="21" t="n">
        <v>14.8303538854433</v>
      </c>
      <c r="L12" s="21" t="s">
        <v>169</v>
      </c>
      <c r="M12" s="21" t="n">
        <v>7.46327983700858</v>
      </c>
      <c r="N12" s="21" t="n">
        <v>6.92897687903541</v>
      </c>
      <c r="O12" s="21" t="n">
        <v>5.71708945858731</v>
      </c>
      <c r="P12" s="21" t="n">
        <v>11.3366070945924</v>
      </c>
      <c r="Q12" s="21" t="n">
        <v>10.6251021284324</v>
      </c>
      <c r="R12" s="22" t="n">
        <v>0.68767582831725</v>
      </c>
      <c r="S12" s="21" t="n">
        <v>2.71357428522805</v>
      </c>
      <c r="T12" s="22" t="n">
        <v>0.03124231</v>
      </c>
      <c r="U12" s="23" t="n">
        <v>0</v>
      </c>
      <c r="V12" s="22" t="s">
        <v>51</v>
      </c>
      <c r="W12" s="18" t="s">
        <v>51</v>
      </c>
      <c r="X12" s="18" t="s">
        <v>51</v>
      </c>
      <c r="Y12" s="21" t="s">
        <v>51</v>
      </c>
      <c r="Z12" s="24" t="n">
        <v>156.9</v>
      </c>
      <c r="AA12" s="28"/>
    </row>
    <row r="13" customFormat="false" ht="12.95" hidden="false" customHeight="true" outlineLevel="0" collapsed="false">
      <c r="A13" s="1" t="s">
        <v>212</v>
      </c>
      <c r="B13" s="16" t="s">
        <v>213</v>
      </c>
      <c r="C13" s="25" t="n">
        <v>37106</v>
      </c>
      <c r="D13" s="18" t="n">
        <v>45.36</v>
      </c>
      <c r="E13" s="18" t="n">
        <v>90.75</v>
      </c>
      <c r="F13" s="18" t="n">
        <v>42</v>
      </c>
      <c r="G13" s="19" t="n">
        <v>38373.4067074675</v>
      </c>
      <c r="H13" s="19" t="n">
        <v>52528.3134074675</v>
      </c>
      <c r="I13" s="21" t="s">
        <v>169</v>
      </c>
      <c r="J13" s="21" t="n">
        <v>25.2</v>
      </c>
      <c r="K13" s="21" t="n">
        <v>20.16</v>
      </c>
      <c r="L13" s="21" t="n">
        <v>18.7346474604003</v>
      </c>
      <c r="M13" s="21" t="n">
        <v>15.12</v>
      </c>
      <c r="N13" s="21" t="n">
        <v>12.7774647887324</v>
      </c>
      <c r="O13" s="21" t="n">
        <v>12.1820338753865</v>
      </c>
      <c r="P13" s="21" t="n">
        <v>12.8708010897451</v>
      </c>
      <c r="Q13" s="21" t="n">
        <v>11.0788841472734</v>
      </c>
      <c r="R13" s="22" t="n">
        <v>0.475547810611397</v>
      </c>
      <c r="S13" s="21" t="n">
        <v>3.61808473575971</v>
      </c>
      <c r="T13" s="22" t="n">
        <v>0.01102293</v>
      </c>
      <c r="U13" s="26" t="n">
        <v>0</v>
      </c>
      <c r="V13" s="22" t="s">
        <v>51</v>
      </c>
      <c r="W13" s="18" t="s">
        <v>51</v>
      </c>
      <c r="X13" s="18" t="s">
        <v>51</v>
      </c>
      <c r="Y13" s="21" t="s">
        <v>51</v>
      </c>
      <c r="Z13" s="27" t="n">
        <v>845.974574679619</v>
      </c>
      <c r="AA13" s="28"/>
    </row>
    <row r="14" customFormat="false" ht="12.95" hidden="false" customHeight="true" outlineLevel="0" collapsed="false">
      <c r="A14" s="1" t="s">
        <v>214</v>
      </c>
      <c r="B14" s="16" t="s">
        <v>215</v>
      </c>
      <c r="C14" s="25" t="n">
        <v>37106</v>
      </c>
      <c r="D14" s="18" t="n">
        <v>51.25</v>
      </c>
      <c r="E14" s="18" t="n">
        <v>75.3</v>
      </c>
      <c r="F14" s="18" t="n">
        <v>44.5</v>
      </c>
      <c r="G14" s="19" t="n">
        <v>26353.08623798</v>
      </c>
      <c r="H14" s="19" t="n">
        <v>43982.08623798</v>
      </c>
      <c r="I14" s="21" t="n">
        <v>15.7033505769374</v>
      </c>
      <c r="J14" s="21" t="n">
        <v>15.7510655454441</v>
      </c>
      <c r="K14" s="21" t="n">
        <v>13.4338627546072</v>
      </c>
      <c r="L14" s="21" t="n">
        <v>7.15109417223969</v>
      </c>
      <c r="M14" s="21" t="n">
        <v>7.78850535429483</v>
      </c>
      <c r="N14" s="21" t="n">
        <v>7.07460732984293</v>
      </c>
      <c r="O14" s="21" t="n">
        <v>6.30004452258666</v>
      </c>
      <c r="P14" s="21" t="n">
        <v>8.1320303666414</v>
      </c>
      <c r="Q14" s="21" t="n">
        <v>7.41425232851435</v>
      </c>
      <c r="R14" s="22" t="n">
        <v>0.577246463438932</v>
      </c>
      <c r="S14" s="21" t="n">
        <v>3.83039044156686</v>
      </c>
      <c r="T14" s="22" t="n">
        <v>0.01658537</v>
      </c>
      <c r="U14" s="26" t="n">
        <v>1053.36633333333</v>
      </c>
      <c r="V14" s="22" t="n">
        <v>0.909306955256782</v>
      </c>
      <c r="W14" s="18" t="n">
        <v>10.4099017882061</v>
      </c>
      <c r="X14" s="19" t="n">
        <v>15555</v>
      </c>
      <c r="Y14" s="21" t="n">
        <v>0.422388132776786</v>
      </c>
      <c r="Z14" s="27" t="n">
        <v>514.206560741073</v>
      </c>
      <c r="AA14" s="28"/>
    </row>
    <row r="15" customFormat="false" ht="12.95" hidden="false" customHeight="true" outlineLevel="0" collapsed="false">
      <c r="A15" s="1" t="s">
        <v>216</v>
      </c>
      <c r="B15" s="16" t="s">
        <v>217</v>
      </c>
      <c r="C15" s="25" t="n">
        <v>37106</v>
      </c>
      <c r="D15" s="18" t="n">
        <v>53.61</v>
      </c>
      <c r="E15" s="18" t="n">
        <v>60</v>
      </c>
      <c r="F15" s="18" t="n">
        <v>33</v>
      </c>
      <c r="G15" s="19" t="n">
        <v>6231.01971048</v>
      </c>
      <c r="H15" s="19" t="n">
        <v>9737.07071048</v>
      </c>
      <c r="I15" s="21" t="n">
        <v>32.0869021920574</v>
      </c>
      <c r="J15" s="21" t="n">
        <v>28.9783783783784</v>
      </c>
      <c r="K15" s="21" t="n">
        <v>22.8127659574468</v>
      </c>
      <c r="L15" s="21" t="n">
        <v>14.9675469022008</v>
      </c>
      <c r="M15" s="21" t="n">
        <v>16.4953846153846</v>
      </c>
      <c r="N15" s="21" t="n">
        <v>14.1078947368421</v>
      </c>
      <c r="O15" s="21" t="n">
        <v>11.8747385993151</v>
      </c>
      <c r="P15" s="21" t="n">
        <v>12.9695610468556</v>
      </c>
      <c r="Q15" s="21" t="n">
        <v>11.5311155126865</v>
      </c>
      <c r="R15" s="22" t="n">
        <v>0.656234037214387</v>
      </c>
      <c r="S15" s="21" t="n">
        <v>3.39307713738679</v>
      </c>
      <c r="T15" s="22" t="n">
        <v>0.003730647</v>
      </c>
      <c r="U15" s="26" t="n">
        <v>0</v>
      </c>
      <c r="V15" s="22" t="s">
        <v>51</v>
      </c>
      <c r="W15" s="18" t="s">
        <v>51</v>
      </c>
      <c r="X15" s="18" t="s">
        <v>51</v>
      </c>
      <c r="Y15" s="21" t="s">
        <v>51</v>
      </c>
      <c r="Z15" s="27" t="n">
        <v>116.228683277001</v>
      </c>
      <c r="AA15" s="28"/>
    </row>
    <row r="16" customFormat="false" ht="12.95" hidden="false" customHeight="true" outlineLevel="0" collapsed="false">
      <c r="A16" s="1" t="s">
        <v>218</v>
      </c>
      <c r="B16" s="16" t="s">
        <v>219</v>
      </c>
      <c r="C16" s="25" t="n">
        <v>37106</v>
      </c>
      <c r="D16" s="18" t="n">
        <v>28.82</v>
      </c>
      <c r="E16" s="18" t="n">
        <v>43.5</v>
      </c>
      <c r="F16" s="18" t="n">
        <v>18.625</v>
      </c>
      <c r="G16" s="19" t="n">
        <v>942.414</v>
      </c>
      <c r="H16" s="19" t="n">
        <v>1207.04725</v>
      </c>
      <c r="I16" s="21" t="n">
        <v>14.4120018904606</v>
      </c>
      <c r="J16" s="21" t="n">
        <v>14.5659041731066</v>
      </c>
      <c r="K16" s="21" t="n">
        <v>15.2713408723749</v>
      </c>
      <c r="L16" s="21" t="n">
        <v>14.4120018904606</v>
      </c>
      <c r="M16" s="21" t="n">
        <v>6.03338028169014</v>
      </c>
      <c r="N16" s="21" t="n">
        <v>6.43934604904634</v>
      </c>
      <c r="O16" s="21" t="n">
        <v>3.98180665877979</v>
      </c>
      <c r="P16" s="21" t="n">
        <v>5.17823788073788</v>
      </c>
      <c r="Q16" s="21" t="n">
        <v>5.35751109631603</v>
      </c>
      <c r="R16" s="22" t="n">
        <v>0.420416529399521</v>
      </c>
      <c r="S16" s="21" t="n">
        <v>2.24354905905179</v>
      </c>
      <c r="T16" s="22" t="n">
        <v>0.006939625</v>
      </c>
      <c r="U16" s="26" t="n">
        <v>68.5213333333333</v>
      </c>
      <c r="V16" s="22" t="n">
        <v>0.993593236169757</v>
      </c>
      <c r="W16" s="18" t="n">
        <v>3.05431488551007</v>
      </c>
      <c r="X16" s="19" t="n">
        <v>967.911</v>
      </c>
      <c r="Y16" s="21" t="n">
        <v>0.168819125639765</v>
      </c>
      <c r="Z16" s="27" t="n">
        <v>32.7</v>
      </c>
      <c r="AA16" s="28"/>
    </row>
    <row r="17" customFormat="false" ht="12.95" hidden="false" customHeight="true" outlineLevel="0" collapsed="false">
      <c r="A17" s="35" t="s">
        <v>220</v>
      </c>
      <c r="B17" s="36" t="s">
        <v>221</v>
      </c>
      <c r="C17" s="53" t="n">
        <v>37106</v>
      </c>
      <c r="D17" s="18" t="n">
        <v>33.51</v>
      </c>
      <c r="E17" s="18" t="n">
        <v>44.28637</v>
      </c>
      <c r="F17" s="18" t="n">
        <v>27.83714</v>
      </c>
      <c r="G17" s="19" t="n">
        <v>17357.3253595055</v>
      </c>
      <c r="H17" s="19" t="n">
        <v>28838.7184361105</v>
      </c>
      <c r="I17" s="21" t="n">
        <v>12.5333355471831</v>
      </c>
      <c r="J17" s="21" t="n">
        <v>14.5695652173913</v>
      </c>
      <c r="K17" s="21" t="n">
        <v>12.4111111111111</v>
      </c>
      <c r="L17" s="21" t="n">
        <v>6.5714942127652</v>
      </c>
      <c r="M17" s="21" t="n">
        <v>7.32972518227706</v>
      </c>
      <c r="N17" s="21" t="n">
        <v>6.65541211519364</v>
      </c>
      <c r="O17" s="21" t="n">
        <v>4.80382520888663</v>
      </c>
      <c r="P17" s="21" t="n">
        <v>7.60144835625436</v>
      </c>
      <c r="Q17" s="21" t="n">
        <v>7.19009240568374</v>
      </c>
      <c r="R17" s="22" t="n">
        <v>0.593605812443237</v>
      </c>
      <c r="S17" s="21" t="n">
        <v>3.31487058544468</v>
      </c>
      <c r="T17" s="22" t="n">
        <v>0.01790511</v>
      </c>
      <c r="U17" s="26" t="n">
        <v>0</v>
      </c>
      <c r="V17" s="22" t="s">
        <v>51</v>
      </c>
      <c r="W17" s="18" t="s">
        <v>51</v>
      </c>
      <c r="X17" s="19" t="n">
        <v>530.648</v>
      </c>
      <c r="Y17" s="21" t="n">
        <v>3.21412541233161</v>
      </c>
      <c r="Z17" s="27" t="n">
        <v>517.974495956594</v>
      </c>
      <c r="AA17" s="28"/>
    </row>
    <row r="18" customFormat="false" ht="12.95" hidden="false" customHeight="true" outlineLevel="0" collapsed="false">
      <c r="A18" s="1" t="s">
        <v>222</v>
      </c>
      <c r="B18" s="16" t="s">
        <v>223</v>
      </c>
      <c r="C18" s="25" t="n">
        <v>37106</v>
      </c>
      <c r="D18" s="18" t="n">
        <v>19.33</v>
      </c>
      <c r="E18" s="18" t="n">
        <v>19.52</v>
      </c>
      <c r="F18" s="18" t="n">
        <v>11.8</v>
      </c>
      <c r="G18" s="19" t="n">
        <v>9208.03728</v>
      </c>
      <c r="H18" s="19" t="n">
        <v>22062.03728</v>
      </c>
      <c r="I18" s="21" t="s">
        <v>169</v>
      </c>
      <c r="J18" s="21" t="n">
        <v>14.2949900238274</v>
      </c>
      <c r="K18" s="21" t="n">
        <v>13.3412566456092</v>
      </c>
      <c r="L18" s="21" t="n">
        <v>24.0068926220291</v>
      </c>
      <c r="M18" s="21" t="n">
        <v>6.22878692038528</v>
      </c>
      <c r="N18" s="21" t="n">
        <v>6.11708860759494</v>
      </c>
      <c r="O18" s="21" t="n">
        <v>3.61951150943396</v>
      </c>
      <c r="P18" s="21" t="n">
        <v>7.69229519205329</v>
      </c>
      <c r="Q18" s="21" t="n">
        <v>7.55610089030662</v>
      </c>
      <c r="R18" s="22" t="n">
        <v>0.647269849643893</v>
      </c>
      <c r="S18" s="21" t="n">
        <v>1.73344075301205</v>
      </c>
      <c r="T18" s="22" t="n">
        <v>0.04138645</v>
      </c>
      <c r="U18" s="26" t="n">
        <v>0</v>
      </c>
      <c r="V18" s="22" t="s">
        <v>51</v>
      </c>
      <c r="W18" s="18" t="s">
        <v>51</v>
      </c>
      <c r="X18" s="18" t="s">
        <v>51</v>
      </c>
      <c r="Y18" s="21" t="s">
        <v>51</v>
      </c>
      <c r="Z18" s="27" t="n">
        <v>476.359921365753</v>
      </c>
    </row>
    <row r="19" customFormat="false" ht="12.95" hidden="false" customHeight="true" outlineLevel="0" collapsed="false">
      <c r="A19" s="1" t="s">
        <v>224</v>
      </c>
      <c r="B19" s="16" t="s">
        <v>225</v>
      </c>
      <c r="C19" s="25" t="n">
        <v>37106</v>
      </c>
      <c r="D19" s="18" t="n">
        <v>37.23</v>
      </c>
      <c r="E19" s="18" t="n">
        <v>37.75</v>
      </c>
      <c r="F19" s="18" t="n">
        <v>25.7</v>
      </c>
      <c r="G19" s="19" t="n">
        <v>4610.3134416</v>
      </c>
      <c r="H19" s="19" t="n">
        <v>13497.3134416</v>
      </c>
      <c r="I19" s="21" t="s">
        <v>169</v>
      </c>
      <c r="J19" s="21" t="n">
        <v>14.6286836935167</v>
      </c>
      <c r="K19" s="21" t="n">
        <v>13.6248856358646</v>
      </c>
      <c r="L19" s="21" t="n">
        <v>8.86347042742532</v>
      </c>
      <c r="M19" s="21" t="n">
        <v>6.25714285714286</v>
      </c>
      <c r="N19" s="21" t="n">
        <v>6.05365853658537</v>
      </c>
      <c r="O19" s="21" t="n">
        <v>3.65607727327518</v>
      </c>
      <c r="P19" s="21" t="n">
        <v>9.32420079054333</v>
      </c>
      <c r="Q19" s="21" t="n">
        <v>9.05957433308588</v>
      </c>
      <c r="R19" s="22" t="n">
        <v>0.674039189302834</v>
      </c>
      <c r="S19" s="21" t="n">
        <v>1.62277840253432</v>
      </c>
      <c r="T19" s="22" t="n">
        <v>0.03438087</v>
      </c>
      <c r="U19" s="26" t="n">
        <v>0</v>
      </c>
      <c r="V19" s="22" t="s">
        <v>51</v>
      </c>
      <c r="W19" s="18" t="s">
        <v>51</v>
      </c>
      <c r="X19" s="18" t="s">
        <v>51</v>
      </c>
      <c r="Y19" s="21" t="s">
        <v>51</v>
      </c>
      <c r="Z19" s="27" t="n">
        <v>123.833291474617</v>
      </c>
    </row>
    <row r="20" customFormat="false" ht="12.95" hidden="false" customHeight="true" outlineLevel="0" collapsed="false">
      <c r="A20" s="35"/>
      <c r="B20" s="36"/>
      <c r="C20" s="53"/>
      <c r="D20" s="18"/>
      <c r="E20" s="18"/>
      <c r="F20" s="18"/>
      <c r="G20" s="19"/>
      <c r="H20" s="19"/>
      <c r="I20" s="21"/>
      <c r="J20" s="21"/>
      <c r="K20" s="21"/>
      <c r="L20" s="21"/>
      <c r="M20" s="21"/>
      <c r="N20" s="21"/>
      <c r="O20" s="21"/>
      <c r="P20" s="21"/>
      <c r="Q20" s="21"/>
      <c r="R20" s="22"/>
      <c r="S20" s="21"/>
      <c r="T20" s="22"/>
      <c r="U20" s="26"/>
      <c r="V20" s="22"/>
      <c r="W20" s="18"/>
      <c r="X20" s="18"/>
      <c r="Y20" s="21"/>
      <c r="Z20" s="27"/>
    </row>
    <row r="21" customFormat="false" ht="12.95" hidden="false" customHeight="true" outlineLevel="0" collapsed="false">
      <c r="B21" s="16"/>
      <c r="C21" s="25"/>
      <c r="D21" s="18"/>
      <c r="E21" s="18"/>
      <c r="F21" s="18"/>
      <c r="G21" s="19"/>
      <c r="H21" s="19"/>
      <c r="I21" s="21"/>
      <c r="J21" s="21"/>
      <c r="K21" s="21"/>
      <c r="L21" s="21"/>
      <c r="M21" s="21"/>
      <c r="N21" s="21"/>
      <c r="O21" s="21"/>
      <c r="P21" s="21"/>
      <c r="Q21" s="21"/>
      <c r="R21" s="22"/>
      <c r="S21" s="21"/>
      <c r="T21" s="22"/>
      <c r="U21" s="26"/>
      <c r="V21" s="22"/>
      <c r="W21" s="18"/>
      <c r="X21" s="37"/>
      <c r="Y21" s="21"/>
      <c r="Z21" s="27"/>
    </row>
    <row r="22" customFormat="false" ht="12.95" hidden="false" customHeight="true" outlineLevel="0" collapsed="false">
      <c r="B22" s="30"/>
      <c r="C22" s="30"/>
      <c r="D22" s="30"/>
      <c r="E22" s="30"/>
      <c r="F22" s="30"/>
      <c r="G22" s="39"/>
      <c r="H22" s="40" t="s">
        <v>56</v>
      </c>
      <c r="I22" s="30"/>
      <c r="J22" s="21" t="n">
        <v>18.6818442325228</v>
      </c>
      <c r="K22" s="21" t="n">
        <v>16.118352077688</v>
      </c>
      <c r="L22" s="21" t="n">
        <v>13.5295925267887</v>
      </c>
      <c r="M22" s="21" t="n">
        <v>9.43571109481979</v>
      </c>
      <c r="N22" s="21" t="n">
        <v>8.55074976593865</v>
      </c>
      <c r="O22" s="21" t="n">
        <v>7.02787759587221</v>
      </c>
      <c r="P22" s="21" t="n">
        <v>9.63892504782673</v>
      </c>
      <c r="Q22" s="21" t="n">
        <v>8.83801920329723</v>
      </c>
      <c r="R22" s="22" t="n">
        <v>0.576237157541303</v>
      </c>
      <c r="S22" s="21" t="n">
        <v>2.95793376121551</v>
      </c>
      <c r="T22" s="22" t="n">
        <v>0.0188419611111111</v>
      </c>
      <c r="U22" s="26"/>
      <c r="V22" s="22" t="n">
        <v>0.951450095713269</v>
      </c>
      <c r="W22" s="18" t="n">
        <v>6.73210833685808</v>
      </c>
      <c r="X22" s="19"/>
      <c r="Y22" s="21" t="n">
        <v>1.26844422358272</v>
      </c>
      <c r="Z22" s="30"/>
    </row>
    <row r="23" customFormat="false" ht="12.95" hidden="false" customHeight="true" outlineLevel="0" collapsed="false">
      <c r="B23" s="30"/>
      <c r="C23" s="30"/>
      <c r="D23" s="30"/>
      <c r="E23" s="30"/>
      <c r="F23" s="30"/>
      <c r="G23" s="39"/>
      <c r="H23" s="40" t="s">
        <v>57</v>
      </c>
      <c r="I23" s="30"/>
      <c r="J23" s="21" t="n">
        <v>15.7510655454441</v>
      </c>
      <c r="K23" s="21" t="n">
        <v>14.8303538854433</v>
      </c>
      <c r="L23" s="21" t="n">
        <v>14.4120018904606</v>
      </c>
      <c r="M23" s="21" t="n">
        <v>7.46327983700858</v>
      </c>
      <c r="N23" s="21" t="n">
        <v>6.92897687903541</v>
      </c>
      <c r="O23" s="21" t="n">
        <v>5.71708945858731</v>
      </c>
      <c r="P23" s="21" t="n">
        <v>9.32420079054333</v>
      </c>
      <c r="Q23" s="21" t="n">
        <v>9.05957433308588</v>
      </c>
      <c r="R23" s="22" t="n">
        <v>0.593605812443237</v>
      </c>
      <c r="S23" s="21" t="n">
        <v>3.31487058544468</v>
      </c>
      <c r="T23" s="22" t="n">
        <v>0.01658537</v>
      </c>
      <c r="U23" s="26"/>
      <c r="V23" s="22" t="n">
        <v>0.951450095713269</v>
      </c>
      <c r="W23" s="18" t="n">
        <v>6.73210833685809</v>
      </c>
      <c r="X23" s="19"/>
      <c r="Y23" s="21" t="n">
        <v>0.422388132776786</v>
      </c>
      <c r="Z23" s="30"/>
    </row>
    <row r="24" customFormat="false" ht="12.95" hidden="false" customHeight="true" outlineLevel="0" collapsed="false">
      <c r="B24" s="30"/>
      <c r="C24" s="30"/>
      <c r="D24" s="30"/>
      <c r="E24" s="30"/>
      <c r="F24" s="30"/>
      <c r="G24" s="39"/>
      <c r="H24" s="40" t="s">
        <v>26</v>
      </c>
      <c r="I24" s="30"/>
      <c r="J24" s="21" t="n">
        <v>28.9783783783784</v>
      </c>
      <c r="K24" s="21" t="n">
        <v>22.8127659574468</v>
      </c>
      <c r="L24" s="21" t="n">
        <v>24.0068926220291</v>
      </c>
      <c r="M24" s="21" t="n">
        <v>16.4953846153846</v>
      </c>
      <c r="N24" s="21" t="n">
        <v>14.1078947368421</v>
      </c>
      <c r="O24" s="21" t="n">
        <v>12.1820338753865</v>
      </c>
      <c r="P24" s="21" t="n">
        <v>12.9695610468556</v>
      </c>
      <c r="Q24" s="21" t="n">
        <v>11.5311155126865</v>
      </c>
      <c r="R24" s="22" t="n">
        <v>0.68767582831725</v>
      </c>
      <c r="S24" s="21" t="n">
        <v>4.15163845095538</v>
      </c>
      <c r="T24" s="22" t="n">
        <v>0.04138645</v>
      </c>
      <c r="U24" s="26"/>
      <c r="V24" s="22" t="n">
        <v>0.993593236169757</v>
      </c>
      <c r="W24" s="18" t="n">
        <v>10.4099017882061</v>
      </c>
      <c r="X24" s="19"/>
      <c r="Y24" s="21" t="n">
        <v>3.21412541233161</v>
      </c>
      <c r="Z24" s="30"/>
      <c r="AA24" s="44"/>
    </row>
    <row r="25" customFormat="false" ht="12" hidden="false" customHeight="true" outlineLevel="0" collapsed="false">
      <c r="B25" s="30"/>
      <c r="C25" s="30"/>
      <c r="D25" s="30"/>
      <c r="E25" s="30"/>
      <c r="F25" s="30"/>
      <c r="G25" s="39"/>
      <c r="H25" s="40" t="s">
        <v>27</v>
      </c>
      <c r="I25" s="30"/>
      <c r="J25" s="21" t="n">
        <v>14.2949900238274</v>
      </c>
      <c r="K25" s="21" t="n">
        <v>12.4111111111111</v>
      </c>
      <c r="L25" s="21" t="n">
        <v>6.5714942127652</v>
      </c>
      <c r="M25" s="21" t="n">
        <v>6.03338028169014</v>
      </c>
      <c r="N25" s="21" t="n">
        <v>6.05365853658537</v>
      </c>
      <c r="O25" s="21" t="n">
        <v>3.61951150943396</v>
      </c>
      <c r="P25" s="21" t="n">
        <v>5.17823788073788</v>
      </c>
      <c r="Q25" s="21" t="n">
        <v>5.35751109631603</v>
      </c>
      <c r="R25" s="22" t="n">
        <v>0.420416529399521</v>
      </c>
      <c r="S25" s="21" t="n">
        <v>1.62277840253432</v>
      </c>
      <c r="T25" s="22" t="n">
        <v>0.003730647</v>
      </c>
      <c r="U25" s="26"/>
      <c r="V25" s="22" t="n">
        <v>0.909306955256782</v>
      </c>
      <c r="W25" s="18" t="n">
        <v>3.05431488551007</v>
      </c>
      <c r="X25" s="19"/>
      <c r="Y25" s="21" t="n">
        <v>0.168819125639765</v>
      </c>
      <c r="Z25" s="30"/>
      <c r="AA25" s="44"/>
    </row>
    <row r="26" customFormat="false" ht="12.75" hidden="false" customHeight="false" outlineLevel="0" collapsed="false"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44"/>
    </row>
    <row r="27" customFormat="false" ht="12.75" hidden="false" customHeight="false" outlineLevel="0" collapsed="false">
      <c r="B27" s="30"/>
      <c r="C27" s="30"/>
      <c r="D27" s="30"/>
      <c r="U27" s="13" t="s">
        <v>58</v>
      </c>
      <c r="V27" s="13"/>
      <c r="W27" s="13"/>
      <c r="X27" s="13"/>
      <c r="Y27" s="13"/>
      <c r="AA27" s="13"/>
    </row>
    <row r="28" customFormat="false" ht="12.75" hidden="false" customHeight="true" outlineLevel="0" collapsed="false">
      <c r="A28" s="43"/>
      <c r="B28" s="13" t="s">
        <v>59</v>
      </c>
      <c r="C28" s="13"/>
      <c r="D28" s="13" t="s">
        <v>60</v>
      </c>
      <c r="E28" s="13"/>
      <c r="F28" s="13"/>
      <c r="G28" s="13" t="s">
        <v>61</v>
      </c>
      <c r="H28" s="13"/>
      <c r="J28" s="13" t="s">
        <v>62</v>
      </c>
      <c r="K28" s="13"/>
      <c r="P28" s="13" t="s">
        <v>63</v>
      </c>
      <c r="Q28" s="13"/>
      <c r="R28" s="13"/>
      <c r="S28" s="13"/>
      <c r="U28" s="48" t="s">
        <v>64</v>
      </c>
      <c r="V28" s="48"/>
      <c r="W28" s="48"/>
      <c r="X28" s="48"/>
      <c r="Y28" s="48"/>
      <c r="AA28" s="46"/>
    </row>
    <row r="29" customFormat="false" ht="3.75" hidden="false" customHeight="true" outlineLevel="0" collapsed="false">
      <c r="A29" s="43"/>
      <c r="B29" s="45" t="s">
        <v>40</v>
      </c>
      <c r="C29" s="45"/>
      <c r="D29" s="45" t="s">
        <v>40</v>
      </c>
      <c r="E29" s="45"/>
      <c r="F29" s="45"/>
      <c r="G29" s="45" t="s">
        <v>40</v>
      </c>
      <c r="H29" s="45"/>
      <c r="J29" s="45" t="s">
        <v>40</v>
      </c>
      <c r="K29" s="45"/>
      <c r="P29" s="45" t="s">
        <v>40</v>
      </c>
      <c r="Q29" s="45"/>
      <c r="R29" s="45"/>
      <c r="S29" s="45"/>
      <c r="U29" s="45" t="s">
        <v>40</v>
      </c>
      <c r="V29" s="45"/>
      <c r="W29" s="45"/>
      <c r="X29" s="45"/>
      <c r="Y29" s="45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  <c r="IQ29" s="16"/>
      <c r="IR29" s="16"/>
      <c r="IS29" s="16"/>
      <c r="IT29" s="16"/>
      <c r="IU29" s="16"/>
      <c r="IV29" s="16"/>
      <c r="IW29" s="16"/>
    </row>
    <row r="30" customFormat="false" ht="12.95" hidden="false" customHeight="true" outlineLevel="0" collapsed="false">
      <c r="A30" s="10"/>
      <c r="B30" s="16"/>
      <c r="C30" s="16"/>
      <c r="D30" s="13" t="s">
        <v>65</v>
      </c>
      <c r="E30" s="13" t="s">
        <v>66</v>
      </c>
      <c r="F30" s="13" t="s">
        <v>8</v>
      </c>
      <c r="G30" s="16" t="s">
        <v>67</v>
      </c>
      <c r="P30" s="13" t="s">
        <v>68</v>
      </c>
      <c r="Q30" s="13"/>
      <c r="R30" s="13" t="s">
        <v>69</v>
      </c>
      <c r="S30" s="13" t="s">
        <v>70</v>
      </c>
      <c r="U30" s="13" t="s">
        <v>71</v>
      </c>
      <c r="V30" s="13" t="s">
        <v>72</v>
      </c>
      <c r="W30" s="13" t="s">
        <v>73</v>
      </c>
      <c r="X30" s="13" t="s">
        <v>74</v>
      </c>
      <c r="Y30" s="13" t="s">
        <v>75</v>
      </c>
      <c r="AA30" s="52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  <c r="GU30" s="16"/>
      <c r="GV30" s="16"/>
      <c r="GW30" s="16"/>
      <c r="GX30" s="16"/>
      <c r="GY30" s="16"/>
      <c r="GZ30" s="16"/>
      <c r="HA30" s="16"/>
      <c r="HB30" s="16"/>
      <c r="HC30" s="16"/>
      <c r="HD30" s="16"/>
      <c r="HE30" s="16"/>
      <c r="HF30" s="16"/>
      <c r="HG30" s="16"/>
      <c r="HH30" s="16"/>
      <c r="HI30" s="16"/>
      <c r="HJ30" s="16"/>
      <c r="HK30" s="16"/>
      <c r="HL30" s="16"/>
      <c r="HM30" s="16"/>
      <c r="HN30" s="16"/>
      <c r="HO30" s="16"/>
      <c r="HP30" s="16"/>
      <c r="HQ30" s="16"/>
      <c r="HR30" s="16"/>
      <c r="HS30" s="16"/>
      <c r="HT30" s="16"/>
      <c r="HU30" s="16"/>
      <c r="HV30" s="16"/>
      <c r="HW30" s="16"/>
      <c r="HX30" s="16"/>
      <c r="HY30" s="16"/>
      <c r="HZ30" s="16"/>
      <c r="IA30" s="16"/>
      <c r="IB30" s="16"/>
      <c r="IC30" s="16"/>
      <c r="ID30" s="16"/>
      <c r="IE30" s="16"/>
      <c r="IF30" s="16"/>
      <c r="IG30" s="16"/>
      <c r="IH30" s="16"/>
      <c r="II30" s="16"/>
      <c r="IJ30" s="16"/>
      <c r="IK30" s="16"/>
      <c r="IL30" s="16"/>
      <c r="IM30" s="16"/>
      <c r="IN30" s="16"/>
      <c r="IO30" s="16"/>
      <c r="IP30" s="16"/>
      <c r="IQ30" s="16"/>
      <c r="IR30" s="16"/>
      <c r="IS30" s="16"/>
      <c r="IT30" s="16"/>
      <c r="IU30" s="16"/>
      <c r="IV30" s="16"/>
      <c r="IW30" s="16"/>
    </row>
    <row r="31" customFormat="false" ht="12.95" hidden="false" customHeight="true" outlineLevel="0" collapsed="false">
      <c r="A31" s="11" t="s">
        <v>22</v>
      </c>
      <c r="B31" s="16" t="s">
        <v>76</v>
      </c>
      <c r="C31" s="16" t="s">
        <v>77</v>
      </c>
      <c r="D31" s="11" t="s">
        <v>78</v>
      </c>
      <c r="E31" s="11" t="s">
        <v>79</v>
      </c>
      <c r="F31" s="11" t="s">
        <v>80</v>
      </c>
      <c r="G31" s="16" t="s">
        <v>81</v>
      </c>
      <c r="H31" s="16" t="s">
        <v>8</v>
      </c>
      <c r="J31" s="11" t="s">
        <v>82</v>
      </c>
      <c r="K31" s="11" t="s">
        <v>83</v>
      </c>
      <c r="P31" s="11" t="s">
        <v>84</v>
      </c>
      <c r="Q31" s="11" t="s">
        <v>85</v>
      </c>
      <c r="R31" s="11" t="s">
        <v>86</v>
      </c>
      <c r="S31" s="11" t="s">
        <v>87</v>
      </c>
      <c r="U31" s="11" t="s">
        <v>88</v>
      </c>
      <c r="V31" s="11" t="s">
        <v>89</v>
      </c>
      <c r="W31" s="11" t="s">
        <v>90</v>
      </c>
      <c r="X31" s="11" t="s">
        <v>91</v>
      </c>
      <c r="Y31" s="11" t="s">
        <v>92</v>
      </c>
      <c r="AA31" s="52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T31" s="16"/>
      <c r="GU31" s="16"/>
      <c r="GV31" s="16"/>
      <c r="GW31" s="16"/>
      <c r="GX31" s="16"/>
      <c r="GY31" s="16"/>
      <c r="GZ31" s="16"/>
      <c r="HA31" s="16"/>
      <c r="HB31" s="16"/>
      <c r="HC31" s="16"/>
      <c r="HD31" s="16"/>
      <c r="HE31" s="16"/>
      <c r="HF31" s="16"/>
      <c r="HG31" s="16"/>
      <c r="HH31" s="16"/>
      <c r="HI31" s="16"/>
      <c r="HJ31" s="16"/>
      <c r="HK31" s="16"/>
      <c r="HL31" s="16"/>
      <c r="HM31" s="16"/>
      <c r="HN31" s="16"/>
      <c r="HO31" s="16"/>
      <c r="HP31" s="16"/>
      <c r="HQ31" s="16"/>
      <c r="HR31" s="16"/>
      <c r="HS31" s="16"/>
      <c r="HT31" s="16"/>
      <c r="HU31" s="16"/>
      <c r="HV31" s="16"/>
      <c r="HW31" s="16"/>
      <c r="HX31" s="16"/>
      <c r="HY31" s="16"/>
      <c r="HZ31" s="16"/>
      <c r="IA31" s="16"/>
      <c r="IB31" s="16"/>
      <c r="IC31" s="16"/>
      <c r="ID31" s="16"/>
      <c r="IE31" s="16"/>
      <c r="IF31" s="16"/>
      <c r="IG31" s="16"/>
      <c r="IH31" s="16"/>
      <c r="II31" s="16"/>
      <c r="IJ31" s="16"/>
      <c r="IK31" s="16"/>
      <c r="IL31" s="16"/>
      <c r="IM31" s="16"/>
      <c r="IN31" s="16"/>
      <c r="IO31" s="16"/>
      <c r="IP31" s="16"/>
      <c r="IQ31" s="16"/>
      <c r="IR31" s="16"/>
      <c r="IS31" s="16"/>
      <c r="IT31" s="16"/>
      <c r="IU31" s="16"/>
      <c r="IV31" s="16"/>
      <c r="IW31" s="16"/>
    </row>
    <row r="32" customFormat="false" ht="5.25" hidden="false" customHeight="true" outlineLevel="0" collapsed="false">
      <c r="A32" s="14" t="s">
        <v>40</v>
      </c>
      <c r="B32" s="14" t="s">
        <v>40</v>
      </c>
      <c r="C32" s="14" t="s">
        <v>40</v>
      </c>
      <c r="D32" s="14" t="s">
        <v>40</v>
      </c>
      <c r="E32" s="14" t="s">
        <v>40</v>
      </c>
      <c r="F32" s="14" t="s">
        <v>40</v>
      </c>
      <c r="G32" s="14" t="s">
        <v>40</v>
      </c>
      <c r="H32" s="14" t="s">
        <v>40</v>
      </c>
      <c r="J32" s="14" t="s">
        <v>40</v>
      </c>
      <c r="K32" s="14" t="s">
        <v>40</v>
      </c>
      <c r="P32" s="14" t="s">
        <v>40</v>
      </c>
      <c r="Q32" s="14" t="s">
        <v>40</v>
      </c>
      <c r="R32" s="14" t="s">
        <v>40</v>
      </c>
      <c r="S32" s="14" t="s">
        <v>40</v>
      </c>
      <c r="U32" s="14" t="s">
        <v>40</v>
      </c>
      <c r="V32" s="14" t="s">
        <v>40</v>
      </c>
      <c r="W32" s="14" t="s">
        <v>40</v>
      </c>
      <c r="X32" s="14" t="s">
        <v>40</v>
      </c>
      <c r="Y32" s="14" t="s">
        <v>40</v>
      </c>
      <c r="AA32" s="52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  <c r="GU32" s="16"/>
      <c r="GV32" s="16"/>
      <c r="GW32" s="16"/>
      <c r="GX32" s="16"/>
      <c r="GY32" s="16"/>
      <c r="GZ32" s="16"/>
      <c r="HA32" s="16"/>
      <c r="HB32" s="16"/>
      <c r="HC32" s="16"/>
      <c r="HD32" s="16"/>
      <c r="HE32" s="16"/>
      <c r="HF32" s="16"/>
      <c r="HG32" s="16"/>
      <c r="HH32" s="16"/>
      <c r="HI32" s="16"/>
      <c r="HJ32" s="16"/>
      <c r="HK32" s="16"/>
      <c r="HL32" s="16"/>
      <c r="HM32" s="16"/>
      <c r="HN32" s="16"/>
      <c r="HO32" s="16"/>
      <c r="HP32" s="16"/>
      <c r="HQ32" s="16"/>
      <c r="HR32" s="16"/>
      <c r="HS32" s="16"/>
      <c r="HT32" s="16"/>
      <c r="HU32" s="16"/>
      <c r="HV32" s="16"/>
      <c r="HW32" s="16"/>
      <c r="HX32" s="16"/>
      <c r="HY32" s="16"/>
      <c r="HZ32" s="16"/>
      <c r="IA32" s="16"/>
      <c r="IB32" s="16"/>
      <c r="IC32" s="16"/>
      <c r="ID32" s="16"/>
      <c r="IE32" s="16"/>
      <c r="IF32" s="16"/>
      <c r="IG32" s="16"/>
      <c r="IH32" s="16"/>
      <c r="II32" s="16"/>
      <c r="IJ32" s="16"/>
      <c r="IK32" s="16"/>
      <c r="IL32" s="16"/>
      <c r="IM32" s="16"/>
      <c r="IN32" s="16"/>
      <c r="IO32" s="16"/>
      <c r="IP32" s="16"/>
      <c r="IQ32" s="16"/>
      <c r="IR32" s="16"/>
      <c r="IS32" s="16"/>
      <c r="IT32" s="16"/>
      <c r="IU32" s="16"/>
      <c r="IV32" s="16"/>
      <c r="IW32" s="16"/>
    </row>
    <row r="33" customFormat="false" ht="12.95" hidden="false" customHeight="true" outlineLevel="0" collapsed="false">
      <c r="A33" s="1" t="s">
        <v>208</v>
      </c>
      <c r="B33" s="1" t="s">
        <v>226</v>
      </c>
      <c r="C33" s="15" t="s">
        <v>227</v>
      </c>
      <c r="D33" s="15" t="s">
        <v>123</v>
      </c>
      <c r="E33" s="15" t="s">
        <v>99</v>
      </c>
      <c r="F33" s="25" t="n">
        <v>37096</v>
      </c>
      <c r="G33" s="16" t="s">
        <v>228</v>
      </c>
      <c r="H33" s="25" t="n">
        <v>37042</v>
      </c>
      <c r="I33" s="16"/>
      <c r="J33" s="22" t="n">
        <v>0.252023313905079</v>
      </c>
      <c r="K33" s="22" t="n">
        <v>-0.161828316610925</v>
      </c>
      <c r="L33" s="16"/>
      <c r="M33" s="16"/>
      <c r="N33" s="16"/>
      <c r="O33" s="16"/>
      <c r="P33" s="22" t="s">
        <v>51</v>
      </c>
      <c r="Q33" s="21" t="s">
        <v>51</v>
      </c>
      <c r="R33" s="18" t="s">
        <v>51</v>
      </c>
      <c r="S33" s="18" t="s">
        <v>51</v>
      </c>
      <c r="T33" s="16"/>
      <c r="U33" s="26" t="n">
        <v>0</v>
      </c>
      <c r="V33" s="26" t="n">
        <v>0</v>
      </c>
      <c r="W33" s="27" t="n">
        <v>0</v>
      </c>
      <c r="X33" s="26" t="n">
        <v>0</v>
      </c>
      <c r="Y33" s="26" t="n">
        <v>0</v>
      </c>
      <c r="Z33" s="16"/>
      <c r="AA33" s="52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6"/>
      <c r="IM33" s="16"/>
      <c r="IN33" s="16"/>
      <c r="IO33" s="16"/>
      <c r="IP33" s="16"/>
      <c r="IQ33" s="16"/>
      <c r="IR33" s="16"/>
      <c r="IS33" s="16"/>
      <c r="IT33" s="16"/>
      <c r="IU33" s="16"/>
      <c r="IV33" s="16"/>
      <c r="IW33" s="16"/>
    </row>
    <row r="34" customFormat="false" ht="12.95" hidden="false" customHeight="true" outlineLevel="0" collapsed="false">
      <c r="A34" s="1" t="s">
        <v>210</v>
      </c>
      <c r="B34" s="1" t="s">
        <v>229</v>
      </c>
      <c r="C34" s="15" t="s">
        <v>230</v>
      </c>
      <c r="D34" s="15" t="s">
        <v>231</v>
      </c>
      <c r="E34" s="15" t="s">
        <v>232</v>
      </c>
      <c r="F34" s="25" t="s">
        <v>51</v>
      </c>
      <c r="G34" s="16" t="s">
        <v>233</v>
      </c>
      <c r="H34" s="25" t="n">
        <v>37039</v>
      </c>
      <c r="I34" s="16"/>
      <c r="J34" s="22" t="n">
        <v>0.21144536439221</v>
      </c>
      <c r="K34" s="22" t="n">
        <v>-0.0900875014349849</v>
      </c>
      <c r="L34" s="16"/>
      <c r="M34" s="16"/>
      <c r="N34" s="16"/>
      <c r="O34" s="16"/>
      <c r="P34" s="22" t="s">
        <v>51</v>
      </c>
      <c r="Q34" s="21" t="s">
        <v>51</v>
      </c>
      <c r="R34" s="18" t="s">
        <v>51</v>
      </c>
      <c r="S34" s="18" t="s">
        <v>51</v>
      </c>
      <c r="T34" s="16"/>
      <c r="U34" s="23" t="n">
        <v>0</v>
      </c>
      <c r="V34" s="23" t="n">
        <v>0</v>
      </c>
      <c r="W34" s="24" t="n">
        <v>0</v>
      </c>
      <c r="X34" s="23" t="n">
        <v>0</v>
      </c>
      <c r="Y34" s="23" t="n">
        <v>0</v>
      </c>
      <c r="Z34" s="51"/>
      <c r="AA34" s="52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6"/>
      <c r="FI34" s="16"/>
      <c r="FJ34" s="16"/>
      <c r="FK34" s="16"/>
      <c r="FL34" s="16"/>
      <c r="FM34" s="16"/>
      <c r="FN34" s="16"/>
      <c r="FO34" s="16"/>
      <c r="FP34" s="16"/>
      <c r="FQ34" s="16"/>
      <c r="FR34" s="16"/>
      <c r="FS34" s="16"/>
      <c r="FT34" s="16"/>
      <c r="FU34" s="16"/>
      <c r="FV34" s="16"/>
      <c r="FW34" s="16"/>
      <c r="FX34" s="16"/>
      <c r="FY34" s="16"/>
      <c r="FZ34" s="16"/>
      <c r="GA34" s="16"/>
      <c r="GB34" s="16"/>
      <c r="GC34" s="16"/>
      <c r="GD34" s="16"/>
      <c r="GE34" s="16"/>
      <c r="GF34" s="16"/>
      <c r="GG34" s="16"/>
      <c r="GH34" s="16"/>
      <c r="GI34" s="16"/>
      <c r="GJ34" s="16"/>
      <c r="GK34" s="16"/>
      <c r="GL34" s="16"/>
      <c r="GM34" s="16"/>
      <c r="GN34" s="16"/>
      <c r="GO34" s="16"/>
      <c r="GP34" s="16"/>
      <c r="GQ34" s="16"/>
      <c r="GR34" s="16"/>
      <c r="GS34" s="16"/>
      <c r="GT34" s="16"/>
      <c r="GU34" s="16"/>
      <c r="GV34" s="16"/>
      <c r="GW34" s="16"/>
      <c r="GX34" s="16"/>
      <c r="GY34" s="16"/>
      <c r="GZ34" s="16"/>
      <c r="HA34" s="16"/>
      <c r="HB34" s="16"/>
      <c r="HC34" s="16"/>
      <c r="HD34" s="16"/>
      <c r="HE34" s="16"/>
      <c r="HF34" s="16"/>
      <c r="HG34" s="16"/>
      <c r="HH34" s="16"/>
      <c r="HI34" s="16"/>
      <c r="HJ34" s="16"/>
      <c r="HK34" s="16"/>
      <c r="HL34" s="16"/>
      <c r="HM34" s="16"/>
      <c r="HN34" s="16"/>
      <c r="HO34" s="16"/>
      <c r="HP34" s="16"/>
      <c r="HQ34" s="16"/>
      <c r="HR34" s="16"/>
      <c r="HS34" s="16"/>
      <c r="HT34" s="16"/>
      <c r="HU34" s="16"/>
      <c r="HV34" s="16"/>
      <c r="HW34" s="16"/>
      <c r="HX34" s="16"/>
      <c r="HY34" s="16"/>
      <c r="HZ34" s="16"/>
      <c r="IA34" s="16"/>
      <c r="IB34" s="16"/>
      <c r="IC34" s="16"/>
      <c r="ID34" s="16"/>
      <c r="IE34" s="16"/>
      <c r="IF34" s="16"/>
      <c r="IG34" s="16"/>
      <c r="IH34" s="16"/>
      <c r="II34" s="16"/>
      <c r="IJ34" s="16"/>
      <c r="IK34" s="16"/>
      <c r="IL34" s="16"/>
      <c r="IM34" s="16"/>
      <c r="IN34" s="16"/>
      <c r="IO34" s="16"/>
      <c r="IP34" s="16"/>
      <c r="IQ34" s="16"/>
      <c r="IR34" s="16"/>
      <c r="IS34" s="16"/>
      <c r="IT34" s="16"/>
      <c r="IU34" s="16"/>
      <c r="IV34" s="16"/>
      <c r="IW34" s="16"/>
    </row>
    <row r="35" customFormat="false" ht="12.95" hidden="false" customHeight="true" outlineLevel="0" collapsed="false">
      <c r="A35" s="1" t="s">
        <v>212</v>
      </c>
      <c r="B35" s="1" t="s">
        <v>226</v>
      </c>
      <c r="C35" s="15" t="s">
        <v>227</v>
      </c>
      <c r="D35" s="15" t="s">
        <v>123</v>
      </c>
      <c r="E35" s="15" t="s">
        <v>128</v>
      </c>
      <c r="F35" s="25" t="n">
        <v>37084</v>
      </c>
      <c r="G35" s="16" t="s">
        <v>234</v>
      </c>
      <c r="H35" s="25" t="n">
        <v>37042</v>
      </c>
      <c r="I35" s="16"/>
      <c r="J35" s="22" t="n">
        <v>-0.418461538461539</v>
      </c>
      <c r="K35" s="22" t="n">
        <v>-0.454315789473684</v>
      </c>
      <c r="L35" s="16"/>
      <c r="M35" s="16"/>
      <c r="N35" s="49"/>
      <c r="O35" s="16"/>
      <c r="P35" s="22" t="s">
        <v>51</v>
      </c>
      <c r="Q35" s="21" t="s">
        <v>51</v>
      </c>
      <c r="R35" s="18" t="s">
        <v>51</v>
      </c>
      <c r="S35" s="18" t="s">
        <v>51</v>
      </c>
      <c r="T35" s="50"/>
      <c r="U35" s="26" t="n">
        <v>0</v>
      </c>
      <c r="V35" s="26" t="n">
        <v>0</v>
      </c>
      <c r="W35" s="27" t="n">
        <v>0</v>
      </c>
      <c r="X35" s="26" t="n">
        <v>0</v>
      </c>
      <c r="Y35" s="26" t="n">
        <v>0</v>
      </c>
      <c r="Z35" s="51"/>
      <c r="AA35" s="52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T35" s="16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16"/>
      <c r="HK35" s="16"/>
      <c r="HL35" s="16"/>
      <c r="HM35" s="16"/>
      <c r="HN35" s="16"/>
      <c r="HO35" s="16"/>
      <c r="HP35" s="16"/>
      <c r="HQ35" s="16"/>
      <c r="HR35" s="16"/>
      <c r="HS35" s="16"/>
      <c r="HT35" s="16"/>
      <c r="HU35" s="16"/>
      <c r="HV35" s="16"/>
      <c r="HW35" s="16"/>
      <c r="HX35" s="16"/>
      <c r="HY35" s="16"/>
      <c r="HZ35" s="16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6"/>
      <c r="IM35" s="16"/>
      <c r="IN35" s="16"/>
      <c r="IO35" s="16"/>
      <c r="IP35" s="16"/>
      <c r="IQ35" s="16"/>
      <c r="IR35" s="16"/>
      <c r="IS35" s="16"/>
      <c r="IT35" s="16"/>
      <c r="IU35" s="16"/>
      <c r="IV35" s="16"/>
      <c r="IW35" s="16"/>
    </row>
    <row r="36" customFormat="false" ht="12.95" hidden="false" customHeight="true" outlineLevel="0" collapsed="false">
      <c r="A36" s="1" t="s">
        <v>214</v>
      </c>
      <c r="B36" s="1" t="s">
        <v>226</v>
      </c>
      <c r="C36" s="15" t="s">
        <v>227</v>
      </c>
      <c r="D36" s="15" t="s">
        <v>123</v>
      </c>
      <c r="E36" s="15" t="s">
        <v>128</v>
      </c>
      <c r="F36" s="25" t="n">
        <v>37097</v>
      </c>
      <c r="G36" s="16" t="s">
        <v>235</v>
      </c>
      <c r="H36" s="25" t="n">
        <v>37042</v>
      </c>
      <c r="I36" s="16"/>
      <c r="J36" s="22" t="n">
        <v>0.0199004975124378</v>
      </c>
      <c r="K36" s="22" t="n">
        <v>-0.284467713787086</v>
      </c>
      <c r="L36" s="16"/>
      <c r="M36" s="16"/>
      <c r="N36" s="49"/>
      <c r="O36" s="16"/>
      <c r="P36" s="22" t="n">
        <v>0.180219644083025</v>
      </c>
      <c r="Q36" s="21" t="n">
        <v>10.1965977987655</v>
      </c>
      <c r="R36" s="18" t="s">
        <v>51</v>
      </c>
      <c r="S36" s="18" t="s">
        <v>51</v>
      </c>
      <c r="T36" s="50"/>
      <c r="U36" s="26" t="n">
        <v>0</v>
      </c>
      <c r="V36" s="26" t="n">
        <v>0</v>
      </c>
      <c r="W36" s="27" t="n">
        <v>0</v>
      </c>
      <c r="X36" s="26" t="n">
        <v>0</v>
      </c>
      <c r="Y36" s="26" t="n">
        <v>0</v>
      </c>
      <c r="Z36" s="51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  <c r="IP36" s="16"/>
      <c r="IQ36" s="16"/>
      <c r="IR36" s="16"/>
      <c r="IS36" s="16"/>
      <c r="IT36" s="16"/>
      <c r="IU36" s="16"/>
      <c r="IV36" s="16"/>
      <c r="IW36" s="16"/>
    </row>
    <row r="37" customFormat="false" ht="12.95" hidden="false" customHeight="true" outlineLevel="0" collapsed="false">
      <c r="A37" s="1" t="s">
        <v>216</v>
      </c>
      <c r="B37" s="1" t="s">
        <v>226</v>
      </c>
      <c r="C37" s="15" t="s">
        <v>227</v>
      </c>
      <c r="D37" s="15" t="s">
        <v>123</v>
      </c>
      <c r="E37" s="15" t="s">
        <v>128</v>
      </c>
      <c r="F37" s="25" t="n">
        <v>37090</v>
      </c>
      <c r="G37" s="16" t="s">
        <v>235</v>
      </c>
      <c r="H37" s="25" t="n">
        <v>37042</v>
      </c>
      <c r="I37" s="16"/>
      <c r="J37" s="22" t="n">
        <v>0.588444444444444</v>
      </c>
      <c r="K37" s="22" t="n">
        <v>0.0272574850299401</v>
      </c>
      <c r="L37" s="16"/>
      <c r="M37" s="16"/>
      <c r="N37" s="49"/>
      <c r="O37" s="16"/>
      <c r="P37" s="22" t="s">
        <v>51</v>
      </c>
      <c r="Q37" s="21" t="s">
        <v>51</v>
      </c>
      <c r="R37" s="18" t="s">
        <v>51</v>
      </c>
      <c r="S37" s="18" t="s">
        <v>51</v>
      </c>
      <c r="T37" s="50"/>
      <c r="U37" s="26" t="n">
        <v>0</v>
      </c>
      <c r="V37" s="26" t="n">
        <v>0</v>
      </c>
      <c r="W37" s="27" t="n">
        <v>0</v>
      </c>
      <c r="X37" s="26" t="n">
        <v>0</v>
      </c>
      <c r="Y37" s="26" t="n">
        <v>0</v>
      </c>
      <c r="Z37" s="51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  <c r="IQ37" s="16"/>
      <c r="IR37" s="16"/>
      <c r="IS37" s="16"/>
      <c r="IT37" s="16"/>
      <c r="IU37" s="16"/>
      <c r="IV37" s="16"/>
      <c r="IW37" s="16"/>
    </row>
    <row r="38" customFormat="false" ht="12.95" hidden="false" customHeight="true" outlineLevel="0" collapsed="false">
      <c r="A38" s="1" t="s">
        <v>218</v>
      </c>
      <c r="B38" s="1" t="s">
        <v>226</v>
      </c>
      <c r="C38" s="15" t="s">
        <v>227</v>
      </c>
      <c r="D38" s="15" t="s">
        <v>236</v>
      </c>
      <c r="E38" s="15" t="s">
        <v>99</v>
      </c>
      <c r="F38" s="25" t="n">
        <v>37081</v>
      </c>
      <c r="G38" s="16" t="s">
        <v>237</v>
      </c>
      <c r="H38" s="25" t="n">
        <v>37042</v>
      </c>
      <c r="I38" s="16"/>
      <c r="J38" s="22" t="n">
        <v>0.492297734627832</v>
      </c>
      <c r="K38" s="22" t="n">
        <v>-0.144489795918367</v>
      </c>
      <c r="L38" s="16"/>
      <c r="M38" s="16"/>
      <c r="N38" s="49"/>
      <c r="O38" s="16"/>
      <c r="P38" s="22" t="n">
        <v>5.40229022415831</v>
      </c>
      <c r="Q38" s="21" t="n">
        <v>14.5857310107496</v>
      </c>
      <c r="R38" s="18" t="s">
        <v>51</v>
      </c>
      <c r="S38" s="18" t="s">
        <v>51</v>
      </c>
      <c r="T38" s="50"/>
      <c r="U38" s="26" t="n">
        <v>0</v>
      </c>
      <c r="V38" s="26" t="n">
        <v>0</v>
      </c>
      <c r="W38" s="27" t="n">
        <v>0</v>
      </c>
      <c r="X38" s="26" t="n">
        <v>0</v>
      </c>
      <c r="Y38" s="26" t="n">
        <v>0</v>
      </c>
      <c r="Z38" s="51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  <c r="HN38" s="16"/>
      <c r="HO38" s="16"/>
      <c r="HP38" s="16"/>
      <c r="HQ38" s="16"/>
      <c r="HR38" s="16"/>
      <c r="HS38" s="16"/>
      <c r="HT38" s="16"/>
      <c r="HU38" s="16"/>
      <c r="HV38" s="16"/>
      <c r="HW38" s="16"/>
      <c r="HX38" s="16"/>
      <c r="HY38" s="16"/>
      <c r="HZ38" s="16"/>
      <c r="IA38" s="16"/>
      <c r="IB38" s="16"/>
      <c r="IC38" s="16"/>
      <c r="ID38" s="16"/>
      <c r="IE38" s="16"/>
      <c r="IF38" s="16"/>
      <c r="IG38" s="16"/>
      <c r="IH38" s="16"/>
      <c r="II38" s="16"/>
      <c r="IJ38" s="16"/>
      <c r="IK38" s="16"/>
      <c r="IL38" s="16"/>
      <c r="IM38" s="16"/>
      <c r="IN38" s="16"/>
      <c r="IO38" s="16"/>
      <c r="IP38" s="16"/>
      <c r="IQ38" s="16"/>
      <c r="IR38" s="16"/>
      <c r="IS38" s="16"/>
      <c r="IT38" s="16"/>
      <c r="IU38" s="16"/>
      <c r="IV38" s="16"/>
      <c r="IW38" s="16"/>
    </row>
    <row r="39" customFormat="false" ht="12.95" hidden="false" customHeight="true" outlineLevel="0" collapsed="false">
      <c r="A39" s="1" t="s">
        <v>220</v>
      </c>
      <c r="B39" s="1" t="s">
        <v>226</v>
      </c>
      <c r="C39" s="15" t="s">
        <v>227</v>
      </c>
      <c r="D39" s="15" t="s">
        <v>123</v>
      </c>
      <c r="E39" s="15" t="s">
        <v>99</v>
      </c>
      <c r="F39" s="25" t="n">
        <v>37102</v>
      </c>
      <c r="G39" s="16" t="s">
        <v>238</v>
      </c>
      <c r="H39" s="25" t="n">
        <v>37042</v>
      </c>
      <c r="I39" s="16"/>
      <c r="J39" s="22" t="n">
        <v>-0.168854490008768</v>
      </c>
      <c r="K39" s="22" t="n">
        <v>-0.088211149727375</v>
      </c>
      <c r="L39" s="16"/>
      <c r="M39" s="16"/>
      <c r="N39" s="49"/>
      <c r="O39" s="16"/>
      <c r="P39" s="22" t="s">
        <v>51</v>
      </c>
      <c r="Q39" s="21" t="s">
        <v>51</v>
      </c>
      <c r="R39" s="18" t="s">
        <v>51</v>
      </c>
      <c r="S39" s="18" t="s">
        <v>51</v>
      </c>
      <c r="T39" s="50"/>
      <c r="U39" s="26" t="n">
        <v>0</v>
      </c>
      <c r="V39" s="26" t="n">
        <v>0</v>
      </c>
      <c r="W39" s="27" t="n">
        <v>0</v>
      </c>
      <c r="X39" s="26" t="n">
        <v>0</v>
      </c>
      <c r="Y39" s="26" t="n">
        <v>0</v>
      </c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6"/>
      <c r="IM39" s="16"/>
      <c r="IN39" s="16"/>
      <c r="IO39" s="16"/>
      <c r="IP39" s="16"/>
      <c r="IQ39" s="16"/>
      <c r="IR39" s="16"/>
      <c r="IS39" s="16"/>
      <c r="IT39" s="16"/>
      <c r="IU39" s="16"/>
      <c r="IV39" s="16"/>
      <c r="IW39" s="16"/>
    </row>
    <row r="40" customFormat="false" ht="12.95" hidden="false" customHeight="true" outlineLevel="0" collapsed="false">
      <c r="A40" s="1" t="s">
        <v>222</v>
      </c>
      <c r="B40" s="1" t="s">
        <v>229</v>
      </c>
      <c r="C40" s="15" t="s">
        <v>230</v>
      </c>
      <c r="D40" s="15" t="s">
        <v>231</v>
      </c>
      <c r="E40" s="15" t="s">
        <v>232</v>
      </c>
      <c r="F40" s="25" t="s">
        <v>51</v>
      </c>
      <c r="G40" s="16" t="s">
        <v>239</v>
      </c>
      <c r="H40" s="25" t="n">
        <v>37039</v>
      </c>
      <c r="I40" s="16"/>
      <c r="J40" s="22" t="n">
        <v>0.536186360086978</v>
      </c>
      <c r="K40" s="22" t="n">
        <v>0.099319598981254</v>
      </c>
      <c r="L40" s="16"/>
      <c r="M40" s="16"/>
      <c r="N40" s="49"/>
      <c r="O40" s="16"/>
      <c r="P40" s="22" t="s">
        <v>51</v>
      </c>
      <c r="Q40" s="21" t="s">
        <v>51</v>
      </c>
      <c r="R40" s="18" t="s">
        <v>51</v>
      </c>
      <c r="S40" s="18" t="s">
        <v>51</v>
      </c>
      <c r="T40" s="50"/>
      <c r="U40" s="23" t="n">
        <v>0</v>
      </c>
      <c r="V40" s="23" t="n">
        <v>0</v>
      </c>
      <c r="W40" s="24" t="n">
        <v>0</v>
      </c>
      <c r="X40" s="23" t="n">
        <v>0</v>
      </c>
      <c r="Y40" s="23" t="n">
        <v>0</v>
      </c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</row>
    <row r="41" customFormat="false" ht="12.95" hidden="false" customHeight="true" outlineLevel="0" collapsed="false">
      <c r="A41" s="1" t="s">
        <v>224</v>
      </c>
      <c r="B41" s="1" t="s">
        <v>229</v>
      </c>
      <c r="C41" s="15" t="s">
        <v>230</v>
      </c>
      <c r="D41" s="15" t="s">
        <v>231</v>
      </c>
      <c r="E41" s="15" t="s">
        <v>232</v>
      </c>
      <c r="F41" s="25" t="s">
        <v>51</v>
      </c>
      <c r="G41" s="16" t="s">
        <v>240</v>
      </c>
      <c r="H41" s="25" t="n">
        <v>37039</v>
      </c>
      <c r="I41" s="16"/>
      <c r="J41" s="22" t="n">
        <v>0.361687418215311</v>
      </c>
      <c r="K41" s="22" t="n">
        <v>0.00601674781109224</v>
      </c>
      <c r="L41" s="16"/>
      <c r="M41" s="16"/>
      <c r="N41" s="49"/>
      <c r="O41" s="16"/>
      <c r="P41" s="22" t="s">
        <v>51</v>
      </c>
      <c r="Q41" s="21" t="s">
        <v>51</v>
      </c>
      <c r="R41" s="18" t="s">
        <v>51</v>
      </c>
      <c r="S41" s="18" t="s">
        <v>51</v>
      </c>
      <c r="T41" s="50"/>
      <c r="U41" s="23" t="n">
        <v>0</v>
      </c>
      <c r="V41" s="23" t="n">
        <v>0</v>
      </c>
      <c r="W41" s="24" t="n">
        <v>0</v>
      </c>
      <c r="X41" s="23" t="n">
        <v>0</v>
      </c>
      <c r="Y41" s="23" t="n">
        <v>0</v>
      </c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</row>
    <row r="42" customFormat="false" ht="12.95" hidden="false" customHeight="true" outlineLevel="0" collapsed="false">
      <c r="C42" s="15"/>
      <c r="D42" s="15"/>
      <c r="E42" s="15"/>
      <c r="F42" s="25"/>
      <c r="G42" s="16"/>
      <c r="H42" s="25"/>
      <c r="I42" s="16"/>
      <c r="J42" s="22"/>
      <c r="K42" s="22"/>
      <c r="L42" s="16"/>
      <c r="M42" s="16"/>
      <c r="N42" s="16"/>
      <c r="O42" s="16"/>
      <c r="P42" s="16"/>
      <c r="Q42" s="16"/>
      <c r="R42" s="16"/>
      <c r="S42" s="16"/>
      <c r="T42" s="50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2.95" hidden="false" customHeight="true" outlineLevel="0" collapsed="false">
      <c r="C43" s="15"/>
      <c r="D43" s="15"/>
      <c r="E43" s="15"/>
      <c r="F43" s="25"/>
      <c r="G43" s="16"/>
      <c r="H43" s="25"/>
      <c r="I43" s="16"/>
      <c r="J43" s="22"/>
      <c r="K43" s="22"/>
      <c r="L43" s="16"/>
      <c r="M43" s="16"/>
      <c r="N43" s="16"/>
      <c r="O43" s="16"/>
      <c r="P43" s="16"/>
      <c r="Q43" s="16"/>
      <c r="R43" s="16"/>
      <c r="S43" s="16"/>
      <c r="T43" s="50"/>
      <c r="U43" s="16"/>
      <c r="V43" s="16"/>
      <c r="W43" s="16"/>
      <c r="X43" s="16"/>
      <c r="Y43" s="16"/>
      <c r="Z43" s="51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2.95" hidden="false" customHeight="true" outlineLevel="0" collapsed="false">
      <c r="A44" s="16"/>
      <c r="B44" s="58"/>
      <c r="C44" s="58"/>
      <c r="D44" s="16"/>
      <c r="E44" s="58"/>
      <c r="F44" s="16"/>
      <c r="G44" s="16"/>
      <c r="H44" s="16"/>
      <c r="I44" s="16"/>
      <c r="J44" s="16"/>
      <c r="K44" s="16"/>
      <c r="L44" s="16"/>
      <c r="M44" s="16"/>
      <c r="N44" s="40" t="s">
        <v>56</v>
      </c>
      <c r="O44" s="16"/>
      <c r="P44" s="22" t="n">
        <v>2.79125493412067</v>
      </c>
      <c r="Q44" s="21" t="n">
        <v>12.3911644047576</v>
      </c>
      <c r="R44" s="18" t="s">
        <v>51</v>
      </c>
      <c r="S44" s="15"/>
      <c r="T44" s="50"/>
      <c r="U44" s="23"/>
      <c r="V44" s="23"/>
      <c r="W44" s="24"/>
      <c r="X44" s="23"/>
      <c r="Y44" s="23"/>
      <c r="Z44" s="51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6"/>
      <c r="IM44" s="16"/>
      <c r="IN44" s="16"/>
      <c r="IO44" s="16"/>
      <c r="IP44" s="16"/>
      <c r="IQ44" s="16"/>
      <c r="IR44" s="16"/>
      <c r="IS44" s="16"/>
      <c r="IT44" s="16"/>
      <c r="IU44" s="16"/>
      <c r="IV44" s="16"/>
      <c r="IW44" s="16"/>
    </row>
    <row r="45" customFormat="false" ht="12.95" hidden="false" customHeight="true" outlineLevel="0" collapsed="false">
      <c r="A45" s="16"/>
      <c r="B45" s="58"/>
      <c r="C45" s="58"/>
      <c r="D45" s="58"/>
      <c r="E45" s="16"/>
      <c r="F45" s="16"/>
      <c r="G45" s="16"/>
      <c r="H45" s="16"/>
      <c r="I45" s="16"/>
      <c r="J45" s="16"/>
      <c r="K45" s="16"/>
      <c r="L45" s="16"/>
      <c r="M45" s="16"/>
      <c r="N45" s="40" t="s">
        <v>57</v>
      </c>
      <c r="O45" s="16"/>
      <c r="P45" s="22" t="n">
        <v>2.79125493412067</v>
      </c>
      <c r="Q45" s="21" t="n">
        <v>12.3911644047576</v>
      </c>
      <c r="R45" s="18" t="s">
        <v>51</v>
      </c>
      <c r="S45" s="15"/>
      <c r="T45" s="50"/>
      <c r="U45" s="23"/>
      <c r="V45" s="23"/>
      <c r="W45" s="24"/>
      <c r="X45" s="23"/>
      <c r="Y45" s="23"/>
      <c r="Z45" s="51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6"/>
      <c r="IM45" s="16"/>
      <c r="IN45" s="16"/>
      <c r="IO45" s="16"/>
      <c r="IP45" s="16"/>
      <c r="IQ45" s="16"/>
      <c r="IR45" s="16"/>
      <c r="IS45" s="16"/>
      <c r="IT45" s="16"/>
      <c r="IU45" s="16"/>
      <c r="IV45" s="16"/>
      <c r="IW45" s="16"/>
    </row>
    <row r="46" customFormat="false" ht="12.95" hidden="false" customHeight="true" outlineLevel="0" collapsed="false">
      <c r="A46" s="16"/>
      <c r="B46" s="58"/>
      <c r="C46" s="58"/>
      <c r="D46" s="58"/>
      <c r="E46" s="16"/>
      <c r="F46" s="16"/>
      <c r="G46" s="16"/>
      <c r="H46" s="16"/>
      <c r="I46" s="16"/>
      <c r="J46" s="16"/>
      <c r="K46" s="16"/>
      <c r="L46" s="16"/>
      <c r="M46" s="16"/>
      <c r="N46" s="40" t="s">
        <v>26</v>
      </c>
      <c r="O46" s="16"/>
      <c r="P46" s="22" t="n">
        <v>5.40229022415831</v>
      </c>
      <c r="Q46" s="21" t="n">
        <v>14.5857310107496</v>
      </c>
      <c r="R46" s="18" t="s">
        <v>51</v>
      </c>
      <c r="S46" s="15"/>
      <c r="T46" s="50"/>
      <c r="U46" s="23"/>
      <c r="V46" s="23"/>
      <c r="W46" s="24"/>
      <c r="X46" s="23"/>
      <c r="Y46" s="23"/>
      <c r="Z46" s="51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  <c r="IQ46" s="16"/>
      <c r="IR46" s="16"/>
      <c r="IS46" s="16"/>
      <c r="IT46" s="16"/>
      <c r="IU46" s="16"/>
      <c r="IV46" s="16"/>
      <c r="IW46" s="16"/>
    </row>
    <row r="47" customFormat="false" ht="12.95" hidden="false" customHeight="true" outlineLevel="0" collapsed="false">
      <c r="A47" s="16"/>
      <c r="B47" s="58"/>
      <c r="C47" s="58"/>
      <c r="D47" s="58"/>
      <c r="E47" s="16"/>
      <c r="F47" s="16"/>
      <c r="G47" s="16"/>
      <c r="H47" s="16"/>
      <c r="I47" s="16"/>
      <c r="J47" s="16"/>
      <c r="K47" s="16"/>
      <c r="L47" s="16"/>
      <c r="M47" s="16"/>
      <c r="N47" s="40" t="s">
        <v>27</v>
      </c>
      <c r="O47" s="16"/>
      <c r="P47" s="22" t="n">
        <v>0.180219644083025</v>
      </c>
      <c r="Q47" s="21" t="n">
        <v>10.1965977987655</v>
      </c>
      <c r="R47" s="18" t="s">
        <v>51</v>
      </c>
      <c r="S47" s="15"/>
      <c r="T47" s="50"/>
      <c r="U47" s="23"/>
      <c r="V47" s="23"/>
      <c r="W47" s="24"/>
      <c r="X47" s="23"/>
      <c r="Y47" s="23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</row>
    <row r="48" customFormat="false" ht="12.95" hidden="false" customHeight="true" outlineLevel="0" collapsed="false">
      <c r="A48" s="61" t="s">
        <v>104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</row>
    <row r="49" customFormat="false" ht="12.95" hidden="false" customHeight="true" outlineLevel="0" collapsed="false">
      <c r="A49" s="15" t="s">
        <v>241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2.95" hidden="false" customHeight="true" outlineLevel="0" collapsed="false">
      <c r="A50" s="15" t="s">
        <v>242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2.95" hidden="false" customHeight="true" outlineLevel="0" collapsed="false">
      <c r="A51" s="15" t="s">
        <v>243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2.95" hidden="false" customHeight="true" outlineLevel="0" collapsed="false">
      <c r="A52" s="15" t="s">
        <v>244</v>
      </c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2.95" hidden="false" customHeight="true" outlineLevel="0" collapsed="false">
      <c r="A53" s="15" t="s">
        <v>245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12.95" hidden="false" customHeight="true" outlineLevel="0" collapsed="false">
      <c r="A54" s="15" t="s">
        <v>246</v>
      </c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12.95" hidden="false" customHeight="true" outlineLevel="0" collapsed="false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12.95" hidden="false" customHeight="true" outlineLevel="0" collapsed="false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12.95" hidden="false" customHeight="true" outlineLevel="0" collapsed="false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12.95" hidden="false" customHeight="true" outlineLevel="0" collapsed="false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12.95" hidden="false" customHeight="true" outlineLevel="0" collapsed="false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</row>
    <row r="60" customFormat="false" ht="12.95" hidden="false" customHeight="true" outlineLevel="0" collapsed="false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</row>
    <row r="61" customFormat="false" ht="12.95" hidden="false" customHeight="true" outlineLevel="0" collapsed="false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6"/>
      <c r="IM61" s="16"/>
      <c r="IN61" s="16"/>
      <c r="IO61" s="16"/>
      <c r="IP61" s="16"/>
      <c r="IQ61" s="16"/>
      <c r="IR61" s="16"/>
      <c r="IS61" s="16"/>
      <c r="IT61" s="16"/>
      <c r="IU61" s="16"/>
      <c r="IV61" s="16"/>
      <c r="IW61" s="16"/>
    </row>
    <row r="62" customFormat="false" ht="12.95" hidden="false" customHeight="true" outlineLevel="0" collapsed="false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</row>
    <row r="63" customFormat="false" ht="12.95" hidden="false" customHeight="true" outlineLevel="0" collapsed="false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</row>
    <row r="64" customFormat="false" ht="12.95" hidden="false" customHeight="true" outlineLevel="0" collapsed="false">
      <c r="A64" s="16"/>
      <c r="B64" s="16"/>
      <c r="C64" s="16"/>
      <c r="D64" s="16"/>
      <c r="E64" s="16"/>
      <c r="F64" s="25" t="n">
        <v>37106</v>
      </c>
      <c r="G64" s="25" t="n">
        <v>36741</v>
      </c>
      <c r="H64" s="16"/>
      <c r="I64" s="16"/>
      <c r="J64" s="16"/>
      <c r="K64" s="16"/>
      <c r="L64" s="16"/>
      <c r="M64" s="16"/>
      <c r="N64" s="16"/>
      <c r="O64" s="16"/>
      <c r="P64" s="16"/>
      <c r="Q64" s="25" t="n">
        <v>36892</v>
      </c>
      <c r="R64" s="25" t="n">
        <v>37106</v>
      </c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</row>
    <row r="65" customFormat="false" ht="12.95" hidden="false" customHeight="true" outlineLevel="0" collapsed="false">
      <c r="A65" s="16"/>
      <c r="B65" s="16"/>
      <c r="C65" s="16"/>
      <c r="D65" s="16"/>
      <c r="E65" s="16"/>
      <c r="F65" s="16"/>
      <c r="G65" s="16"/>
      <c r="H65" s="16" t="s">
        <v>82</v>
      </c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 t="s">
        <v>83</v>
      </c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6"/>
      <c r="IM65" s="16"/>
      <c r="IN65" s="16"/>
      <c r="IO65" s="16"/>
      <c r="IP65" s="16"/>
      <c r="IQ65" s="16"/>
      <c r="IR65" s="16"/>
      <c r="IS65" s="16"/>
      <c r="IT65" s="16"/>
      <c r="IU65" s="16"/>
      <c r="IV65" s="16"/>
      <c r="IW65" s="16"/>
    </row>
    <row r="66" customFormat="false" ht="12.95" hidden="false" customHeight="true" outlineLevel="0" collapsed="false">
      <c r="A66" s="16"/>
      <c r="B66" s="16"/>
      <c r="C66" s="16"/>
      <c r="D66" s="16"/>
      <c r="E66" s="16" t="s">
        <v>209</v>
      </c>
      <c r="F66" s="18" t="n">
        <v>46.99</v>
      </c>
      <c r="G66" s="18" t="n">
        <v>37.53125</v>
      </c>
      <c r="H66" s="65" t="n">
        <v>0.252023313905079</v>
      </c>
      <c r="I66" s="16"/>
      <c r="J66" s="16"/>
      <c r="K66" s="16"/>
      <c r="L66" s="16"/>
      <c r="M66" s="16"/>
      <c r="N66" s="16"/>
      <c r="O66" s="16"/>
      <c r="P66" s="16" t="s">
        <v>209</v>
      </c>
      <c r="Q66" s="18" t="n">
        <v>56.0625</v>
      </c>
      <c r="R66" s="18" t="n">
        <v>46.99</v>
      </c>
      <c r="S66" s="65" t="n">
        <v>-0.161828316610925</v>
      </c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  <c r="GU66" s="16"/>
      <c r="GV66" s="16"/>
      <c r="GW66" s="16"/>
      <c r="GX66" s="16"/>
      <c r="GY66" s="16"/>
      <c r="GZ66" s="16"/>
      <c r="HA66" s="16"/>
      <c r="HB66" s="16"/>
      <c r="HC66" s="16"/>
      <c r="HD66" s="16"/>
      <c r="HE66" s="16"/>
      <c r="HF66" s="16"/>
      <c r="HG66" s="16"/>
      <c r="HH66" s="16"/>
      <c r="HI66" s="16"/>
      <c r="HJ66" s="16"/>
      <c r="HK66" s="16"/>
      <c r="HL66" s="16"/>
      <c r="HM66" s="16"/>
      <c r="HN66" s="16"/>
      <c r="HO66" s="16"/>
      <c r="HP66" s="16"/>
      <c r="HQ66" s="16"/>
      <c r="HR66" s="16"/>
      <c r="HS66" s="16"/>
      <c r="HT66" s="16"/>
      <c r="HU66" s="16"/>
      <c r="HV66" s="16"/>
      <c r="HW66" s="16"/>
      <c r="HX66" s="16"/>
      <c r="HY66" s="16"/>
      <c r="HZ66" s="16"/>
      <c r="IA66" s="16"/>
      <c r="IB66" s="16"/>
      <c r="IC66" s="16"/>
      <c r="ID66" s="16"/>
      <c r="IE66" s="16"/>
      <c r="IF66" s="16"/>
      <c r="IG66" s="16"/>
      <c r="IH66" s="16"/>
      <c r="II66" s="16"/>
      <c r="IJ66" s="16"/>
      <c r="IK66" s="16"/>
      <c r="IL66" s="16"/>
      <c r="IM66" s="16"/>
      <c r="IN66" s="16"/>
      <c r="IO66" s="16"/>
      <c r="IP66" s="16"/>
      <c r="IQ66" s="16"/>
      <c r="IR66" s="16"/>
      <c r="IS66" s="16"/>
      <c r="IT66" s="16"/>
      <c r="IU66" s="16"/>
      <c r="IV66" s="16"/>
      <c r="IW66" s="16"/>
    </row>
    <row r="67" customFormat="false" ht="12.95" hidden="false" customHeight="true" outlineLevel="0" collapsed="false">
      <c r="A67" s="16"/>
      <c r="B67" s="16"/>
      <c r="C67" s="16"/>
      <c r="D67" s="16"/>
      <c r="E67" s="16" t="s">
        <v>211</v>
      </c>
      <c r="F67" s="18" t="n">
        <v>26.47334</v>
      </c>
      <c r="G67" s="18" t="n">
        <v>21.85269</v>
      </c>
      <c r="H67" s="65" t="n">
        <v>0.21144536439221</v>
      </c>
      <c r="I67" s="16"/>
      <c r="J67" s="16"/>
      <c r="K67" s="16"/>
      <c r="L67" s="16"/>
      <c r="M67" s="16"/>
      <c r="N67" s="16"/>
      <c r="O67" s="16"/>
      <c r="P67" s="16" t="s">
        <v>211</v>
      </c>
      <c r="Q67" s="18" t="n">
        <v>29.09438</v>
      </c>
      <c r="R67" s="18" t="n">
        <v>26.47334</v>
      </c>
      <c r="S67" s="65" t="n">
        <v>-0.0900875014349849</v>
      </c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</row>
    <row r="68" customFormat="false" ht="12.95" hidden="false" customHeight="true" outlineLevel="0" collapsed="false">
      <c r="A68" s="16"/>
      <c r="B68" s="16"/>
      <c r="C68" s="16"/>
      <c r="D68" s="16"/>
      <c r="E68" s="16" t="s">
        <v>213</v>
      </c>
      <c r="F68" s="18" t="n">
        <v>45.36</v>
      </c>
      <c r="G68" s="18" t="n">
        <v>78</v>
      </c>
      <c r="H68" s="65" t="n">
        <v>-0.418461538461539</v>
      </c>
      <c r="I68" s="16"/>
      <c r="J68" s="16"/>
      <c r="K68" s="16"/>
      <c r="L68" s="16"/>
      <c r="M68" s="16"/>
      <c r="N68" s="16"/>
      <c r="O68" s="16"/>
      <c r="P68" s="16" t="s">
        <v>213</v>
      </c>
      <c r="Q68" s="18" t="n">
        <v>83.125</v>
      </c>
      <c r="R68" s="18" t="n">
        <v>45.36</v>
      </c>
      <c r="S68" s="65" t="n">
        <v>-0.454315789473684</v>
      </c>
      <c r="T68" s="16"/>
      <c r="U68" s="16"/>
      <c r="V68" s="16"/>
      <c r="W68" s="16"/>
      <c r="X68" s="16"/>
      <c r="Y68" s="16"/>
      <c r="Z68" s="16"/>
    </row>
    <row r="69" customFormat="false" ht="12.95" hidden="false" customHeight="true" outlineLevel="0" collapsed="false">
      <c r="A69" s="16"/>
      <c r="B69" s="16"/>
      <c r="C69" s="16"/>
      <c r="D69" s="16"/>
      <c r="E69" s="16" t="s">
        <v>215</v>
      </c>
      <c r="F69" s="18" t="n">
        <v>51.25</v>
      </c>
      <c r="G69" s="18" t="n">
        <v>50.25</v>
      </c>
      <c r="H69" s="65" t="n">
        <v>0.0199004975124378</v>
      </c>
      <c r="I69" s="16"/>
      <c r="J69" s="16"/>
      <c r="K69" s="16"/>
      <c r="L69" s="16"/>
      <c r="M69" s="16"/>
      <c r="N69" s="16"/>
      <c r="O69" s="16"/>
      <c r="P69" s="16" t="s">
        <v>215</v>
      </c>
      <c r="Q69" s="18" t="n">
        <v>71.625</v>
      </c>
      <c r="R69" s="18" t="n">
        <v>51.25</v>
      </c>
      <c r="S69" s="65" t="n">
        <v>-0.284467713787086</v>
      </c>
      <c r="T69" s="16"/>
      <c r="U69" s="16"/>
      <c r="V69" s="16"/>
      <c r="W69" s="16"/>
      <c r="X69" s="16"/>
      <c r="Y69" s="16"/>
      <c r="Z69" s="16"/>
    </row>
    <row r="70" customFormat="false" ht="12.95" hidden="false" customHeight="true" outlineLevel="0" collapsed="false">
      <c r="A70" s="16"/>
      <c r="B70" s="16"/>
      <c r="C70" s="16"/>
      <c r="D70" s="16"/>
      <c r="E70" s="16" t="s">
        <v>217</v>
      </c>
      <c r="F70" s="18" t="n">
        <v>53.61</v>
      </c>
      <c r="G70" s="18" t="n">
        <v>33.75</v>
      </c>
      <c r="H70" s="65" t="n">
        <v>0.588444444444444</v>
      </c>
      <c r="I70" s="16"/>
      <c r="J70" s="16"/>
      <c r="K70" s="16"/>
      <c r="L70" s="16"/>
      <c r="M70" s="16"/>
      <c r="N70" s="16"/>
      <c r="O70" s="16"/>
      <c r="P70" s="16" t="s">
        <v>217</v>
      </c>
      <c r="Q70" s="18" t="n">
        <v>52.1875</v>
      </c>
      <c r="R70" s="18" t="n">
        <v>53.61</v>
      </c>
      <c r="S70" s="65" t="n">
        <v>0.0272574850299401</v>
      </c>
      <c r="T70" s="16"/>
      <c r="U70" s="16"/>
      <c r="V70" s="16"/>
      <c r="W70" s="16"/>
      <c r="X70" s="16"/>
      <c r="Y70" s="16"/>
      <c r="Z70" s="16"/>
    </row>
    <row r="71" customFormat="false" ht="12.95" hidden="false" customHeight="true" outlineLevel="0" collapsed="false">
      <c r="A71" s="16"/>
      <c r="B71" s="16"/>
      <c r="C71" s="16"/>
      <c r="D71" s="16"/>
      <c r="E71" s="16" t="s">
        <v>219</v>
      </c>
      <c r="F71" s="18" t="n">
        <v>28.82</v>
      </c>
      <c r="G71" s="18" t="n">
        <v>19.3125</v>
      </c>
      <c r="H71" s="65" t="n">
        <v>0.492297734627832</v>
      </c>
      <c r="I71" s="16"/>
      <c r="J71" s="16"/>
      <c r="K71" s="16"/>
      <c r="L71" s="16"/>
      <c r="M71" s="16"/>
      <c r="N71" s="16"/>
      <c r="O71" s="16"/>
      <c r="P71" s="16" t="s">
        <v>219</v>
      </c>
      <c r="Q71" s="18" t="n">
        <v>33.6875</v>
      </c>
      <c r="R71" s="18" t="n">
        <v>28.82</v>
      </c>
      <c r="S71" s="65" t="n">
        <v>-0.144489795918367</v>
      </c>
      <c r="T71" s="16"/>
      <c r="U71" s="16"/>
      <c r="V71" s="16"/>
      <c r="W71" s="16"/>
      <c r="X71" s="16"/>
      <c r="Y71" s="16"/>
      <c r="Z71" s="16"/>
    </row>
    <row r="72" customFormat="false" ht="12.95" hidden="false" customHeight="true" outlineLevel="0" collapsed="false">
      <c r="A72" s="16"/>
      <c r="B72" s="16"/>
      <c r="C72" s="16"/>
      <c r="D72" s="16"/>
      <c r="E72" s="16" t="s">
        <v>221</v>
      </c>
      <c r="F72" s="18" t="n">
        <v>33.51</v>
      </c>
      <c r="G72" s="18" t="n">
        <v>40.31785</v>
      </c>
      <c r="H72" s="65" t="n">
        <v>-0.168854490008768</v>
      </c>
      <c r="I72" s="16"/>
      <c r="J72" s="16"/>
      <c r="K72" s="16"/>
      <c r="L72" s="16"/>
      <c r="M72" s="16"/>
      <c r="N72" s="16"/>
      <c r="O72" s="16"/>
      <c r="P72" s="16" t="s">
        <v>221</v>
      </c>
      <c r="Q72" s="18" t="n">
        <v>36.75193</v>
      </c>
      <c r="R72" s="18" t="n">
        <v>33.51</v>
      </c>
      <c r="S72" s="65" t="n">
        <v>-0.088211149727375</v>
      </c>
      <c r="T72" s="16"/>
      <c r="U72" s="16"/>
      <c r="V72" s="16"/>
      <c r="W72" s="16"/>
      <c r="X72" s="16"/>
      <c r="Y72" s="16"/>
    </row>
    <row r="73" customFormat="false" ht="12.95" hidden="false" customHeight="true" outlineLevel="0" collapsed="false">
      <c r="E73" s="16" t="s">
        <v>223</v>
      </c>
      <c r="F73" s="18" t="n">
        <v>12.588677</v>
      </c>
      <c r="G73" s="18" t="n">
        <v>8.194759</v>
      </c>
      <c r="H73" s="65" t="n">
        <v>0.536186360086978</v>
      </c>
      <c r="P73" s="16" t="s">
        <v>223</v>
      </c>
      <c r="Q73" s="18" t="n">
        <v>11.451335</v>
      </c>
      <c r="R73" s="18" t="n">
        <v>12.588677</v>
      </c>
      <c r="S73" s="65" t="n">
        <v>0.099319598981254</v>
      </c>
    </row>
    <row r="74" customFormat="false" ht="12.95" hidden="false" customHeight="true" outlineLevel="0" collapsed="false">
      <c r="E74" s="16" t="s">
        <v>225</v>
      </c>
      <c r="F74" s="18" t="n">
        <v>24.24607</v>
      </c>
      <c r="G74" s="18" t="n">
        <v>17.8059</v>
      </c>
      <c r="H74" s="65" t="n">
        <v>0.361687418215311</v>
      </c>
      <c r="P74" s="16" t="s">
        <v>225</v>
      </c>
      <c r="Q74" s="18" t="n">
        <v>24.10106</v>
      </c>
      <c r="R74" s="18" t="n">
        <v>24.24607</v>
      </c>
      <c r="S74" s="65" t="n">
        <v>0.00601674781109224</v>
      </c>
    </row>
    <row r="75" customFormat="false" ht="12.95" hidden="false" customHeight="true" outlineLevel="0" collapsed="false">
      <c r="E75" s="16" t="n">
        <v>0</v>
      </c>
      <c r="F75" s="18" t="e">
        <f aca="false">NA()</f>
        <v>#N/A</v>
      </c>
      <c r="G75" s="18" t="e">
        <f aca="false">NA()</f>
        <v>#N/A</v>
      </c>
      <c r="H75" s="65" t="e">
        <f aca="false">NA()</f>
        <v>#N/A</v>
      </c>
    </row>
    <row r="76" customFormat="false" ht="12.95" hidden="false" customHeight="true" outlineLevel="0" collapsed="false"/>
    <row r="77" customFormat="false" ht="12.95" hidden="false" customHeight="true" outlineLevel="0" collapsed="false"/>
    <row r="78" customFormat="false" ht="12.95" hidden="false" customHeight="true" outlineLevel="0" collapsed="false"/>
    <row r="79" customFormat="false" ht="12.95" hidden="false" customHeight="true" outlineLevel="0" collapsed="false"/>
    <row r="80" customFormat="false" ht="12.95" hidden="false" customHeight="true" outlineLevel="0" collapsed="false"/>
    <row r="81" customFormat="false" ht="12.95" hidden="false" customHeight="true" outlineLevel="0" collapsed="false"/>
    <row r="82" customFormat="false" ht="12.95" hidden="false" customHeight="true" outlineLevel="0" collapsed="false"/>
    <row r="83" customFormat="false" ht="12.95" hidden="false" customHeight="true" outlineLevel="0" collapsed="false"/>
    <row r="84" customFormat="false" ht="12.95" hidden="false" customHeight="true" outlineLevel="0" collapsed="false"/>
    <row r="85" customFormat="false" ht="12.95" hidden="false" customHeight="true" outlineLevel="0" collapsed="false"/>
    <row r="86" customFormat="false" ht="12.95" hidden="false" customHeight="true" outlineLevel="0" collapsed="false"/>
    <row r="87" customFormat="false" ht="12.95" hidden="false" customHeight="true" outlineLevel="0" collapsed="false"/>
    <row r="88" customFormat="false" ht="12.95" hidden="false" customHeight="true" outlineLevel="0" collapsed="false"/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</sheetData>
  <mergeCells count="19">
    <mergeCell ref="U7:W7"/>
    <mergeCell ref="X7:Y7"/>
    <mergeCell ref="E8:F8"/>
    <mergeCell ref="I8:K8"/>
    <mergeCell ref="L8:N8"/>
    <mergeCell ref="O8:Q8"/>
    <mergeCell ref="U27:Y27"/>
    <mergeCell ref="B28:C28"/>
    <mergeCell ref="D28:F28"/>
    <mergeCell ref="G28:H28"/>
    <mergeCell ref="J28:K28"/>
    <mergeCell ref="P28:S28"/>
    <mergeCell ref="U28:Y28"/>
    <mergeCell ref="B29:C29"/>
    <mergeCell ref="D29:F29"/>
    <mergeCell ref="G29:H29"/>
    <mergeCell ref="J29:K29"/>
    <mergeCell ref="P29:S29"/>
    <mergeCell ref="U29:Y29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1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0" width="29.71"/>
    <col collapsed="false" customWidth="true" hidden="false" outlineLevel="0" max="2" min="2" style="10" width="14.85"/>
    <col collapsed="false" customWidth="true" hidden="false" outlineLevel="0" max="3" min="3" style="10" width="12.7"/>
    <col collapsed="false" customWidth="true" hidden="false" outlineLevel="0" max="4" min="4" style="10" width="10.71"/>
    <col collapsed="false" customWidth="true" hidden="false" outlineLevel="0" max="5" min="5" style="10" width="11.7"/>
    <col collapsed="false" customWidth="true" hidden="false" outlineLevel="0" max="6" min="6" style="10" width="10.71"/>
    <col collapsed="false" customWidth="true" hidden="false" outlineLevel="0" max="7" min="7" style="10" width="11.7"/>
    <col collapsed="false" customWidth="true" hidden="false" outlineLevel="0" max="8" min="8" style="10" width="10.71"/>
    <col collapsed="false" customWidth="true" hidden="true" outlineLevel="1" max="9" min="9" style="10" width="8.7"/>
    <col collapsed="false" customWidth="true" hidden="false" outlineLevel="0" max="11" min="10" style="10" width="8.7"/>
    <col collapsed="false" customWidth="true" hidden="true" outlineLevel="1" max="12" min="12" style="10" width="8.7"/>
    <col collapsed="false" customWidth="true" hidden="false" outlineLevel="0" max="14" min="13" style="10" width="8.7"/>
    <col collapsed="false" customWidth="true" hidden="true" outlineLevel="1" max="15" min="15" style="10" width="8.7"/>
    <col collapsed="false" customWidth="true" hidden="false" outlineLevel="0" max="17" min="16" style="10" width="8.7"/>
    <col collapsed="false" customWidth="true" hidden="false" outlineLevel="0" max="25" min="18" style="10" width="9.7"/>
    <col collapsed="false" customWidth="true" hidden="false" outlineLevel="0" max="26" min="26" style="10" width="10.71"/>
    <col collapsed="false" customWidth="false" hidden="false" outlineLevel="0" max="27" min="27" style="10" width="9.14"/>
    <col collapsed="false" customWidth="true" hidden="false" outlineLevel="0" max="30" min="28" style="10" width="10.71"/>
    <col collapsed="false" customWidth="true" hidden="false" outlineLevel="0" max="31" min="31" style="10" width="15.7"/>
    <col collapsed="false" customWidth="false" hidden="false" outlineLevel="0" max="257" min="32" style="10" width="9.14"/>
  </cols>
  <sheetData>
    <row r="1" customFormat="false" ht="18" hidden="false" customHeight="false" outlineLevel="0" collapsed="false">
      <c r="A1" s="73" t="s">
        <v>247</v>
      </c>
      <c r="B1" s="73"/>
      <c r="C1" s="73"/>
    </row>
    <row r="2" customFormat="false" ht="15" hidden="false" customHeight="true" outlineLevel="0" collapsed="false">
      <c r="A2" s="3" t="s">
        <v>1</v>
      </c>
      <c r="B2" s="3"/>
      <c r="C2" s="3"/>
      <c r="AG2" s="43"/>
    </row>
    <row r="3" customFormat="false" ht="12.75" hidden="false" customHeight="false" outlineLevel="0" collapsed="false">
      <c r="A3" s="74" t="s">
        <v>2</v>
      </c>
      <c r="B3" s="74"/>
      <c r="C3" s="74"/>
      <c r="AG3" s="43"/>
    </row>
    <row r="4" customFormat="false" ht="12.75" hidden="false" customHeight="false" outlineLevel="0" collapsed="false">
      <c r="A4" s="74"/>
      <c r="B4" s="74"/>
      <c r="C4" s="74"/>
      <c r="AG4" s="43"/>
    </row>
    <row r="5" customFormat="false" ht="12.75" hidden="false" customHeight="false" outlineLevel="0" collapsed="false">
      <c r="A5" s="74"/>
      <c r="B5" s="74"/>
      <c r="C5" s="74"/>
      <c r="AG5" s="43"/>
    </row>
    <row r="6" customFormat="false" ht="12.75" hidden="false" customHeight="false" outlineLevel="0" collapsed="false">
      <c r="A6" s="75" t="s">
        <v>3</v>
      </c>
      <c r="B6" s="8" t="n">
        <v>37108.5169769676</v>
      </c>
      <c r="C6" s="77"/>
    </row>
    <row r="7" customFormat="false" ht="12.75" hidden="false" customHeight="false" outlineLevel="0" collapsed="false">
      <c r="H7" s="11" t="s">
        <v>4</v>
      </c>
      <c r="U7" s="12" t="s">
        <v>5</v>
      </c>
      <c r="V7" s="12"/>
      <c r="W7" s="12"/>
      <c r="X7" s="12" t="s">
        <v>6</v>
      </c>
      <c r="Y7" s="12"/>
      <c r="Z7" s="11" t="s">
        <v>7</v>
      </c>
    </row>
    <row r="8" customFormat="false" ht="12.75" hidden="false" customHeight="false" outlineLevel="0" collapsed="false">
      <c r="C8" s="11" t="s">
        <v>8</v>
      </c>
      <c r="D8" s="11" t="s">
        <v>9</v>
      </c>
      <c r="E8" s="13" t="s">
        <v>10</v>
      </c>
      <c r="F8" s="13"/>
      <c r="G8" s="11" t="s">
        <v>11</v>
      </c>
      <c r="H8" s="11" t="s">
        <v>11</v>
      </c>
      <c r="I8" s="12" t="s">
        <v>12</v>
      </c>
      <c r="J8" s="12"/>
      <c r="K8" s="12"/>
      <c r="L8" s="12" t="s">
        <v>13</v>
      </c>
      <c r="M8" s="12"/>
      <c r="N8" s="12"/>
      <c r="O8" s="12" t="s">
        <v>14</v>
      </c>
      <c r="P8" s="12"/>
      <c r="Q8" s="12"/>
      <c r="R8" s="13" t="s">
        <v>15</v>
      </c>
      <c r="S8" s="13" t="s">
        <v>16</v>
      </c>
      <c r="T8" s="11" t="s">
        <v>17</v>
      </c>
      <c r="U8" s="11" t="s">
        <v>18</v>
      </c>
      <c r="V8" s="11"/>
      <c r="W8" s="11" t="s">
        <v>19</v>
      </c>
      <c r="X8" s="11" t="s">
        <v>18</v>
      </c>
      <c r="Y8" s="11" t="s">
        <v>20</v>
      </c>
      <c r="Z8" s="11" t="s">
        <v>21</v>
      </c>
      <c r="AA8" s="13"/>
    </row>
    <row r="9" customFormat="false" ht="12.75" hidden="false" customHeight="false" outlineLevel="0" collapsed="false">
      <c r="A9" s="11" t="s">
        <v>22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29</v>
      </c>
      <c r="J9" s="11" t="s">
        <v>30</v>
      </c>
      <c r="K9" s="11" t="s">
        <v>31</v>
      </c>
      <c r="L9" s="11" t="s">
        <v>29</v>
      </c>
      <c r="M9" s="11" t="s">
        <v>30</v>
      </c>
      <c r="N9" s="11" t="s">
        <v>31</v>
      </c>
      <c r="O9" s="11" t="s">
        <v>29</v>
      </c>
      <c r="P9" s="11" t="s">
        <v>30</v>
      </c>
      <c r="Q9" s="11" t="s">
        <v>31</v>
      </c>
      <c r="R9" s="11" t="s">
        <v>32</v>
      </c>
      <c r="S9" s="11" t="s">
        <v>33</v>
      </c>
      <c r="T9" s="11" t="s">
        <v>34</v>
      </c>
      <c r="U9" s="11" t="s">
        <v>35</v>
      </c>
      <c r="V9" s="11" t="s">
        <v>36</v>
      </c>
      <c r="W9" s="11" t="s">
        <v>37</v>
      </c>
      <c r="X9" s="11" t="s">
        <v>38</v>
      </c>
      <c r="Y9" s="11" t="s">
        <v>6</v>
      </c>
      <c r="Z9" s="11" t="s">
        <v>39</v>
      </c>
      <c r="AA9" s="13"/>
    </row>
    <row r="10" customFormat="false" ht="4.9" hidden="false" customHeight="true" outlineLevel="0" collapsed="false">
      <c r="A10" s="78" t="s">
        <v>40</v>
      </c>
      <c r="B10" s="78" t="s">
        <v>40</v>
      </c>
      <c r="C10" s="78" t="s">
        <v>40</v>
      </c>
      <c r="D10" s="78" t="s">
        <v>40</v>
      </c>
      <c r="E10" s="78" t="s">
        <v>40</v>
      </c>
      <c r="F10" s="78" t="s">
        <v>40</v>
      </c>
      <c r="G10" s="78" t="s">
        <v>40</v>
      </c>
      <c r="H10" s="78" t="s">
        <v>40</v>
      </c>
      <c r="I10" s="78" t="s">
        <v>40</v>
      </c>
      <c r="J10" s="78" t="s">
        <v>40</v>
      </c>
      <c r="K10" s="78" t="s">
        <v>40</v>
      </c>
      <c r="L10" s="78" t="s">
        <v>40</v>
      </c>
      <c r="M10" s="78" t="s">
        <v>40</v>
      </c>
      <c r="N10" s="78" t="s">
        <v>40</v>
      </c>
      <c r="O10" s="78" t="s">
        <v>40</v>
      </c>
      <c r="P10" s="78" t="s">
        <v>40</v>
      </c>
      <c r="Q10" s="78" t="s">
        <v>40</v>
      </c>
      <c r="R10" s="78" t="s">
        <v>40</v>
      </c>
      <c r="S10" s="78" t="s">
        <v>40</v>
      </c>
      <c r="T10" s="78" t="s">
        <v>40</v>
      </c>
      <c r="U10" s="78" t="s">
        <v>40</v>
      </c>
      <c r="V10" s="78" t="s">
        <v>40</v>
      </c>
      <c r="W10" s="78" t="s">
        <v>40</v>
      </c>
      <c r="X10" s="78" t="s">
        <v>40</v>
      </c>
      <c r="Y10" s="78" t="s">
        <v>40</v>
      </c>
      <c r="Z10" s="78" t="s">
        <v>40</v>
      </c>
      <c r="AA10" s="40"/>
    </row>
    <row r="11" customFormat="false" ht="12.75" hidden="false" customHeight="true" outlineLevel="0" collapsed="false">
      <c r="A11" s="10" t="s">
        <v>248</v>
      </c>
      <c r="B11" s="11" t="s">
        <v>249</v>
      </c>
      <c r="C11" s="17" t="n">
        <v>37108</v>
      </c>
      <c r="D11" s="85" t="n">
        <v>39.08</v>
      </c>
      <c r="E11" s="85" t="n">
        <v>44.25</v>
      </c>
      <c r="F11" s="85" t="n">
        <v>30.625</v>
      </c>
      <c r="G11" s="93" t="n">
        <v>2734.48663408626</v>
      </c>
      <c r="H11" s="93" t="n">
        <v>4812.48663408626</v>
      </c>
      <c r="I11" s="94" t="n">
        <v>8.73637902263982</v>
      </c>
      <c r="J11" s="94" t="n">
        <v>8.50557989337094</v>
      </c>
      <c r="K11" s="94" t="n">
        <v>8.58263369260282</v>
      </c>
      <c r="L11" s="94" t="s">
        <v>169</v>
      </c>
      <c r="M11" s="94" t="n">
        <v>4.93457341759728</v>
      </c>
      <c r="N11" s="94" t="n">
        <v>4.62425182127663</v>
      </c>
      <c r="O11" s="94" t="n">
        <v>3.17963562103054</v>
      </c>
      <c r="P11" s="94" t="n">
        <v>5.01154537734501</v>
      </c>
      <c r="Q11" s="94" t="n">
        <v>5.25985657318132</v>
      </c>
      <c r="R11" s="29" t="n">
        <v>0.516786570743405</v>
      </c>
      <c r="S11" s="94" t="n">
        <v>1.35706532708996</v>
      </c>
      <c r="T11" s="29" t="n">
        <v>0.02742457</v>
      </c>
      <c r="U11" s="127" t="n">
        <v>0</v>
      </c>
      <c r="V11" s="29" t="s">
        <v>51</v>
      </c>
      <c r="W11" s="85" t="s">
        <v>51</v>
      </c>
      <c r="X11" s="93" t="s">
        <v>51</v>
      </c>
      <c r="Y11" s="94" t="s">
        <v>51</v>
      </c>
      <c r="Z11" s="128" t="n">
        <v>69.9715105958614</v>
      </c>
      <c r="AA11" s="40"/>
    </row>
    <row r="12" customFormat="false" ht="12.95" hidden="false" customHeight="true" outlineLevel="0" collapsed="false">
      <c r="A12" s="10" t="s">
        <v>250</v>
      </c>
      <c r="B12" s="11" t="s">
        <v>251</v>
      </c>
      <c r="C12" s="17" t="n">
        <v>37108</v>
      </c>
      <c r="D12" s="85" t="n">
        <v>9.85</v>
      </c>
      <c r="E12" s="85" t="n">
        <v>11.4</v>
      </c>
      <c r="F12" s="85" t="n">
        <v>5.125</v>
      </c>
      <c r="G12" s="93" t="n">
        <v>88.46024677</v>
      </c>
      <c r="H12" s="93" t="n">
        <v>324.46124677</v>
      </c>
      <c r="I12" s="129" t="s">
        <v>51</v>
      </c>
      <c r="J12" s="94" t="n">
        <v>7.38592989814216</v>
      </c>
      <c r="K12" s="94" t="n">
        <v>6.80854429463677</v>
      </c>
      <c r="L12" s="129" t="s">
        <v>51</v>
      </c>
      <c r="M12" s="94" t="n">
        <v>2.0199348470118</v>
      </c>
      <c r="N12" s="94" t="n">
        <v>2.30627911759359</v>
      </c>
      <c r="O12" s="94" t="n">
        <v>1.24254135617266</v>
      </c>
      <c r="P12" s="94" t="n">
        <v>4.26825310347054</v>
      </c>
      <c r="Q12" s="94" t="n">
        <v>4.03629106951812</v>
      </c>
      <c r="R12" s="29" t="n">
        <v>0.667446441126598</v>
      </c>
      <c r="S12" s="94" t="n">
        <v>0.687587905217912</v>
      </c>
      <c r="T12" s="29" t="n">
        <v>0</v>
      </c>
      <c r="U12" s="95" t="n">
        <v>0</v>
      </c>
      <c r="V12" s="29" t="s">
        <v>51</v>
      </c>
      <c r="W12" s="85" t="s">
        <v>51</v>
      </c>
      <c r="X12" s="93" t="s">
        <v>51</v>
      </c>
      <c r="Y12" s="94" t="s">
        <v>51</v>
      </c>
      <c r="Z12" s="130" t="n">
        <v>8.98073571269036</v>
      </c>
      <c r="AE12" s="131" t="s">
        <v>110</v>
      </c>
    </row>
    <row r="13" customFormat="false" ht="12.95" hidden="false" customHeight="true" outlineLevel="0" collapsed="false">
      <c r="A13" s="10" t="s">
        <v>252</v>
      </c>
      <c r="B13" s="11" t="s">
        <v>253</v>
      </c>
      <c r="C13" s="17" t="n">
        <v>37108</v>
      </c>
      <c r="D13" s="85" t="n">
        <v>17.62</v>
      </c>
      <c r="E13" s="85" t="n">
        <v>25.065</v>
      </c>
      <c r="F13" s="85" t="n">
        <v>5.96875</v>
      </c>
      <c r="G13" s="93" t="n">
        <v>135.75882268</v>
      </c>
      <c r="H13" s="93" t="n">
        <v>145.03882268</v>
      </c>
      <c r="I13" s="129" t="s">
        <v>51</v>
      </c>
      <c r="J13" s="94" t="n">
        <v>4.256038647343</v>
      </c>
      <c r="K13" s="94" t="n">
        <v>9.37234042553192</v>
      </c>
      <c r="L13" s="94" t="s">
        <v>51</v>
      </c>
      <c r="M13" s="94" t="s">
        <v>51</v>
      </c>
      <c r="N13" s="94" t="s">
        <v>51</v>
      </c>
      <c r="O13" s="94" t="n">
        <v>1.03947706162952</v>
      </c>
      <c r="P13" s="94" t="n">
        <v>1.85527929408108</v>
      </c>
      <c r="Q13" s="94" t="n">
        <v>2.89550753403364</v>
      </c>
      <c r="R13" s="29" t="n">
        <v>0.210721227890813</v>
      </c>
      <c r="S13" s="94" t="n">
        <v>0.754723023143335</v>
      </c>
      <c r="T13" s="29" t="n">
        <v>0.02298851</v>
      </c>
      <c r="U13" s="95" t="n">
        <v>0</v>
      </c>
      <c r="V13" s="29" t="s">
        <v>51</v>
      </c>
      <c r="W13" s="85" t="s">
        <v>51</v>
      </c>
      <c r="X13" s="93" t="s">
        <v>51</v>
      </c>
      <c r="Y13" s="94" t="s">
        <v>51</v>
      </c>
      <c r="Z13" s="130" t="n">
        <v>7.704814</v>
      </c>
      <c r="AA13" s="86"/>
      <c r="AE13" s="132" t="n">
        <v>50</v>
      </c>
    </row>
    <row r="14" customFormat="false" ht="12.95" hidden="false" customHeight="true" outlineLevel="0" collapsed="false">
      <c r="A14" s="10" t="s">
        <v>254</v>
      </c>
      <c r="B14" s="11" t="s">
        <v>255</v>
      </c>
      <c r="C14" s="17" t="n">
        <v>37108</v>
      </c>
      <c r="D14" s="85" t="n">
        <v>35.14</v>
      </c>
      <c r="E14" s="85" t="n">
        <v>42.73</v>
      </c>
      <c r="F14" s="85" t="n">
        <v>24.5625</v>
      </c>
      <c r="G14" s="93" t="n">
        <v>2967.74092458</v>
      </c>
      <c r="H14" s="93" t="n">
        <v>4253.74092458</v>
      </c>
      <c r="I14" s="94" t="n">
        <v>4.88115283648026</v>
      </c>
      <c r="J14" s="94" t="n">
        <v>7.25866126051661</v>
      </c>
      <c r="K14" s="94" t="n">
        <v>8.13722250034821</v>
      </c>
      <c r="L14" s="94" t="e">
        <f aca="false"/>
        <v>#REF!</v>
      </c>
      <c r="M14" s="94" t="n">
        <v>3.41161730267398</v>
      </c>
      <c r="N14" s="94" t="n">
        <v>3.59723420093974</v>
      </c>
      <c r="O14" s="94" t="n">
        <v>2.872934099303</v>
      </c>
      <c r="P14" s="94" t="n">
        <v>4.05640688190757</v>
      </c>
      <c r="Q14" s="94" t="n">
        <v>4.40073391064819</v>
      </c>
      <c r="R14" s="29" t="n">
        <v>0.424262295081967</v>
      </c>
      <c r="S14" s="94" t="n">
        <v>1.6900574741344</v>
      </c>
      <c r="T14" s="29" t="n">
        <v>0.02823264</v>
      </c>
      <c r="U14" s="127" t="n">
        <v>0</v>
      </c>
      <c r="V14" s="29" t="s">
        <v>51</v>
      </c>
      <c r="W14" s="85" t="s">
        <v>51</v>
      </c>
      <c r="X14" s="93" t="s">
        <v>51</v>
      </c>
      <c r="Y14" s="94" t="s">
        <v>51</v>
      </c>
      <c r="Z14" s="128" t="n">
        <v>84.454778730222</v>
      </c>
      <c r="AA14" s="86"/>
    </row>
    <row r="15" customFormat="false" ht="12.95" hidden="false" customHeight="true" outlineLevel="0" collapsed="false">
      <c r="A15" s="10" t="s">
        <v>256</v>
      </c>
      <c r="B15" s="11" t="s">
        <v>257</v>
      </c>
      <c r="C15" s="17" t="n">
        <v>37108</v>
      </c>
      <c r="D15" s="85" t="n">
        <v>44.7</v>
      </c>
      <c r="E15" s="85" t="n">
        <v>52.44</v>
      </c>
      <c r="F15" s="85" t="n">
        <v>26.5</v>
      </c>
      <c r="G15" s="93" t="n">
        <v>7065.8656844</v>
      </c>
      <c r="H15" s="93" t="n">
        <v>9189.3656844</v>
      </c>
      <c r="I15" s="94" t="n">
        <v>13.278507585393</v>
      </c>
      <c r="J15" s="94" t="n">
        <v>11.5988188011015</v>
      </c>
      <c r="K15" s="94" t="n">
        <v>12.0880927839662</v>
      </c>
      <c r="L15" s="94" t="n">
        <v>6.66699283695092</v>
      </c>
      <c r="M15" s="94" t="n">
        <v>7.11019292021913</v>
      </c>
      <c r="N15" s="94" t="n">
        <v>7.46087362747318</v>
      </c>
      <c r="O15" s="94" t="n">
        <v>4.8997057654809</v>
      </c>
      <c r="P15" s="94" t="n">
        <v>6.10733858218369</v>
      </c>
      <c r="Q15" s="94" t="n">
        <v>6.36070329294597</v>
      </c>
      <c r="R15" s="29" t="n">
        <v>0.41663901305901</v>
      </c>
      <c r="S15" s="94" t="n">
        <v>2.36435191045675</v>
      </c>
      <c r="T15" s="29" t="n">
        <v>0.007079646</v>
      </c>
      <c r="U15" s="95" t="n">
        <v>0</v>
      </c>
      <c r="V15" s="29" t="s">
        <v>51</v>
      </c>
      <c r="W15" s="85" t="s">
        <v>51</v>
      </c>
      <c r="X15" s="93" t="s">
        <v>51</v>
      </c>
      <c r="Y15" s="94" t="s">
        <v>51</v>
      </c>
      <c r="Z15" s="130" t="n">
        <v>158.073057816555</v>
      </c>
      <c r="AA15" s="86"/>
    </row>
    <row r="16" customFormat="false" ht="12.95" hidden="false" customHeight="true" outlineLevel="0" collapsed="false">
      <c r="A16" s="10" t="s">
        <v>258</v>
      </c>
      <c r="B16" s="11" t="s">
        <v>259</v>
      </c>
      <c r="C16" s="17" t="n">
        <v>37108</v>
      </c>
      <c r="D16" s="85" t="n">
        <v>35.6</v>
      </c>
      <c r="E16" s="85" t="n">
        <v>52.6</v>
      </c>
      <c r="F16" s="85" t="n">
        <v>25.9375</v>
      </c>
      <c r="G16" s="93" t="n">
        <v>2241.55093681</v>
      </c>
      <c r="H16" s="93" t="n">
        <v>3330.43593681</v>
      </c>
      <c r="I16" s="94" t="n">
        <v>5.00195239474605</v>
      </c>
      <c r="J16" s="94" t="n">
        <v>4.88793754535384</v>
      </c>
      <c r="K16" s="94" t="n">
        <v>10.3377451170304</v>
      </c>
      <c r="L16" s="94" t="n">
        <v>3.01932151711027</v>
      </c>
      <c r="M16" s="94" t="n">
        <v>3.08544249414347</v>
      </c>
      <c r="N16" s="94" t="n">
        <v>4.97390912122061</v>
      </c>
      <c r="O16" s="94" t="n">
        <v>2.46150566798903</v>
      </c>
      <c r="P16" s="94" t="n">
        <v>3.33002190390661</v>
      </c>
      <c r="Q16" s="94" t="n">
        <v>5.57890264214589</v>
      </c>
      <c r="R16" s="29" t="n">
        <v>0.356972710936521</v>
      </c>
      <c r="S16" s="94" t="n">
        <v>1.31491319764488</v>
      </c>
      <c r="T16" s="29" t="n">
        <v>0.009067724</v>
      </c>
      <c r="U16" s="95" t="n">
        <v>0</v>
      </c>
      <c r="V16" s="29" t="s">
        <v>51</v>
      </c>
      <c r="W16" s="85" t="s">
        <v>51</v>
      </c>
      <c r="X16" s="93" t="s">
        <v>51</v>
      </c>
      <c r="Y16" s="94" t="s">
        <v>51</v>
      </c>
      <c r="Z16" s="130" t="n">
        <v>62.9649139553371</v>
      </c>
      <c r="AA16" s="86"/>
    </row>
    <row r="17" customFormat="false" ht="12.95" hidden="false" customHeight="true" outlineLevel="0" collapsed="false">
      <c r="A17" s="10" t="s">
        <v>260</v>
      </c>
      <c r="B17" s="11" t="s">
        <v>261</v>
      </c>
      <c r="C17" s="17" t="n">
        <v>37108</v>
      </c>
      <c r="D17" s="85" t="n">
        <v>47.61</v>
      </c>
      <c r="E17" s="85" t="n">
        <v>56.25</v>
      </c>
      <c r="F17" s="85" t="n">
        <v>23.1875</v>
      </c>
      <c r="G17" s="93" t="n">
        <v>3484.76902446</v>
      </c>
      <c r="H17" s="93" t="n">
        <v>5412.66902446</v>
      </c>
      <c r="I17" s="94" t="n">
        <v>6.86488967077873</v>
      </c>
      <c r="J17" s="94" t="n">
        <v>7.26718103063092</v>
      </c>
      <c r="K17" s="94" t="n">
        <v>10.4810310294755</v>
      </c>
      <c r="L17" s="94" t="n">
        <v>4.03703547782672</v>
      </c>
      <c r="M17" s="94" t="n">
        <v>4.27230780754423</v>
      </c>
      <c r="N17" s="94" t="n">
        <v>4.99525902685292</v>
      </c>
      <c r="O17" s="94" t="n">
        <v>15.5918077157048</v>
      </c>
      <c r="P17" s="94" t="n">
        <v>29.658460408</v>
      </c>
      <c r="Q17" s="94" t="n">
        <v>5.88846313647446</v>
      </c>
      <c r="R17" s="29" t="n">
        <v>0.545023427516683</v>
      </c>
      <c r="S17" s="94" t="n">
        <v>2.48521539328199</v>
      </c>
      <c r="T17" s="29" t="n">
        <v>0.01047779</v>
      </c>
      <c r="U17" s="95" t="n">
        <v>0</v>
      </c>
      <c r="V17" s="29" t="s">
        <v>51</v>
      </c>
      <c r="W17" s="85" t="s">
        <v>51</v>
      </c>
      <c r="X17" s="93" t="s">
        <v>51</v>
      </c>
      <c r="Y17" s="94" t="s">
        <v>51</v>
      </c>
      <c r="Z17" s="130" t="n">
        <v>73.194056384373</v>
      </c>
      <c r="AA17" s="86"/>
      <c r="AB17" s="11"/>
      <c r="AC17" s="88"/>
      <c r="AD17" s="89"/>
      <c r="AE17" s="40"/>
    </row>
    <row r="18" customFormat="false" ht="12.95" hidden="false" customHeight="true" outlineLevel="0" collapsed="false">
      <c r="A18" s="10" t="s">
        <v>262</v>
      </c>
      <c r="B18" s="11" t="s">
        <v>263</v>
      </c>
      <c r="C18" s="17" t="n">
        <v>37108</v>
      </c>
      <c r="D18" s="85" t="n">
        <v>11.1</v>
      </c>
      <c r="E18" s="85" t="n">
        <v>16.5</v>
      </c>
      <c r="F18" s="85" t="n">
        <v>8.9375</v>
      </c>
      <c r="G18" s="93" t="n">
        <v>343.0459884</v>
      </c>
      <c r="H18" s="93" t="n">
        <v>691.2459884</v>
      </c>
      <c r="I18" s="94" t="s">
        <v>169</v>
      </c>
      <c r="J18" s="94" t="n">
        <v>7.20779220779221</v>
      </c>
      <c r="K18" s="94" t="n">
        <v>8.80952380952381</v>
      </c>
      <c r="L18" s="94" t="s">
        <v>169</v>
      </c>
      <c r="M18" s="94" t="n">
        <v>2.82442748091603</v>
      </c>
      <c r="N18" s="94" t="n">
        <v>4.68354430379747</v>
      </c>
      <c r="O18" s="94" t="s">
        <v>169</v>
      </c>
      <c r="P18" s="94" t="n">
        <v>3.78764925150685</v>
      </c>
      <c r="Q18" s="94" t="n">
        <v>4.45103662846104</v>
      </c>
      <c r="R18" s="29" t="n">
        <v>0.33637937668334</v>
      </c>
      <c r="S18" s="94" t="n">
        <v>0.497240162922163</v>
      </c>
      <c r="T18" s="29" t="n">
        <v>0</v>
      </c>
      <c r="U18" s="95" t="n">
        <v>0</v>
      </c>
      <c r="V18" s="29" t="s">
        <v>51</v>
      </c>
      <c r="W18" s="85" t="s">
        <v>51</v>
      </c>
      <c r="X18" s="93" t="s">
        <v>51</v>
      </c>
      <c r="Y18" s="94" t="s">
        <v>51</v>
      </c>
      <c r="Z18" s="130" t="n">
        <v>30.905044</v>
      </c>
      <c r="AA18" s="86"/>
      <c r="AB18" s="11"/>
      <c r="AC18" s="88"/>
      <c r="AD18" s="89"/>
      <c r="AE18" s="131" t="s">
        <v>110</v>
      </c>
    </row>
    <row r="19" customFormat="false" ht="12.95" hidden="false" customHeight="true" outlineLevel="0" collapsed="false">
      <c r="A19" s="90"/>
      <c r="B19" s="91"/>
      <c r="C19" s="133"/>
      <c r="D19" s="85"/>
      <c r="E19" s="85"/>
      <c r="F19" s="85"/>
      <c r="G19" s="93"/>
      <c r="H19" s="93"/>
      <c r="I19" s="94"/>
      <c r="J19" s="94"/>
      <c r="K19" s="94"/>
      <c r="L19" s="94"/>
      <c r="M19" s="94"/>
      <c r="N19" s="94"/>
      <c r="O19" s="94"/>
      <c r="P19" s="94"/>
      <c r="Q19" s="94"/>
      <c r="R19" s="29"/>
      <c r="S19" s="94"/>
      <c r="T19" s="29"/>
      <c r="U19" s="95"/>
      <c r="V19" s="29"/>
      <c r="W19" s="85"/>
      <c r="X19" s="93"/>
      <c r="Y19" s="94"/>
      <c r="Z19" s="130"/>
      <c r="AE19" s="132" t="n">
        <v>50</v>
      </c>
    </row>
    <row r="20" customFormat="false" ht="12.95" hidden="false" customHeight="true" outlineLevel="0" collapsed="false">
      <c r="B20" s="11"/>
      <c r="C20" s="17"/>
      <c r="D20" s="85"/>
      <c r="E20" s="85"/>
      <c r="F20" s="85"/>
      <c r="G20" s="93"/>
      <c r="H20" s="93"/>
      <c r="I20" s="94"/>
      <c r="J20" s="94"/>
      <c r="K20" s="94"/>
      <c r="L20" s="94"/>
      <c r="M20" s="94"/>
      <c r="N20" s="94"/>
      <c r="O20" s="94"/>
      <c r="P20" s="94"/>
      <c r="Q20" s="94"/>
      <c r="R20" s="29"/>
      <c r="S20" s="94"/>
      <c r="T20" s="29"/>
      <c r="U20" s="95"/>
      <c r="V20" s="29"/>
      <c r="W20" s="85"/>
      <c r="X20" s="134"/>
      <c r="Y20" s="94"/>
      <c r="Z20" s="130"/>
    </row>
    <row r="21" customFormat="false" ht="12.95" hidden="false" customHeight="true" outlineLevel="0" collapsed="false">
      <c r="B21" s="39"/>
      <c r="C21" s="39"/>
      <c r="D21" s="39"/>
      <c r="E21" s="39"/>
      <c r="F21" s="39"/>
      <c r="G21" s="39"/>
      <c r="H21" s="40" t="s">
        <v>56</v>
      </c>
      <c r="I21" s="39"/>
      <c r="J21" s="94" t="n">
        <v>7.2959924105314</v>
      </c>
      <c r="K21" s="94" t="n">
        <v>9.32714170663945</v>
      </c>
      <c r="L21" s="94" t="e">
        <f aca="false"/>
        <v>#REF!</v>
      </c>
      <c r="M21" s="94" t="n">
        <v>3.95121375287227</v>
      </c>
      <c r="N21" s="94" t="n">
        <v>4.66305017416488</v>
      </c>
      <c r="O21" s="94" t="n">
        <v>4.46965818390149</v>
      </c>
      <c r="P21" s="94" t="n">
        <v>7.25936935030017</v>
      </c>
      <c r="Q21" s="94" t="n">
        <v>4.85893684842608</v>
      </c>
      <c r="R21" s="29" t="n">
        <v>0.434278882879792</v>
      </c>
      <c r="S21" s="94" t="n">
        <v>1.39389429923642</v>
      </c>
      <c r="T21" s="29" t="n">
        <v>0.01315886</v>
      </c>
      <c r="U21" s="95"/>
      <c r="V21" s="93" t="s">
        <v>51</v>
      </c>
      <c r="W21" s="85" t="s">
        <v>51</v>
      </c>
      <c r="Y21" s="93" t="s">
        <v>51</v>
      </c>
      <c r="Z21" s="39"/>
    </row>
    <row r="22" customFormat="false" ht="12.95" hidden="false" customHeight="true" outlineLevel="0" collapsed="false">
      <c r="B22" s="39"/>
      <c r="C22" s="39"/>
      <c r="D22" s="39"/>
      <c r="E22" s="39"/>
      <c r="F22" s="39"/>
      <c r="G22" s="39"/>
      <c r="H22" s="40" t="s">
        <v>57</v>
      </c>
      <c r="I22" s="39"/>
      <c r="J22" s="94" t="n">
        <v>7.26292114557377</v>
      </c>
      <c r="K22" s="94" t="n">
        <v>9.09093211752786</v>
      </c>
      <c r="L22" s="94" t="e">
        <f aca="false"/>
        <v>#REF!</v>
      </c>
      <c r="M22" s="94" t="n">
        <v>3.41161730267398</v>
      </c>
      <c r="N22" s="94" t="n">
        <v>4.68354430379747</v>
      </c>
      <c r="O22" s="94" t="n">
        <v>2.872934099303</v>
      </c>
      <c r="P22" s="94" t="n">
        <v>4.16232999268905</v>
      </c>
      <c r="Q22" s="94" t="n">
        <v>4.85544660082118</v>
      </c>
      <c r="R22" s="29" t="n">
        <v>0.420450654070488</v>
      </c>
      <c r="S22" s="94" t="n">
        <v>1.33598926236742</v>
      </c>
      <c r="T22" s="29" t="n">
        <v>0.009772757</v>
      </c>
      <c r="U22" s="95"/>
      <c r="V22" s="93" t="s">
        <v>51</v>
      </c>
      <c r="W22" s="85" t="s">
        <v>51</v>
      </c>
      <c r="Y22" s="93" t="s">
        <v>51</v>
      </c>
      <c r="Z22" s="39"/>
    </row>
    <row r="23" customFormat="false" ht="12.95" hidden="false" customHeight="true" outlineLevel="0" collapsed="false">
      <c r="B23" s="39"/>
      <c r="C23" s="39"/>
      <c r="D23" s="39"/>
      <c r="E23" s="39"/>
      <c r="F23" s="39"/>
      <c r="G23" s="39"/>
      <c r="H23" s="40" t="s">
        <v>26</v>
      </c>
      <c r="I23" s="39"/>
      <c r="J23" s="94" t="n">
        <v>11.5988188011015</v>
      </c>
      <c r="K23" s="94" t="n">
        <v>12.0880927839662</v>
      </c>
      <c r="L23" s="94" t="e">
        <f aca="false"/>
        <v>#REF!</v>
      </c>
      <c r="M23" s="94" t="n">
        <v>7.11019292021913</v>
      </c>
      <c r="N23" s="94" t="n">
        <v>7.46087362747318</v>
      </c>
      <c r="O23" s="94" t="n">
        <v>15.5918077157048</v>
      </c>
      <c r="P23" s="94" t="n">
        <v>29.658460408</v>
      </c>
      <c r="Q23" s="94" t="n">
        <v>6.36070329294597</v>
      </c>
      <c r="R23" s="29" t="n">
        <v>0.667446441126598</v>
      </c>
      <c r="S23" s="94" t="n">
        <v>2.48521539328199</v>
      </c>
      <c r="T23" s="29" t="n">
        <v>0.02823264</v>
      </c>
      <c r="U23" s="95"/>
      <c r="V23" s="93" t="s">
        <v>51</v>
      </c>
      <c r="W23" s="85" t="s">
        <v>51</v>
      </c>
      <c r="Y23" s="93" t="s">
        <v>51</v>
      </c>
      <c r="Z23" s="39"/>
    </row>
    <row r="24" customFormat="false" ht="12.95" hidden="false" customHeight="true" outlineLevel="0" collapsed="false">
      <c r="B24" s="39"/>
      <c r="C24" s="39"/>
      <c r="D24" s="39"/>
      <c r="E24" s="39"/>
      <c r="F24" s="39"/>
      <c r="G24" s="39"/>
      <c r="H24" s="40" t="s">
        <v>27</v>
      </c>
      <c r="I24" s="39"/>
      <c r="J24" s="94" t="n">
        <v>4.256038647343</v>
      </c>
      <c r="K24" s="94" t="n">
        <v>6.80854429463677</v>
      </c>
      <c r="L24" s="94" t="e">
        <f aca="false"/>
        <v>#REF!</v>
      </c>
      <c r="M24" s="94" t="n">
        <v>2.0199348470118</v>
      </c>
      <c r="N24" s="94" t="n">
        <v>2.30627911759359</v>
      </c>
      <c r="O24" s="94" t="n">
        <v>1.03947706162952</v>
      </c>
      <c r="P24" s="94" t="n">
        <v>1.85527929408108</v>
      </c>
      <c r="Q24" s="94" t="n">
        <v>2.89550753403364</v>
      </c>
      <c r="R24" s="29" t="n">
        <v>0.210721227890813</v>
      </c>
      <c r="S24" s="94" t="n">
        <v>0.497240162922163</v>
      </c>
      <c r="T24" s="29" t="n">
        <v>0</v>
      </c>
      <c r="U24" s="95"/>
      <c r="V24" s="93" t="s">
        <v>51</v>
      </c>
      <c r="W24" s="85" t="s">
        <v>51</v>
      </c>
      <c r="Y24" s="93" t="s">
        <v>51</v>
      </c>
      <c r="Z24" s="39"/>
    </row>
    <row r="25" customFormat="false" ht="12.95" hidden="false" customHeight="true" outlineLevel="0" collapsed="false"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customFormat="false" ht="12.95" hidden="false" customHeight="true" outlineLevel="0" collapsed="false">
      <c r="B26" s="39"/>
      <c r="C26" s="39"/>
      <c r="D26" s="39"/>
      <c r="U26" s="13" t="s">
        <v>58</v>
      </c>
      <c r="V26" s="13"/>
      <c r="W26" s="13"/>
      <c r="X26" s="13"/>
      <c r="Y26" s="13"/>
      <c r="AA26" s="44"/>
    </row>
    <row r="27" customFormat="false" ht="12.75" hidden="false" customHeight="true" outlineLevel="0" collapsed="false">
      <c r="A27" s="43"/>
      <c r="B27" s="13" t="s">
        <v>59</v>
      </c>
      <c r="C27" s="13"/>
      <c r="D27" s="13" t="s">
        <v>60</v>
      </c>
      <c r="E27" s="13"/>
      <c r="F27" s="13"/>
      <c r="G27" s="13" t="s">
        <v>61</v>
      </c>
      <c r="H27" s="13"/>
      <c r="J27" s="13" t="s">
        <v>62</v>
      </c>
      <c r="K27" s="13"/>
      <c r="P27" s="13" t="s">
        <v>63</v>
      </c>
      <c r="Q27" s="13"/>
      <c r="R27" s="13"/>
      <c r="S27" s="13"/>
      <c r="U27" s="13" t="s">
        <v>64</v>
      </c>
      <c r="V27" s="13"/>
      <c r="W27" s="13"/>
      <c r="X27" s="13"/>
      <c r="Y27" s="13"/>
      <c r="AA27" s="44"/>
    </row>
    <row r="28" customFormat="false" ht="3.75" hidden="false" customHeight="true" outlineLevel="0" collapsed="false">
      <c r="A28" s="43"/>
      <c r="B28" s="79" t="s">
        <v>40</v>
      </c>
      <c r="C28" s="79"/>
      <c r="D28" s="79" t="s">
        <v>40</v>
      </c>
      <c r="E28" s="79"/>
      <c r="F28" s="79"/>
      <c r="G28" s="79" t="s">
        <v>40</v>
      </c>
      <c r="H28" s="79"/>
      <c r="J28" s="79" t="s">
        <v>40</v>
      </c>
      <c r="K28" s="79"/>
      <c r="P28" s="79" t="s">
        <v>40</v>
      </c>
      <c r="Q28" s="79"/>
      <c r="R28" s="79"/>
      <c r="S28" s="79"/>
      <c r="U28" s="79" t="s">
        <v>40</v>
      </c>
      <c r="V28" s="79"/>
      <c r="W28" s="79"/>
      <c r="X28" s="79"/>
      <c r="Y28" s="79"/>
      <c r="AA28" s="44"/>
    </row>
    <row r="29" customFormat="false" ht="12.75" hidden="false" customHeight="false" outlineLevel="0" collapsed="false">
      <c r="B29" s="11"/>
      <c r="C29" s="11"/>
      <c r="D29" s="13" t="s">
        <v>65</v>
      </c>
      <c r="E29" s="13" t="s">
        <v>66</v>
      </c>
      <c r="F29" s="13" t="s">
        <v>8</v>
      </c>
      <c r="G29" s="11" t="s">
        <v>67</v>
      </c>
      <c r="P29" s="13" t="s">
        <v>68</v>
      </c>
      <c r="Q29" s="13"/>
      <c r="R29" s="13" t="s">
        <v>69</v>
      </c>
      <c r="S29" s="13" t="s">
        <v>70</v>
      </c>
      <c r="U29" s="13" t="s">
        <v>71</v>
      </c>
      <c r="V29" s="13" t="s">
        <v>72</v>
      </c>
      <c r="W29" s="13" t="s">
        <v>73</v>
      </c>
      <c r="X29" s="13" t="s">
        <v>74</v>
      </c>
      <c r="Y29" s="13" t="s">
        <v>75</v>
      </c>
      <c r="AA29" s="13"/>
    </row>
    <row r="30" customFormat="false" ht="10.5" hidden="false" customHeight="true" outlineLevel="0" collapsed="false">
      <c r="A30" s="11" t="s">
        <v>22</v>
      </c>
      <c r="B30" s="11" t="s">
        <v>76</v>
      </c>
      <c r="C30" s="11" t="s">
        <v>77</v>
      </c>
      <c r="D30" s="11" t="s">
        <v>78</v>
      </c>
      <c r="E30" s="11" t="s">
        <v>79</v>
      </c>
      <c r="F30" s="11" t="s">
        <v>80</v>
      </c>
      <c r="G30" s="11" t="s">
        <v>81</v>
      </c>
      <c r="H30" s="11" t="s">
        <v>8</v>
      </c>
      <c r="J30" s="11" t="s">
        <v>82</v>
      </c>
      <c r="K30" s="11" t="s">
        <v>83</v>
      </c>
      <c r="P30" s="11" t="s">
        <v>84</v>
      </c>
      <c r="Q30" s="11" t="s">
        <v>85</v>
      </c>
      <c r="R30" s="11" t="s">
        <v>86</v>
      </c>
      <c r="S30" s="11" t="s">
        <v>87</v>
      </c>
      <c r="U30" s="11" t="s">
        <v>88</v>
      </c>
      <c r="V30" s="11" t="s">
        <v>89</v>
      </c>
      <c r="W30" s="11" t="s">
        <v>90</v>
      </c>
      <c r="X30" s="11" t="s">
        <v>91</v>
      </c>
      <c r="Y30" s="11" t="s">
        <v>92</v>
      </c>
      <c r="AA30" s="44"/>
    </row>
    <row r="31" customFormat="false" ht="4.5" hidden="false" customHeight="true" outlineLevel="0" collapsed="false">
      <c r="A31" s="78" t="s">
        <v>40</v>
      </c>
      <c r="B31" s="78" t="s">
        <v>40</v>
      </c>
      <c r="C31" s="78" t="s">
        <v>40</v>
      </c>
      <c r="D31" s="78" t="s">
        <v>40</v>
      </c>
      <c r="E31" s="78" t="s">
        <v>40</v>
      </c>
      <c r="F31" s="78" t="s">
        <v>40</v>
      </c>
      <c r="G31" s="78" t="s">
        <v>40</v>
      </c>
      <c r="H31" s="78" t="s">
        <v>40</v>
      </c>
      <c r="J31" s="78" t="s">
        <v>40</v>
      </c>
      <c r="K31" s="78" t="s">
        <v>40</v>
      </c>
      <c r="P31" s="78" t="s">
        <v>40</v>
      </c>
      <c r="Q31" s="78" t="s">
        <v>40</v>
      </c>
      <c r="R31" s="78" t="s">
        <v>40</v>
      </c>
      <c r="S31" s="78" t="s">
        <v>40</v>
      </c>
      <c r="U31" s="78" t="s">
        <v>40</v>
      </c>
      <c r="V31" s="78" t="s">
        <v>40</v>
      </c>
      <c r="W31" s="78" t="s">
        <v>40</v>
      </c>
      <c r="X31" s="78" t="s">
        <v>40</v>
      </c>
      <c r="Y31" s="78" t="s">
        <v>40</v>
      </c>
      <c r="AA31" s="44"/>
    </row>
    <row r="32" customFormat="false" ht="12.95" hidden="false" customHeight="true" outlineLevel="0" collapsed="false">
      <c r="A32" s="10" t="s">
        <v>248</v>
      </c>
      <c r="B32" s="10" t="s">
        <v>264</v>
      </c>
      <c r="C32" s="40" t="s">
        <v>265</v>
      </c>
      <c r="D32" s="40" t="s">
        <v>123</v>
      </c>
      <c r="E32" s="40" t="s">
        <v>99</v>
      </c>
      <c r="F32" s="17" t="n">
        <v>37033</v>
      </c>
      <c r="G32" s="11" t="s">
        <v>235</v>
      </c>
      <c r="H32" s="17" t="n">
        <v>37036</v>
      </c>
      <c r="I32" s="11"/>
      <c r="J32" s="29" t="n">
        <v>0.182003780718336</v>
      </c>
      <c r="K32" s="29" t="n">
        <v>0.0888826971301197</v>
      </c>
      <c r="L32" s="11"/>
      <c r="M32" s="11"/>
      <c r="N32" s="11"/>
      <c r="O32" s="11"/>
      <c r="P32" s="29" t="s">
        <v>51</v>
      </c>
      <c r="Q32" s="94" t="s">
        <v>51</v>
      </c>
      <c r="R32" s="40" t="s">
        <v>51</v>
      </c>
      <c r="S32" s="40" t="s">
        <v>51</v>
      </c>
      <c r="T32" s="11"/>
      <c r="U32" s="127" t="n">
        <v>7</v>
      </c>
      <c r="V32" s="127" t="n">
        <v>935</v>
      </c>
      <c r="W32" s="128" t="n">
        <v>8.57</v>
      </c>
      <c r="X32" s="127" t="n">
        <v>7034</v>
      </c>
      <c r="Y32" s="127" t="n">
        <v>301</v>
      </c>
      <c r="AA32" s="13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</row>
    <row r="33" customFormat="false" ht="12.95" hidden="false" customHeight="true" outlineLevel="0" collapsed="false">
      <c r="A33" s="10" t="s">
        <v>250</v>
      </c>
      <c r="B33" s="10" t="s">
        <v>264</v>
      </c>
      <c r="C33" s="40" t="s">
        <v>265</v>
      </c>
      <c r="D33" s="40" t="s">
        <v>266</v>
      </c>
      <c r="E33" s="40" t="s">
        <v>267</v>
      </c>
      <c r="F33" s="17" t="s">
        <v>51</v>
      </c>
      <c r="G33" s="11" t="s">
        <v>268</v>
      </c>
      <c r="H33" s="17" t="n">
        <v>36984</v>
      </c>
      <c r="I33" s="11"/>
      <c r="J33" s="29" t="n">
        <v>0</v>
      </c>
      <c r="K33" s="29" t="n">
        <v>0</v>
      </c>
      <c r="L33" s="11"/>
      <c r="M33" s="11"/>
      <c r="N33" s="119"/>
      <c r="O33" s="11"/>
      <c r="P33" s="29" t="s">
        <v>51</v>
      </c>
      <c r="Q33" s="94" t="s">
        <v>51</v>
      </c>
      <c r="R33" s="40" t="s">
        <v>51</v>
      </c>
      <c r="S33" s="40" t="s">
        <v>51</v>
      </c>
      <c r="T33" s="120"/>
      <c r="U33" s="127" t="n">
        <v>2</v>
      </c>
      <c r="V33" s="127" t="n">
        <v>37.6</v>
      </c>
      <c r="W33" s="128" t="n">
        <v>7.277</v>
      </c>
      <c r="X33" s="127" t="n">
        <v>172</v>
      </c>
      <c r="Y33" s="127" t="n">
        <v>52</v>
      </c>
      <c r="AA33" s="13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</row>
    <row r="34" customFormat="false" ht="12.95" hidden="false" customHeight="true" outlineLevel="0" collapsed="false">
      <c r="A34" s="10" t="s">
        <v>252</v>
      </c>
      <c r="B34" s="10" t="s">
        <v>264</v>
      </c>
      <c r="C34" s="40" t="s">
        <v>265</v>
      </c>
      <c r="D34" s="40" t="s">
        <v>266</v>
      </c>
      <c r="E34" s="40" t="s">
        <v>267</v>
      </c>
      <c r="F34" s="17" t="s">
        <v>51</v>
      </c>
      <c r="G34" s="11" t="s">
        <v>269</v>
      </c>
      <c r="H34" s="17" t="n">
        <v>36619</v>
      </c>
      <c r="I34" s="11"/>
      <c r="J34" s="29" t="n">
        <v>0</v>
      </c>
      <c r="K34" s="29" t="n">
        <v>0</v>
      </c>
      <c r="L34" s="11"/>
      <c r="M34" s="11"/>
      <c r="N34" s="119"/>
      <c r="O34" s="11"/>
      <c r="P34" s="29" t="s">
        <v>51</v>
      </c>
      <c r="Q34" s="94" t="s">
        <v>51</v>
      </c>
      <c r="R34" s="40" t="s">
        <v>51</v>
      </c>
      <c r="S34" s="40" t="s">
        <v>51</v>
      </c>
      <c r="T34" s="120"/>
      <c r="U34" s="127" t="n">
        <v>2</v>
      </c>
      <c r="V34" s="127" t="n">
        <v>67</v>
      </c>
      <c r="W34" s="128" t="n">
        <v>7.74</v>
      </c>
      <c r="X34" s="127" t="s">
        <v>51</v>
      </c>
      <c r="Y34" s="127" t="s">
        <v>51</v>
      </c>
      <c r="AA34" s="13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</row>
    <row r="35" customFormat="false" ht="12.95" hidden="false" customHeight="true" outlineLevel="0" collapsed="false">
      <c r="A35" s="10" t="s">
        <v>254</v>
      </c>
      <c r="B35" s="10" t="s">
        <v>264</v>
      </c>
      <c r="C35" s="40" t="s">
        <v>265</v>
      </c>
      <c r="D35" s="40" t="s">
        <v>123</v>
      </c>
      <c r="E35" s="40" t="s">
        <v>99</v>
      </c>
      <c r="F35" s="17" t="n">
        <v>37034</v>
      </c>
      <c r="G35" s="11" t="s">
        <v>235</v>
      </c>
      <c r="H35" s="17" t="n">
        <v>37036</v>
      </c>
      <c r="I35" s="11"/>
      <c r="J35" s="29" t="n">
        <v>0.36135593220339</v>
      </c>
      <c r="K35" s="29" t="n">
        <v>0.0431168831168831</v>
      </c>
      <c r="L35" s="11"/>
      <c r="M35" s="11"/>
      <c r="N35" s="11"/>
      <c r="O35" s="11"/>
      <c r="P35" s="29" t="s">
        <v>51</v>
      </c>
      <c r="Q35" s="94" t="s">
        <v>51</v>
      </c>
      <c r="R35" s="40" t="s">
        <v>51</v>
      </c>
      <c r="S35" s="40" t="s">
        <v>51</v>
      </c>
      <c r="T35" s="11"/>
      <c r="U35" s="127" t="n">
        <v>5</v>
      </c>
      <c r="V35" s="127" t="n">
        <v>730</v>
      </c>
      <c r="W35" s="128" t="n">
        <v>7.42</v>
      </c>
      <c r="X35" s="127" t="n">
        <v>3635</v>
      </c>
      <c r="Y35" s="127" t="n">
        <v>1798</v>
      </c>
      <c r="Z35" s="11"/>
      <c r="AA35" s="135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</row>
    <row r="36" customFormat="false" ht="12.95" hidden="false" customHeight="true" outlineLevel="0" collapsed="false">
      <c r="A36" s="10" t="s">
        <v>256</v>
      </c>
      <c r="B36" s="10" t="s">
        <v>264</v>
      </c>
      <c r="C36" s="40" t="s">
        <v>265</v>
      </c>
      <c r="D36" s="40" t="s">
        <v>123</v>
      </c>
      <c r="E36" s="40" t="s">
        <v>99</v>
      </c>
      <c r="F36" s="17" t="n">
        <v>37033</v>
      </c>
      <c r="G36" s="11" t="s">
        <v>235</v>
      </c>
      <c r="H36" s="17" t="n">
        <v>37036</v>
      </c>
      <c r="I36" s="11"/>
      <c r="J36" s="29" t="n">
        <v>0.6</v>
      </c>
      <c r="K36" s="29" t="n">
        <v>0.317127071823205</v>
      </c>
      <c r="L36" s="11"/>
      <c r="M36" s="11"/>
      <c r="N36" s="119"/>
      <c r="O36" s="11"/>
      <c r="P36" s="29" t="s">
        <v>51</v>
      </c>
      <c r="Q36" s="94" t="s">
        <v>51</v>
      </c>
      <c r="R36" s="40" t="s">
        <v>51</v>
      </c>
      <c r="S36" s="40" t="s">
        <v>51</v>
      </c>
      <c r="T36" s="120"/>
      <c r="U36" s="127" t="n">
        <v>9</v>
      </c>
      <c r="V36" s="127" t="n">
        <v>1350</v>
      </c>
      <c r="W36" s="128" t="n">
        <v>8.37</v>
      </c>
      <c r="X36" s="127" t="n">
        <v>4182</v>
      </c>
      <c r="Y36" s="127" t="n">
        <v>2126</v>
      </c>
      <c r="Z36" s="51"/>
      <c r="AA36" s="135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  <c r="IJ36" s="11"/>
      <c r="IK36" s="11"/>
      <c r="IL36" s="11"/>
      <c r="IM36" s="11"/>
      <c r="IN36" s="11"/>
      <c r="IO36" s="11"/>
      <c r="IP36" s="11"/>
      <c r="IQ36" s="11"/>
      <c r="IR36" s="11"/>
      <c r="IS36" s="11"/>
      <c r="IT36" s="11"/>
      <c r="IU36" s="11"/>
      <c r="IV36" s="11"/>
      <c r="IW36" s="11"/>
    </row>
    <row r="37" customFormat="false" ht="12.95" hidden="false" customHeight="true" outlineLevel="0" collapsed="false">
      <c r="A37" s="10" t="s">
        <v>258</v>
      </c>
      <c r="B37" s="10" t="s">
        <v>264</v>
      </c>
      <c r="C37" s="40" t="s">
        <v>265</v>
      </c>
      <c r="D37" s="40" t="s">
        <v>123</v>
      </c>
      <c r="E37" s="40" t="s">
        <v>99</v>
      </c>
      <c r="F37" s="17" t="n">
        <v>37033</v>
      </c>
      <c r="G37" s="11" t="s">
        <v>270</v>
      </c>
      <c r="H37" s="17" t="n">
        <v>37048</v>
      </c>
      <c r="I37" s="11"/>
      <c r="J37" s="29" t="n">
        <v>0.333957845433255</v>
      </c>
      <c r="K37" s="29" t="n">
        <v>-0.0426890756302521</v>
      </c>
      <c r="L37" s="11"/>
      <c r="M37" s="11"/>
      <c r="N37" s="119"/>
      <c r="O37" s="11"/>
      <c r="P37" s="29" t="s">
        <v>51</v>
      </c>
      <c r="Q37" s="94" t="s">
        <v>51</v>
      </c>
      <c r="R37" s="40" t="s">
        <v>51</v>
      </c>
      <c r="S37" s="40" t="s">
        <v>51</v>
      </c>
      <c r="T37" s="120"/>
      <c r="U37" s="127" t="n">
        <v>6</v>
      </c>
      <c r="V37" s="127" t="n">
        <v>985</v>
      </c>
      <c r="W37" s="128" t="n">
        <v>9.6</v>
      </c>
      <c r="X37" s="127" t="n">
        <v>350</v>
      </c>
      <c r="Y37" s="127" t="n">
        <v>0</v>
      </c>
      <c r="Z37" s="51"/>
      <c r="AA37" s="135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  <c r="IJ37" s="11"/>
      <c r="IK37" s="11"/>
      <c r="IL37" s="11"/>
      <c r="IM37" s="11"/>
      <c r="IN37" s="11"/>
      <c r="IO37" s="11"/>
      <c r="IP37" s="11"/>
      <c r="IQ37" s="11"/>
      <c r="IR37" s="11"/>
      <c r="IS37" s="11"/>
      <c r="IT37" s="11"/>
      <c r="IU37" s="11"/>
      <c r="IV37" s="11"/>
      <c r="IW37" s="11"/>
    </row>
    <row r="38" customFormat="false" ht="12.95" hidden="false" customHeight="true" outlineLevel="0" collapsed="false">
      <c r="A38" s="10" t="s">
        <v>260</v>
      </c>
      <c r="B38" s="10" t="s">
        <v>264</v>
      </c>
      <c r="C38" s="40" t="s">
        <v>265</v>
      </c>
      <c r="D38" s="40" t="s">
        <v>123</v>
      </c>
      <c r="E38" s="40" t="s">
        <v>99</v>
      </c>
      <c r="F38" s="17" t="n">
        <v>37033</v>
      </c>
      <c r="G38" s="11" t="s">
        <v>235</v>
      </c>
      <c r="H38" s="17" t="n">
        <v>37036</v>
      </c>
      <c r="I38" s="11"/>
      <c r="J38" s="29" t="n">
        <v>1.00463157894737</v>
      </c>
      <c r="K38" s="29" t="n">
        <v>0.542024291497976</v>
      </c>
      <c r="L38" s="11"/>
      <c r="M38" s="11"/>
      <c r="N38" s="119"/>
      <c r="O38" s="11"/>
      <c r="P38" s="29" t="s">
        <v>51</v>
      </c>
      <c r="Q38" s="94" t="s">
        <v>51</v>
      </c>
      <c r="R38" s="40" t="s">
        <v>51</v>
      </c>
      <c r="S38" s="40" t="s">
        <v>51</v>
      </c>
      <c r="T38" s="120"/>
      <c r="U38" s="127" t="n">
        <v>6</v>
      </c>
      <c r="V38" s="127" t="n">
        <v>850</v>
      </c>
      <c r="W38" s="128" t="n">
        <v>8.878</v>
      </c>
      <c r="X38" s="127" t="n">
        <v>5002</v>
      </c>
      <c r="Y38" s="127" t="s">
        <v>51</v>
      </c>
      <c r="Z38" s="51"/>
      <c r="AA38" s="135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  <c r="IW38" s="11"/>
    </row>
    <row r="39" customFormat="false" ht="12.95" hidden="false" customHeight="true" outlineLevel="0" collapsed="false">
      <c r="A39" s="10" t="s">
        <v>262</v>
      </c>
      <c r="B39" s="10" t="s">
        <v>264</v>
      </c>
      <c r="C39" s="40" t="s">
        <v>265</v>
      </c>
      <c r="D39" s="40" t="s">
        <v>271</v>
      </c>
      <c r="E39" s="40" t="s">
        <v>99</v>
      </c>
      <c r="F39" s="17" t="n">
        <v>37013</v>
      </c>
      <c r="G39" s="11" t="s">
        <v>272</v>
      </c>
      <c r="H39" s="17" t="n">
        <v>36811</v>
      </c>
      <c r="I39" s="11"/>
      <c r="J39" s="29" t="n">
        <v>0.6</v>
      </c>
      <c r="K39" s="29" t="n">
        <v>0.317127071823205</v>
      </c>
      <c r="L39" s="11"/>
      <c r="M39" s="11"/>
      <c r="N39" s="119"/>
      <c r="O39" s="11"/>
      <c r="P39" s="29" t="s">
        <v>51</v>
      </c>
      <c r="Q39" s="94" t="s">
        <v>51</v>
      </c>
      <c r="R39" s="40" t="s">
        <v>51</v>
      </c>
      <c r="S39" s="40" t="s">
        <v>51</v>
      </c>
      <c r="T39" s="11"/>
      <c r="U39" s="127" t="n">
        <v>3</v>
      </c>
      <c r="V39" s="127" t="n">
        <v>275.2</v>
      </c>
      <c r="W39" s="128" t="n">
        <v>5.27</v>
      </c>
      <c r="X39" s="127" t="n">
        <v>270</v>
      </c>
      <c r="Y39" s="127" t="n">
        <v>40</v>
      </c>
      <c r="Z39" s="51"/>
      <c r="AA39" s="135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  <c r="IL39" s="11"/>
      <c r="IM39" s="11"/>
      <c r="IN39" s="11"/>
      <c r="IO39" s="11"/>
      <c r="IP39" s="11"/>
      <c r="IQ39" s="11"/>
      <c r="IR39" s="11"/>
      <c r="IS39" s="11"/>
      <c r="IT39" s="11"/>
      <c r="IU39" s="11"/>
      <c r="IV39" s="11"/>
      <c r="IW39" s="11"/>
    </row>
    <row r="40" customFormat="false" ht="12.95" hidden="false" customHeight="true" outlineLevel="0" collapsed="false">
      <c r="C40" s="40"/>
      <c r="D40" s="40"/>
      <c r="E40" s="40"/>
      <c r="F40" s="17"/>
      <c r="G40" s="11"/>
      <c r="H40" s="17"/>
      <c r="I40" s="11"/>
      <c r="J40" s="29"/>
      <c r="K40" s="29"/>
      <c r="L40" s="11"/>
      <c r="M40" s="11"/>
      <c r="N40" s="11"/>
      <c r="O40" s="11"/>
      <c r="P40" s="11"/>
      <c r="Q40" s="11"/>
      <c r="R40" s="11"/>
      <c r="S40" s="11"/>
      <c r="T40" s="120"/>
      <c r="U40" s="11"/>
      <c r="V40" s="11"/>
      <c r="W40" s="11"/>
      <c r="X40" s="11"/>
      <c r="Y40" s="11"/>
      <c r="Z40" s="5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  <c r="IJ40" s="11"/>
      <c r="IK40" s="11"/>
      <c r="IL40" s="11"/>
      <c r="IM40" s="11"/>
      <c r="IN40" s="11"/>
      <c r="IO40" s="11"/>
      <c r="IP40" s="11"/>
      <c r="IQ40" s="11"/>
      <c r="IR40" s="11"/>
      <c r="IS40" s="11"/>
      <c r="IT40" s="11"/>
      <c r="IU40" s="11"/>
      <c r="IV40" s="11"/>
      <c r="IW40" s="11"/>
    </row>
    <row r="41" customFormat="false" ht="12.95" hidden="false" customHeight="true" outlineLevel="0" collapsed="false">
      <c r="C41" s="40"/>
      <c r="D41" s="40"/>
      <c r="E41" s="40"/>
      <c r="F41" s="17"/>
      <c r="G41" s="11"/>
      <c r="H41" s="17"/>
      <c r="I41" s="11"/>
      <c r="J41" s="29"/>
      <c r="K41" s="29"/>
      <c r="L41" s="11"/>
      <c r="M41" s="11"/>
      <c r="N41" s="11"/>
      <c r="O41" s="11"/>
      <c r="P41" s="11"/>
      <c r="Q41" s="11"/>
      <c r="R41" s="11"/>
      <c r="S41" s="11"/>
      <c r="T41" s="120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  <c r="IJ41" s="11"/>
      <c r="IK41" s="11"/>
      <c r="IL41" s="11"/>
      <c r="IM41" s="11"/>
      <c r="IN41" s="11"/>
      <c r="IO41" s="11"/>
      <c r="IP41" s="11"/>
      <c r="IQ41" s="11"/>
      <c r="IR41" s="11"/>
      <c r="IS41" s="11"/>
      <c r="IT41" s="11"/>
      <c r="IU41" s="11"/>
      <c r="IV41" s="11"/>
      <c r="IW41" s="11"/>
    </row>
    <row r="42" customFormat="false" ht="12.95" hidden="false" customHeight="true" outlineLevel="0" collapsed="false">
      <c r="A42" s="11"/>
      <c r="B42" s="121"/>
      <c r="C42" s="121"/>
      <c r="D42" s="11"/>
      <c r="E42" s="121"/>
      <c r="F42" s="11"/>
      <c r="G42" s="11"/>
      <c r="H42" s="11"/>
      <c r="I42" s="11"/>
      <c r="J42" s="11"/>
      <c r="K42" s="11"/>
      <c r="L42" s="11"/>
      <c r="M42" s="11"/>
      <c r="N42" s="40" t="s">
        <v>56</v>
      </c>
      <c r="O42" s="11"/>
      <c r="P42" s="29" t="s">
        <v>51</v>
      </c>
      <c r="Q42" s="94" t="s">
        <v>51</v>
      </c>
      <c r="R42" s="40" t="s">
        <v>51</v>
      </c>
      <c r="S42" s="40"/>
      <c r="T42" s="120"/>
      <c r="U42" s="127"/>
      <c r="V42" s="127"/>
      <c r="W42" s="128"/>
      <c r="X42" s="127"/>
      <c r="Y42" s="127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  <c r="IR42" s="11"/>
      <c r="IS42" s="11"/>
      <c r="IT42" s="11"/>
      <c r="IU42" s="11"/>
      <c r="IV42" s="11"/>
      <c r="IW42" s="11"/>
    </row>
    <row r="43" customFormat="false" ht="12.95" hidden="false" customHeight="true" outlineLevel="0" collapsed="false">
      <c r="A43" s="11"/>
      <c r="B43" s="121"/>
      <c r="C43" s="121"/>
      <c r="D43" s="121"/>
      <c r="E43" s="11"/>
      <c r="F43" s="11"/>
      <c r="G43" s="11"/>
      <c r="H43" s="11"/>
      <c r="I43" s="11"/>
      <c r="J43" s="11"/>
      <c r="K43" s="11"/>
      <c r="L43" s="11"/>
      <c r="M43" s="11"/>
      <c r="N43" s="40" t="s">
        <v>57</v>
      </c>
      <c r="O43" s="11"/>
      <c r="P43" s="29" t="s">
        <v>51</v>
      </c>
      <c r="Q43" s="94" t="s">
        <v>51</v>
      </c>
      <c r="R43" s="40" t="s">
        <v>51</v>
      </c>
      <c r="S43" s="40"/>
      <c r="T43" s="120"/>
      <c r="U43" s="127"/>
      <c r="V43" s="127"/>
      <c r="W43" s="128"/>
      <c r="X43" s="127"/>
      <c r="Y43" s="127"/>
      <c r="Z43" s="5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2.95" hidden="false" customHeight="true" outlineLevel="0" collapsed="false">
      <c r="A44" s="11"/>
      <c r="B44" s="121"/>
      <c r="C44" s="121"/>
      <c r="D44" s="121"/>
      <c r="E44" s="11"/>
      <c r="F44" s="11"/>
      <c r="G44" s="11"/>
      <c r="H44" s="11"/>
      <c r="I44" s="11"/>
      <c r="J44" s="11"/>
      <c r="K44" s="11"/>
      <c r="L44" s="11"/>
      <c r="M44" s="11"/>
      <c r="N44" s="40" t="s">
        <v>26</v>
      </c>
      <c r="O44" s="11"/>
      <c r="P44" s="29" t="s">
        <v>51</v>
      </c>
      <c r="Q44" s="94" t="s">
        <v>51</v>
      </c>
      <c r="R44" s="40" t="s">
        <v>51</v>
      </c>
      <c r="S44" s="40"/>
      <c r="T44" s="120"/>
      <c r="U44" s="127"/>
      <c r="V44" s="127"/>
      <c r="W44" s="128"/>
      <c r="X44" s="127"/>
      <c r="Y44" s="127"/>
      <c r="Z44" s="5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  <c r="IJ44" s="11"/>
      <c r="IK44" s="11"/>
      <c r="IL44" s="11"/>
      <c r="IM44" s="11"/>
      <c r="IN44" s="11"/>
      <c r="IO44" s="11"/>
      <c r="IP44" s="11"/>
      <c r="IQ44" s="11"/>
      <c r="IR44" s="11"/>
      <c r="IS44" s="11"/>
      <c r="IT44" s="11"/>
      <c r="IU44" s="11"/>
      <c r="IV44" s="11"/>
      <c r="IW44" s="11"/>
    </row>
    <row r="45" customFormat="false" ht="12.95" hidden="false" customHeight="true" outlineLevel="0" collapsed="false">
      <c r="A45" s="11"/>
      <c r="B45" s="121"/>
      <c r="C45" s="121"/>
      <c r="D45" s="121"/>
      <c r="E45" s="11"/>
      <c r="F45" s="11"/>
      <c r="G45" s="11"/>
      <c r="H45" s="11"/>
      <c r="I45" s="11"/>
      <c r="J45" s="11"/>
      <c r="K45" s="11"/>
      <c r="L45" s="11"/>
      <c r="M45" s="11"/>
      <c r="N45" s="40" t="s">
        <v>27</v>
      </c>
      <c r="O45" s="11"/>
      <c r="P45" s="29" t="s">
        <v>51</v>
      </c>
      <c r="Q45" s="94" t="s">
        <v>51</v>
      </c>
      <c r="R45" s="40" t="s">
        <v>51</v>
      </c>
      <c r="S45" s="40"/>
      <c r="T45" s="120"/>
      <c r="U45" s="127"/>
      <c r="V45" s="127"/>
      <c r="W45" s="128"/>
      <c r="X45" s="127"/>
      <c r="Y45" s="127"/>
      <c r="Z45" s="5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  <c r="IJ45" s="11"/>
      <c r="IK45" s="11"/>
      <c r="IL45" s="11"/>
      <c r="IM45" s="11"/>
      <c r="IN45" s="11"/>
      <c r="IO45" s="11"/>
      <c r="IP45" s="11"/>
      <c r="IQ45" s="11"/>
      <c r="IR45" s="11"/>
      <c r="IS45" s="11"/>
      <c r="IT45" s="11"/>
      <c r="IU45" s="11"/>
      <c r="IV45" s="11"/>
      <c r="IW45" s="11"/>
    </row>
    <row r="46" customFormat="false" ht="12.95" hidden="false" customHeight="true" outlineLevel="0" collapsed="false">
      <c r="A46" s="66" t="s">
        <v>104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5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  <c r="IV46" s="11"/>
      <c r="IW46" s="11"/>
    </row>
    <row r="47" customFormat="false" ht="12.95" hidden="false" customHeight="true" outlineLevel="0" collapsed="false">
      <c r="A47" s="40" t="s">
        <v>241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  <c r="IJ47" s="11"/>
      <c r="IK47" s="11"/>
      <c r="IL47" s="11"/>
      <c r="IM47" s="11"/>
      <c r="IN47" s="11"/>
      <c r="IO47" s="11"/>
      <c r="IP47" s="11"/>
      <c r="IQ47" s="11"/>
      <c r="IR47" s="11"/>
      <c r="IS47" s="11"/>
      <c r="IT47" s="11"/>
      <c r="IU47" s="11"/>
      <c r="IV47" s="11"/>
      <c r="IW47" s="11"/>
    </row>
    <row r="48" customFormat="false" ht="12.95" hidden="false" customHeight="true" outlineLevel="0" collapsed="false">
      <c r="A48" s="40" t="s">
        <v>242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  <c r="IJ48" s="11"/>
      <c r="IK48" s="11"/>
      <c r="IL48" s="11"/>
      <c r="IM48" s="11"/>
      <c r="IN48" s="11"/>
      <c r="IO48" s="11"/>
      <c r="IP48" s="11"/>
      <c r="IQ48" s="11"/>
      <c r="IR48" s="11"/>
      <c r="IS48" s="11"/>
      <c r="IT48" s="11"/>
      <c r="IU48" s="11"/>
      <c r="IV48" s="11"/>
      <c r="IW48" s="11"/>
    </row>
    <row r="49" customFormat="false" ht="12.95" hidden="false" customHeight="true" outlineLevel="0" collapsed="false">
      <c r="A49" s="40" t="s">
        <v>243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  <c r="IV49" s="11"/>
      <c r="IW49" s="11"/>
    </row>
    <row r="50" customFormat="false" ht="12.95" hidden="false" customHeight="true" outlineLevel="0" collapsed="false">
      <c r="A50" s="40" t="s">
        <v>244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2.95" hidden="false" customHeight="true" outlineLevel="0" collapsed="false">
      <c r="A51" s="40" t="s">
        <v>243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2.95" hidden="false" customHeight="true" outlineLevel="0" collapsed="false">
      <c r="A52" s="40" t="s">
        <v>246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2.95" hidden="false" customHeight="true" outlineLevel="0" collapsed="false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12.95" hidden="false" customHeight="true" outlineLevel="0" collapsed="false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12.95" hidden="false" customHeight="true" outlineLevel="0" collapsed="false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12.95" hidden="false" customHeight="true" outlineLevel="0" collapsed="false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12.95" hidden="false" customHeight="true" outlineLevel="0" collapsed="false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12.95" hidden="false" customHeight="true" outlineLevel="0" collapsed="false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12.95" hidden="false" customHeight="true" outlineLevel="0" collapsed="false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  <c r="II59" s="11"/>
      <c r="IJ59" s="11"/>
      <c r="IK59" s="11"/>
      <c r="IL59" s="11"/>
      <c r="IM59" s="11"/>
      <c r="IN59" s="11"/>
      <c r="IO59" s="11"/>
      <c r="IP59" s="11"/>
      <c r="IQ59" s="11"/>
      <c r="IR59" s="11"/>
      <c r="IS59" s="11"/>
      <c r="IT59" s="11"/>
      <c r="IU59" s="11"/>
      <c r="IV59" s="11"/>
      <c r="IW59" s="11"/>
    </row>
    <row r="60" customFormat="false" ht="12.95" hidden="false" customHeight="true" outlineLevel="0" collapsed="false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  <c r="IE60" s="11"/>
      <c r="IF60" s="11"/>
      <c r="IG60" s="11"/>
      <c r="IH60" s="11"/>
      <c r="II60" s="11"/>
      <c r="IJ60" s="11"/>
      <c r="IK60" s="11"/>
      <c r="IL60" s="11"/>
      <c r="IM60" s="11"/>
      <c r="IN60" s="11"/>
      <c r="IO60" s="11"/>
      <c r="IP60" s="11"/>
      <c r="IQ60" s="11"/>
      <c r="IR60" s="11"/>
      <c r="IS60" s="11"/>
      <c r="IT60" s="11"/>
      <c r="IU60" s="11"/>
      <c r="IV60" s="11"/>
      <c r="IW60" s="11"/>
    </row>
    <row r="61" customFormat="false" ht="12.95" hidden="false" customHeight="true" outlineLevel="0" collapsed="false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  <c r="IE61" s="11"/>
      <c r="IF61" s="11"/>
      <c r="IG61" s="11"/>
      <c r="IH61" s="11"/>
      <c r="II61" s="11"/>
      <c r="IJ61" s="11"/>
      <c r="IK61" s="11"/>
      <c r="IL61" s="11"/>
      <c r="IM61" s="11"/>
      <c r="IN61" s="11"/>
      <c r="IO61" s="11"/>
      <c r="IP61" s="11"/>
      <c r="IQ61" s="11"/>
      <c r="IR61" s="11"/>
      <c r="IS61" s="11"/>
      <c r="IT61" s="11"/>
      <c r="IU61" s="11"/>
      <c r="IV61" s="11"/>
      <c r="IW61" s="11"/>
    </row>
    <row r="62" customFormat="false" ht="12.95" hidden="false" customHeight="true" outlineLevel="0" collapsed="false">
      <c r="A62" s="11"/>
      <c r="B62" s="11"/>
      <c r="C62" s="11"/>
      <c r="D62" s="11"/>
      <c r="E62" s="11"/>
      <c r="F62" s="17" t="n">
        <v>37108.5169769676</v>
      </c>
      <c r="G62" s="17" t="n">
        <v>36743.5169769676</v>
      </c>
      <c r="H62" s="11"/>
      <c r="I62" s="11"/>
      <c r="J62" s="11"/>
      <c r="K62" s="11"/>
      <c r="L62" s="11"/>
      <c r="M62" s="11"/>
      <c r="N62" s="11"/>
      <c r="O62" s="11"/>
      <c r="P62" s="11"/>
      <c r="Q62" s="17" t="n">
        <v>36892</v>
      </c>
      <c r="R62" s="17" t="n">
        <v>37108.5169769676</v>
      </c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  <c r="II62" s="11"/>
      <c r="IJ62" s="11"/>
      <c r="IK62" s="11"/>
      <c r="IL62" s="11"/>
      <c r="IM62" s="11"/>
      <c r="IN62" s="11"/>
      <c r="IO62" s="11"/>
      <c r="IP62" s="11"/>
      <c r="IQ62" s="11"/>
      <c r="IR62" s="11"/>
      <c r="IS62" s="11"/>
      <c r="IT62" s="11"/>
      <c r="IU62" s="11"/>
      <c r="IV62" s="11"/>
      <c r="IW62" s="11"/>
    </row>
    <row r="63" customFormat="false" ht="12.95" hidden="false" customHeight="true" outlineLevel="0" collapsed="false">
      <c r="A63" s="11"/>
      <c r="B63" s="11"/>
      <c r="C63" s="11"/>
      <c r="D63" s="11"/>
      <c r="E63" s="11"/>
      <c r="F63" s="11"/>
      <c r="G63" s="11"/>
      <c r="H63" s="11" t="s">
        <v>82</v>
      </c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 t="s">
        <v>83</v>
      </c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  <c r="IE63" s="11"/>
      <c r="IF63" s="11"/>
      <c r="IG63" s="11"/>
      <c r="IH63" s="11"/>
      <c r="II63" s="11"/>
      <c r="IJ63" s="11"/>
      <c r="IK63" s="11"/>
      <c r="IL63" s="11"/>
      <c r="IM63" s="11"/>
      <c r="IN63" s="11"/>
      <c r="IO63" s="11"/>
      <c r="IP63" s="11"/>
      <c r="IQ63" s="11"/>
      <c r="IR63" s="11"/>
      <c r="IS63" s="11"/>
      <c r="IT63" s="11"/>
      <c r="IU63" s="11"/>
      <c r="IV63" s="11"/>
      <c r="IW63" s="11"/>
    </row>
    <row r="64" customFormat="false" ht="12.95" hidden="false" customHeight="true" outlineLevel="0" collapsed="false">
      <c r="A64" s="11"/>
      <c r="B64" s="11"/>
      <c r="C64" s="11"/>
      <c r="D64" s="11"/>
      <c r="E64" s="11" t="s">
        <v>249</v>
      </c>
      <c r="F64" s="85" t="n">
        <v>39.08</v>
      </c>
      <c r="G64" s="85" t="n">
        <v>33.0625</v>
      </c>
      <c r="H64" s="136" t="n">
        <v>0.182003780718336</v>
      </c>
      <c r="I64" s="11"/>
      <c r="J64" s="11"/>
      <c r="K64" s="11"/>
      <c r="L64" s="11"/>
      <c r="M64" s="11"/>
      <c r="N64" s="11"/>
      <c r="O64" s="11"/>
      <c r="P64" s="11" t="s">
        <v>249</v>
      </c>
      <c r="Q64" s="85" t="n">
        <v>35.89</v>
      </c>
      <c r="R64" s="85" t="n">
        <v>39.08</v>
      </c>
      <c r="S64" s="136" t="n">
        <v>0.0888826971301197</v>
      </c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  <c r="IE64" s="11"/>
      <c r="IF64" s="11"/>
      <c r="IG64" s="11"/>
      <c r="IH64" s="11"/>
      <c r="II64" s="11"/>
      <c r="IJ64" s="11"/>
      <c r="IK64" s="11"/>
      <c r="IL64" s="11"/>
      <c r="IM64" s="11"/>
      <c r="IN64" s="11"/>
      <c r="IO64" s="11"/>
      <c r="IP64" s="11"/>
      <c r="IQ64" s="11"/>
      <c r="IR64" s="11"/>
      <c r="IS64" s="11"/>
      <c r="IT64" s="11"/>
      <c r="IU64" s="11"/>
      <c r="IV64" s="11"/>
      <c r="IW64" s="11"/>
    </row>
    <row r="65" customFormat="false" ht="12.95" hidden="false" customHeight="true" outlineLevel="0" collapsed="false">
      <c r="A65" s="11"/>
      <c r="B65" s="11"/>
      <c r="C65" s="11"/>
      <c r="D65" s="11"/>
      <c r="E65" s="11" t="s">
        <v>255</v>
      </c>
      <c r="F65" s="85" t="n">
        <v>35.14</v>
      </c>
      <c r="G65" s="85" t="n">
        <v>25.8125</v>
      </c>
      <c r="H65" s="136" t="n">
        <v>0.36135593220339</v>
      </c>
      <c r="I65" s="11"/>
      <c r="J65" s="11"/>
      <c r="K65" s="11"/>
      <c r="L65" s="11"/>
      <c r="M65" s="11"/>
      <c r="N65" s="11"/>
      <c r="O65" s="11"/>
      <c r="P65" s="11" t="s">
        <v>255</v>
      </c>
      <c r="Q65" s="85" t="n">
        <v>33.6875</v>
      </c>
      <c r="R65" s="85" t="n">
        <v>35.14</v>
      </c>
      <c r="S65" s="136" t="n">
        <v>0.0431168831168831</v>
      </c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  <c r="IE65" s="11"/>
      <c r="IF65" s="11"/>
      <c r="IG65" s="11"/>
      <c r="IH65" s="11"/>
      <c r="II65" s="11"/>
      <c r="IJ65" s="11"/>
      <c r="IK65" s="11"/>
      <c r="IL65" s="11"/>
      <c r="IM65" s="11"/>
      <c r="IN65" s="11"/>
      <c r="IO65" s="11"/>
      <c r="IP65" s="11"/>
      <c r="IQ65" s="11"/>
      <c r="IR65" s="11"/>
      <c r="IS65" s="11"/>
      <c r="IT65" s="11"/>
      <c r="IU65" s="11"/>
      <c r="IV65" s="11"/>
      <c r="IW65" s="11"/>
    </row>
    <row r="66" customFormat="false" ht="12.95" hidden="false" customHeight="true" outlineLevel="0" collapsed="false">
      <c r="A66" s="11"/>
      <c r="B66" s="11"/>
      <c r="C66" s="11"/>
      <c r="D66" s="11"/>
      <c r="E66" s="11" t="s">
        <v>257</v>
      </c>
      <c r="F66" s="85" t="n">
        <v>44.7</v>
      </c>
      <c r="G66" s="85" t="n">
        <v>27.9375</v>
      </c>
      <c r="H66" s="136" t="n">
        <v>0.6</v>
      </c>
      <c r="I66" s="11"/>
      <c r="J66" s="11"/>
      <c r="K66" s="11"/>
      <c r="L66" s="11"/>
      <c r="M66" s="11"/>
      <c r="N66" s="11"/>
      <c r="O66" s="11"/>
      <c r="P66" s="11" t="s">
        <v>257</v>
      </c>
      <c r="Q66" s="85" t="n">
        <v>33.9375</v>
      </c>
      <c r="R66" s="85" t="n">
        <v>44.7</v>
      </c>
      <c r="S66" s="136" t="n">
        <v>0.317127071823205</v>
      </c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  <c r="IE66" s="11"/>
      <c r="IF66" s="11"/>
      <c r="IG66" s="11"/>
      <c r="IH66" s="11"/>
      <c r="II66" s="11"/>
      <c r="IJ66" s="11"/>
      <c r="IK66" s="11"/>
      <c r="IL66" s="11"/>
      <c r="IM66" s="11"/>
      <c r="IN66" s="11"/>
      <c r="IO66" s="11"/>
      <c r="IP66" s="11"/>
      <c r="IQ66" s="11"/>
      <c r="IR66" s="11"/>
      <c r="IS66" s="11"/>
      <c r="IT66" s="11"/>
      <c r="IU66" s="11"/>
      <c r="IV66" s="11"/>
      <c r="IW66" s="11"/>
    </row>
    <row r="67" customFormat="false" ht="12.95" hidden="false" customHeight="true" outlineLevel="0" collapsed="false">
      <c r="A67" s="11"/>
      <c r="B67" s="11"/>
      <c r="C67" s="11"/>
      <c r="D67" s="11"/>
      <c r="E67" s="11" t="s">
        <v>259</v>
      </c>
      <c r="F67" s="85" t="n">
        <v>35.6</v>
      </c>
      <c r="G67" s="85" t="n">
        <v>26.6875</v>
      </c>
      <c r="H67" s="136" t="n">
        <v>0.333957845433255</v>
      </c>
      <c r="I67" s="11"/>
      <c r="J67" s="11"/>
      <c r="K67" s="11"/>
      <c r="L67" s="11"/>
      <c r="M67" s="11"/>
      <c r="N67" s="11"/>
      <c r="O67" s="11"/>
      <c r="P67" s="11" t="s">
        <v>259</v>
      </c>
      <c r="Q67" s="85" t="n">
        <v>37.1875</v>
      </c>
      <c r="R67" s="85" t="n">
        <v>35.6</v>
      </c>
      <c r="S67" s="136" t="n">
        <v>-0.0426890756302521</v>
      </c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  <c r="IE67" s="11"/>
      <c r="IF67" s="11"/>
      <c r="IG67" s="11"/>
      <c r="IH67" s="11"/>
      <c r="II67" s="11"/>
      <c r="IJ67" s="11"/>
      <c r="IK67" s="11"/>
      <c r="IL67" s="11"/>
      <c r="IM67" s="11"/>
      <c r="IN67" s="11"/>
      <c r="IO67" s="11"/>
      <c r="IP67" s="11"/>
      <c r="IQ67" s="11"/>
      <c r="IR67" s="11"/>
      <c r="IS67" s="11"/>
      <c r="IT67" s="11"/>
      <c r="IU67" s="11"/>
      <c r="IV67" s="11"/>
      <c r="IW67" s="11"/>
    </row>
    <row r="68" customFormat="false" ht="12.95" hidden="false" customHeight="true" outlineLevel="0" collapsed="false">
      <c r="A68" s="11"/>
      <c r="B68" s="11"/>
      <c r="C68" s="11"/>
      <c r="D68" s="11"/>
      <c r="E68" s="11" t="s">
        <v>261</v>
      </c>
      <c r="F68" s="85" t="n">
        <v>47.61</v>
      </c>
      <c r="G68" s="85" t="n">
        <v>23.75</v>
      </c>
      <c r="H68" s="136" t="n">
        <v>1.00463157894737</v>
      </c>
      <c r="I68" s="11"/>
      <c r="J68" s="11"/>
      <c r="K68" s="11"/>
      <c r="L68" s="11"/>
      <c r="M68" s="11"/>
      <c r="N68" s="11"/>
      <c r="O68" s="11"/>
      <c r="P68" s="11" t="s">
        <v>261</v>
      </c>
      <c r="Q68" s="85" t="n">
        <v>30.875</v>
      </c>
      <c r="R68" s="85" t="n">
        <v>47.61</v>
      </c>
      <c r="S68" s="136" t="n">
        <v>0.542024291497976</v>
      </c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  <c r="II68" s="11"/>
      <c r="IJ68" s="11"/>
      <c r="IK68" s="11"/>
      <c r="IL68" s="11"/>
      <c r="IM68" s="11"/>
      <c r="IN68" s="11"/>
      <c r="IO68" s="11"/>
      <c r="IP68" s="11"/>
      <c r="IQ68" s="11"/>
      <c r="IR68" s="11"/>
      <c r="IS68" s="11"/>
      <c r="IT68" s="11"/>
      <c r="IU68" s="11"/>
      <c r="IV68" s="11"/>
      <c r="IW68" s="11"/>
    </row>
    <row r="69" customFormat="false" ht="12.95" hidden="false" customHeight="true" outlineLevel="0" collapsed="false">
      <c r="A69" s="11"/>
      <c r="B69" s="11"/>
      <c r="C69" s="11"/>
      <c r="D69" s="11"/>
      <c r="E69" s="11"/>
      <c r="F69" s="85"/>
      <c r="G69" s="85"/>
      <c r="H69" s="136"/>
      <c r="I69" s="11"/>
      <c r="J69" s="11"/>
      <c r="K69" s="11"/>
      <c r="L69" s="11"/>
      <c r="M69" s="11"/>
      <c r="N69" s="11"/>
      <c r="O69" s="11"/>
      <c r="P69" s="11"/>
      <c r="Q69" s="85"/>
      <c r="R69" s="85"/>
      <c r="S69" s="136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  <c r="II69" s="11"/>
      <c r="IJ69" s="11"/>
      <c r="IK69" s="11"/>
      <c r="IL69" s="11"/>
      <c r="IM69" s="11"/>
      <c r="IN69" s="11"/>
      <c r="IO69" s="11"/>
      <c r="IP69" s="11"/>
      <c r="IQ69" s="11"/>
      <c r="IR69" s="11"/>
      <c r="IS69" s="11"/>
      <c r="IT69" s="11"/>
      <c r="IU69" s="11"/>
      <c r="IV69" s="11"/>
      <c r="IW69" s="11"/>
    </row>
    <row r="70" customFormat="false" ht="12.95" hidden="false" customHeight="true" outlineLevel="0" collapsed="false">
      <c r="A70" s="11"/>
      <c r="B70" s="11"/>
      <c r="C70" s="11"/>
      <c r="D70" s="11"/>
      <c r="E70" s="11"/>
      <c r="F70" s="85"/>
      <c r="G70" s="85"/>
      <c r="H70" s="136"/>
      <c r="I70" s="11"/>
      <c r="J70" s="11"/>
      <c r="K70" s="11"/>
      <c r="L70" s="11"/>
      <c r="M70" s="11"/>
      <c r="N70" s="11"/>
      <c r="O70" s="11"/>
      <c r="P70" s="11"/>
      <c r="Q70" s="85"/>
      <c r="R70" s="85"/>
      <c r="S70" s="136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  <c r="IE70" s="11"/>
      <c r="IF70" s="11"/>
      <c r="IG70" s="11"/>
      <c r="IH70" s="11"/>
      <c r="II70" s="11"/>
      <c r="IJ70" s="11"/>
      <c r="IK70" s="11"/>
      <c r="IL70" s="11"/>
      <c r="IM70" s="11"/>
      <c r="IN70" s="11"/>
      <c r="IO70" s="11"/>
      <c r="IP70" s="11"/>
      <c r="IQ70" s="11"/>
      <c r="IR70" s="11"/>
      <c r="IS70" s="11"/>
      <c r="IT70" s="11"/>
      <c r="IU70" s="11"/>
      <c r="IV70" s="11"/>
      <c r="IW70" s="11"/>
    </row>
    <row r="71" customFormat="false" ht="12.95" hidden="false" customHeight="true" outlineLevel="0" collapsed="false">
      <c r="E71" s="11"/>
      <c r="F71" s="85"/>
      <c r="G71" s="85"/>
      <c r="H71" s="136"/>
      <c r="P71" s="11"/>
      <c r="Q71" s="85"/>
      <c r="R71" s="85"/>
      <c r="S71" s="136"/>
      <c r="Z71" s="11"/>
    </row>
    <row r="72" customFormat="false" ht="12.95" hidden="false" customHeight="true" outlineLevel="0" collapsed="false">
      <c r="E72" s="11"/>
      <c r="F72" s="85"/>
      <c r="G72" s="85"/>
      <c r="H72" s="136"/>
      <c r="P72" s="11"/>
      <c r="Q72" s="85"/>
      <c r="R72" s="85"/>
      <c r="S72" s="136"/>
    </row>
    <row r="73" customFormat="false" ht="12.95" hidden="false" customHeight="true" outlineLevel="0" collapsed="false">
      <c r="E73" s="11"/>
      <c r="F73" s="85"/>
      <c r="G73" s="85"/>
      <c r="H73" s="136"/>
      <c r="P73" s="11"/>
      <c r="Q73" s="85"/>
      <c r="R73" s="85"/>
      <c r="S73" s="136"/>
    </row>
    <row r="74" customFormat="false" ht="12.95" hidden="false" customHeight="true" outlineLevel="0" collapsed="false">
      <c r="E74" s="11"/>
      <c r="F74" s="85"/>
      <c r="G74" s="85"/>
      <c r="H74" s="136"/>
      <c r="P74" s="11"/>
      <c r="Q74" s="85"/>
      <c r="R74" s="85"/>
      <c r="S74" s="136"/>
    </row>
    <row r="75" customFormat="false" ht="12.95" hidden="false" customHeight="true" outlineLevel="0" collapsed="false">
      <c r="E75" s="11"/>
      <c r="F75" s="85"/>
      <c r="G75" s="85"/>
      <c r="H75" s="136"/>
      <c r="P75" s="91"/>
      <c r="Q75" s="85"/>
      <c r="R75" s="85"/>
      <c r="S75" s="136"/>
    </row>
    <row r="76" customFormat="false" ht="12.95" hidden="false" customHeight="true" outlineLevel="0" collapsed="false">
      <c r="E76" s="11"/>
      <c r="F76" s="85"/>
      <c r="G76" s="85"/>
      <c r="H76" s="136"/>
      <c r="P76" s="91"/>
      <c r="Q76" s="85"/>
      <c r="R76" s="85"/>
      <c r="S76" s="136"/>
    </row>
    <row r="77" customFormat="false" ht="12.95" hidden="false" customHeight="true" outlineLevel="0" collapsed="false">
      <c r="E77" s="11"/>
      <c r="F77" s="85"/>
      <c r="G77" s="85"/>
      <c r="H77" s="136"/>
      <c r="P77" s="91"/>
      <c r="Q77" s="85"/>
      <c r="R77" s="85"/>
      <c r="S77" s="136"/>
    </row>
    <row r="78" customFormat="false" ht="12.95" hidden="false" customHeight="true" outlineLevel="0" collapsed="false">
      <c r="E78" s="11"/>
      <c r="F78" s="85"/>
      <c r="G78" s="85"/>
      <c r="H78" s="136"/>
      <c r="P78" s="91"/>
      <c r="Q78" s="85"/>
      <c r="R78" s="85"/>
      <c r="S78" s="136"/>
    </row>
    <row r="79" customFormat="false" ht="12.95" hidden="false" customHeight="true" outlineLevel="0" collapsed="false">
      <c r="E79" s="11"/>
    </row>
    <row r="80" customFormat="false" ht="12.95" hidden="false" customHeight="true" outlineLevel="0" collapsed="false"/>
    <row r="81" customFormat="false" ht="12.95" hidden="false" customHeight="true" outlineLevel="0" collapsed="false"/>
    <row r="82" customFormat="false" ht="12.95" hidden="false" customHeight="true" outlineLevel="0" collapsed="false"/>
    <row r="83" customFormat="false" ht="12.95" hidden="false" customHeight="true" outlineLevel="0" collapsed="false"/>
    <row r="84" customFormat="false" ht="12.95" hidden="false" customHeight="true" outlineLevel="0" collapsed="false"/>
    <row r="85" customFormat="false" ht="12.95" hidden="false" customHeight="true" outlineLevel="0" collapsed="false"/>
    <row r="86" customFormat="false" ht="12.95" hidden="false" customHeight="true" outlineLevel="0" collapsed="false"/>
    <row r="87" customFormat="false" ht="12.95" hidden="false" customHeight="true" outlineLevel="0" collapsed="false"/>
    <row r="88" customFormat="false" ht="12.95" hidden="false" customHeight="true" outlineLevel="0" collapsed="false"/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  <row r="109" customFormat="false" ht="12.95" hidden="false" customHeight="true" outlineLevel="0" collapsed="false"/>
    <row r="110" customFormat="false" ht="12.95" hidden="false" customHeight="true" outlineLevel="0" collapsed="false"/>
    <row r="111" customFormat="false" ht="12.95" hidden="false" customHeight="true" outlineLevel="0" collapsed="false"/>
  </sheetData>
  <mergeCells count="19">
    <mergeCell ref="U7:W7"/>
    <mergeCell ref="X7:Y7"/>
    <mergeCell ref="E8:F8"/>
    <mergeCell ref="I8:K8"/>
    <mergeCell ref="L8:N8"/>
    <mergeCell ref="O8:Q8"/>
    <mergeCell ref="U26:Y26"/>
    <mergeCell ref="B27:C27"/>
    <mergeCell ref="D27:F27"/>
    <mergeCell ref="G27:H27"/>
    <mergeCell ref="J27:K27"/>
    <mergeCell ref="P27:S27"/>
    <mergeCell ref="U27:Y27"/>
    <mergeCell ref="B28:C28"/>
    <mergeCell ref="D28:F28"/>
    <mergeCell ref="G28:H28"/>
    <mergeCell ref="J28:K28"/>
    <mergeCell ref="P28:S28"/>
    <mergeCell ref="U28:Y28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0" width="29.71"/>
    <col collapsed="false" customWidth="true" hidden="false" outlineLevel="0" max="2" min="2" style="10" width="12.85"/>
    <col collapsed="false" customWidth="true" hidden="false" outlineLevel="0" max="3" min="3" style="10" width="12.7"/>
    <col collapsed="false" customWidth="true" hidden="false" outlineLevel="0" max="4" min="4" style="10" width="10.71"/>
    <col collapsed="false" customWidth="true" hidden="false" outlineLevel="0" max="5" min="5" style="10" width="11.7"/>
    <col collapsed="false" customWidth="true" hidden="false" outlineLevel="0" max="6" min="6" style="10" width="10.71"/>
    <col collapsed="false" customWidth="true" hidden="false" outlineLevel="0" max="7" min="7" style="10" width="11.7"/>
    <col collapsed="false" customWidth="true" hidden="false" outlineLevel="0" max="8" min="8" style="10" width="10.71"/>
    <col collapsed="false" customWidth="true" hidden="true" outlineLevel="1" max="9" min="9" style="10" width="8.7"/>
    <col collapsed="false" customWidth="true" hidden="false" outlineLevel="0" max="11" min="10" style="10" width="8.7"/>
    <col collapsed="false" customWidth="true" hidden="true" outlineLevel="1" max="12" min="12" style="10" width="8.7"/>
    <col collapsed="false" customWidth="true" hidden="false" outlineLevel="0" max="14" min="13" style="10" width="8.7"/>
    <col collapsed="false" customWidth="true" hidden="true" outlineLevel="1" max="15" min="15" style="10" width="8.7"/>
    <col collapsed="false" customWidth="true" hidden="false" outlineLevel="0" max="17" min="16" style="10" width="8.7"/>
    <col collapsed="false" customWidth="true" hidden="false" outlineLevel="0" max="25" min="18" style="10" width="9.7"/>
    <col collapsed="false" customWidth="true" hidden="false" outlineLevel="0" max="26" min="26" style="10" width="10.71"/>
    <col collapsed="false" customWidth="false" hidden="false" outlineLevel="0" max="27" min="27" style="10" width="9.14"/>
    <col collapsed="false" customWidth="true" hidden="false" outlineLevel="0" max="30" min="28" style="10" width="10.71"/>
    <col collapsed="false" customWidth="true" hidden="false" outlineLevel="0" max="31" min="31" style="10" width="15.7"/>
    <col collapsed="false" customWidth="false" hidden="false" outlineLevel="0" max="257" min="32" style="10" width="9.14"/>
  </cols>
  <sheetData>
    <row r="1" customFormat="false" ht="18" hidden="false" customHeight="false" outlineLevel="0" collapsed="false">
      <c r="A1" s="73" t="s">
        <v>273</v>
      </c>
      <c r="B1" s="73"/>
      <c r="C1" s="73"/>
    </row>
    <row r="2" customFormat="false" ht="15" hidden="false" customHeight="true" outlineLevel="0" collapsed="false">
      <c r="A2" s="3" t="s">
        <v>1</v>
      </c>
      <c r="B2" s="3"/>
      <c r="C2" s="3"/>
      <c r="AG2" s="43"/>
    </row>
    <row r="3" customFormat="false" ht="12.75" hidden="false" customHeight="false" outlineLevel="0" collapsed="false">
      <c r="A3" s="74" t="s">
        <v>2</v>
      </c>
      <c r="B3" s="74"/>
      <c r="C3" s="74"/>
      <c r="AG3" s="43"/>
    </row>
    <row r="4" customFormat="false" ht="12.75" hidden="false" customHeight="false" outlineLevel="0" collapsed="false">
      <c r="A4" s="74"/>
      <c r="B4" s="74"/>
      <c r="C4" s="74"/>
      <c r="AG4" s="43"/>
    </row>
    <row r="5" customFormat="false" ht="12.75" hidden="false" customHeight="false" outlineLevel="0" collapsed="false">
      <c r="A5" s="74"/>
      <c r="B5" s="74"/>
      <c r="C5" s="74"/>
      <c r="AG5" s="43"/>
    </row>
    <row r="6" customFormat="false" ht="12.75" hidden="false" customHeight="false" outlineLevel="0" collapsed="false">
      <c r="A6" s="75" t="s">
        <v>3</v>
      </c>
      <c r="B6" s="8" t="n">
        <v>37111</v>
      </c>
      <c r="C6" s="77"/>
    </row>
    <row r="7" customFormat="false" ht="12.75" hidden="false" customHeight="false" outlineLevel="0" collapsed="false">
      <c r="H7" s="11" t="s">
        <v>4</v>
      </c>
      <c r="U7" s="12" t="s">
        <v>5</v>
      </c>
      <c r="V7" s="12"/>
      <c r="W7" s="12"/>
      <c r="X7" s="12" t="s">
        <v>6</v>
      </c>
      <c r="Y7" s="12"/>
      <c r="Z7" s="11" t="s">
        <v>7</v>
      </c>
    </row>
    <row r="8" customFormat="false" ht="12.75" hidden="false" customHeight="false" outlineLevel="0" collapsed="false">
      <c r="C8" s="11" t="s">
        <v>8</v>
      </c>
      <c r="D8" s="11" t="s">
        <v>9</v>
      </c>
      <c r="E8" s="13" t="s">
        <v>10</v>
      </c>
      <c r="F8" s="13"/>
      <c r="G8" s="11" t="s">
        <v>11</v>
      </c>
      <c r="H8" s="11" t="s">
        <v>11</v>
      </c>
      <c r="I8" s="12" t="s">
        <v>12</v>
      </c>
      <c r="J8" s="12"/>
      <c r="K8" s="12"/>
      <c r="L8" s="12" t="s">
        <v>13</v>
      </c>
      <c r="M8" s="12"/>
      <c r="N8" s="12"/>
      <c r="O8" s="12" t="s">
        <v>14</v>
      </c>
      <c r="P8" s="12"/>
      <c r="Q8" s="12"/>
      <c r="R8" s="13" t="s">
        <v>15</v>
      </c>
      <c r="S8" s="13" t="s">
        <v>16</v>
      </c>
      <c r="T8" s="11" t="s">
        <v>17</v>
      </c>
      <c r="U8" s="11" t="s">
        <v>18</v>
      </c>
      <c r="V8" s="11"/>
      <c r="W8" s="11" t="s">
        <v>19</v>
      </c>
      <c r="X8" s="11" t="s">
        <v>18</v>
      </c>
      <c r="Y8" s="11" t="s">
        <v>20</v>
      </c>
      <c r="Z8" s="11" t="s">
        <v>21</v>
      </c>
      <c r="AA8" s="13"/>
    </row>
    <row r="9" customFormat="false" ht="12.75" hidden="false" customHeight="false" outlineLevel="0" collapsed="false">
      <c r="A9" s="11" t="s">
        <v>22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29</v>
      </c>
      <c r="J9" s="11" t="str">
        <f aca="false">TEXT([4]output!$AK$16-365,"YYYY")&amp;"E"</f>
        <v>2001E</v>
      </c>
      <c r="K9" s="11" t="str">
        <f aca="false">TEXT([4]output!$AK$16,"YYYY")&amp;"E"</f>
        <v>2002E</v>
      </c>
      <c r="L9" s="11" t="s">
        <v>29</v>
      </c>
      <c r="M9" s="11" t="str">
        <f aca="false">TEXT([4]output!$AK$16-365,"YYYY")&amp;"E"</f>
        <v>2001E</v>
      </c>
      <c r="N9" s="11" t="str">
        <f aca="false">TEXT([4]output!$AK$16,"YYYY")&amp;"E"</f>
        <v>2002E</v>
      </c>
      <c r="O9" s="11" t="s">
        <v>29</v>
      </c>
      <c r="P9" s="11" t="str">
        <f aca="false">TEXT([4]output!$AK$16-365,"YYYY")&amp;"E"</f>
        <v>2001E</v>
      </c>
      <c r="Q9" s="11" t="str">
        <f aca="false">TEXT([4]output!$AK$16,"YYYY")&amp;"E"</f>
        <v>2002E</v>
      </c>
      <c r="R9" s="11" t="s">
        <v>32</v>
      </c>
      <c r="S9" s="11" t="s">
        <v>33</v>
      </c>
      <c r="T9" s="11" t="s">
        <v>34</v>
      </c>
      <c r="U9" s="11" t="s">
        <v>35</v>
      </c>
      <c r="V9" s="11" t="s">
        <v>36</v>
      </c>
      <c r="W9" s="11" t="s">
        <v>37</v>
      </c>
      <c r="X9" s="11" t="s">
        <v>38</v>
      </c>
      <c r="Y9" s="11" t="s">
        <v>6</v>
      </c>
      <c r="Z9" s="11" t="s">
        <v>39</v>
      </c>
      <c r="AA9" s="13"/>
    </row>
    <row r="10" customFormat="false" ht="4.9" hidden="false" customHeight="true" outlineLevel="0" collapsed="false">
      <c r="A10" s="78" t="s">
        <v>40</v>
      </c>
      <c r="B10" s="78" t="s">
        <v>40</v>
      </c>
      <c r="C10" s="78" t="s">
        <v>40</v>
      </c>
      <c r="D10" s="78" t="s">
        <v>40</v>
      </c>
      <c r="E10" s="78" t="s">
        <v>40</v>
      </c>
      <c r="F10" s="78" t="s">
        <v>40</v>
      </c>
      <c r="G10" s="78" t="s">
        <v>40</v>
      </c>
      <c r="H10" s="78" t="s">
        <v>40</v>
      </c>
      <c r="I10" s="78" t="s">
        <v>40</v>
      </c>
      <c r="J10" s="78" t="s">
        <v>40</v>
      </c>
      <c r="K10" s="78" t="s">
        <v>40</v>
      </c>
      <c r="L10" s="78" t="s">
        <v>40</v>
      </c>
      <c r="M10" s="78" t="s">
        <v>40</v>
      </c>
      <c r="N10" s="78" t="s">
        <v>40</v>
      </c>
      <c r="O10" s="78" t="s">
        <v>40</v>
      </c>
      <c r="P10" s="78" t="s">
        <v>40</v>
      </c>
      <c r="Q10" s="78" t="s">
        <v>40</v>
      </c>
      <c r="R10" s="78" t="s">
        <v>40</v>
      </c>
      <c r="S10" s="78" t="s">
        <v>40</v>
      </c>
      <c r="T10" s="78" t="s">
        <v>40</v>
      </c>
      <c r="U10" s="78" t="s">
        <v>40</v>
      </c>
      <c r="V10" s="78" t="s">
        <v>40</v>
      </c>
      <c r="W10" s="78" t="s">
        <v>40</v>
      </c>
      <c r="X10" s="78" t="s">
        <v>40</v>
      </c>
      <c r="Y10" s="78" t="s">
        <v>40</v>
      </c>
      <c r="Z10" s="78" t="s">
        <v>40</v>
      </c>
      <c r="AA10" s="40"/>
    </row>
    <row r="11" customFormat="false" ht="12.75" hidden="false" customHeight="true" outlineLevel="0" collapsed="false">
      <c r="A11" s="10" t="str">
        <f aca="false">[5]CASY!$D$305</f>
        <v>Casey's General Stores, Inc.</v>
      </c>
      <c r="B11" s="11" t="str">
        <f aca="false">[5]CASY!$E$305</f>
        <v>CASY</v>
      </c>
      <c r="C11" s="17" t="n">
        <f aca="false">[5]CASY!$D$9</f>
        <v>37099</v>
      </c>
      <c r="D11" s="85" t="e">
        <f aca="false">FDS(B11,"ib_price",$B$6)</f>
        <v>#NAME?</v>
      </c>
      <c r="E11" s="85" t="e">
        <f aca="false">FDS(B11,"ib_price_high_52w",$B$6)</f>
        <v>#NAME?</v>
      </c>
      <c r="F11" s="85" t="e">
        <f aca="false">FDS(B11,"ib_price_low_52w",$B$6)</f>
        <v>#NAME?</v>
      </c>
      <c r="G11" s="93" t="e">
        <f aca="false">D11*Z11</f>
        <v>#NAME?</v>
      </c>
      <c r="H11" s="93" t="e">
        <f aca="false">G11+[5]CASY!$J$123</f>
        <v>#NAME?</v>
      </c>
      <c r="I11" s="129" t="str">
        <f aca="false">IF(ISERROR(IF(OR(#REF!/[5]CASY!$O$46&lt;=0,G11/[5]CASY!$O$46&gt;=$AE$13),"NM",#REF!/[5]CASY!$O$46)),"NA",IF(OR(#REF!/[5]CASY!$O$46&lt;=0,G11/[5]CASY!$O$46&gt;=$AE$13),"NM",#REF!/[5]CASY!$O$46))</f>
        <v>NA</v>
      </c>
      <c r="J11" s="94" t="e">
        <f aca="false">IF(OR(D11/[5]CASY!$P$58&lt;=0,D11/[5]CASY!$P$58&gt;=AE18),"NM",D11/[5]CASY!$P$58)</f>
        <v>#NAME?</v>
      </c>
      <c r="K11" s="94" t="e">
        <f aca="false">IF(OR($D11/[5]CASY!$Q$58&lt;=0,$D11/[5]CASY!$Q$58&gt;=$AE$13),"NM",$D11/[5]CASY!$Q$58)</f>
        <v>#NAME?</v>
      </c>
      <c r="L11" s="94" t="str">
        <f aca="false">IF(ISERROR(IF(OR(#REF!/[5]CASY!$O$52&lt;=0,J11/[5]CASY!$O$52&gt;=$AE$13),"NM",#REF!/[5]CASY!$O$52)),"NA",IF(OR(#REF!/[5]CASY!$O$52&lt;=0,J11/[5]CASY!$O$52&gt;=$AE$13),"NM",#REF!/[5]CASY!$O$52))</f>
        <v>NA</v>
      </c>
      <c r="M11" s="94" t="e">
        <f aca="false">IF(OR($D11/[5]CASY!$P$59&lt;=0,$D11/[5]CASY!$P$59&gt;=$AE$13),"NM",$D11/[5]CASY!$P$59)</f>
        <v>#NAME?</v>
      </c>
      <c r="N11" s="94" t="e">
        <f aca="false">IF(OR($D11/[5]CASY!$Q$59&lt;=0,$D11/[5]CASY!$Q$59&gt;=$AE$13),"NM",$D11/[5]CASY!$Q$59)</f>
        <v>#NAME?</v>
      </c>
      <c r="O11" s="94" t="e">
        <f aca="false">IF(G11/[5]CASY!O$28&gt;=$AE$13,"NM",G11/[5]CASY!O$28)</f>
        <v>#NAME?</v>
      </c>
      <c r="P11" s="94" t="e">
        <f aca="false">IF(H11/[5]CASY!P$28&gt;=$AE$13,"NM",H11/[5]CASY!P$28)</f>
        <v>#NAME?</v>
      </c>
      <c r="Q11" s="94" t="e">
        <f aca="false">IF(H11/[5]CASY!$Q$28&gt;=$AE$13,"NM",H11/[5]CASY!$Q$28)</f>
        <v>#NAME?</v>
      </c>
      <c r="R11" s="29" t="n">
        <f aca="false">[5]CASY!$J$132</f>
        <v>0.380126962474765</v>
      </c>
      <c r="S11" s="94" t="e">
        <f aca="false">IF(G11/[5]CASY!$I$97&lt;=0,"NM",G11/[5]CASY!$I$97)</f>
        <v>#NAME?</v>
      </c>
      <c r="T11" s="29" t="e">
        <f aca="false">FDS(B11,"ib_div_yld",0)/100</f>
        <v>#NAME?</v>
      </c>
      <c r="U11" s="95" t="n">
        <f aca="false">[5]CASY!$S$305</f>
        <v>0</v>
      </c>
      <c r="V11" s="29" t="str">
        <f aca="false">[5]CASY!$T$305</f>
        <v>NA</v>
      </c>
      <c r="W11" s="85" t="str">
        <f aca="false">IF(ISERROR(((([5]CASY!$Q$282/[5]CASY!$Q$285)*H11)/U11)),"NA",((([5]CASY!$Q$282/[5]CASY!$Q$285)*H11)/U11))</f>
        <v>NA</v>
      </c>
      <c r="X11" s="93" t="n">
        <f aca="false">[5]CASY!$V$305</f>
        <v>0</v>
      </c>
      <c r="Y11" s="94" t="str">
        <f aca="false">IF(ISERROR(((([5]CASY!$Q$282/[5]CASY!$Q$285)*G11)/X11)),"NA",((([5]CASY!$Q$282/[5]CASY!$Q$285)*G11)/X11))</f>
        <v>NA</v>
      </c>
      <c r="Z11" s="130" t="n">
        <f aca="false">[5]CASY!$S$56</f>
        <v>49.7203881555393</v>
      </c>
      <c r="AA11" s="40"/>
    </row>
    <row r="12" customFormat="false" ht="12.75" hidden="false" customHeight="true" outlineLevel="0" collapsed="false">
      <c r="A12" s="10" t="str">
        <f aca="false">[6]DMC!$D$305</f>
        <v>Dairy Mart Convenience Stores</v>
      </c>
      <c r="B12" s="11" t="str">
        <f aca="false">[6]DMC!$E$305</f>
        <v>DMC</v>
      </c>
      <c r="C12" s="17" t="n">
        <f aca="false">[6]DMC!$D$9</f>
        <v>37099</v>
      </c>
      <c r="D12" s="85" t="e">
        <f aca="false">FDS(B12,"ib_price",$B$6)</f>
        <v>#NAME?</v>
      </c>
      <c r="E12" s="85" t="e">
        <f aca="false">FDS(B12,"ib_price_high_52w",$B$6)</f>
        <v>#NAME?</v>
      </c>
      <c r="F12" s="85" t="e">
        <f aca="false">FDS(B12,"ib_price_low_52w",$B$6)</f>
        <v>#NAME?</v>
      </c>
      <c r="G12" s="93" t="e">
        <f aca="false">D12*Z12</f>
        <v>#NAME?</v>
      </c>
      <c r="H12" s="93" t="e">
        <f aca="false">G12+[6]DMC!$J$123</f>
        <v>#NAME?</v>
      </c>
      <c r="I12" s="94" t="e">
        <f aca="false">IF(OR($G$13/[6]DMC!$O$46&lt;=0,$G$13/[6]DMC!$O$46&gt;=$AE$13),"NM",$G$13/[6]DMC!$O$46)</f>
        <v>#NAME?</v>
      </c>
      <c r="J12" s="94" t="str">
        <f aca="false">IF(ISERROR(IF(OR(D12/[6]DMC!$P$58&lt;=0,D12/[6]DMC!$P$58&gt;=AE18),"NM",D12/[6]DMC!$P$58)),"NA",IF(OR(D12/[6]DMC!$P$58&lt;=0,D12/[6]DMC!$P$58&gt;=AE18),"NM",D12/[6]DMC!$P$58))</f>
        <v>NA</v>
      </c>
      <c r="K12" s="94" t="str">
        <f aca="false">IF(ISERROR(IF(OR($D12/[6]DMC!$Q$58&lt;=0,$D12/[6]DMC!$Q$58&gt;=$AE$13),"NM",$D12/[6]DMC!$Q$58)),"NA",IF(OR($D12/[6]DMC!$Q$58&lt;=0,$D12/[6]DMC!$Q$58&gt;=$AE$13),"NM",$D12/[6]DMC!$Q$58))</f>
        <v>NA</v>
      </c>
      <c r="L12" s="94" t="e">
        <f aca="false">IF(OR($G$13/[6]DMC!$O$52&lt;=0,$G$13/[6]DMC!$O$52&gt;=$AE$13),"NM",$G$13/[6]DMC!$O$52)</f>
        <v>#NAME?</v>
      </c>
      <c r="M12" s="94" t="str">
        <f aca="false">IF(ISERROR(IF(OR($D12/[6]DMC!$P$59&lt;=0,$D12/[6]DMC!$P$59&gt;=$AE$13),"NM",$D12/[6]DMC!$P$59)),"NA",IF(OR($D12/[6]DMC!$P$59&lt;=0,$D12/[6]DMC!$P$59&gt;=$AE$13),"NM",$D12/[6]DMC!$P$59))</f>
        <v>NA</v>
      </c>
      <c r="N12" s="94" t="str">
        <f aca="false">IF(ISERROR(IF(OR($D12/[6]DMC!$Q$59&lt;=0,$D12/[6]DMC!$Q$59&gt;=$AE$13),"NM",$D12/[6]DMC!$Q$59)),"NA",IF(OR($D12/[6]DMC!$Q$59&lt;=0,$D12/[6]DMC!$Q$59&gt;=$AE$13),"NM",$D12/[6]DMC!$Q$59))</f>
        <v>NA</v>
      </c>
      <c r="O12" s="94" t="e">
        <f aca="false">IF(G12/[6]DMC!O$28&gt;=$AE$13,"NM",G12/[6]DMC!O$28)</f>
        <v>#NAME?</v>
      </c>
      <c r="P12" s="94" t="str">
        <f aca="false">IF(ISERROR(IF(H12/[6]DMC!P$28&gt;=$AE$13,"NM",H12/[6]DMC!P$28)),"NA",IF(H12/[6]DMC!P$28&gt;=$AE$13,"NM",H12/[6]DMC!P$28))</f>
        <v>NA</v>
      </c>
      <c r="Q12" s="94" t="str">
        <f aca="false">IF(ISERROR(IF(H12/[6]DMC!$Q$28&gt;=$AE$13,"NM",H12/[6]DMC!$Q$28)),"NA",IF(H12/[6]DMC!$Q$28&gt;=$AE$13,"NM",H12/[6]DMC!$Q$28))</f>
        <v>NA</v>
      </c>
      <c r="R12" s="29" t="n">
        <f aca="false">[6]DMC!$J$132</f>
        <v>1.19652689538331</v>
      </c>
      <c r="S12" s="94" t="e">
        <f aca="false">G12/[6]DMC!$I$97</f>
        <v>#NAME?</v>
      </c>
      <c r="T12" s="29" t="e">
        <f aca="false">FDS(B12,"ib_div_yld",0)/100</f>
        <v>#NAME?</v>
      </c>
      <c r="U12" s="95" t="n">
        <f aca="false">[6]DMC!$S$305</f>
        <v>0</v>
      </c>
      <c r="V12" s="29" t="str">
        <f aca="false">[6]DMC!$T$305</f>
        <v>NA</v>
      </c>
      <c r="W12" s="85" t="str">
        <f aca="false">IF(ISERROR(((([6]DMC!$Q$282/[6]DMC!$Q$285)*H12)/U12)),"NA",((([6]DMC!$Q$282/[6]DMC!$Q$285)*H12)/U12))</f>
        <v>NA</v>
      </c>
      <c r="X12" s="93" t="n">
        <f aca="false">[6]DMC!$V$305</f>
        <v>0</v>
      </c>
      <c r="Y12" s="94" t="str">
        <f aca="false">IF(ISERROR(((([6]DMC!$Q$282/[6]DMC!$Q$285)*G12)/X12)),"NA",((([6]DMC!$Q$282/[6]DMC!$Q$285)*G12)/X12))</f>
        <v>NA</v>
      </c>
      <c r="Z12" s="130" t="n">
        <f aca="false">[6]DMC!$S$56</f>
        <v>5.002026</v>
      </c>
      <c r="AA12" s="40"/>
    </row>
    <row r="13" customFormat="false" ht="12.75" hidden="false" customHeight="true" outlineLevel="0" collapsed="false">
      <c r="A13" s="10" t="str">
        <f aca="false">[7]lubrizol!$D$305</f>
        <v>Lubrizol Corp.</v>
      </c>
      <c r="B13" s="11" t="str">
        <f aca="false">[7]lubrizol!$E$305</f>
        <v>LZ</v>
      </c>
      <c r="C13" s="17" t="n">
        <f aca="false">[7]lubrizol!$D$9</f>
        <v>37099</v>
      </c>
      <c r="D13" s="85" t="e">
        <f aca="false">FDS(B13,"ib_price",$B$6)</f>
        <v>#NAME?</v>
      </c>
      <c r="E13" s="85" t="e">
        <f aca="false">FDS(B13,"ib_price_high_52w",$B$6)</f>
        <v>#NAME?</v>
      </c>
      <c r="F13" s="85" t="e">
        <f aca="false">FDS(B13,"ib_price_low_52w",$B$6)</f>
        <v>#NAME?</v>
      </c>
      <c r="G13" s="93" t="e">
        <f aca="false">D13*Z13</f>
        <v>#NAME?</v>
      </c>
      <c r="H13" s="93" t="e">
        <f aca="false">G13+[7]lubrizol!$J$123</f>
        <v>#NAME?</v>
      </c>
      <c r="I13" s="94" t="e">
        <f aca="false">IF(OR($G$13/[7]lubrizol!$O$46&lt;=0,$G$13/[7]lubrizol!$O$46&gt;=$AE$14),"NM",$G$13/[7]lubrizol!$O$46)</f>
        <v>#NAME?</v>
      </c>
      <c r="J13" s="94" t="e">
        <f aca="false">IF(OR(D13/[7]lubrizol!$P$58&lt;=0,D13/[7]lubrizol!$P$58&gt;=AE14),"NM",D13/[7]lubrizol!$P$58)</f>
        <v>#NAME?</v>
      </c>
      <c r="K13" s="94" t="e">
        <f aca="false">IF(OR($D13/[7]lubrizol!$Q$58&lt;=0,$D13/[7]lubrizol!$Q$58&gt;=$AE$14),"NM",$D13/[7]lubrizol!$Q$58)</f>
        <v>#NAME?</v>
      </c>
      <c r="L13" s="94" t="e">
        <f aca="false">IF(OR($G$13/[7]lubrizol!$O$52&lt;=0,$G$13/[7]lubrizol!$O$52&gt;=$AE$14),"NM",$G$13/[7]lubrizol!$O$52)</f>
        <v>#NAME?</v>
      </c>
      <c r="M13" s="94" t="e">
        <f aca="false">IF(OR($D13/[7]lubrizol!$P$59&lt;=0,$D13/[7]lubrizol!$P$59&gt;=$AE$14),"NM",$D13/[7]lubrizol!$P$59)</f>
        <v>#NAME?</v>
      </c>
      <c r="N13" s="94" t="e">
        <f aca="false">IF(OR($D13/[7]lubrizol!$Q$59&lt;=0,$D13/[7]lubrizol!$Q$59&gt;=$AE$14),"NM",$D13/[7]lubrizol!$Q$59)</f>
        <v>#NAME?</v>
      </c>
      <c r="O13" s="94" t="e">
        <f aca="false">IF(G13/[7]lubrizol!O$28&gt;=$AE$14,"NM",G13/[7]lubrizol!O$28)</f>
        <v>#NAME?</v>
      </c>
      <c r="P13" s="94" t="e">
        <f aca="false">IF(H13/[7]lubrizol!P$28&gt;=$AE$14,"NM",H13/[7]lubrizol!P$28)</f>
        <v>#NAME?</v>
      </c>
      <c r="Q13" s="94" t="e">
        <f aca="false">IF(H13/[7]lubrizol!$Q$28&gt;=$AE$14,"NM",H13/[7]lubrizol!$Q$28)</f>
        <v>#NAME?</v>
      </c>
      <c r="R13" s="29" t="n">
        <f aca="false">[7]lubrizol!$J$132</f>
        <v>0.344578795060977</v>
      </c>
      <c r="S13" s="94" t="e">
        <f aca="false">G13/[7]lubrizol!$I$97</f>
        <v>#NAME?</v>
      </c>
      <c r="T13" s="29" t="e">
        <f aca="false">FDS(B13,"ib_div_yld",0)/100</f>
        <v>#NAME?</v>
      </c>
      <c r="U13" s="95" t="n">
        <f aca="false">[7]lubrizol!$S$305</f>
        <v>0</v>
      </c>
      <c r="V13" s="29" t="str">
        <f aca="false">[7]lubrizol!$T$305</f>
        <v>NA</v>
      </c>
      <c r="W13" s="85" t="str">
        <f aca="false">IF(ISERROR(((([7]lubrizol!$Q$282/[7]lubrizol!$Q$285)*H13)/U13)),"NA",((([7]lubrizol!$Q$282/[7]lubrizol!$Q$285)*H13)/U13))</f>
        <v>NA</v>
      </c>
      <c r="X13" s="93" t="n">
        <f aca="false">[7]lubrizol!$V$305</f>
        <v>0</v>
      </c>
      <c r="Y13" s="94" t="str">
        <f aca="false">IF(ISERROR(((([7]lubrizol!$Q$282/[7]lubrizol!$Q$285)*G13)/X13)),"NA",((([7]lubrizol!$Q$282/[7]lubrizol!$Q$285)*G13)/X13))</f>
        <v>NA</v>
      </c>
      <c r="Z13" s="130" t="n">
        <f aca="false">[7]lubrizol!$S$56</f>
        <v>51.5903673100173</v>
      </c>
      <c r="AE13" s="131" t="s">
        <v>110</v>
      </c>
    </row>
    <row r="14" customFormat="false" ht="12.75" hidden="false" customHeight="true" outlineLevel="0" collapsed="false">
      <c r="A14" s="10" t="str">
        <f aca="false">[8]PZL!$D$305</f>
        <v>Pennzoil Quaker State Co.</v>
      </c>
      <c r="B14" s="11" t="str">
        <f aca="false">[8]PZL!$E$305</f>
        <v>PZL</v>
      </c>
      <c r="C14" s="17" t="n">
        <f aca="false">[8]PZL!$D$9</f>
        <v>37099</v>
      </c>
      <c r="D14" s="85" t="e">
        <f aca="false">FDS(B14,"ib_price",$B$6)</f>
        <v>#NAME?</v>
      </c>
      <c r="E14" s="85" t="e">
        <f aca="false">FDS(B14,"ib_price_high_52w",$B$6)</f>
        <v>#NAME?</v>
      </c>
      <c r="F14" s="85" t="e">
        <f aca="false">FDS(B14,"ib_price_low_52w",$B$6)</f>
        <v>#NAME?</v>
      </c>
      <c r="G14" s="93" t="e">
        <f aca="false">D14*Z14</f>
        <v>#NAME?</v>
      </c>
      <c r="H14" s="93" t="e">
        <f aca="false">G14+[8]PZL!$J$123</f>
        <v>#NAME?</v>
      </c>
      <c r="I14" s="94" t="e">
        <f aca="false">IF(OR($G$14/[8]PZL!$O$46&lt;=0,$G$14/[8]PZL!$O$46&gt;=$AE$14),"NM",$G$14/[8]PZL!$O$46)</f>
        <v>#NAME?</v>
      </c>
      <c r="J14" s="94" t="e">
        <f aca="false">IF(OR(D14/[8]PZL!$P$58&lt;=0,D14/[8]PZL!$P$58&gt;=AE14),"NM",D14/[8]PZL!$P$58)</f>
        <v>#NAME?</v>
      </c>
      <c r="K14" s="94" t="e">
        <f aca="false">IF(OR($D14/[8]PZL!$Q$58&lt;=0,$D14/[8]PZL!$Q$58&gt;=$AE$14),"NM",$D14/[8]PZL!$Q$58)</f>
        <v>#NAME?</v>
      </c>
      <c r="L14" s="94" t="e">
        <f aca="false">IF(OR($G$14/[8]PZL!$O$52&lt;=0,$G$14/[8]PZL!$O$52&gt;=$AE$14),"NM",$G$14/[8]PZL!$O$52)</f>
        <v>#NAME?</v>
      </c>
      <c r="M14" s="94" t="e">
        <f aca="false">IF(OR($D14/[8]PZL!$P$59&lt;=0,$D14/[8]PZL!$P$59&gt;=$AE$14),"NM",$D14/[8]PZL!$P$59)</f>
        <v>#NAME?</v>
      </c>
      <c r="N14" s="94" t="e">
        <f aca="false">IF(OR($D14/[8]PZL!$Q$59&lt;=0,$D14/[8]PZL!$Q$59&gt;=$AE$14),"NM",$D14/[8]PZL!$Q$59)</f>
        <v>#NAME?</v>
      </c>
      <c r="O14" s="94" t="e">
        <f aca="false">IF(G14/[8]PZL!O$28&gt;=$AE$14,"NM",G14/[8]PZL!O$28)</f>
        <v>#NAME?</v>
      </c>
      <c r="P14" s="94" t="e">
        <f aca="false">IF(H14/[8]PZL!P$28&gt;=$AE$14,"NM",H14/[8]PZL!P$28)</f>
        <v>#NAME?</v>
      </c>
      <c r="Q14" s="94" t="e">
        <f aca="false">IF(H14/[8]PZL!$Q$28&gt;=$AE$14,"NM",H14/[8]PZL!$Q$28)</f>
        <v>#NAME?</v>
      </c>
      <c r="R14" s="29" t="n">
        <f aca="false">[8]PZL!$J$132</f>
        <v>0.609137084968702</v>
      </c>
      <c r="S14" s="94" t="e">
        <f aca="false">G14/[8]PZL!$I$97</f>
        <v>#NAME?</v>
      </c>
      <c r="T14" s="29" t="e">
        <f aca="false">FDS(B14,"ib_div_yld",0)/100</f>
        <v>#NAME?</v>
      </c>
      <c r="U14" s="95" t="n">
        <f aca="false">[8]PZL!$S$305</f>
        <v>0</v>
      </c>
      <c r="V14" s="29" t="str">
        <f aca="false">[8]PZL!$T$305</f>
        <v>NA</v>
      </c>
      <c r="W14" s="85" t="str">
        <f aca="false">IF(ISERROR(((([8]PZL!$Q$282/[8]PZL!$Q$285)*H14)/U14)),"NA",((([8]PZL!$Q$282/[8]PZL!$Q$285)*H14)/U14))</f>
        <v>NA</v>
      </c>
      <c r="X14" s="93" t="n">
        <f aca="false">[8]PZL!$V$305</f>
        <v>0</v>
      </c>
      <c r="Y14" s="94" t="str">
        <f aca="false">IF(ISERROR(((([8]PZL!$Q$282/[8]PZL!$Q$285)*G14)/X14)),"NA",((([8]PZL!$Q$282/[8]PZL!$Q$285)*G14)/X14))</f>
        <v>NA</v>
      </c>
      <c r="Z14" s="130" t="n">
        <f aca="false">[8]PZL!$S$56</f>
        <v>78.8347215159011</v>
      </c>
      <c r="AA14" s="86"/>
      <c r="AE14" s="132" t="n">
        <v>50</v>
      </c>
    </row>
    <row r="15" customFormat="false" ht="12.75" hidden="false" customHeight="true" outlineLevel="0" collapsed="false">
      <c r="A15" s="10" t="str">
        <f aca="false">[9]SE!$D$305</f>
        <v>7 Eleven, Inc.</v>
      </c>
      <c r="B15" s="11" t="str">
        <f aca="false">[9]SE!$E$305</f>
        <v>SE</v>
      </c>
      <c r="C15" s="17" t="n">
        <f aca="false">[9]SE!$D$9</f>
        <v>37099</v>
      </c>
      <c r="D15" s="85" t="e">
        <f aca="false">FDS(B15,"ib_price",$B$6)</f>
        <v>#NAME?</v>
      </c>
      <c r="E15" s="85" t="e">
        <f aca="false">FDS(B15,"ib_price_high_52w",$B$6)</f>
        <v>#NAME?</v>
      </c>
      <c r="F15" s="85" t="e">
        <f aca="false">FDS(B15,"ib_price_low_52w",$B$6)</f>
        <v>#NAME?</v>
      </c>
      <c r="G15" s="93" t="e">
        <f aca="false">D15*Z15</f>
        <v>#NAME?</v>
      </c>
      <c r="H15" s="93" t="e">
        <f aca="false">G15+[9]SE!$J$123</f>
        <v>#NAME?</v>
      </c>
      <c r="I15" s="129" t="str">
        <f aca="false">IF(ISERROR(IF(OR(#REF!/[9]SE!$O$46&lt;=0,$G15/[9]SE!$O$46&gt;=AE18),"NM",#REF!/[9]SE!$O$46)),"NA",IF(OR(#REF!/[9]SE!$O$46&lt;=0,$G15/[9]SE!$O$46&gt;=AE18),"NM",#REF!/[9]SE!$O$46))</f>
        <v>NA</v>
      </c>
      <c r="J15" s="94" t="e">
        <f aca="false">IF(OR(D15/[9]SE!$P$58&lt;=0,D15/[9]SE!$P$58&gt;=AE18),"NM",D15/[9]SE!$P$58)</f>
        <v>#NAME?</v>
      </c>
      <c r="K15" s="94" t="e">
        <f aca="false">IF(OR($D15/[9]SE!$Q$58&lt;=0,$D15/[9]SE!$Q$58&gt;=$AE$13),"NM",$D15/[9]SE!$Q$58)</f>
        <v>#NAME?</v>
      </c>
      <c r="L15" s="94" t="str">
        <f aca="false">IF(ISERROR(IF(OR(#REF!/[9]SE!$O$52&lt;=0,$G15/[9]SE!$O$52&gt;=AH23),"NM",#REF!/[9]SE!$O$52)),"NA",IF(OR(#REF!/[9]SE!$O$52&lt;=0,$G15/[9]SE!$O$52&gt;=AH23),"NM",#REF!/[9]SE!$O$52))</f>
        <v>NA</v>
      </c>
      <c r="M15" s="94" t="str">
        <f aca="false">IF(ISERROR(IF(OR($D15/[9]SE!$P$59&lt;=0,$D15/[9]SE!$P$59&gt;=$AE$13),"NM",$D15/[9]SE!$P$59)),"NA",IF(OR($D15/[9]SE!$P$59&lt;=0,$D15/[9]SE!$P$59&gt;=$AE$13),"NM",$D15/[9]SE!$P$59))</f>
        <v>NA</v>
      </c>
      <c r="N15" s="94" t="str">
        <f aca="false">IF(ISERROR(IF(OR($D15/[9]SE!$Q$59&lt;=0,$D15/[9]SE!$Q$59&gt;=$AE$13),"NM",$D15/[9]SE!$Q$59)),"NA",IF(OR($D15/[9]SE!$Q$59&lt;=0,$D15/[9]SE!$Q$59&gt;=$AE$13),"NM",$D15/[9]SE!$Q$59))</f>
        <v>NA</v>
      </c>
      <c r="O15" s="94" t="e">
        <f aca="false">IF(G15/[9]SE!O$28&gt;=$AE$13,"NM",G15/[9]SE!O$28)</f>
        <v>#NAME?</v>
      </c>
      <c r="P15" s="94" t="e">
        <f aca="false">IF(H15/[9]SE!P$28&gt;=$AE$13,"NM",H15/[9]SE!P$28)</f>
        <v>#NAME?</v>
      </c>
      <c r="Q15" s="94" t="e">
        <f aca="false">IF(H15/[9]SE!$Q$28&gt;=$AE$13,"NM",H15/[9]SE!$Q$28)</f>
        <v>#NAME?</v>
      </c>
      <c r="R15" s="29" t="n">
        <f aca="false">[9]SE!$J$132</f>
        <v>0.963360585127285</v>
      </c>
      <c r="S15" s="94" t="e">
        <f aca="false">G15/[9]SE!$I$97</f>
        <v>#NAME?</v>
      </c>
      <c r="T15" s="29" t="e">
        <f aca="false">FDS(B15,"ib_div_yld",0)/100</f>
        <v>#NAME?</v>
      </c>
      <c r="U15" s="127" t="n">
        <f aca="false">[9]SE!$S$305</f>
        <v>0</v>
      </c>
      <c r="V15" s="29" t="str">
        <f aca="false">[9]SE!$T$305</f>
        <v>NA</v>
      </c>
      <c r="W15" s="85" t="str">
        <f aca="false">IF(ISERROR(((([9]SE!$Q$282/[9]SE!$Q$285)*H15)/U15)),"NA",((([9]SE!$Q$282/[9]SE!$Q$285)*H15)/U15))</f>
        <v>NA</v>
      </c>
      <c r="X15" s="93" t="n">
        <f aca="false">[9]SE!$V$305</f>
        <v>0</v>
      </c>
      <c r="Y15" s="94" t="str">
        <f aca="false">IF(ISERROR(((([9]SE!$Q$282/[9]SE!$Q$285)*G15)/X15)),"NA",((([9]SE!$Q$282/[9]SE!$Q$285)*G15)/X15))</f>
        <v>NA</v>
      </c>
      <c r="Z15" s="128" t="n">
        <f aca="false">[9]SE!$S$56</f>
        <v>105.118025965517</v>
      </c>
      <c r="AA15" s="86"/>
    </row>
    <row r="16" customFormat="false" ht="12.75" hidden="false" customHeight="true" outlineLevel="0" collapsed="false">
      <c r="A16" s="10" t="str">
        <f aca="false">[10]PTRY!$D$305</f>
        <v>The Pantry, Inc.</v>
      </c>
      <c r="B16" s="11" t="str">
        <f aca="false">[10]PTRY!$E$305</f>
        <v>PTRY</v>
      </c>
      <c r="C16" s="17" t="n">
        <f aca="false">[10]PTRY!$D$9</f>
        <v>37099</v>
      </c>
      <c r="D16" s="85" t="e">
        <f aca="false">FDS(B16,"ib_price",$B$6)</f>
        <v>#NAME?</v>
      </c>
      <c r="E16" s="85" t="e">
        <f aca="false">FDS(B16,"ib_price_high_52w",$B$6)</f>
        <v>#NAME?</v>
      </c>
      <c r="F16" s="85" t="e">
        <f aca="false">FDS(B16,"ib_price_low_52w",$B$6)</f>
        <v>#NAME?</v>
      </c>
      <c r="G16" s="93" t="e">
        <f aca="false">D16*Z16</f>
        <v>#NAME?</v>
      </c>
      <c r="H16" s="93" t="e">
        <f aca="false">G16+[10]PTRY!$J$123</f>
        <v>#NAME?</v>
      </c>
      <c r="I16" s="94" t="e">
        <f aca="false">IF(OR($G$14/[10]PTRY!$O$46&lt;=0,$G$14/[10]PTRY!$O$46&gt;=$AE$13),"NM",$G$14/[10]PTRY!$O$46)</f>
        <v>#NAME?</v>
      </c>
      <c r="J16" s="94" t="e">
        <f aca="false">IF(OR(D16/[10]PTRY!$P$58&lt;=0,D16/[10]PTRY!$P$58&gt;=AE18),"NM",D16/[10]PTRY!$P$58)</f>
        <v>#NAME?</v>
      </c>
      <c r="K16" s="94" t="e">
        <f aca="false">IF(OR($D16/[10]PTRY!$Q$58&lt;=0,$D16/[10]PTRY!$Q$58&gt;=$AE$13),"NM",$D16/[10]PTRY!$Q$58)</f>
        <v>#NAME?</v>
      </c>
      <c r="L16" s="94" t="e">
        <f aca="false">IF(OR($G$14/[10]PTRY!$O$52&lt;=0,$G$14/[10]PTRY!$O$52&gt;=$AE$13),"NM",$G$14/[10]PTRY!$O$52)</f>
        <v>#NAME?</v>
      </c>
      <c r="M16" s="94" t="e">
        <f aca="false">IF(OR($D16/[10]PTRY!$P$59&lt;=0,$D16/[10]PTRY!$P$59&gt;=$AE$13),"NM",$D16/[10]PTRY!$P$59)</f>
        <v>#NAME?</v>
      </c>
      <c r="N16" s="94" t="e">
        <f aca="false">IF(OR($D16/[10]PTRY!$Q$59&lt;=0,$D16/[10]PTRY!$Q$59&gt;=$AE$13),"NM",$D16/[10]PTRY!$Q$59)</f>
        <v>#NAME?</v>
      </c>
      <c r="O16" s="94" t="e">
        <f aca="false">IF(G16/[10]PTRY!O$28&gt;=$AE$13,"NM",G16/[10]PTRY!O$28)</f>
        <v>#NAME?</v>
      </c>
      <c r="P16" s="94" t="e">
        <f aca="false">IF(H16/[10]PTRY!P$28&gt;=$AE$13,"NM",H16/[10]PTRY!P$28)</f>
        <v>#NAME?</v>
      </c>
      <c r="Q16" s="94" t="e">
        <f aca="false">IF(H16/[10]PTRY!$Q$28&gt;=$AE$13,"NM",H16/[10]PTRY!$Q$28)</f>
        <v>#NAME?</v>
      </c>
      <c r="R16" s="29" t="n">
        <f aca="false">[10]PTRY!$J$132</f>
        <v>0.849210269847961</v>
      </c>
      <c r="S16" s="94" t="e">
        <f aca="false">G16/[10]PTRY!$I$97</f>
        <v>#NAME?</v>
      </c>
      <c r="T16" s="29" t="e">
        <f aca="false">FDS(B16,"ib_div_yld",0)/100</f>
        <v>#NAME?</v>
      </c>
      <c r="U16" s="95" t="n">
        <f aca="false">[10]PTRY!$S$305</f>
        <v>0</v>
      </c>
      <c r="V16" s="29" t="str">
        <f aca="false">[10]PTRY!$T$305</f>
        <v>NA</v>
      </c>
      <c r="W16" s="85" t="str">
        <f aca="false">IF(ISERROR(((([10]PTRY!$Q$282/[10]PTRY!$Q$285)*H16)/U16)),"NA",((([10]PTRY!$Q$282/[10]PTRY!$Q$285)*H16)/U16))</f>
        <v>NA</v>
      </c>
      <c r="X16" s="93" t="n">
        <f aca="false">[10]PTRY!$V$305</f>
        <v>0</v>
      </c>
      <c r="Y16" s="94" t="str">
        <f aca="false">IF(ISERROR(((([10]PTRY!$Q$282/[10]PTRY!$Q$285)*G16)/X16)),"NA",((([10]PTRY!$Q$282/[10]PTRY!$Q$285)*G16)/X16))</f>
        <v>NA</v>
      </c>
      <c r="Z16" s="130" t="n">
        <f aca="false">[10]PTRY!$S$56</f>
        <v>18.1503666423358</v>
      </c>
      <c r="AA16" s="86"/>
    </row>
    <row r="17" customFormat="false" ht="12.75" hidden="false" customHeight="true" outlineLevel="0" collapsed="false">
      <c r="A17" s="10" t="str">
        <f aca="false">[11]UNI!$D$305</f>
        <v>Uni-Marts Inc.</v>
      </c>
      <c r="B17" s="11" t="str">
        <f aca="false">[11]UNI!$E$305</f>
        <v>UNI</v>
      </c>
      <c r="C17" s="17" t="n">
        <f aca="false">[11]UNI!$D$9</f>
        <v>37099</v>
      </c>
      <c r="D17" s="85" t="e">
        <f aca="false">FDS(B17,"ib_price",$B$6)</f>
        <v>#NAME?</v>
      </c>
      <c r="E17" s="85" t="e">
        <f aca="false">FDS(B17,"ib_price_high_52w",$B$6)</f>
        <v>#NAME?</v>
      </c>
      <c r="F17" s="85" t="e">
        <f aca="false">FDS(B17,"ib_price_low_52w",$B$6)</f>
        <v>#NAME?</v>
      </c>
      <c r="G17" s="93" t="e">
        <f aca="false">D17*Z17</f>
        <v>#NAME?</v>
      </c>
      <c r="H17" s="93" t="e">
        <f aca="false">G17+[11]UNI!$J$123</f>
        <v>#NAME?</v>
      </c>
      <c r="I17" s="94" t="e">
        <f aca="false">IF(OR(#REF!/[11]UNI!$O$46&lt;=0,#REF!/[11]UNI!$O$46&gt;=$AE$13),"NM",#REF!/[11]UNI!$O$46)</f>
        <v>#REF!</v>
      </c>
      <c r="J17" s="94" t="str">
        <f aca="false">IF(ISERROR(IF(OR(D17/[11]UNI!$P$58&lt;=0,D17/[11]UNI!$P$58&gt;=AE18),"NM",D17/[11]UNI!$P$58)),"NA",IF(OR(D17/[11]UNI!$P$58&lt;=0,D17/[11]UNI!$P$58&gt;=AE18),"NM",D17/[11]UNI!$P$58))</f>
        <v>NA</v>
      </c>
      <c r="K17" s="94" t="str">
        <f aca="false">IF(ISERROR(IF(OR($D17/[11]UNI!$Q$58&lt;=0,$D17/[11]UNI!$Q$58&gt;=$AE$13),"NM",$D17/[11]UNI!$Q$58)),"NA",IF(OR($D17/[11]UNI!$Q$58&lt;=0,$D17/[11]UNI!$Q$58&gt;=$AE$13),"NM",$D17/[11]UNI!$Q$58))</f>
        <v>NA</v>
      </c>
      <c r="L17" s="94" t="e">
        <f aca="false">IF(OR(#REF!/[11]UNI!$O$52&lt;=0,#REF!/[11]UNI!$O$52&gt;=$AE$13),"NM",#REF!/[11]UNI!$O$52)</f>
        <v>#REF!</v>
      </c>
      <c r="M17" s="94" t="str">
        <f aca="false">IF(ISERROR(IF(OR($D17/[11]UNI!$P$59&lt;=0,$D17/[11]UNI!$P$59&gt;=$AE$13),"NM",$D17/[11]UNI!$P$59)),"NA",IF(OR($D17/[11]UNI!$P$59&lt;=0,$D17/[11]UNI!$P$59&gt;=$AE$13),"NM",$D17/[11]UNI!$P$59))</f>
        <v>NA</v>
      </c>
      <c r="N17" s="94" t="str">
        <f aca="false">IF(ISERROR(IF(OR($D17/[11]UNI!$Q$59&lt;=0,$D17/[11]UNI!$Q$59&gt;=$AE$13),"NM",$D17/[11]UNI!$Q$59)),"NA",IF(OR($D17/[11]UNI!$Q$59&lt;=0,$D17/[11]UNI!$Q$59&gt;=$AE$13),"NM",$D17/[11]UNI!$Q$59))</f>
        <v>NA</v>
      </c>
      <c r="O17" s="94" t="e">
        <f aca="false">IF(G17/[5]CASY!O$28&gt;=$AE$13,"NM",G17/[5]CASY!O$28)</f>
        <v>#NAME?</v>
      </c>
      <c r="P17" s="94" t="e">
        <f aca="false">IF(H17/[5]CASY!P$28&gt;=$AE$13,"NM",H17/[5]CASY!P$28)</f>
        <v>#NAME?</v>
      </c>
      <c r="Q17" s="94" t="str">
        <f aca="false">IF(ISERROR(IF(H17/[11]UNI!$Q$28&gt;=$AE$13,"NM",H17/[11]UNI!$Q$28)),"NA",IF(H17/[11]UNI!$Q$28&gt;=$AE$13,"NM",H17/[11]UNI!$Q$28))</f>
        <v>NA</v>
      </c>
      <c r="R17" s="29" t="n">
        <f aca="false">[11]UNI!$J$132</f>
        <v>0.743649042537436</v>
      </c>
      <c r="S17" s="94" t="e">
        <f aca="false">G17/[11]UNI!$I$97</f>
        <v>#NAME?</v>
      </c>
      <c r="T17" s="29" t="e">
        <f aca="false">FDS(B17,"ib_div_yld",0)/100</f>
        <v>#NAME?</v>
      </c>
      <c r="U17" s="95" t="n">
        <f aca="false">[11]UNI!$S$305</f>
        <v>0</v>
      </c>
      <c r="V17" s="29" t="str">
        <f aca="false">[11]UNI!$T$305</f>
        <v>NA</v>
      </c>
      <c r="W17" s="85" t="str">
        <f aca="false">IF(ISERROR(((([11]UNI!$Q$282/[11]UNI!$Q$285)*H17)/U17)),"NA",((([11]UNI!$Q$282/[11]UNI!$Q$285)*H17)/U17))</f>
        <v>NA</v>
      </c>
      <c r="X17" s="93" t="n">
        <f aca="false">[11]UNI!$V$305</f>
        <v>0</v>
      </c>
      <c r="Y17" s="94" t="str">
        <f aca="false">IF(ISERROR(((([11]UNI!$Q$282/[11]UNI!$Q$285)*G17)/X17)),"NA",((([11]UNI!$Q$282/[11]UNI!$Q$285)*G17)/X17))</f>
        <v>NA</v>
      </c>
      <c r="Z17" s="130" t="n">
        <f aca="false">[11]UNI!$S$56</f>
        <v>7.060502</v>
      </c>
      <c r="AA17" s="86"/>
    </row>
    <row r="18" customFormat="false" ht="12.75" hidden="false" customHeight="true" outlineLevel="0" collapsed="false">
      <c r="A18" s="10" t="str">
        <f aca="false">[12]WD!$D$305</f>
        <v>WD-40 Co.</v>
      </c>
      <c r="B18" s="11" t="str">
        <f aca="false">[12]WD!$B$13</f>
        <v>WDFC</v>
      </c>
      <c r="C18" s="17" t="n">
        <f aca="false">[12]WD!$D$9</f>
        <v>37099</v>
      </c>
      <c r="D18" s="85" t="e">
        <f aca="false">FDS(B18,"ib_price",$B$6)</f>
        <v>#NAME?</v>
      </c>
      <c r="E18" s="85" t="e">
        <f aca="false">FDS(B18,"ib_price_high_52w",$B$6)</f>
        <v>#NAME?</v>
      </c>
      <c r="F18" s="85" t="e">
        <f aca="false">FDS(B18,"ib_price_low_52w",$B$6)</f>
        <v>#NAME?</v>
      </c>
      <c r="G18" s="93" t="e">
        <f aca="false">D18*Z18</f>
        <v>#NAME?</v>
      </c>
      <c r="H18" s="93" t="e">
        <f aca="false">G18+[12]WD!$J$123</f>
        <v>#NAME?</v>
      </c>
      <c r="I18" s="94" t="e">
        <f aca="false">IF(OR($G$18/[12]WD!$O$46&lt;=0,$G$18/[12]WD!$O$46&gt;=$AE$14),"NM",$G$18/[12]WD!$O$46)</f>
        <v>#NAME?</v>
      </c>
      <c r="J18" s="94" t="e">
        <f aca="false">IF(OR(D18/[12]WD!$P$58&lt;=0,D18/[12]WD!$P$58&gt;=AE14),"NM",D18/[12]WD!$P$58)</f>
        <v>#NAME?</v>
      </c>
      <c r="K18" s="94" t="e">
        <f aca="false">IF(OR($D18/[12]WD!$Q$58&lt;=0,$D18/[12]WD!$Q$58&gt;=$AE$14),"NM",$D18/[12]WD!$Q$58)</f>
        <v>#NAME?</v>
      </c>
      <c r="L18" s="94" t="e">
        <f aca="false">IF(OR($G$18/[12]WD!$O$52&lt;=0,$G$18/[12]WD!$O$52&gt;=$AE$14),"NM",$G$18/[12]WD!$O$52)</f>
        <v>#NAME?</v>
      </c>
      <c r="M18" s="94" t="str">
        <f aca="false">IF(ISERROR(IF(OR($D18/[12]WD!$P$59&lt;=0,$D18/[12]WD!$P$59&gt;=$AE$14),"NM",$D18/[12]WD!$P$59)),"NA",IF(OR($D18/[12]WD!$P$59&lt;=0,$D18/[12]WD!$P$59&gt;=$AE$14),"NM",$D18/[12]WD!$P$59))</f>
        <v>NA</v>
      </c>
      <c r="N18" s="94" t="str">
        <f aca="false">IF(ISERROR(IF(OR($D18/[12]WD!$Q$59&lt;=0,$D18/[12]WD!$Q$59&gt;=$AE$14),"NM",$D18/[12]WD!$Q$59)),"NA",IF(OR($D18/[12]WD!$Q$59&lt;=0,$D18/[12]WD!$Q$59&gt;=$AE$14),"NM",$D18/[12]WD!$Q$59))</f>
        <v>NA</v>
      </c>
      <c r="O18" s="94" t="e">
        <f aca="false">IF(G18/[13]TSO!O$28&gt;=$AE$14,"NM",G18/[13]TSO!O$28)</f>
        <v>#NAME?</v>
      </c>
      <c r="P18" s="94" t="e">
        <f aca="false">IF(H18/[13]TSO!P$28&gt;=$AE$14,"NM",H18/[13]TSO!P$28)</f>
        <v>#NAME?</v>
      </c>
      <c r="Q18" s="94" t="e">
        <f aca="false">IF(H18/[12]WD!$Q$28&gt;=$AE$14,"NM",H18/[12]WD!$Q$28)</f>
        <v>#NAME?</v>
      </c>
      <c r="R18" s="29" t="n">
        <f aca="false">[12]WD!$J$132</f>
        <v>0.202511320209384</v>
      </c>
      <c r="S18" s="94" t="e">
        <f aca="false">G18/[12]WD!$I$97</f>
        <v>#NAME?</v>
      </c>
      <c r="T18" s="29" t="e">
        <f aca="false">FDS(B18,"ib_div_yld",0)/100</f>
        <v>#NAME?</v>
      </c>
      <c r="U18" s="95" t="n">
        <f aca="false">[12]WD!$S$305</f>
        <v>0</v>
      </c>
      <c r="V18" s="29" t="str">
        <f aca="false">[12]WD!$T$305</f>
        <v>NA</v>
      </c>
      <c r="W18" s="85" t="str">
        <f aca="false">IF(ISERROR(((([12]WD!$Q$282/[12]WD!$Q$285)*H18)/U18)),"NA",((([12]WD!$Q$282/[12]WD!$Q$285)*H18)/U18))</f>
        <v>NA</v>
      </c>
      <c r="X18" s="93" t="n">
        <f aca="false">[12]WD!$V$305</f>
        <v>0</v>
      </c>
      <c r="Y18" s="94" t="str">
        <f aca="false">IF(ISERROR(((([12]WD!$Q$282/[12]WD!$Q$285)*G18)/X18)),"NA",((([12]WD!$Q$282/[12]WD!$Q$285)*G18)/X18))</f>
        <v>NA</v>
      </c>
      <c r="Z18" s="130" t="n">
        <f aca="false">[12]WD!$S$56</f>
        <v>15.4404702295082</v>
      </c>
      <c r="AA18" s="86"/>
    </row>
    <row r="19" customFormat="false" ht="12.95" hidden="false" customHeight="true" outlineLevel="0" collapsed="false">
      <c r="AA19" s="86"/>
    </row>
    <row r="20" customFormat="false" ht="12.95" hidden="false" customHeight="true" outlineLevel="0" collapsed="false">
      <c r="AA20" s="86"/>
    </row>
    <row r="21" customFormat="false" ht="12.95" hidden="false" customHeight="true" outlineLevel="0" collapsed="false">
      <c r="AA21" s="86"/>
    </row>
    <row r="22" customFormat="false" ht="12.95" hidden="false" customHeight="true" outlineLevel="0" collapsed="false">
      <c r="B22" s="11"/>
      <c r="C22" s="17"/>
      <c r="D22" s="85"/>
      <c r="E22" s="85"/>
      <c r="F22" s="85"/>
      <c r="G22" s="93"/>
      <c r="H22" s="93"/>
      <c r="I22" s="94"/>
      <c r="J22" s="94"/>
      <c r="K22" s="94"/>
      <c r="L22" s="94"/>
      <c r="M22" s="94"/>
      <c r="N22" s="94"/>
      <c r="O22" s="94"/>
      <c r="P22" s="94"/>
      <c r="Q22" s="94"/>
      <c r="R22" s="29"/>
      <c r="S22" s="94"/>
      <c r="T22" s="29"/>
      <c r="U22" s="95"/>
      <c r="V22" s="29"/>
      <c r="W22" s="85"/>
      <c r="X22" s="134"/>
      <c r="Y22" s="94"/>
      <c r="Z22" s="130"/>
      <c r="AA22" s="86"/>
      <c r="AB22" s="11"/>
      <c r="AC22" s="88"/>
      <c r="AD22" s="89"/>
      <c r="AE22" s="40"/>
    </row>
    <row r="23" customFormat="false" ht="12.95" hidden="false" customHeight="true" outlineLevel="0" collapsed="false">
      <c r="B23" s="39"/>
      <c r="C23" s="39"/>
      <c r="D23" s="39"/>
      <c r="E23" s="39"/>
      <c r="F23" s="39"/>
      <c r="G23" s="39"/>
      <c r="H23" s="40" t="s">
        <v>56</v>
      </c>
      <c r="I23" s="39"/>
      <c r="J23" s="94" t="str">
        <f aca="false">IF(ISERROR(AVERAGE(J11:J18)),"NA",AVERAGE(J11:J18))</f>
        <v>NA</v>
      </c>
      <c r="K23" s="94" t="str">
        <f aca="false">IF(ISERROR(AVERAGE(K11:K18)),"NA",AVERAGE(K11:K18))</f>
        <v>NA</v>
      </c>
      <c r="L23" s="94" t="e">
        <f aca="false">AVERAGE(L11:L18)</f>
        <v>#NAME?</v>
      </c>
      <c r="M23" s="94" t="e">
        <f aca="false">AVERAGE(M11:M18)</f>
        <v>#NAME?</v>
      </c>
      <c r="N23" s="94" t="e">
        <f aca="false">AVERAGE(N11:N18)</f>
        <v>#NAME?</v>
      </c>
      <c r="O23" s="94" t="e">
        <f aca="false">AVERAGE(O11:O18)</f>
        <v>#NAME?</v>
      </c>
      <c r="P23" s="94" t="e">
        <f aca="false">AVERAGE(P11:P18)</f>
        <v>#NAME?</v>
      </c>
      <c r="Q23" s="94" t="e">
        <f aca="false">AVERAGE(Q11:Q18)</f>
        <v>#NAME?</v>
      </c>
      <c r="R23" s="29" t="n">
        <f aca="false">AVERAGE(R11:R18)</f>
        <v>0.661137619451228</v>
      </c>
      <c r="S23" s="94" t="e">
        <f aca="false">AVERAGE(S11:S18)</f>
        <v>#NAME?</v>
      </c>
      <c r="T23" s="29" t="e">
        <f aca="false">AVERAGE(T11:T18)</f>
        <v>#NAME?</v>
      </c>
      <c r="U23" s="95"/>
      <c r="V23" s="85" t="s">
        <v>51</v>
      </c>
      <c r="W23" s="85" t="s">
        <v>51</v>
      </c>
      <c r="X23" s="93"/>
      <c r="Y23" s="94" t="s">
        <v>51</v>
      </c>
      <c r="Z23" s="39"/>
    </row>
    <row r="24" customFormat="false" ht="12.95" hidden="false" customHeight="true" outlineLevel="0" collapsed="false">
      <c r="B24" s="39"/>
      <c r="C24" s="39"/>
      <c r="D24" s="39"/>
      <c r="E24" s="39"/>
      <c r="F24" s="39"/>
      <c r="G24" s="39"/>
      <c r="H24" s="40" t="s">
        <v>57</v>
      </c>
      <c r="I24" s="39"/>
      <c r="J24" s="94" t="e">
        <f aca="false">MEDIAN(J11:J18)</f>
        <v>#NAME?</v>
      </c>
      <c r="K24" s="94" t="e">
        <f aca="false">MEDIAN(K11:K18)</f>
        <v>#NAME?</v>
      </c>
      <c r="L24" s="94" t="e">
        <f aca="false">MEDIAN(L11:L18)</f>
        <v>#NAME?</v>
      </c>
      <c r="M24" s="94" t="e">
        <f aca="false">MEDIAN(M11:M18)</f>
        <v>#NAME?</v>
      </c>
      <c r="N24" s="94" t="e">
        <f aca="false">MEDIAN(N11:N18)</f>
        <v>#NAME?</v>
      </c>
      <c r="O24" s="94" t="e">
        <f aca="false">MEDIAN(O11:O18)</f>
        <v>#NAME?</v>
      </c>
      <c r="P24" s="94" t="e">
        <f aca="false">MEDIAN(P11:P18)</f>
        <v>#NAME?</v>
      </c>
      <c r="Q24" s="94" t="e">
        <f aca="false">MEDIAN(Q11:Q18)</f>
        <v>#NAME?</v>
      </c>
      <c r="R24" s="29" t="n">
        <f aca="false">MEDIAN(R11:R18)</f>
        <v>0.676393063753069</v>
      </c>
      <c r="S24" s="94" t="e">
        <f aca="false">MEDIAN(S11:S18)</f>
        <v>#NAME?</v>
      </c>
      <c r="T24" s="29" t="e">
        <f aca="false">MEDIAN(T11:T18)</f>
        <v>#NAME?</v>
      </c>
      <c r="U24" s="95"/>
      <c r="V24" s="85" t="s">
        <v>51</v>
      </c>
      <c r="W24" s="85" t="s">
        <v>51</v>
      </c>
      <c r="X24" s="93"/>
      <c r="Y24" s="94" t="s">
        <v>51</v>
      </c>
      <c r="Z24" s="39"/>
    </row>
    <row r="25" customFormat="false" ht="12.95" hidden="false" customHeight="true" outlineLevel="0" collapsed="false">
      <c r="B25" s="39"/>
      <c r="C25" s="39"/>
      <c r="D25" s="39"/>
      <c r="E25" s="39"/>
      <c r="F25" s="39"/>
      <c r="G25" s="39"/>
      <c r="H25" s="40" t="s">
        <v>26</v>
      </c>
      <c r="I25" s="39"/>
      <c r="J25" s="94" t="e">
        <f aca="false">MAX(J11:J18)</f>
        <v>#NAME?</v>
      </c>
      <c r="K25" s="94" t="e">
        <f aca="false">MAX(K11:K18)</f>
        <v>#NAME?</v>
      </c>
      <c r="L25" s="94" t="e">
        <f aca="false">MAX(L11:L18)</f>
        <v>#NAME?</v>
      </c>
      <c r="M25" s="94" t="e">
        <f aca="false">MAX(M11:M18)</f>
        <v>#NAME?</v>
      </c>
      <c r="N25" s="94" t="e">
        <f aca="false">MAX(N11:N18)</f>
        <v>#NAME?</v>
      </c>
      <c r="O25" s="94" t="e">
        <f aca="false">MAX(O11:O18)</f>
        <v>#NAME?</v>
      </c>
      <c r="P25" s="94" t="e">
        <f aca="false">MAX(P11:P18)</f>
        <v>#NAME?</v>
      </c>
      <c r="Q25" s="94" t="e">
        <f aca="false">MAX(Q11:Q18)</f>
        <v>#NAME?</v>
      </c>
      <c r="R25" s="29" t="n">
        <f aca="false">MAX(R11:R18)</f>
        <v>1.19652689538331</v>
      </c>
      <c r="S25" s="94" t="e">
        <f aca="false">MAX(S11:S18)</f>
        <v>#NAME?</v>
      </c>
      <c r="T25" s="29" t="e">
        <f aca="false">MAX(T11:T18)</f>
        <v>#NAME?</v>
      </c>
      <c r="U25" s="95"/>
      <c r="V25" s="85" t="s">
        <v>51</v>
      </c>
      <c r="W25" s="85" t="s">
        <v>51</v>
      </c>
      <c r="X25" s="93"/>
      <c r="Y25" s="94" t="s">
        <v>51</v>
      </c>
      <c r="Z25" s="39"/>
    </row>
    <row r="26" customFormat="false" ht="12.95" hidden="false" customHeight="true" outlineLevel="0" collapsed="false">
      <c r="B26" s="39"/>
      <c r="C26" s="39"/>
      <c r="D26" s="39"/>
      <c r="E26" s="39"/>
      <c r="F26" s="39"/>
      <c r="G26" s="39"/>
      <c r="H26" s="40" t="s">
        <v>27</v>
      </c>
      <c r="I26" s="39"/>
      <c r="J26" s="94" t="e">
        <f aca="false">MIN(J11:J18)</f>
        <v>#NAME?</v>
      </c>
      <c r="K26" s="94" t="e">
        <f aca="false">MIN(K11:K18)</f>
        <v>#NAME?</v>
      </c>
      <c r="L26" s="94" t="e">
        <f aca="false">MIN(L11:L18)</f>
        <v>#NAME?</v>
      </c>
      <c r="M26" s="94" t="e">
        <f aca="false">MIN(M11:M18)</f>
        <v>#NAME?</v>
      </c>
      <c r="N26" s="94" t="e">
        <f aca="false">MIN(N11:N18)</f>
        <v>#NAME?</v>
      </c>
      <c r="O26" s="94" t="e">
        <f aca="false">MIN(O11:O18)</f>
        <v>#NAME?</v>
      </c>
      <c r="P26" s="94" t="e">
        <f aca="false">MIN(P11:P18)</f>
        <v>#NAME?</v>
      </c>
      <c r="Q26" s="94" t="e">
        <f aca="false">MIN(Q11:Q18)</f>
        <v>#NAME?</v>
      </c>
      <c r="R26" s="29" t="n">
        <f aca="false">MIN(R11:R18)</f>
        <v>0.202511320209384</v>
      </c>
      <c r="S26" s="94" t="e">
        <f aca="false">MIN(S11:S18)</f>
        <v>#NAME?</v>
      </c>
      <c r="T26" s="29" t="e">
        <f aca="false">MIN(T11:T18)</f>
        <v>#NAME?</v>
      </c>
      <c r="U26" s="95"/>
      <c r="V26" s="85" t="s">
        <v>51</v>
      </c>
      <c r="W26" s="85" t="s">
        <v>51</v>
      </c>
      <c r="X26" s="93"/>
      <c r="Y26" s="94" t="s">
        <v>51</v>
      </c>
      <c r="Z26" s="39"/>
    </row>
    <row r="27" customFormat="false" ht="12.95" hidden="false" customHeight="true" outlineLevel="0" collapsed="false">
      <c r="B27" s="39"/>
      <c r="C27" s="39"/>
      <c r="D27" s="39"/>
      <c r="E27" s="39"/>
      <c r="F27" s="39"/>
      <c r="G27" s="39"/>
      <c r="H27" s="40"/>
      <c r="I27" s="39"/>
      <c r="J27" s="137"/>
      <c r="K27" s="137"/>
      <c r="L27" s="39"/>
      <c r="M27" s="137"/>
      <c r="N27" s="137"/>
      <c r="O27" s="137"/>
      <c r="P27" s="137"/>
      <c r="Q27" s="137"/>
      <c r="R27" s="136"/>
      <c r="S27" s="137"/>
      <c r="T27" s="138"/>
      <c r="U27" s="139"/>
      <c r="V27" s="138"/>
      <c r="W27" s="140"/>
      <c r="X27" s="141"/>
      <c r="Y27" s="137"/>
      <c r="Z27" s="39"/>
    </row>
    <row r="28" customFormat="false" ht="12.95" hidden="false" customHeight="true" outlineLevel="0" collapsed="false">
      <c r="B28" s="39"/>
      <c r="C28" s="39"/>
      <c r="D28" s="39"/>
      <c r="U28" s="13" t="s">
        <v>274</v>
      </c>
      <c r="V28" s="13"/>
      <c r="W28" s="13"/>
      <c r="X28" s="13"/>
      <c r="Y28" s="13"/>
    </row>
    <row r="29" customFormat="false" ht="12.95" hidden="false" customHeight="true" outlineLevel="0" collapsed="false">
      <c r="B29" s="13" t="s">
        <v>59</v>
      </c>
      <c r="C29" s="13"/>
      <c r="D29" s="13" t="s">
        <v>60</v>
      </c>
      <c r="E29" s="13"/>
      <c r="F29" s="13"/>
      <c r="G29" s="13" t="s">
        <v>61</v>
      </c>
      <c r="H29" s="13"/>
      <c r="J29" s="13" t="s">
        <v>62</v>
      </c>
      <c r="K29" s="13"/>
      <c r="P29" s="13" t="s">
        <v>63</v>
      </c>
      <c r="Q29" s="13"/>
      <c r="R29" s="13"/>
      <c r="S29" s="13"/>
      <c r="U29" s="13" t="s">
        <v>64</v>
      </c>
      <c r="V29" s="13"/>
      <c r="W29" s="13"/>
      <c r="X29" s="13"/>
      <c r="Y29" s="13"/>
    </row>
    <row r="30" customFormat="false" ht="4.5" hidden="false" customHeight="true" outlineLevel="0" collapsed="false">
      <c r="A30" s="43"/>
      <c r="B30" s="79" t="s">
        <v>40</v>
      </c>
      <c r="C30" s="79"/>
      <c r="D30" s="79" t="s">
        <v>40</v>
      </c>
      <c r="E30" s="79"/>
      <c r="F30" s="79"/>
      <c r="G30" s="79" t="s">
        <v>40</v>
      </c>
      <c r="H30" s="79"/>
      <c r="J30" s="79" t="s">
        <v>40</v>
      </c>
      <c r="K30" s="79"/>
      <c r="P30" s="79" t="s">
        <v>40</v>
      </c>
      <c r="Q30" s="79"/>
      <c r="R30" s="79"/>
      <c r="S30" s="79"/>
      <c r="U30" s="79" t="s">
        <v>40</v>
      </c>
      <c r="V30" s="79"/>
      <c r="W30" s="79"/>
      <c r="X30" s="79"/>
      <c r="Y30" s="79"/>
      <c r="AA30" s="44"/>
    </row>
    <row r="31" customFormat="false" ht="12.95" hidden="false" customHeight="true" outlineLevel="0" collapsed="false">
      <c r="B31" s="11"/>
      <c r="C31" s="11"/>
      <c r="D31" s="13" t="s">
        <v>65</v>
      </c>
      <c r="E31" s="13" t="s">
        <v>66</v>
      </c>
      <c r="F31" s="13" t="s">
        <v>8</v>
      </c>
      <c r="G31" s="11" t="s">
        <v>67</v>
      </c>
      <c r="P31" s="13" t="s">
        <v>68</v>
      </c>
      <c r="Q31" s="13"/>
      <c r="R31" s="13" t="s">
        <v>69</v>
      </c>
      <c r="S31" s="13" t="s">
        <v>70</v>
      </c>
      <c r="U31" s="13" t="s">
        <v>71</v>
      </c>
      <c r="V31" s="13" t="s">
        <v>72</v>
      </c>
      <c r="W31" s="13" t="s">
        <v>73</v>
      </c>
      <c r="X31" s="13" t="s">
        <v>74</v>
      </c>
      <c r="Y31" s="13" t="s">
        <v>75</v>
      </c>
      <c r="AA31" s="44"/>
    </row>
    <row r="32" customFormat="false" ht="10.5" hidden="false" customHeight="true" outlineLevel="0" collapsed="false">
      <c r="A32" s="11" t="s">
        <v>22</v>
      </c>
      <c r="B32" s="11" t="s">
        <v>76</v>
      </c>
      <c r="C32" s="11" t="s">
        <v>77</v>
      </c>
      <c r="D32" s="11" t="s">
        <v>78</v>
      </c>
      <c r="E32" s="11" t="s">
        <v>79</v>
      </c>
      <c r="F32" s="11" t="s">
        <v>80</v>
      </c>
      <c r="G32" s="11" t="s">
        <v>81</v>
      </c>
      <c r="H32" s="11" t="s">
        <v>8</v>
      </c>
      <c r="J32" s="11" t="s">
        <v>82</v>
      </c>
      <c r="K32" s="11" t="s">
        <v>83</v>
      </c>
      <c r="P32" s="11" t="s">
        <v>84</v>
      </c>
      <c r="Q32" s="11" t="s">
        <v>85</v>
      </c>
      <c r="R32" s="11" t="s">
        <v>86</v>
      </c>
      <c r="S32" s="11" t="s">
        <v>87</v>
      </c>
      <c r="U32" s="11" t="s">
        <v>88</v>
      </c>
      <c r="V32" s="11" t="s">
        <v>89</v>
      </c>
      <c r="W32" s="11" t="s">
        <v>90</v>
      </c>
      <c r="X32" s="11" t="s">
        <v>91</v>
      </c>
      <c r="Y32" s="11" t="s">
        <v>92</v>
      </c>
      <c r="AA32" s="44"/>
    </row>
    <row r="33" customFormat="false" ht="5.25" hidden="false" customHeight="true" outlineLevel="0" collapsed="false">
      <c r="A33" s="78" t="s">
        <v>40</v>
      </c>
      <c r="B33" s="78" t="s">
        <v>40</v>
      </c>
      <c r="C33" s="78" t="s">
        <v>40</v>
      </c>
      <c r="D33" s="78" t="s">
        <v>40</v>
      </c>
      <c r="E33" s="78" t="s">
        <v>40</v>
      </c>
      <c r="F33" s="78" t="s">
        <v>40</v>
      </c>
      <c r="G33" s="78" t="s">
        <v>40</v>
      </c>
      <c r="H33" s="78" t="s">
        <v>40</v>
      </c>
      <c r="J33" s="78" t="s">
        <v>40</v>
      </c>
      <c r="K33" s="78" t="s">
        <v>40</v>
      </c>
      <c r="P33" s="78" t="s">
        <v>40</v>
      </c>
      <c r="Q33" s="78" t="s">
        <v>40</v>
      </c>
      <c r="R33" s="78" t="s">
        <v>40</v>
      </c>
      <c r="S33" s="78" t="s">
        <v>40</v>
      </c>
      <c r="U33" s="78" t="s">
        <v>40</v>
      </c>
      <c r="V33" s="78" t="s">
        <v>40</v>
      </c>
      <c r="W33" s="78" t="s">
        <v>40</v>
      </c>
      <c r="X33" s="78" t="s">
        <v>40</v>
      </c>
      <c r="Y33" s="78" t="s">
        <v>40</v>
      </c>
      <c r="AA33" s="13"/>
    </row>
    <row r="34" customFormat="false" ht="12.75" hidden="false" customHeight="true" outlineLevel="0" collapsed="false">
      <c r="A34" s="10" t="str">
        <f aca="false">[5]CASY!$D$305</f>
        <v>Casey's General Stores, Inc.</v>
      </c>
      <c r="B34" s="10" t="s">
        <v>275</v>
      </c>
      <c r="C34" s="40" t="s">
        <v>276</v>
      </c>
      <c r="D34" s="40" t="str">
        <f aca="false">[5]CASY!$V$16</f>
        <v>Merrill Lynch</v>
      </c>
      <c r="E34" s="40" t="str">
        <f aca="false">[5]CASY!$U$11</f>
        <v>NR</v>
      </c>
      <c r="F34" s="17"/>
      <c r="G34" s="11" t="str">
        <f aca="false">[5]CASY!$F$113</f>
        <v>NR / Ba3</v>
      </c>
      <c r="H34" s="17" t="n">
        <f aca="false">[5]CASY!$F$114</f>
        <v>37004</v>
      </c>
      <c r="I34" s="11"/>
      <c r="J34" s="29" t="e">
        <f aca="false">H66</f>
        <v>#NAME?</v>
      </c>
      <c r="K34" s="29" t="e">
        <f aca="false">S66</f>
        <v>#NAME?</v>
      </c>
      <c r="L34" s="11"/>
      <c r="M34" s="11"/>
      <c r="N34" s="119"/>
      <c r="O34" s="11"/>
      <c r="P34" s="29" t="s">
        <v>51</v>
      </c>
      <c r="Q34" s="29" t="s">
        <v>51</v>
      </c>
      <c r="R34" s="29" t="s">
        <v>51</v>
      </c>
      <c r="S34" s="29" t="s">
        <v>51</v>
      </c>
      <c r="T34" s="120"/>
      <c r="U34" s="127" t="n">
        <v>0</v>
      </c>
      <c r="V34" s="127" t="n">
        <v>0</v>
      </c>
      <c r="W34" s="127" t="n">
        <v>0</v>
      </c>
      <c r="X34" s="127" t="n">
        <f aca="false">[5]CASY!$E$160</f>
        <v>1246</v>
      </c>
      <c r="Y34" s="127" t="n">
        <v>0</v>
      </c>
      <c r="AA34" s="44"/>
    </row>
    <row r="35" customFormat="false" ht="12.75" hidden="false" customHeight="true" outlineLevel="0" collapsed="false">
      <c r="A35" s="10" t="str">
        <f aca="false">[6]DMC!$D$305</f>
        <v>Dairy Mart Convenience Stores</v>
      </c>
      <c r="B35" s="10" t="s">
        <v>275</v>
      </c>
      <c r="C35" s="40" t="s">
        <v>276</v>
      </c>
      <c r="D35" s="40" t="str">
        <f aca="false">[6]DMC!$V$16</f>
        <v>No Research</v>
      </c>
      <c r="E35" s="40" t="str">
        <f aca="false">[6]DMC!$U$11</f>
        <v>NR</v>
      </c>
      <c r="F35" s="17"/>
      <c r="G35" s="11" t="str">
        <f aca="false">[6]DMC!$F$113</f>
        <v>NR/B3</v>
      </c>
      <c r="H35" s="17" t="n">
        <f aca="false">[6]DMC!$F$114</f>
        <v>37012</v>
      </c>
      <c r="I35" s="11"/>
      <c r="J35" s="29" t="e">
        <f aca="false">H67</f>
        <v>#NAME?</v>
      </c>
      <c r="K35" s="29" t="e">
        <f aca="false">S67</f>
        <v>#NAME?</v>
      </c>
      <c r="L35" s="11"/>
      <c r="M35" s="11"/>
      <c r="N35" s="119"/>
      <c r="O35" s="11"/>
      <c r="P35" s="29" t="s">
        <v>51</v>
      </c>
      <c r="Q35" s="29" t="s">
        <v>51</v>
      </c>
      <c r="R35" s="29" t="s">
        <v>51</v>
      </c>
      <c r="S35" s="29" t="s">
        <v>51</v>
      </c>
      <c r="T35" s="120"/>
      <c r="U35" s="127" t="n">
        <v>0</v>
      </c>
      <c r="V35" s="127" t="n">
        <v>0</v>
      </c>
      <c r="W35" s="127" t="n">
        <v>0</v>
      </c>
      <c r="X35" s="127" t="n">
        <f aca="false">[6]DMC!$E$160</f>
        <v>276</v>
      </c>
      <c r="Y35" s="127" t="n">
        <v>0</v>
      </c>
      <c r="Z35" s="11"/>
      <c r="AA35" s="44"/>
    </row>
    <row r="36" customFormat="false" ht="12.75" hidden="false" customHeight="true" outlineLevel="0" collapsed="false">
      <c r="A36" s="10" t="str">
        <f aca="false">[7]lubrizol!$D$305</f>
        <v>Lubrizol Corp.</v>
      </c>
      <c r="B36" s="10" t="s">
        <v>264</v>
      </c>
      <c r="C36" s="40" t="s">
        <v>265</v>
      </c>
      <c r="D36" s="40" t="str">
        <f aca="false">[7]lubrizol!$V$16</f>
        <v>No Research</v>
      </c>
      <c r="E36" s="40" t="str">
        <f aca="false">[7]lubrizol!$U$11</f>
        <v>NA</v>
      </c>
      <c r="F36" s="17"/>
      <c r="G36" s="11" t="str">
        <f aca="false">[7]lubrizol!$F$113</f>
        <v>A2/A+</v>
      </c>
      <c r="H36" s="17" t="n">
        <f aca="false">[7]lubrizol!$F$114</f>
        <v>36983</v>
      </c>
      <c r="I36" s="11"/>
      <c r="J36" s="29" t="e">
        <f aca="false">H68</f>
        <v>#NAME?</v>
      </c>
      <c r="K36" s="29" t="e">
        <f aca="false">S68</f>
        <v>#NAME?</v>
      </c>
      <c r="L36" s="11"/>
      <c r="M36" s="11"/>
      <c r="N36" s="119"/>
      <c r="O36" s="11"/>
      <c r="P36" s="29" t="s">
        <v>51</v>
      </c>
      <c r="Q36" s="29" t="s">
        <v>51</v>
      </c>
      <c r="R36" s="29" t="s">
        <v>51</v>
      </c>
      <c r="S36" s="29" t="s">
        <v>51</v>
      </c>
      <c r="T36" s="120"/>
      <c r="U36" s="127" t="n">
        <v>0</v>
      </c>
      <c r="V36" s="127" t="n">
        <v>0</v>
      </c>
      <c r="W36" s="127" t="n">
        <v>0</v>
      </c>
      <c r="X36" s="127" t="n">
        <f aca="false">[7]lubrizol!$E$160</f>
        <v>0</v>
      </c>
      <c r="Y36" s="127" t="n">
        <v>0</v>
      </c>
      <c r="Z36" s="51"/>
      <c r="AA36" s="13"/>
    </row>
    <row r="37" customFormat="false" ht="12.75" hidden="false" customHeight="true" outlineLevel="0" collapsed="false">
      <c r="A37" s="10" t="str">
        <f aca="false">[8]PZL!$D$305</f>
        <v>Pennzoil Quaker State Co.</v>
      </c>
      <c r="B37" s="10" t="s">
        <v>264</v>
      </c>
      <c r="C37" s="40" t="s">
        <v>265</v>
      </c>
      <c r="D37" s="142" t="str">
        <f aca="false">[8]PZL!$V$16</f>
        <v>No Research</v>
      </c>
      <c r="E37" s="142" t="str">
        <f aca="false">[8]PZL!$U$11</f>
        <v>NA</v>
      </c>
      <c r="F37" s="17"/>
      <c r="G37" s="11" t="str">
        <f aca="false">[8]PZL!$F$113</f>
        <v>Ba1 / BB+</v>
      </c>
      <c r="H37" s="17" t="n">
        <f aca="false">[8]PZL!$F$114</f>
        <v>36985</v>
      </c>
      <c r="I37" s="11"/>
      <c r="J37" s="29" t="e">
        <f aca="false">H69</f>
        <v>#NAME?</v>
      </c>
      <c r="K37" s="29" t="e">
        <f aca="false">S69</f>
        <v>#NAME?</v>
      </c>
      <c r="L37" s="11"/>
      <c r="M37" s="11"/>
      <c r="N37" s="119"/>
      <c r="O37" s="11"/>
      <c r="P37" s="29" t="s">
        <v>51</v>
      </c>
      <c r="Q37" s="29" t="s">
        <v>51</v>
      </c>
      <c r="R37" s="29" t="s">
        <v>51</v>
      </c>
      <c r="S37" s="29" t="s">
        <v>51</v>
      </c>
      <c r="T37" s="120"/>
      <c r="U37" s="127" t="n">
        <v>0</v>
      </c>
      <c r="V37" s="127" t="n">
        <v>0</v>
      </c>
      <c r="W37" s="127" t="n">
        <v>0</v>
      </c>
      <c r="X37" s="127" t="n">
        <f aca="false">[8]PZL!$E$160</f>
        <v>0</v>
      </c>
      <c r="Y37" s="127" t="n">
        <v>0</v>
      </c>
      <c r="Z37" s="51"/>
      <c r="AA37" s="135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  <c r="IJ37" s="11"/>
      <c r="IK37" s="11"/>
      <c r="IL37" s="11"/>
      <c r="IM37" s="11"/>
      <c r="IN37" s="11"/>
      <c r="IO37" s="11"/>
      <c r="IP37" s="11"/>
      <c r="IQ37" s="11"/>
      <c r="IR37" s="11"/>
      <c r="IS37" s="11"/>
      <c r="IT37" s="11"/>
      <c r="IU37" s="11"/>
      <c r="IV37" s="11"/>
      <c r="IW37" s="11"/>
    </row>
    <row r="38" customFormat="false" ht="12.75" hidden="false" customHeight="true" outlineLevel="0" collapsed="false">
      <c r="A38" s="10" t="str">
        <f aca="false">[9]SE!$D$305</f>
        <v>7 Eleven, Inc.</v>
      </c>
      <c r="B38" s="10" t="s">
        <v>275</v>
      </c>
      <c r="C38" s="40" t="s">
        <v>276</v>
      </c>
      <c r="D38" s="40" t="str">
        <f aca="false">[9]SE!$V$16</f>
        <v>Salomon Smith Barney</v>
      </c>
      <c r="E38" s="40" t="str">
        <f aca="false">[9]SE!$U$11</f>
        <v>NR</v>
      </c>
      <c r="F38" s="17"/>
      <c r="G38" s="11" t="str">
        <f aca="false">[9]SE!$F$113</f>
        <v>BBB / Baa2</v>
      </c>
      <c r="H38" s="17" t="n">
        <f aca="false">[9]SE!$F$114</f>
        <v>37012</v>
      </c>
      <c r="I38" s="11"/>
      <c r="J38" s="29" t="e">
        <f aca="false">H70</f>
        <v>#NAME?</v>
      </c>
      <c r="K38" s="29" t="e">
        <f aca="false">S70</f>
        <v>#NAME?</v>
      </c>
      <c r="L38" s="11"/>
      <c r="M38" s="11"/>
      <c r="N38" s="11"/>
      <c r="O38" s="11"/>
      <c r="P38" s="29" t="s">
        <v>51</v>
      </c>
      <c r="Q38" s="29" t="s">
        <v>51</v>
      </c>
      <c r="R38" s="29" t="s">
        <v>51</v>
      </c>
      <c r="S38" s="29" t="s">
        <v>51</v>
      </c>
      <c r="T38" s="11"/>
      <c r="U38" s="127" t="n">
        <v>0</v>
      </c>
      <c r="V38" s="127" t="n">
        <v>0</v>
      </c>
      <c r="W38" s="127" t="n">
        <v>0</v>
      </c>
      <c r="X38" s="127" t="n">
        <f aca="false">[9]SE!$E$160</f>
        <v>2334</v>
      </c>
      <c r="Y38" s="127" t="n">
        <v>0</v>
      </c>
      <c r="Z38" s="51"/>
      <c r="AA38" s="135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  <c r="IW38" s="11"/>
    </row>
    <row r="39" customFormat="false" ht="12.75" hidden="false" customHeight="true" outlineLevel="0" collapsed="false">
      <c r="A39" s="10" t="str">
        <f aca="false">[10]PTRY!$D$305</f>
        <v>The Pantry, Inc.</v>
      </c>
      <c r="B39" s="10" t="s">
        <v>275</v>
      </c>
      <c r="C39" s="40" t="s">
        <v>276</v>
      </c>
      <c r="D39" s="40" t="str">
        <f aca="false">[10]PTRY!$V$16</f>
        <v>Merril Lynch</v>
      </c>
      <c r="E39" s="40" t="str">
        <f aca="false">[10]PTRY!$U$11</f>
        <v>NR</v>
      </c>
      <c r="F39" s="17"/>
      <c r="G39" s="11" t="str">
        <f aca="false">[10]PTRY!$F$113</f>
        <v>BB-/ B2</v>
      </c>
      <c r="H39" s="17" t="n">
        <f aca="false">[10]PTRY!$F$114</f>
        <v>37012</v>
      </c>
      <c r="I39" s="11"/>
      <c r="J39" s="29" t="e">
        <f aca="false">H71</f>
        <v>#NAME?</v>
      </c>
      <c r="K39" s="29" t="e">
        <f aca="false">S71</f>
        <v>#NAME?</v>
      </c>
      <c r="L39" s="11"/>
      <c r="M39" s="11"/>
      <c r="N39" s="119"/>
      <c r="O39" s="11"/>
      <c r="P39" s="29" t="s">
        <v>51</v>
      </c>
      <c r="Q39" s="29" t="s">
        <v>51</v>
      </c>
      <c r="R39" s="29" t="s">
        <v>51</v>
      </c>
      <c r="S39" s="29" t="s">
        <v>51</v>
      </c>
      <c r="T39" s="120"/>
      <c r="U39" s="127" t="n">
        <v>0</v>
      </c>
      <c r="V39" s="127" t="n">
        <v>0</v>
      </c>
      <c r="W39" s="127" t="n">
        <v>0</v>
      </c>
      <c r="X39" s="127" t="n">
        <f aca="false">[10]PTRY!$E$160</f>
        <v>1292</v>
      </c>
      <c r="Y39" s="127" t="n">
        <v>0</v>
      </c>
      <c r="Z39" s="51"/>
      <c r="AA39" s="135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  <c r="IL39" s="11"/>
      <c r="IM39" s="11"/>
      <c r="IN39" s="11"/>
      <c r="IO39" s="11"/>
      <c r="IP39" s="11"/>
      <c r="IQ39" s="11"/>
      <c r="IR39" s="11"/>
      <c r="IS39" s="11"/>
      <c r="IT39" s="11"/>
      <c r="IU39" s="11"/>
      <c r="IV39" s="11"/>
      <c r="IW39" s="11"/>
    </row>
    <row r="40" customFormat="false" ht="12.75" hidden="false" customHeight="true" outlineLevel="0" collapsed="false">
      <c r="A40" s="10" t="str">
        <f aca="false">[11]UNI!$D$305</f>
        <v>Uni-Marts Inc.</v>
      </c>
      <c r="B40" s="10" t="s">
        <v>275</v>
      </c>
      <c r="C40" s="40" t="s">
        <v>276</v>
      </c>
      <c r="D40" s="40" t="str">
        <f aca="false">[11]UNI!$V$16</f>
        <v>No Research</v>
      </c>
      <c r="E40" s="40" t="str">
        <f aca="false">[11]UNI!$U$11</f>
        <v>NR</v>
      </c>
      <c r="F40" s="17"/>
      <c r="G40" s="11" t="str">
        <f aca="false">[11]UNI!$F$113</f>
        <v>NR / NR</v>
      </c>
      <c r="H40" s="17" t="n">
        <f aca="false">[11]UNI!$F$114</f>
        <v>37012</v>
      </c>
      <c r="I40" s="11"/>
      <c r="J40" s="29" t="e">
        <f aca="false">H72</f>
        <v>#NAME?</v>
      </c>
      <c r="K40" s="29" t="e">
        <f aca="false">S72</f>
        <v>#NAME?</v>
      </c>
      <c r="L40" s="11"/>
      <c r="M40" s="11"/>
      <c r="N40" s="119"/>
      <c r="O40" s="11"/>
      <c r="P40" s="29" t="s">
        <v>51</v>
      </c>
      <c r="Q40" s="29" t="s">
        <v>51</v>
      </c>
      <c r="R40" s="29" t="s">
        <v>51</v>
      </c>
      <c r="S40" s="29" t="s">
        <v>51</v>
      </c>
      <c r="T40" s="120"/>
      <c r="U40" s="127" t="n">
        <v>0</v>
      </c>
      <c r="V40" s="127" t="n">
        <v>0</v>
      </c>
      <c r="W40" s="127" t="n">
        <v>0</v>
      </c>
      <c r="X40" s="127" t="n">
        <f aca="false">[11]UNI!$E$160</f>
        <v>238</v>
      </c>
      <c r="Y40" s="127" t="n">
        <v>0</v>
      </c>
      <c r="Z40" s="51"/>
      <c r="AA40" s="135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  <c r="IJ40" s="11"/>
      <c r="IK40" s="11"/>
      <c r="IL40" s="11"/>
      <c r="IM40" s="11"/>
      <c r="IN40" s="11"/>
      <c r="IO40" s="11"/>
      <c r="IP40" s="11"/>
      <c r="IQ40" s="11"/>
      <c r="IR40" s="11"/>
      <c r="IS40" s="11"/>
      <c r="IT40" s="11"/>
      <c r="IU40" s="11"/>
      <c r="IV40" s="11"/>
      <c r="IW40" s="11"/>
    </row>
    <row r="41" customFormat="false" ht="12.75" hidden="false" customHeight="true" outlineLevel="0" collapsed="false">
      <c r="A41" s="10" t="str">
        <f aca="false">[12]WD!$D$305</f>
        <v>WD-40 Co.</v>
      </c>
      <c r="B41" s="10" t="s">
        <v>264</v>
      </c>
      <c r="C41" s="40" t="s">
        <v>265</v>
      </c>
      <c r="D41" s="40" t="str">
        <f aca="false">[12]WD!$V$16</f>
        <v>No Research</v>
      </c>
      <c r="E41" s="40" t="str">
        <f aca="false">[12]WD!$U$11</f>
        <v>NA</v>
      </c>
      <c r="F41" s="17"/>
      <c r="G41" s="11" t="str">
        <f aca="false">[12]WD!$F$113</f>
        <v>NA/NA</v>
      </c>
      <c r="H41" s="17" t="n">
        <f aca="false">[12]WD!$F$114</f>
        <v>36985</v>
      </c>
      <c r="I41" s="11"/>
      <c r="J41" s="29" t="e">
        <f aca="false">H73</f>
        <v>#NAME?</v>
      </c>
      <c r="K41" s="29" t="e">
        <f aca="false">S73</f>
        <v>#NAME?</v>
      </c>
      <c r="L41" s="11"/>
      <c r="M41" s="11"/>
      <c r="N41" s="119"/>
      <c r="O41" s="11"/>
      <c r="P41" s="29" t="s">
        <v>51</v>
      </c>
      <c r="Q41" s="29" t="s">
        <v>51</v>
      </c>
      <c r="R41" s="29" t="s">
        <v>51</v>
      </c>
      <c r="S41" s="29" t="s">
        <v>51</v>
      </c>
      <c r="T41" s="11"/>
      <c r="U41" s="127" t="n">
        <v>0</v>
      </c>
      <c r="V41" s="127" t="n">
        <v>0</v>
      </c>
      <c r="W41" s="127" t="n">
        <v>0</v>
      </c>
      <c r="X41" s="127" t="n">
        <f aca="false">[12]WD!$E$160</f>
        <v>0</v>
      </c>
      <c r="Y41" s="127" t="n">
        <v>0</v>
      </c>
      <c r="Z41" s="51"/>
      <c r="AA41" s="135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  <c r="IJ41" s="11"/>
      <c r="IK41" s="11"/>
      <c r="IL41" s="11"/>
      <c r="IM41" s="11"/>
      <c r="IN41" s="11"/>
      <c r="IO41" s="11"/>
      <c r="IP41" s="11"/>
      <c r="IQ41" s="11"/>
      <c r="IR41" s="11"/>
      <c r="IS41" s="11"/>
      <c r="IT41" s="11"/>
      <c r="IU41" s="11"/>
      <c r="IV41" s="11"/>
      <c r="IW41" s="11"/>
    </row>
    <row r="42" customFormat="false" ht="12.95" hidden="false" customHeight="true" outlineLevel="0" collapsed="false">
      <c r="C42" s="40"/>
      <c r="D42" s="40"/>
      <c r="E42" s="40"/>
      <c r="F42" s="17"/>
      <c r="G42" s="11"/>
      <c r="H42" s="17"/>
      <c r="I42" s="11"/>
      <c r="J42" s="29"/>
      <c r="K42" s="29"/>
      <c r="L42" s="11"/>
      <c r="M42" s="11"/>
      <c r="N42" s="11"/>
      <c r="O42" s="11"/>
      <c r="P42" s="29"/>
      <c r="Q42" s="29"/>
      <c r="R42" s="29"/>
      <c r="S42" s="29"/>
      <c r="T42" s="120"/>
      <c r="U42" s="11"/>
      <c r="V42" s="11"/>
      <c r="W42" s="11"/>
      <c r="X42" s="11"/>
      <c r="Y42" s="11"/>
      <c r="Z42" s="51"/>
      <c r="AA42" s="135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  <c r="IR42" s="11"/>
      <c r="IS42" s="11"/>
      <c r="IT42" s="11"/>
      <c r="IU42" s="11"/>
      <c r="IV42" s="11"/>
      <c r="IW42" s="11"/>
    </row>
    <row r="43" customFormat="false" ht="12.95" hidden="false" customHeight="true" outlineLevel="0" collapsed="false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29"/>
      <c r="Q43" s="29"/>
      <c r="R43" s="29"/>
      <c r="S43" s="29"/>
      <c r="T43" s="11"/>
      <c r="U43" s="11"/>
      <c r="V43" s="11"/>
      <c r="W43" s="11"/>
      <c r="X43" s="11"/>
      <c r="Y43" s="11"/>
      <c r="Z43" s="51"/>
      <c r="AA43" s="135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2.95" hidden="false" customHeight="true" outlineLevel="0" collapsed="false">
      <c r="A44" s="11"/>
      <c r="B44" s="121"/>
      <c r="C44" s="121"/>
      <c r="D44" s="11"/>
      <c r="E44" s="121"/>
      <c r="F44" s="11"/>
      <c r="G44" s="11"/>
      <c r="H44" s="11"/>
      <c r="I44" s="11"/>
      <c r="J44" s="11"/>
      <c r="K44" s="11"/>
      <c r="L44" s="11"/>
      <c r="M44" s="11"/>
      <c r="N44" s="40" t="s">
        <v>56</v>
      </c>
      <c r="O44" s="11"/>
      <c r="P44" s="29" t="s">
        <v>51</v>
      </c>
      <c r="Q44" s="29" t="s">
        <v>51</v>
      </c>
      <c r="R44" s="29" t="s">
        <v>51</v>
      </c>
      <c r="S44" s="29"/>
      <c r="T44" s="143"/>
      <c r="U44" s="143"/>
      <c r="V44" s="143"/>
      <c r="W44" s="143"/>
      <c r="X44" s="143"/>
      <c r="Y44" s="143"/>
      <c r="Z44" s="51"/>
      <c r="AA44" s="135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  <c r="IJ44" s="11"/>
      <c r="IK44" s="11"/>
      <c r="IL44" s="11"/>
      <c r="IM44" s="11"/>
      <c r="IN44" s="11"/>
      <c r="IO44" s="11"/>
      <c r="IP44" s="11"/>
      <c r="IQ44" s="11"/>
      <c r="IR44" s="11"/>
      <c r="IS44" s="11"/>
      <c r="IT44" s="11"/>
      <c r="IU44" s="11"/>
      <c r="IV44" s="11"/>
      <c r="IW44" s="11"/>
    </row>
    <row r="45" customFormat="false" ht="12.95" hidden="false" customHeight="true" outlineLevel="0" collapsed="false">
      <c r="A45" s="11"/>
      <c r="B45" s="121"/>
      <c r="C45" s="121"/>
      <c r="D45" s="121"/>
      <c r="E45" s="11"/>
      <c r="F45" s="11"/>
      <c r="G45" s="11"/>
      <c r="H45" s="11"/>
      <c r="I45" s="11"/>
      <c r="J45" s="11"/>
      <c r="K45" s="11"/>
      <c r="L45" s="11"/>
      <c r="M45" s="11"/>
      <c r="N45" s="40" t="s">
        <v>57</v>
      </c>
      <c r="O45" s="11"/>
      <c r="P45" s="29" t="s">
        <v>51</v>
      </c>
      <c r="Q45" s="29" t="s">
        <v>51</v>
      </c>
      <c r="R45" s="29" t="s">
        <v>51</v>
      </c>
      <c r="S45" s="29"/>
      <c r="T45" s="120"/>
      <c r="U45" s="127"/>
      <c r="V45" s="127"/>
      <c r="W45" s="51"/>
      <c r="X45" s="127"/>
      <c r="Y45" s="51"/>
      <c r="Z45" s="51"/>
      <c r="AA45" s="135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  <c r="IJ45" s="11"/>
      <c r="IK45" s="11"/>
      <c r="IL45" s="11"/>
      <c r="IM45" s="11"/>
      <c r="IN45" s="11"/>
      <c r="IO45" s="11"/>
      <c r="IP45" s="11"/>
      <c r="IQ45" s="11"/>
      <c r="IR45" s="11"/>
      <c r="IS45" s="11"/>
      <c r="IT45" s="11"/>
      <c r="IU45" s="11"/>
      <c r="IV45" s="11"/>
      <c r="IW45" s="11"/>
    </row>
    <row r="46" customFormat="false" ht="12.95" hidden="false" customHeight="true" outlineLevel="0" collapsed="false">
      <c r="A46" s="11"/>
      <c r="B46" s="121"/>
      <c r="C46" s="121"/>
      <c r="D46" s="121"/>
      <c r="E46" s="11"/>
      <c r="F46" s="11"/>
      <c r="G46" s="11"/>
      <c r="H46" s="11"/>
      <c r="I46" s="11"/>
      <c r="J46" s="11"/>
      <c r="K46" s="11"/>
      <c r="L46" s="11"/>
      <c r="M46" s="11"/>
      <c r="N46" s="40" t="s">
        <v>26</v>
      </c>
      <c r="O46" s="11"/>
      <c r="P46" s="29" t="s">
        <v>51</v>
      </c>
      <c r="Q46" s="29" t="s">
        <v>51</v>
      </c>
      <c r="R46" s="29" t="s">
        <v>51</v>
      </c>
      <c r="S46" s="29"/>
      <c r="T46" s="143"/>
      <c r="U46" s="143"/>
      <c r="V46" s="143"/>
      <c r="W46" s="143"/>
      <c r="X46" s="143"/>
      <c r="Y46" s="143"/>
      <c r="Z46" s="5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  <c r="IV46" s="11"/>
      <c r="IW46" s="11"/>
    </row>
    <row r="47" customFormat="false" ht="12.95" hidden="false" customHeight="true" outlineLevel="0" collapsed="false">
      <c r="A47" s="11"/>
      <c r="B47" s="121"/>
      <c r="C47" s="121"/>
      <c r="D47" s="121"/>
      <c r="E47" s="11"/>
      <c r="F47" s="11"/>
      <c r="G47" s="11"/>
      <c r="H47" s="11"/>
      <c r="I47" s="11"/>
      <c r="J47" s="11"/>
      <c r="K47" s="11"/>
      <c r="L47" s="11"/>
      <c r="M47" s="11"/>
      <c r="N47" s="40" t="s">
        <v>27</v>
      </c>
      <c r="O47" s="11"/>
      <c r="P47" s="29" t="s">
        <v>51</v>
      </c>
      <c r="Q47" s="29" t="s">
        <v>51</v>
      </c>
      <c r="R47" s="29" t="s">
        <v>51</v>
      </c>
      <c r="S47" s="29"/>
      <c r="T47" s="143"/>
      <c r="U47" s="143"/>
      <c r="V47" s="143"/>
      <c r="W47" s="143"/>
      <c r="X47" s="143"/>
      <c r="Y47" s="143"/>
      <c r="Z47" s="5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  <c r="IJ47" s="11"/>
      <c r="IK47" s="11"/>
      <c r="IL47" s="11"/>
      <c r="IM47" s="11"/>
      <c r="IN47" s="11"/>
      <c r="IO47" s="11"/>
      <c r="IP47" s="11"/>
      <c r="IQ47" s="11"/>
      <c r="IR47" s="11"/>
      <c r="IS47" s="11"/>
      <c r="IT47" s="11"/>
      <c r="IU47" s="11"/>
      <c r="IV47" s="11"/>
      <c r="IW47" s="11"/>
    </row>
    <row r="48" customFormat="false" ht="12.95" hidden="false" customHeight="true" outlineLevel="0" collapsed="false">
      <c r="A48" s="66" t="s">
        <v>104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  <c r="IJ48" s="11"/>
      <c r="IK48" s="11"/>
      <c r="IL48" s="11"/>
      <c r="IM48" s="11"/>
      <c r="IN48" s="11"/>
      <c r="IO48" s="11"/>
      <c r="IP48" s="11"/>
      <c r="IQ48" s="11"/>
      <c r="IR48" s="11"/>
      <c r="IS48" s="11"/>
      <c r="IT48" s="11"/>
      <c r="IU48" s="11"/>
      <c r="IV48" s="11"/>
      <c r="IW48" s="11"/>
    </row>
    <row r="49" customFormat="false" ht="12.95" hidden="false" customHeight="true" outlineLevel="0" collapsed="false">
      <c r="A49" s="40" t="s">
        <v>241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  <c r="IV49" s="11"/>
      <c r="IW49" s="11"/>
    </row>
    <row r="50" customFormat="false" ht="12.95" hidden="false" customHeight="true" outlineLevel="0" collapsed="false">
      <c r="A50" s="40" t="s">
        <v>242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2.95" hidden="false" customHeight="true" outlineLevel="0" collapsed="false">
      <c r="A51" s="40" t="s">
        <v>243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2.95" hidden="false" customHeight="true" outlineLevel="0" collapsed="false">
      <c r="A52" s="40" t="s">
        <v>244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2.95" hidden="false" customHeight="true" outlineLevel="0" collapsed="false">
      <c r="A53" s="40" t="s">
        <v>243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12.95" hidden="false" customHeight="true" outlineLevel="0" collapsed="false">
      <c r="A54" s="40" t="s">
        <v>246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12.95" hidden="false" customHeight="true" outlineLevel="0" collapsed="false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12.95" hidden="false" customHeight="true" outlineLevel="0" collapsed="false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12.95" hidden="false" customHeight="true" outlineLevel="0" collapsed="false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12.95" hidden="false" customHeight="true" outlineLevel="0" collapsed="false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12.95" hidden="false" customHeight="true" outlineLevel="0" collapsed="false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  <c r="II59" s="11"/>
      <c r="IJ59" s="11"/>
      <c r="IK59" s="11"/>
      <c r="IL59" s="11"/>
      <c r="IM59" s="11"/>
      <c r="IN59" s="11"/>
      <c r="IO59" s="11"/>
      <c r="IP59" s="11"/>
      <c r="IQ59" s="11"/>
      <c r="IR59" s="11"/>
      <c r="IS59" s="11"/>
      <c r="IT59" s="11"/>
      <c r="IU59" s="11"/>
      <c r="IV59" s="11"/>
      <c r="IW59" s="11"/>
    </row>
    <row r="60" customFormat="false" ht="12.95" hidden="false" customHeight="true" outlineLevel="0" collapsed="false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  <c r="IE60" s="11"/>
      <c r="IF60" s="11"/>
      <c r="IG60" s="11"/>
      <c r="IH60" s="11"/>
      <c r="II60" s="11"/>
      <c r="IJ60" s="11"/>
      <c r="IK60" s="11"/>
      <c r="IL60" s="11"/>
      <c r="IM60" s="11"/>
      <c r="IN60" s="11"/>
      <c r="IO60" s="11"/>
      <c r="IP60" s="11"/>
      <c r="IQ60" s="11"/>
      <c r="IR60" s="11"/>
      <c r="IS60" s="11"/>
      <c r="IT60" s="11"/>
      <c r="IU60" s="11"/>
      <c r="IV60" s="11"/>
      <c r="IW60" s="11"/>
    </row>
    <row r="61" customFormat="false" ht="12.95" hidden="false" customHeight="true" outlineLevel="0" collapsed="false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  <c r="IE61" s="11"/>
      <c r="IF61" s="11"/>
      <c r="IG61" s="11"/>
      <c r="IH61" s="11"/>
      <c r="II61" s="11"/>
      <c r="IJ61" s="11"/>
      <c r="IK61" s="11"/>
      <c r="IL61" s="11"/>
      <c r="IM61" s="11"/>
      <c r="IN61" s="11"/>
      <c r="IO61" s="11"/>
      <c r="IP61" s="11"/>
      <c r="IQ61" s="11"/>
      <c r="IR61" s="11"/>
      <c r="IS61" s="11"/>
      <c r="IT61" s="11"/>
      <c r="IU61" s="11"/>
      <c r="IV61" s="11"/>
      <c r="IW61" s="11"/>
    </row>
    <row r="62" customFormat="false" ht="12.95" hidden="false" customHeight="true" outlineLevel="0" collapsed="false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  <c r="II62" s="11"/>
      <c r="IJ62" s="11"/>
      <c r="IK62" s="11"/>
      <c r="IL62" s="11"/>
      <c r="IM62" s="11"/>
      <c r="IN62" s="11"/>
      <c r="IO62" s="11"/>
      <c r="IP62" s="11"/>
      <c r="IQ62" s="11"/>
      <c r="IR62" s="11"/>
      <c r="IS62" s="11"/>
      <c r="IT62" s="11"/>
      <c r="IU62" s="11"/>
      <c r="IV62" s="11"/>
      <c r="IW62" s="11"/>
    </row>
    <row r="63" customFormat="false" ht="12.95" hidden="false" customHeight="true" outlineLevel="0" collapsed="false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  <c r="IE63" s="11"/>
      <c r="IF63" s="11"/>
      <c r="IG63" s="11"/>
      <c r="IH63" s="11"/>
      <c r="II63" s="11"/>
      <c r="IJ63" s="11"/>
      <c r="IK63" s="11"/>
      <c r="IL63" s="11"/>
      <c r="IM63" s="11"/>
      <c r="IN63" s="11"/>
      <c r="IO63" s="11"/>
      <c r="IP63" s="11"/>
      <c r="IQ63" s="11"/>
      <c r="IR63" s="11"/>
      <c r="IS63" s="11"/>
      <c r="IT63" s="11"/>
      <c r="IU63" s="11"/>
      <c r="IV63" s="11"/>
      <c r="IW63" s="11"/>
    </row>
    <row r="64" customFormat="false" ht="12.95" hidden="false" customHeight="true" outlineLevel="0" collapsed="false">
      <c r="A64" s="11"/>
      <c r="B64" s="11"/>
      <c r="C64" s="11"/>
      <c r="D64" s="11"/>
      <c r="E64" s="11"/>
      <c r="F64" s="17" t="n">
        <f aca="false">B6</f>
        <v>37111</v>
      </c>
      <c r="G64" s="17" t="n">
        <f aca="false">F64-365</f>
        <v>36746</v>
      </c>
      <c r="H64" s="11"/>
      <c r="I64" s="11"/>
      <c r="J64" s="11"/>
      <c r="K64" s="11"/>
      <c r="L64" s="11"/>
      <c r="M64" s="11"/>
      <c r="N64" s="11"/>
      <c r="O64" s="11"/>
      <c r="P64" s="11"/>
      <c r="Q64" s="17" t="n">
        <v>36892</v>
      </c>
      <c r="R64" s="17" t="n">
        <f aca="false">F64</f>
        <v>37111</v>
      </c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  <c r="IE64" s="11"/>
      <c r="IF64" s="11"/>
      <c r="IG64" s="11"/>
      <c r="IH64" s="11"/>
      <c r="II64" s="11"/>
      <c r="IJ64" s="11"/>
      <c r="IK64" s="11"/>
      <c r="IL64" s="11"/>
      <c r="IM64" s="11"/>
      <c r="IN64" s="11"/>
      <c r="IO64" s="11"/>
      <c r="IP64" s="11"/>
      <c r="IQ64" s="11"/>
      <c r="IR64" s="11"/>
      <c r="IS64" s="11"/>
      <c r="IT64" s="11"/>
      <c r="IU64" s="11"/>
      <c r="IV64" s="11"/>
      <c r="IW64" s="11"/>
    </row>
    <row r="65" customFormat="false" ht="12.95" hidden="false" customHeight="true" outlineLevel="0" collapsed="false">
      <c r="A65" s="11"/>
      <c r="B65" s="11"/>
      <c r="C65" s="11"/>
      <c r="D65" s="11"/>
      <c r="E65" s="11"/>
      <c r="F65" s="11"/>
      <c r="G65" s="11"/>
      <c r="H65" s="11" t="s">
        <v>82</v>
      </c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 t="s">
        <v>83</v>
      </c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  <c r="IE65" s="11"/>
      <c r="IF65" s="11"/>
      <c r="IG65" s="11"/>
      <c r="IH65" s="11"/>
      <c r="II65" s="11"/>
      <c r="IJ65" s="11"/>
      <c r="IK65" s="11"/>
      <c r="IL65" s="11"/>
      <c r="IM65" s="11"/>
      <c r="IN65" s="11"/>
      <c r="IO65" s="11"/>
      <c r="IP65" s="11"/>
      <c r="IQ65" s="11"/>
      <c r="IR65" s="11"/>
      <c r="IS65" s="11"/>
      <c r="IT65" s="11"/>
      <c r="IU65" s="11"/>
      <c r="IV65" s="11"/>
      <c r="IW65" s="11"/>
    </row>
    <row r="66" customFormat="false" ht="12.95" hidden="false" customHeight="true" outlineLevel="0" collapsed="false">
      <c r="A66" s="11"/>
      <c r="B66" s="11"/>
      <c r="C66" s="11"/>
      <c r="D66" s="11"/>
      <c r="E66" s="11" t="str">
        <f aca="false">B11</f>
        <v>CASY</v>
      </c>
      <c r="F66" s="85" t="e">
        <f aca="false">FDS(E66,"ib_price",$F$64)</f>
        <v>#NAME?</v>
      </c>
      <c r="G66" s="85" t="e">
        <f aca="false">FDS(E66,"ib_price",$G$64)</f>
        <v>#NAME?</v>
      </c>
      <c r="H66" s="136" t="e">
        <f aca="false">(F66-G66)/G66</f>
        <v>#NAME?</v>
      </c>
      <c r="I66" s="11"/>
      <c r="J66" s="11"/>
      <c r="K66" s="11"/>
      <c r="L66" s="11"/>
      <c r="M66" s="11"/>
      <c r="N66" s="11"/>
      <c r="O66" s="11"/>
      <c r="P66" s="11" t="str">
        <f aca="false">E66</f>
        <v>CASY</v>
      </c>
      <c r="Q66" s="85" t="e">
        <f aca="false">FDS(P66,"ib_price",$Q$64)</f>
        <v>#NAME?</v>
      </c>
      <c r="R66" s="85" t="e">
        <f aca="false">FDS(P66,"ib_price",$R$64)</f>
        <v>#NAME?</v>
      </c>
      <c r="S66" s="136" t="e">
        <f aca="false">(R66-Q66)/Q66</f>
        <v>#NAME?</v>
      </c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  <c r="IE66" s="11"/>
      <c r="IF66" s="11"/>
      <c r="IG66" s="11"/>
      <c r="IH66" s="11"/>
      <c r="II66" s="11"/>
      <c r="IJ66" s="11"/>
      <c r="IK66" s="11"/>
      <c r="IL66" s="11"/>
      <c r="IM66" s="11"/>
      <c r="IN66" s="11"/>
      <c r="IO66" s="11"/>
      <c r="IP66" s="11"/>
      <c r="IQ66" s="11"/>
      <c r="IR66" s="11"/>
      <c r="IS66" s="11"/>
      <c r="IT66" s="11"/>
      <c r="IU66" s="11"/>
      <c r="IV66" s="11"/>
      <c r="IW66" s="11"/>
    </row>
    <row r="67" customFormat="false" ht="12.95" hidden="false" customHeight="true" outlineLevel="0" collapsed="false">
      <c r="A67" s="11"/>
      <c r="B67" s="11"/>
      <c r="C67" s="11"/>
      <c r="D67" s="11"/>
      <c r="E67" s="11" t="str">
        <f aca="false">B12</f>
        <v>DMC</v>
      </c>
      <c r="F67" s="85" t="e">
        <f aca="false">FDS(E67,"ib_price",$F$64)</f>
        <v>#NAME?</v>
      </c>
      <c r="G67" s="85" t="e">
        <f aca="false">FDS(E67,"ib_price",$G$64)</f>
        <v>#NAME?</v>
      </c>
      <c r="H67" s="136" t="e">
        <f aca="false">(F67-G67)/G67</f>
        <v>#NAME?</v>
      </c>
      <c r="I67" s="11"/>
      <c r="J67" s="11"/>
      <c r="K67" s="11"/>
      <c r="L67" s="11"/>
      <c r="M67" s="11"/>
      <c r="N67" s="11"/>
      <c r="O67" s="11"/>
      <c r="P67" s="11" t="str">
        <f aca="false">E67</f>
        <v>DMC</v>
      </c>
      <c r="Q67" s="85" t="e">
        <f aca="false">FDS(P67,"ib_price",$Q$64)</f>
        <v>#NAME?</v>
      </c>
      <c r="R67" s="85" t="e">
        <f aca="false">FDS(P67,"ib_price",$R$64)</f>
        <v>#NAME?</v>
      </c>
      <c r="S67" s="136" t="e">
        <f aca="false">(R67-Q67)/Q67</f>
        <v>#NAME?</v>
      </c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  <c r="IE67" s="11"/>
      <c r="IF67" s="11"/>
      <c r="IG67" s="11"/>
      <c r="IH67" s="11"/>
      <c r="II67" s="11"/>
      <c r="IJ67" s="11"/>
      <c r="IK67" s="11"/>
      <c r="IL67" s="11"/>
      <c r="IM67" s="11"/>
      <c r="IN67" s="11"/>
      <c r="IO67" s="11"/>
      <c r="IP67" s="11"/>
      <c r="IQ67" s="11"/>
      <c r="IR67" s="11"/>
      <c r="IS67" s="11"/>
      <c r="IT67" s="11"/>
      <c r="IU67" s="11"/>
      <c r="IV67" s="11"/>
      <c r="IW67" s="11"/>
    </row>
    <row r="68" customFormat="false" ht="12.95" hidden="false" customHeight="true" outlineLevel="0" collapsed="false">
      <c r="A68" s="11"/>
      <c r="B68" s="11"/>
      <c r="C68" s="11"/>
      <c r="D68" s="11"/>
      <c r="E68" s="11" t="str">
        <f aca="false">B13</f>
        <v>LZ</v>
      </c>
      <c r="F68" s="85" t="e">
        <f aca="false">FDS(E68,"ib_price",$F$64)</f>
        <v>#NAME?</v>
      </c>
      <c r="G68" s="85" t="e">
        <f aca="false">FDS(E68,"ib_price",$G$64)</f>
        <v>#NAME?</v>
      </c>
      <c r="H68" s="136" t="e">
        <f aca="false">(F68-G68)/G68</f>
        <v>#NAME?</v>
      </c>
      <c r="I68" s="11"/>
      <c r="J68" s="11"/>
      <c r="K68" s="11"/>
      <c r="L68" s="11"/>
      <c r="M68" s="11"/>
      <c r="N68" s="11"/>
      <c r="O68" s="11"/>
      <c r="P68" s="11" t="str">
        <f aca="false">E68</f>
        <v>LZ</v>
      </c>
      <c r="Q68" s="85" t="e">
        <f aca="false">FDS(P68,"ib_price",$Q$64)</f>
        <v>#NAME?</v>
      </c>
      <c r="R68" s="85" t="e">
        <f aca="false">FDS(P68,"ib_price",$R$64)</f>
        <v>#NAME?</v>
      </c>
      <c r="S68" s="136" t="e">
        <f aca="false">(R68-Q68)/Q68</f>
        <v>#NAME?</v>
      </c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  <c r="II68" s="11"/>
      <c r="IJ68" s="11"/>
      <c r="IK68" s="11"/>
      <c r="IL68" s="11"/>
      <c r="IM68" s="11"/>
      <c r="IN68" s="11"/>
      <c r="IO68" s="11"/>
      <c r="IP68" s="11"/>
      <c r="IQ68" s="11"/>
      <c r="IR68" s="11"/>
      <c r="IS68" s="11"/>
      <c r="IT68" s="11"/>
      <c r="IU68" s="11"/>
      <c r="IV68" s="11"/>
      <c r="IW68" s="11"/>
    </row>
    <row r="69" customFormat="false" ht="12.95" hidden="false" customHeight="true" outlineLevel="0" collapsed="false">
      <c r="A69" s="11"/>
      <c r="B69" s="11"/>
      <c r="C69" s="11"/>
      <c r="D69" s="11"/>
      <c r="E69" s="11" t="str">
        <f aca="false">B14</f>
        <v>PZL</v>
      </c>
      <c r="F69" s="85" t="e">
        <f aca="false">FDS(E69,"ib_price",$F$64)</f>
        <v>#NAME?</v>
      </c>
      <c r="G69" s="85" t="e">
        <f aca="false">FDS(E69,"ib_price",$G$64)</f>
        <v>#NAME?</v>
      </c>
      <c r="H69" s="136" t="e">
        <f aca="false">(F69-G69)/G69</f>
        <v>#NAME?</v>
      </c>
      <c r="I69" s="11"/>
      <c r="J69" s="11"/>
      <c r="K69" s="11"/>
      <c r="L69" s="11"/>
      <c r="M69" s="11"/>
      <c r="N69" s="11"/>
      <c r="O69" s="11"/>
      <c r="P69" s="11" t="str">
        <f aca="false">E69</f>
        <v>PZL</v>
      </c>
      <c r="Q69" s="85" t="e">
        <f aca="false">FDS(P69,"ib_price",$Q$64)</f>
        <v>#NAME?</v>
      </c>
      <c r="R69" s="85" t="e">
        <f aca="false">FDS(P69,"ib_price",$R$64)</f>
        <v>#NAME?</v>
      </c>
      <c r="S69" s="136" t="e">
        <f aca="false">(R69-Q69)/Q69</f>
        <v>#NAME?</v>
      </c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  <c r="II69" s="11"/>
      <c r="IJ69" s="11"/>
      <c r="IK69" s="11"/>
      <c r="IL69" s="11"/>
      <c r="IM69" s="11"/>
      <c r="IN69" s="11"/>
      <c r="IO69" s="11"/>
      <c r="IP69" s="11"/>
      <c r="IQ69" s="11"/>
      <c r="IR69" s="11"/>
      <c r="IS69" s="11"/>
      <c r="IT69" s="11"/>
      <c r="IU69" s="11"/>
      <c r="IV69" s="11"/>
      <c r="IW69" s="11"/>
    </row>
    <row r="70" customFormat="false" ht="12.95" hidden="false" customHeight="true" outlineLevel="0" collapsed="false">
      <c r="A70" s="11"/>
      <c r="B70" s="11"/>
      <c r="C70" s="11"/>
      <c r="D70" s="11"/>
      <c r="E70" s="11" t="str">
        <f aca="false">B15</f>
        <v>SE</v>
      </c>
      <c r="F70" s="85" t="e">
        <f aca="false">FDS(E70,"ib_price",$F$64)</f>
        <v>#NAME?</v>
      </c>
      <c r="G70" s="85" t="e">
        <f aca="false">FDS(E70,"ib_price",$G$64)</f>
        <v>#NAME?</v>
      </c>
      <c r="H70" s="136" t="e">
        <f aca="false">(F70-G70)/G70</f>
        <v>#NAME?</v>
      </c>
      <c r="I70" s="11"/>
      <c r="J70" s="11"/>
      <c r="K70" s="11"/>
      <c r="L70" s="11"/>
      <c r="M70" s="11"/>
      <c r="N70" s="11"/>
      <c r="O70" s="11"/>
      <c r="P70" s="11" t="str">
        <f aca="false">E70</f>
        <v>SE</v>
      </c>
      <c r="Q70" s="85" t="e">
        <f aca="false">FDS(P70,"ib_price",$Q$64)</f>
        <v>#NAME?</v>
      </c>
      <c r="R70" s="85" t="e">
        <f aca="false">FDS(P70,"ib_price",$R$64)</f>
        <v>#NAME?</v>
      </c>
      <c r="S70" s="136" t="e">
        <f aca="false">(R70-Q70)/Q70</f>
        <v>#NAME?</v>
      </c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  <c r="IE70" s="11"/>
      <c r="IF70" s="11"/>
      <c r="IG70" s="11"/>
      <c r="IH70" s="11"/>
      <c r="II70" s="11"/>
      <c r="IJ70" s="11"/>
      <c r="IK70" s="11"/>
      <c r="IL70" s="11"/>
      <c r="IM70" s="11"/>
      <c r="IN70" s="11"/>
      <c r="IO70" s="11"/>
      <c r="IP70" s="11"/>
      <c r="IQ70" s="11"/>
      <c r="IR70" s="11"/>
      <c r="IS70" s="11"/>
      <c r="IT70" s="11"/>
      <c r="IU70" s="11"/>
      <c r="IV70" s="11"/>
      <c r="IW70" s="11"/>
    </row>
    <row r="71" customFormat="false" ht="12.95" hidden="false" customHeight="true" outlineLevel="0" collapsed="false">
      <c r="A71" s="11"/>
      <c r="B71" s="11"/>
      <c r="C71" s="11"/>
      <c r="D71" s="11"/>
      <c r="E71" s="11" t="str">
        <f aca="false">B16</f>
        <v>PTRY</v>
      </c>
      <c r="F71" s="85" t="e">
        <f aca="false">FDS(E71,"ib_price",$F$64)</f>
        <v>#NAME?</v>
      </c>
      <c r="G71" s="85" t="e">
        <f aca="false">FDS(E71,"ib_price",$G$64)</f>
        <v>#NAME?</v>
      </c>
      <c r="H71" s="136" t="e">
        <f aca="false">(F71-G71)/G71</f>
        <v>#NAME?</v>
      </c>
      <c r="I71" s="11"/>
      <c r="J71" s="11"/>
      <c r="K71" s="11"/>
      <c r="L71" s="11"/>
      <c r="M71" s="11"/>
      <c r="N71" s="11"/>
      <c r="O71" s="11"/>
      <c r="P71" s="11" t="str">
        <f aca="false">E71</f>
        <v>PTRY</v>
      </c>
      <c r="Q71" s="85" t="e">
        <f aca="false">FDS(P71,"ib_price",$Q$64)</f>
        <v>#NAME?</v>
      </c>
      <c r="R71" s="85" t="e">
        <f aca="false">FDS(P71,"ib_price",$R$64)</f>
        <v>#NAME?</v>
      </c>
      <c r="S71" s="136" t="e">
        <f aca="false">(R71-Q71)/Q71</f>
        <v>#NAME?</v>
      </c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  <c r="IE71" s="11"/>
      <c r="IF71" s="11"/>
      <c r="IG71" s="11"/>
      <c r="IH71" s="11"/>
      <c r="II71" s="11"/>
      <c r="IJ71" s="11"/>
      <c r="IK71" s="11"/>
      <c r="IL71" s="11"/>
      <c r="IM71" s="11"/>
      <c r="IN71" s="11"/>
      <c r="IO71" s="11"/>
      <c r="IP71" s="11"/>
      <c r="IQ71" s="11"/>
      <c r="IR71" s="11"/>
      <c r="IS71" s="11"/>
      <c r="IT71" s="11"/>
      <c r="IU71" s="11"/>
      <c r="IV71" s="11"/>
      <c r="IW71" s="11"/>
    </row>
    <row r="72" customFormat="false" ht="12.95" hidden="false" customHeight="true" outlineLevel="0" collapsed="false">
      <c r="A72" s="11"/>
      <c r="B72" s="11"/>
      <c r="C72" s="11"/>
      <c r="D72" s="11"/>
      <c r="E72" s="11" t="str">
        <f aca="false">B17</f>
        <v>UNI</v>
      </c>
      <c r="F72" s="85" t="e">
        <f aca="false">FDS(E72,"ib_price",$F$64)</f>
        <v>#NAME?</v>
      </c>
      <c r="G72" s="85" t="e">
        <f aca="false">FDS(E72,"ib_price",$G$64)</f>
        <v>#NAME?</v>
      </c>
      <c r="H72" s="136" t="e">
        <f aca="false">(F72-G72)/G72</f>
        <v>#NAME?</v>
      </c>
      <c r="P72" s="11" t="str">
        <f aca="false">E72</f>
        <v>UNI</v>
      </c>
      <c r="Q72" s="85" t="e">
        <f aca="false">FDS(P72,"ib_price",$Q$64)</f>
        <v>#NAME?</v>
      </c>
      <c r="R72" s="85" t="e">
        <f aca="false">FDS(P72,"ib_price",$R$64)</f>
        <v>#NAME?</v>
      </c>
      <c r="S72" s="136" t="e">
        <f aca="false">(R72-Q72)/Q72</f>
        <v>#NAME?</v>
      </c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  <c r="II72" s="11"/>
      <c r="IJ72" s="11"/>
      <c r="IK72" s="11"/>
      <c r="IL72" s="11"/>
      <c r="IM72" s="11"/>
      <c r="IN72" s="11"/>
      <c r="IO72" s="11"/>
      <c r="IP72" s="11"/>
      <c r="IQ72" s="11"/>
      <c r="IR72" s="11"/>
      <c r="IS72" s="11"/>
      <c r="IT72" s="11"/>
      <c r="IU72" s="11"/>
      <c r="IV72" s="11"/>
      <c r="IW72" s="11"/>
    </row>
    <row r="73" customFormat="false" ht="12.95" hidden="false" customHeight="true" outlineLevel="0" collapsed="false">
      <c r="E73" s="11" t="str">
        <f aca="false">B18</f>
        <v>WDFC</v>
      </c>
      <c r="F73" s="85" t="e">
        <f aca="false">FDS(E73,"ib_price",$F$64)</f>
        <v>#NAME?</v>
      </c>
      <c r="G73" s="85" t="e">
        <f aca="false">FDS(E73,"ib_price",$G$64)</f>
        <v>#NAME?</v>
      </c>
      <c r="H73" s="136" t="e">
        <f aca="false">(F73-G73)/G73</f>
        <v>#NAME?</v>
      </c>
      <c r="P73" s="11" t="str">
        <f aca="false">E73</f>
        <v>WDFC</v>
      </c>
      <c r="Q73" s="85" t="e">
        <f aca="false">FDS(P73,"ib_price",$Q$64)</f>
        <v>#NAME?</v>
      </c>
      <c r="R73" s="85" t="e">
        <f aca="false">FDS(P73,"ib_price",$R$64)</f>
        <v>#NAME?</v>
      </c>
      <c r="S73" s="136" t="e">
        <f aca="false">(R73-Q73)/Q73</f>
        <v>#NAME?</v>
      </c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  <c r="IE73" s="11"/>
      <c r="IF73" s="11"/>
      <c r="IG73" s="11"/>
      <c r="IH73" s="11"/>
      <c r="II73" s="11"/>
      <c r="IJ73" s="11"/>
      <c r="IK73" s="11"/>
      <c r="IL73" s="11"/>
      <c r="IM73" s="11"/>
      <c r="IN73" s="11"/>
      <c r="IO73" s="11"/>
      <c r="IP73" s="11"/>
      <c r="IQ73" s="11"/>
      <c r="IR73" s="11"/>
      <c r="IS73" s="11"/>
      <c r="IT73" s="11"/>
      <c r="IU73" s="11"/>
      <c r="IV73" s="11"/>
      <c r="IW73" s="11"/>
    </row>
    <row r="74" customFormat="false" ht="12.95" hidden="false" customHeight="true" outlineLevel="0" collapsed="false"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  <c r="II74" s="11"/>
      <c r="IJ74" s="11"/>
      <c r="IK74" s="11"/>
      <c r="IL74" s="11"/>
      <c r="IM74" s="11"/>
      <c r="IN74" s="11"/>
      <c r="IO74" s="11"/>
      <c r="IP74" s="11"/>
      <c r="IQ74" s="11"/>
      <c r="IR74" s="11"/>
      <c r="IS74" s="11"/>
      <c r="IT74" s="11"/>
      <c r="IU74" s="11"/>
      <c r="IV74" s="11"/>
      <c r="IW74" s="11"/>
    </row>
    <row r="75" customFormat="false" ht="12.95" hidden="false" customHeight="true" outlineLevel="0" collapsed="false"/>
    <row r="76" customFormat="false" ht="12.95" hidden="false" customHeight="true" outlineLevel="0" collapsed="false"/>
    <row r="77" customFormat="false" ht="12.95" hidden="false" customHeight="true" outlineLevel="0" collapsed="false"/>
    <row r="78" customFormat="false" ht="12.95" hidden="false" customHeight="true" outlineLevel="0" collapsed="false"/>
    <row r="79" customFormat="false" ht="12.95" hidden="false" customHeight="true" outlineLevel="0" collapsed="false"/>
    <row r="80" customFormat="false" ht="12.95" hidden="false" customHeight="true" outlineLevel="0" collapsed="false">
      <c r="E80" s="11"/>
      <c r="F80" s="85"/>
      <c r="G80" s="85"/>
      <c r="H80" s="136"/>
      <c r="P80" s="11"/>
      <c r="Q80" s="85"/>
      <c r="R80" s="85"/>
      <c r="S80" s="136"/>
    </row>
    <row r="81" customFormat="false" ht="12.95" hidden="false" customHeight="true" outlineLevel="0" collapsed="false">
      <c r="E81" s="11"/>
      <c r="F81" s="85"/>
      <c r="G81" s="85"/>
      <c r="H81" s="136"/>
      <c r="P81" s="11"/>
      <c r="Q81" s="85"/>
      <c r="R81" s="85"/>
      <c r="S81" s="136"/>
    </row>
    <row r="82" customFormat="false" ht="12.95" hidden="false" customHeight="true" outlineLevel="0" collapsed="false">
      <c r="E82" s="11"/>
      <c r="F82" s="85"/>
      <c r="G82" s="85"/>
      <c r="H82" s="136"/>
      <c r="P82" s="11"/>
      <c r="Q82" s="85"/>
      <c r="R82" s="85"/>
      <c r="S82" s="136"/>
    </row>
    <row r="83" customFormat="false" ht="12.95" hidden="false" customHeight="true" outlineLevel="0" collapsed="false">
      <c r="E83" s="11"/>
      <c r="F83" s="85"/>
      <c r="G83" s="85"/>
      <c r="H83" s="136"/>
      <c r="P83" s="11"/>
      <c r="Q83" s="85"/>
      <c r="R83" s="85"/>
      <c r="S83" s="136"/>
    </row>
    <row r="84" customFormat="false" ht="12.95" hidden="false" customHeight="true" outlineLevel="0" collapsed="false"/>
    <row r="85" customFormat="false" ht="12.95" hidden="false" customHeight="true" outlineLevel="0" collapsed="false"/>
    <row r="86" customFormat="false" ht="12.95" hidden="false" customHeight="true" outlineLevel="0" collapsed="false"/>
    <row r="87" customFormat="false" ht="12.95" hidden="false" customHeight="true" outlineLevel="0" collapsed="false"/>
    <row r="88" customFormat="false" ht="12.95" hidden="false" customHeight="true" outlineLevel="0" collapsed="false"/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  <row r="109" customFormat="false" ht="12.95" hidden="false" customHeight="true" outlineLevel="0" collapsed="false"/>
    <row r="110" customFormat="false" ht="12.95" hidden="false" customHeight="true" outlineLevel="0" collapsed="false"/>
    <row r="111" customFormat="false" ht="12.95" hidden="false" customHeight="true" outlineLevel="0" collapsed="false"/>
    <row r="112" customFormat="false" ht="12.95" hidden="false" customHeight="true" outlineLevel="0" collapsed="false"/>
    <row r="113" customFormat="false" ht="12.95" hidden="false" customHeight="true" outlineLevel="0" collapsed="false"/>
    <row r="114" customFormat="false" ht="12.95" hidden="false" customHeight="true" outlineLevel="0" collapsed="false"/>
    <row r="115" customFormat="false" ht="12.95" hidden="false" customHeight="true" outlineLevel="0" collapsed="false"/>
  </sheetData>
  <mergeCells count="19">
    <mergeCell ref="U7:W7"/>
    <mergeCell ref="X7:Y7"/>
    <mergeCell ref="E8:F8"/>
    <mergeCell ref="I8:K8"/>
    <mergeCell ref="L8:N8"/>
    <mergeCell ref="O8:Q8"/>
    <mergeCell ref="U28:Y28"/>
    <mergeCell ref="B29:C29"/>
    <mergeCell ref="D29:F29"/>
    <mergeCell ref="G29:H29"/>
    <mergeCell ref="J29:K29"/>
    <mergeCell ref="P29:S29"/>
    <mergeCell ref="U29:Y29"/>
    <mergeCell ref="B30:C30"/>
    <mergeCell ref="D30:F30"/>
    <mergeCell ref="G30:H30"/>
    <mergeCell ref="J30:K30"/>
    <mergeCell ref="P30:S30"/>
    <mergeCell ref="U30:Y30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9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" width="29.71"/>
    <col collapsed="false" customWidth="true" hidden="false" outlineLevel="0" max="2" min="2" style="1" width="12.85"/>
    <col collapsed="false" customWidth="true" hidden="false" outlineLevel="0" max="3" min="3" style="1" width="12.7"/>
    <col collapsed="false" customWidth="true" hidden="false" outlineLevel="0" max="4" min="4" style="1" width="10.71"/>
    <col collapsed="false" customWidth="true" hidden="false" outlineLevel="0" max="5" min="5" style="1" width="11.7"/>
    <col collapsed="false" customWidth="true" hidden="false" outlineLevel="0" max="6" min="6" style="1" width="10.71"/>
    <col collapsed="false" customWidth="true" hidden="false" outlineLevel="0" max="7" min="7" style="1" width="11.7"/>
    <col collapsed="false" customWidth="true" hidden="false" outlineLevel="0" max="8" min="8" style="1" width="10.71"/>
    <col collapsed="false" customWidth="true" hidden="true" outlineLevel="1" max="9" min="9" style="1" width="8.7"/>
    <col collapsed="false" customWidth="true" hidden="false" outlineLevel="0" max="11" min="10" style="1" width="8.7"/>
    <col collapsed="false" customWidth="true" hidden="true" outlineLevel="1" max="12" min="12" style="1" width="8.7"/>
    <col collapsed="false" customWidth="true" hidden="false" outlineLevel="0" max="14" min="13" style="1" width="8.7"/>
    <col collapsed="false" customWidth="true" hidden="true" outlineLevel="1" max="15" min="15" style="1" width="8.7"/>
    <col collapsed="false" customWidth="true" hidden="false" outlineLevel="0" max="17" min="16" style="1" width="8.7"/>
    <col collapsed="false" customWidth="true" hidden="false" outlineLevel="0" max="25" min="18" style="1" width="9.7"/>
    <col collapsed="false" customWidth="true" hidden="false" outlineLevel="0" max="26" min="26" style="1" width="10.71"/>
    <col collapsed="false" customWidth="false" hidden="false" outlineLevel="0" max="27" min="27" style="1" width="9.14"/>
    <col collapsed="false" customWidth="true" hidden="false" outlineLevel="0" max="30" min="28" style="1" width="10.71"/>
    <col collapsed="false" customWidth="true" hidden="false" outlineLevel="0" max="31" min="31" style="1" width="15.7"/>
    <col collapsed="false" customWidth="false" hidden="false" outlineLevel="0" max="257" min="32" style="1" width="9.14"/>
  </cols>
  <sheetData>
    <row r="1" customFormat="false" ht="18" hidden="false" customHeight="false" outlineLevel="0" collapsed="false">
      <c r="A1" s="2" t="s">
        <v>277</v>
      </c>
      <c r="B1" s="2"/>
      <c r="C1" s="2"/>
    </row>
    <row r="2" customFormat="false" ht="15" hidden="false" customHeight="true" outlineLevel="0" collapsed="false">
      <c r="A2" s="3" t="s">
        <v>1</v>
      </c>
      <c r="B2" s="3"/>
      <c r="C2" s="3"/>
      <c r="AG2" s="4"/>
    </row>
    <row r="3" customFormat="false" ht="12.75" hidden="false" customHeight="false" outlineLevel="0" collapsed="false">
      <c r="A3" s="5" t="s">
        <v>2</v>
      </c>
      <c r="B3" s="5"/>
      <c r="C3" s="5"/>
      <c r="AG3" s="4"/>
    </row>
    <row r="4" customFormat="false" ht="12.75" hidden="false" customHeight="false" outlineLevel="0" collapsed="false">
      <c r="A4" s="5"/>
      <c r="B4" s="5"/>
      <c r="C4" s="5"/>
      <c r="AG4" s="4"/>
    </row>
    <row r="5" customFormat="false" ht="12.75" hidden="false" customHeight="false" outlineLevel="0" collapsed="false">
      <c r="A5" s="5"/>
      <c r="B5" s="5"/>
      <c r="C5" s="5"/>
      <c r="AG5" s="4"/>
    </row>
    <row r="6" customFormat="false" ht="12.75" hidden="false" customHeight="false" outlineLevel="0" collapsed="false">
      <c r="A6" s="7" t="s">
        <v>3</v>
      </c>
      <c r="B6" s="8" t="n">
        <f aca="true">NOW()-5</f>
        <v>45921.9648397088</v>
      </c>
      <c r="C6" s="9"/>
    </row>
    <row r="7" customFormat="false" ht="12.75" hidden="false" customHeight="false" outlineLevel="0" collapsed="false">
      <c r="D7" s="10"/>
      <c r="E7" s="10"/>
      <c r="F7" s="10"/>
      <c r="G7" s="10"/>
      <c r="H7" s="11" t="s">
        <v>4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2" t="s">
        <v>5</v>
      </c>
      <c r="V7" s="12"/>
      <c r="W7" s="12"/>
      <c r="X7" s="12" t="s">
        <v>6</v>
      </c>
      <c r="Y7" s="12"/>
      <c r="Z7" s="11" t="s">
        <v>7</v>
      </c>
    </row>
    <row r="8" customFormat="false" ht="12.75" hidden="false" customHeight="false" outlineLevel="0" collapsed="false">
      <c r="A8" s="10"/>
      <c r="B8" s="10"/>
      <c r="C8" s="11" t="s">
        <v>8</v>
      </c>
      <c r="D8" s="11" t="s">
        <v>9</v>
      </c>
      <c r="E8" s="13" t="s">
        <v>10</v>
      </c>
      <c r="F8" s="13"/>
      <c r="G8" s="11" t="s">
        <v>11</v>
      </c>
      <c r="H8" s="11" t="s">
        <v>11</v>
      </c>
      <c r="I8" s="12" t="s">
        <v>12</v>
      </c>
      <c r="J8" s="12"/>
      <c r="K8" s="12"/>
      <c r="L8" s="12" t="s">
        <v>13</v>
      </c>
      <c r="M8" s="12"/>
      <c r="N8" s="12"/>
      <c r="O8" s="12" t="s">
        <v>14</v>
      </c>
      <c r="P8" s="12"/>
      <c r="Q8" s="12"/>
      <c r="R8" s="13" t="s">
        <v>15</v>
      </c>
      <c r="S8" s="13" t="s">
        <v>16</v>
      </c>
      <c r="T8" s="11" t="s">
        <v>17</v>
      </c>
      <c r="U8" s="11" t="s">
        <v>18</v>
      </c>
      <c r="V8" s="11"/>
      <c r="W8" s="11" t="s">
        <v>19</v>
      </c>
      <c r="X8" s="11" t="s">
        <v>18</v>
      </c>
      <c r="Y8" s="11" t="s">
        <v>20</v>
      </c>
      <c r="Z8" s="11" t="s">
        <v>21</v>
      </c>
      <c r="AA8" s="13"/>
    </row>
    <row r="9" customFormat="false" ht="12.75" hidden="false" customHeight="false" outlineLevel="0" collapsed="false">
      <c r="A9" s="11" t="s">
        <v>22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29</v>
      </c>
      <c r="J9" s="11" t="str">
        <f aca="false">TEXT([14]output!$AK$16-365,"YYYY")&amp;"E"</f>
        <v>2001E</v>
      </c>
      <c r="K9" s="11" t="str">
        <f aca="false">TEXT([14]output!$AK$16,"YYYY")&amp;"E"</f>
        <v>2002E</v>
      </c>
      <c r="L9" s="11" t="s">
        <v>29</v>
      </c>
      <c r="M9" s="11" t="str">
        <f aca="false">TEXT([14]output!$AK$16-365,"YYYY")&amp;"E"</f>
        <v>2001E</v>
      </c>
      <c r="N9" s="11" t="str">
        <f aca="false">TEXT([14]output!$AK$16,"YYYY")&amp;"E"</f>
        <v>2002E</v>
      </c>
      <c r="O9" s="11" t="s">
        <v>29</v>
      </c>
      <c r="P9" s="11" t="str">
        <f aca="false">TEXT([14]output!$AK$16-365,"YYYY")&amp;"E"</f>
        <v>2001E</v>
      </c>
      <c r="Q9" s="11" t="str">
        <f aca="false">TEXT([14]output!$AK$16,"YYYY")&amp;"E"</f>
        <v>2002E</v>
      </c>
      <c r="R9" s="11" t="s">
        <v>32</v>
      </c>
      <c r="S9" s="11" t="s">
        <v>33</v>
      </c>
      <c r="T9" s="11" t="s">
        <v>34</v>
      </c>
      <c r="U9" s="11" t="s">
        <v>35</v>
      </c>
      <c r="V9" s="11" t="s">
        <v>36</v>
      </c>
      <c r="W9" s="11" t="s">
        <v>37</v>
      </c>
      <c r="X9" s="11" t="s">
        <v>38</v>
      </c>
      <c r="Y9" s="11" t="s">
        <v>6</v>
      </c>
      <c r="Z9" s="11" t="s">
        <v>39</v>
      </c>
      <c r="AA9" s="13"/>
      <c r="AE9" s="16"/>
    </row>
    <row r="10" customFormat="false" ht="4.9" hidden="false" customHeight="true" outlineLevel="0" collapsed="false">
      <c r="A10" s="14" t="s">
        <v>40</v>
      </c>
      <c r="B10" s="14" t="s">
        <v>40</v>
      </c>
      <c r="C10" s="14" t="s">
        <v>40</v>
      </c>
      <c r="D10" s="14" t="s">
        <v>40</v>
      </c>
      <c r="E10" s="14" t="s">
        <v>40</v>
      </c>
      <c r="F10" s="14" t="s">
        <v>40</v>
      </c>
      <c r="G10" s="14" t="s">
        <v>40</v>
      </c>
      <c r="H10" s="14" t="s">
        <v>40</v>
      </c>
      <c r="I10" s="14" t="s">
        <v>40</v>
      </c>
      <c r="J10" s="14" t="s">
        <v>40</v>
      </c>
      <c r="K10" s="14" t="s">
        <v>40</v>
      </c>
      <c r="L10" s="14" t="s">
        <v>40</v>
      </c>
      <c r="M10" s="14" t="s">
        <v>40</v>
      </c>
      <c r="N10" s="14" t="s">
        <v>40</v>
      </c>
      <c r="O10" s="14" t="s">
        <v>40</v>
      </c>
      <c r="P10" s="14" t="s">
        <v>40</v>
      </c>
      <c r="Q10" s="14" t="s">
        <v>40</v>
      </c>
      <c r="R10" s="14" t="s">
        <v>40</v>
      </c>
      <c r="S10" s="14" t="s">
        <v>40</v>
      </c>
      <c r="T10" s="14" t="s">
        <v>40</v>
      </c>
      <c r="U10" s="14" t="s">
        <v>40</v>
      </c>
      <c r="V10" s="14" t="s">
        <v>40</v>
      </c>
      <c r="W10" s="14" t="s">
        <v>40</v>
      </c>
      <c r="X10" s="14" t="s">
        <v>40</v>
      </c>
      <c r="Y10" s="14" t="s">
        <v>40</v>
      </c>
      <c r="Z10" s="14" t="s">
        <v>40</v>
      </c>
      <c r="AA10" s="15"/>
      <c r="AE10" s="16"/>
    </row>
    <row r="11" customFormat="false" ht="12.95" hidden="false" customHeight="true" outlineLevel="0" collapsed="false">
      <c r="A11" s="1" t="s">
        <v>278</v>
      </c>
      <c r="B11" s="16" t="s">
        <v>279</v>
      </c>
      <c r="C11" s="25" t="n">
        <v>37106.4205412037</v>
      </c>
      <c r="D11" s="18" t="n">
        <v>51</v>
      </c>
      <c r="E11" s="18" t="n">
        <v>74.1875</v>
      </c>
      <c r="F11" s="18" t="n">
        <v>44.3</v>
      </c>
      <c r="G11" s="19" t="n">
        <v>6421.15211244822</v>
      </c>
      <c r="H11" s="19" t="n">
        <v>9162.93411244821</v>
      </c>
      <c r="I11" s="21" t="n">
        <v>7.41337274775297</v>
      </c>
      <c r="J11" s="21" t="n">
        <v>8.91608391608392</v>
      </c>
      <c r="K11" s="21" t="n">
        <v>11.6173120728929</v>
      </c>
      <c r="L11" s="21" t="n">
        <v>4.17369065010677</v>
      </c>
      <c r="M11" s="21" t="n">
        <v>3.37078651685393</v>
      </c>
      <c r="N11" s="21" t="n">
        <v>3.88127853881279</v>
      </c>
      <c r="O11" s="21" t="n">
        <v>2.92653131644676</v>
      </c>
      <c r="P11" s="21" t="n">
        <v>4.25589136667358</v>
      </c>
      <c r="Q11" s="21" t="n">
        <v>4.86355313824215</v>
      </c>
      <c r="R11" s="22" t="n">
        <v>0.40531811952195</v>
      </c>
      <c r="S11" s="21" t="n">
        <v>1.72325749742785</v>
      </c>
      <c r="T11" s="22" t="n">
        <v>0.002761886</v>
      </c>
      <c r="U11" s="23" t="n">
        <v>1086.418</v>
      </c>
      <c r="V11" s="22" t="n">
        <v>0.519086576253339</v>
      </c>
      <c r="W11" s="18" t="n">
        <v>8.40344769708113</v>
      </c>
      <c r="X11" s="19" t="n">
        <v>11947.65</v>
      </c>
      <c r="Y11" s="21" t="n">
        <v>0.535488756617986</v>
      </c>
      <c r="Z11" s="24" t="n">
        <v>125.904943381338</v>
      </c>
      <c r="AE11" s="16"/>
    </row>
    <row r="12" customFormat="false" ht="12.95" hidden="false" customHeight="true" outlineLevel="0" collapsed="false">
      <c r="A12" s="1" t="s">
        <v>280</v>
      </c>
      <c r="B12" s="16" t="s">
        <v>281</v>
      </c>
      <c r="C12" s="25" t="n">
        <v>37106.4205412037</v>
      </c>
      <c r="D12" s="18" t="n">
        <v>56.01</v>
      </c>
      <c r="E12" s="18" t="n">
        <v>75.95</v>
      </c>
      <c r="F12" s="18" t="n">
        <v>46.52</v>
      </c>
      <c r="G12" s="19" t="n">
        <v>14169.76144303</v>
      </c>
      <c r="H12" s="19" t="n">
        <v>18567.76144303</v>
      </c>
      <c r="I12" s="21" t="n">
        <v>4.3874114219278</v>
      </c>
      <c r="J12" s="21" t="n">
        <v>10.8546511627907</v>
      </c>
      <c r="K12" s="21" t="n">
        <v>18.1850649350649</v>
      </c>
      <c r="L12" s="21" t="n">
        <v>2.33111594402267</v>
      </c>
      <c r="M12" s="21" t="n">
        <v>4.57598039215686</v>
      </c>
      <c r="N12" s="21" t="n">
        <v>5.62914572864322</v>
      </c>
      <c r="O12" s="21" t="n">
        <v>4.49548269131662</v>
      </c>
      <c r="P12" s="21" t="n">
        <v>5.20114103963372</v>
      </c>
      <c r="Q12" s="21" t="n">
        <v>6.69424537097873</v>
      </c>
      <c r="R12" s="22" t="n">
        <v>0.403534370946822</v>
      </c>
      <c r="S12" s="21" t="n">
        <v>1.90351443350752</v>
      </c>
      <c r="T12" s="22" t="n">
        <v>0.003558719</v>
      </c>
      <c r="U12" s="23" t="n">
        <v>2156.5</v>
      </c>
      <c r="V12" s="22" t="n">
        <v>0.501738928819847</v>
      </c>
      <c r="W12" s="18" t="n">
        <v>7.4977217337004</v>
      </c>
      <c r="X12" s="19" t="n">
        <v>21405</v>
      </c>
      <c r="Y12" s="21" t="n">
        <v>0.576456498606187</v>
      </c>
      <c r="Z12" s="24" t="n">
        <v>252.986278218711</v>
      </c>
      <c r="AA12" s="28"/>
      <c r="AE12" s="16"/>
    </row>
    <row r="13" customFormat="false" ht="12.95" hidden="false" customHeight="true" outlineLevel="0" collapsed="false">
      <c r="A13" s="1" t="s">
        <v>282</v>
      </c>
      <c r="B13" s="16" t="s">
        <v>283</v>
      </c>
      <c r="C13" s="25" t="n">
        <v>37106.4205412037</v>
      </c>
      <c r="D13" s="18" t="n">
        <v>41.64</v>
      </c>
      <c r="E13" s="18" t="n">
        <v>53.625</v>
      </c>
      <c r="F13" s="18" t="n">
        <v>33.6875</v>
      </c>
      <c r="G13" s="19" t="n">
        <v>8827.13185887435</v>
      </c>
      <c r="H13" s="19" t="n">
        <v>10694.1318588744</v>
      </c>
      <c r="I13" s="21" t="n">
        <v>9.4508906411931</v>
      </c>
      <c r="J13" s="21" t="n">
        <v>13.4322580645161</v>
      </c>
      <c r="K13" s="21" t="n">
        <v>14.0675675675676</v>
      </c>
      <c r="L13" s="21" t="n">
        <v>4.14224864330096</v>
      </c>
      <c r="M13" s="21" t="n">
        <v>5.00480769230769</v>
      </c>
      <c r="N13" s="21" t="n">
        <v>4.86448598130841</v>
      </c>
      <c r="O13" s="21" t="n">
        <v>3.50561233473962</v>
      </c>
      <c r="P13" s="21" t="n">
        <v>4.92333877754755</v>
      </c>
      <c r="Q13" s="21" t="n">
        <v>5.11448473606464</v>
      </c>
      <c r="R13" s="22" t="n">
        <v>0.392679695263332</v>
      </c>
      <c r="S13" s="21" t="n">
        <v>2.40718076325998</v>
      </c>
      <c r="T13" s="22" t="n">
        <v>0.01319894</v>
      </c>
      <c r="U13" s="26" t="n">
        <v>1769.73333333333</v>
      </c>
      <c r="V13" s="22" t="n">
        <v>0.803699239056732</v>
      </c>
      <c r="W13" s="18" t="n">
        <v>5.53116265752457</v>
      </c>
      <c r="X13" s="19" t="n">
        <v>18804</v>
      </c>
      <c r="Y13" s="21" t="n">
        <v>0.429682927281003</v>
      </c>
      <c r="Z13" s="27" t="n">
        <v>211.986836188145</v>
      </c>
      <c r="AA13" s="28"/>
      <c r="AE13" s="16"/>
    </row>
    <row r="14" customFormat="false" ht="12.95" hidden="false" customHeight="true" outlineLevel="0" collapsed="false">
      <c r="A14" s="1" t="s">
        <v>284</v>
      </c>
      <c r="B14" s="16" t="s">
        <v>285</v>
      </c>
      <c r="C14" s="25" t="n">
        <v>37106.4205413194</v>
      </c>
      <c r="D14" s="18" t="n">
        <v>51.9</v>
      </c>
      <c r="E14" s="18" t="n">
        <v>66.75</v>
      </c>
      <c r="F14" s="18" t="n">
        <v>47.2</v>
      </c>
      <c r="G14" s="19" t="n">
        <v>6797.49679275039</v>
      </c>
      <c r="H14" s="19" t="n">
        <v>8056.96779275039</v>
      </c>
      <c r="I14" s="21" t="n">
        <v>5.45749400408025</v>
      </c>
      <c r="J14" s="21" t="n">
        <v>9.66480446927374</v>
      </c>
      <c r="K14" s="21" t="n">
        <v>14.8285714285714</v>
      </c>
      <c r="L14" s="21" t="n">
        <v>2.92444514096505</v>
      </c>
      <c r="M14" s="21" t="n">
        <v>3.77729257641921</v>
      </c>
      <c r="N14" s="21" t="n">
        <v>4.54068241469816</v>
      </c>
      <c r="O14" s="21" t="n">
        <v>2.70506438941739</v>
      </c>
      <c r="P14" s="21" t="n">
        <v>3.69585678566531</v>
      </c>
      <c r="Q14" s="21" t="n">
        <v>4.71167707178385</v>
      </c>
      <c r="R14" s="22" t="n">
        <v>0.337778623501506</v>
      </c>
      <c r="S14" s="21" t="n">
        <v>1.85569365650047</v>
      </c>
      <c r="T14" s="22" t="n">
        <v>0.003899395</v>
      </c>
      <c r="U14" s="26" t="n">
        <v>1097.365</v>
      </c>
      <c r="V14" s="22" t="n">
        <v>0.525225426362241</v>
      </c>
      <c r="W14" s="18" t="n">
        <v>7.07687631361107</v>
      </c>
      <c r="X14" s="19" t="n">
        <v>9629.348</v>
      </c>
      <c r="Y14" s="21" t="n">
        <v>0.680413953540432</v>
      </c>
      <c r="Z14" s="27" t="n">
        <v>130.972963251453</v>
      </c>
      <c r="AA14" s="28"/>
      <c r="AE14" s="16"/>
    </row>
    <row r="15" customFormat="false" ht="12.95" hidden="false" customHeight="true" outlineLevel="0" collapsed="false">
      <c r="A15" s="1" t="s">
        <v>286</v>
      </c>
      <c r="B15" s="16" t="s">
        <v>287</v>
      </c>
      <c r="C15" s="25" t="n">
        <v>37106.4205413194</v>
      </c>
      <c r="D15" s="18" t="n">
        <v>34.37</v>
      </c>
      <c r="E15" s="18" t="n">
        <v>56.6875</v>
      </c>
      <c r="F15" s="18" t="n">
        <v>30.75</v>
      </c>
      <c r="G15" s="19" t="n">
        <v>4039.48506486462</v>
      </c>
      <c r="H15" s="19" t="n">
        <v>4653.50706486462</v>
      </c>
      <c r="I15" s="21" t="n">
        <v>7.21515503033757</v>
      </c>
      <c r="J15" s="21" t="n">
        <v>9.68169014084507</v>
      </c>
      <c r="K15" s="21" t="n">
        <v>13.5194909089015</v>
      </c>
      <c r="L15" s="21" t="n">
        <v>3.52815591928897</v>
      </c>
      <c r="M15" s="21" t="n">
        <v>3.86179775280899</v>
      </c>
      <c r="N15" s="21" t="n">
        <v>4.21629546977019</v>
      </c>
      <c r="O15" s="21" t="n">
        <v>2.80057895128841</v>
      </c>
      <c r="P15" s="21" t="n">
        <v>3.58237649335229</v>
      </c>
      <c r="Q15" s="21" t="n">
        <v>4.48324255291687</v>
      </c>
      <c r="R15" s="22" t="n">
        <v>0.277433796217025</v>
      </c>
      <c r="S15" s="21" t="n">
        <v>2.63626809882868</v>
      </c>
      <c r="T15" s="22" t="n">
        <v>0.004760488</v>
      </c>
      <c r="U15" s="23" t="n">
        <v>636.835333333333</v>
      </c>
      <c r="V15" s="22" t="n">
        <v>0.88473943552127</v>
      </c>
      <c r="W15" s="18" t="n">
        <v>8.26197686385371</v>
      </c>
      <c r="X15" s="19" t="n">
        <v>7913.437</v>
      </c>
      <c r="Y15" s="21" t="n">
        <v>0.577153861438612</v>
      </c>
      <c r="Z15" s="24" t="n">
        <v>117.529387979768</v>
      </c>
      <c r="AA15" s="28"/>
      <c r="AE15" s="16"/>
    </row>
    <row r="16" customFormat="false" ht="12.95" hidden="false" customHeight="true" outlineLevel="0" collapsed="false">
      <c r="A16" s="1" t="s">
        <v>288</v>
      </c>
      <c r="B16" s="16" t="s">
        <v>289</v>
      </c>
      <c r="C16" s="25" t="n">
        <v>37106.4205413194</v>
      </c>
      <c r="D16" s="18" t="n">
        <v>61.71</v>
      </c>
      <c r="E16" s="18" t="n">
        <v>74.1</v>
      </c>
      <c r="F16" s="18" t="n">
        <v>55.5</v>
      </c>
      <c r="G16" s="19" t="n">
        <v>5863.78436614961</v>
      </c>
      <c r="H16" s="19" t="n">
        <v>7658.18436614961</v>
      </c>
      <c r="I16" s="21" t="n">
        <v>5.79539866193873</v>
      </c>
      <c r="J16" s="21" t="n">
        <v>9.61214953271028</v>
      </c>
      <c r="K16" s="21" t="n">
        <v>13.6829268292683</v>
      </c>
      <c r="L16" s="21" t="n">
        <v>2.61053528899903</v>
      </c>
      <c r="M16" s="21" t="n">
        <v>3.59825072886297</v>
      </c>
      <c r="N16" s="21" t="n">
        <v>4.04125736738703</v>
      </c>
      <c r="O16" s="21" t="n">
        <v>2.42585816901771</v>
      </c>
      <c r="P16" s="21" t="n">
        <v>3.58865246773646</v>
      </c>
      <c r="Q16" s="21" t="n">
        <v>3.62947126357802</v>
      </c>
      <c r="R16" s="22" t="n">
        <v>0.423146662220462</v>
      </c>
      <c r="S16" s="21" t="n">
        <v>2.11857228345603</v>
      </c>
      <c r="T16" s="22" t="n">
        <v>0.02933028</v>
      </c>
      <c r="U16" s="26" t="n">
        <v>1087.83333333333</v>
      </c>
      <c r="V16" s="22" t="n">
        <v>0.356519074613145</v>
      </c>
      <c r="W16" s="18" t="n">
        <v>5.64051207823083</v>
      </c>
      <c r="X16" s="19" t="n">
        <v>7226</v>
      </c>
      <c r="Y16" s="21" t="n">
        <v>0.650182254916961</v>
      </c>
      <c r="Z16" s="27" t="n">
        <v>95.02162317533</v>
      </c>
      <c r="AA16" s="28"/>
      <c r="AE16" s="16"/>
    </row>
    <row r="17" customFormat="false" ht="12.95" hidden="false" customHeight="true" outlineLevel="0" collapsed="false">
      <c r="A17" s="35" t="s">
        <v>290</v>
      </c>
      <c r="B17" s="36" t="s">
        <v>291</v>
      </c>
      <c r="C17" s="53" t="n">
        <v>37106</v>
      </c>
      <c r="D17" s="18" t="n">
        <v>35.59</v>
      </c>
      <c r="E17" s="18" t="n">
        <v>40.125</v>
      </c>
      <c r="F17" s="18" t="n">
        <v>30</v>
      </c>
      <c r="G17" s="19" t="n">
        <v>8682.20230947808</v>
      </c>
      <c r="H17" s="19" t="n">
        <v>11768.2023094781</v>
      </c>
      <c r="I17" s="21" t="n">
        <v>10.2288890118281</v>
      </c>
      <c r="J17" s="21" t="n">
        <v>12.2724137931035</v>
      </c>
      <c r="K17" s="21" t="n">
        <v>16.1040723981901</v>
      </c>
      <c r="L17" s="21" t="n">
        <v>4.3480747977801</v>
      </c>
      <c r="M17" s="21" t="n">
        <v>4.12877030162413</v>
      </c>
      <c r="N17" s="21" t="n">
        <v>4.56867779204108</v>
      </c>
      <c r="O17" s="21" t="n">
        <v>3.2555128359739</v>
      </c>
      <c r="P17" s="21" t="n">
        <v>4.36992287763761</v>
      </c>
      <c r="Q17" s="21" t="n">
        <v>5.07214124510181</v>
      </c>
      <c r="R17" s="22" t="n">
        <v>0.417619265355891</v>
      </c>
      <c r="S17" s="21" t="n">
        <v>3.00630273873895</v>
      </c>
      <c r="T17" s="22" t="n">
        <v>0.022453</v>
      </c>
      <c r="U17" s="26" t="n">
        <v>1715</v>
      </c>
      <c r="V17" s="22" t="n">
        <v>0.635568513119534</v>
      </c>
      <c r="W17" s="18" t="n">
        <v>5.08591030592454</v>
      </c>
      <c r="X17" s="19" t="n">
        <v>12116</v>
      </c>
      <c r="Y17" s="21" t="n">
        <v>0.531120827231055</v>
      </c>
      <c r="Z17" s="27" t="n">
        <v>243.950612797923</v>
      </c>
      <c r="AA17" s="28"/>
      <c r="AE17" s="16"/>
    </row>
    <row r="18" customFormat="false" ht="12.95" hidden="false" customHeight="true" outlineLevel="0" collapsed="false">
      <c r="A18" s="35"/>
      <c r="B18" s="36"/>
      <c r="C18" s="53"/>
      <c r="D18" s="18"/>
      <c r="E18" s="18"/>
      <c r="F18" s="18"/>
      <c r="G18" s="19"/>
      <c r="H18" s="19"/>
      <c r="I18" s="21"/>
      <c r="J18" s="21"/>
      <c r="K18" s="21"/>
      <c r="L18" s="21"/>
      <c r="M18" s="21"/>
      <c r="N18" s="21"/>
      <c r="O18" s="21"/>
      <c r="P18" s="21"/>
      <c r="Q18" s="21"/>
      <c r="R18" s="22"/>
      <c r="S18" s="21"/>
      <c r="T18" s="22"/>
      <c r="U18" s="26"/>
      <c r="V18" s="22"/>
      <c r="W18" s="18"/>
      <c r="X18" s="19"/>
      <c r="Y18" s="21"/>
      <c r="Z18" s="27"/>
      <c r="AA18" s="28"/>
      <c r="AB18" s="16"/>
      <c r="AC18" s="69"/>
      <c r="AD18" s="70"/>
      <c r="AE18" s="16"/>
    </row>
    <row r="19" customFormat="false" ht="12.95" hidden="false" customHeight="true" outlineLevel="0" collapsed="false">
      <c r="B19" s="16"/>
      <c r="C19" s="25"/>
      <c r="D19" s="18"/>
      <c r="E19" s="18"/>
      <c r="F19" s="18"/>
      <c r="G19" s="19"/>
      <c r="H19" s="19"/>
      <c r="I19" s="21"/>
      <c r="J19" s="21"/>
      <c r="K19" s="21"/>
      <c r="L19" s="21"/>
      <c r="M19" s="21"/>
      <c r="N19" s="21"/>
      <c r="O19" s="21"/>
      <c r="P19" s="21"/>
      <c r="Q19" s="21"/>
      <c r="R19" s="22"/>
      <c r="S19" s="21"/>
      <c r="T19" s="22"/>
      <c r="U19" s="26"/>
      <c r="V19" s="22"/>
      <c r="W19" s="18"/>
      <c r="X19" s="37"/>
      <c r="Y19" s="21"/>
      <c r="Z19" s="27"/>
      <c r="AE19" s="16"/>
    </row>
    <row r="20" customFormat="false" ht="12.95" hidden="false" customHeight="true" outlineLevel="0" collapsed="false">
      <c r="B20" s="30"/>
      <c r="C20" s="30"/>
      <c r="D20" s="30"/>
      <c r="E20" s="30"/>
      <c r="F20" s="30"/>
      <c r="G20" s="39"/>
      <c r="H20" s="40" t="s">
        <v>56</v>
      </c>
      <c r="I20" s="30"/>
      <c r="J20" s="21" t="n">
        <v>10.6334358684748</v>
      </c>
      <c r="K20" s="21" t="n">
        <v>14.572143734351</v>
      </c>
      <c r="L20" s="21" t="n">
        <v>3.43689519778051</v>
      </c>
      <c r="M20" s="21" t="n">
        <v>4.04538370871911</v>
      </c>
      <c r="N20" s="21" t="n">
        <v>4.53454618466584</v>
      </c>
      <c r="O20" s="21" t="n">
        <v>3.15923438402863</v>
      </c>
      <c r="P20" s="21" t="n">
        <v>4.23102568689236</v>
      </c>
      <c r="Q20" s="21" t="n">
        <v>4.9384021969523</v>
      </c>
      <c r="R20" s="22" t="n">
        <v>0.379644361860998</v>
      </c>
      <c r="S20" s="21" t="n">
        <v>2.2358270673885</v>
      </c>
      <c r="T20" s="22" t="n">
        <v>0.011423244</v>
      </c>
      <c r="U20" s="26"/>
      <c r="V20" s="22" t="n">
        <v>0.60379674196373</v>
      </c>
      <c r="W20" s="18" t="n">
        <v>6.78537252141804</v>
      </c>
      <c r="X20" s="19"/>
      <c r="Y20" s="21" t="n">
        <v>0.568642725661748</v>
      </c>
      <c r="Z20" s="30"/>
      <c r="AE20" s="16"/>
    </row>
    <row r="21" customFormat="false" ht="12.95" hidden="false" customHeight="true" outlineLevel="0" collapsed="false">
      <c r="B21" s="30"/>
      <c r="C21" s="30"/>
      <c r="D21" s="30"/>
      <c r="E21" s="30"/>
      <c r="F21" s="30"/>
      <c r="G21" s="39"/>
      <c r="H21" s="40" t="s">
        <v>57</v>
      </c>
      <c r="I21" s="30"/>
      <c r="J21" s="21" t="n">
        <v>9.68169014084507</v>
      </c>
      <c r="K21" s="21" t="n">
        <v>14.0675675675676</v>
      </c>
      <c r="L21" s="21" t="n">
        <v>3.52815591928897</v>
      </c>
      <c r="M21" s="21" t="n">
        <v>3.86179775280899</v>
      </c>
      <c r="N21" s="21" t="n">
        <v>4.54068241469816</v>
      </c>
      <c r="O21" s="21" t="n">
        <v>2.92653131644676</v>
      </c>
      <c r="P21" s="21" t="n">
        <v>4.25589136667358</v>
      </c>
      <c r="Q21" s="21" t="n">
        <v>4.86355313824215</v>
      </c>
      <c r="R21" s="22" t="n">
        <v>0.403534370946822</v>
      </c>
      <c r="S21" s="21" t="n">
        <v>2.11857228345603</v>
      </c>
      <c r="T21" s="22" t="n">
        <v>0.004760488</v>
      </c>
      <c r="U21" s="26"/>
      <c r="V21" s="22" t="n">
        <v>0.525225426362241</v>
      </c>
      <c r="W21" s="18" t="n">
        <v>7.07687631361107</v>
      </c>
      <c r="X21" s="19"/>
      <c r="Y21" s="21" t="n">
        <v>0.576456498606187</v>
      </c>
      <c r="Z21" s="30"/>
      <c r="AE21" s="16"/>
    </row>
    <row r="22" customFormat="false" ht="12.95" hidden="false" customHeight="true" outlineLevel="0" collapsed="false">
      <c r="B22" s="30"/>
      <c r="C22" s="30"/>
      <c r="D22" s="30"/>
      <c r="E22" s="30"/>
      <c r="F22" s="30"/>
      <c r="G22" s="39"/>
      <c r="H22" s="40" t="s">
        <v>26</v>
      </c>
      <c r="I22" s="30"/>
      <c r="J22" s="21" t="n">
        <v>13.4322580645161</v>
      </c>
      <c r="K22" s="21" t="n">
        <v>18.1850649350649</v>
      </c>
      <c r="L22" s="21" t="n">
        <v>4.3480747977801</v>
      </c>
      <c r="M22" s="21" t="n">
        <v>5.00480769230769</v>
      </c>
      <c r="N22" s="21" t="n">
        <v>5.62914572864322</v>
      </c>
      <c r="O22" s="21" t="n">
        <v>4.49548269131662</v>
      </c>
      <c r="P22" s="21" t="n">
        <v>5.20114103963372</v>
      </c>
      <c r="Q22" s="21" t="n">
        <v>6.69424537097873</v>
      </c>
      <c r="R22" s="22" t="n">
        <v>0.423146662220462</v>
      </c>
      <c r="S22" s="21" t="n">
        <v>3.00630273873895</v>
      </c>
      <c r="T22" s="22" t="n">
        <v>0.02933028</v>
      </c>
      <c r="U22" s="26"/>
      <c r="V22" s="22" t="n">
        <v>0.88473943552127</v>
      </c>
      <c r="W22" s="18" t="n">
        <v>8.40344769708113</v>
      </c>
      <c r="X22" s="19"/>
      <c r="Y22" s="21" t="n">
        <v>0.680413953540432</v>
      </c>
      <c r="Z22" s="30"/>
      <c r="AE22" s="16"/>
    </row>
    <row r="23" customFormat="false" ht="12.95" hidden="false" customHeight="true" outlineLevel="0" collapsed="false">
      <c r="B23" s="30"/>
      <c r="C23" s="30"/>
      <c r="D23" s="30"/>
      <c r="E23" s="30"/>
      <c r="F23" s="30"/>
      <c r="G23" s="39"/>
      <c r="H23" s="40" t="s">
        <v>27</v>
      </c>
      <c r="I23" s="30"/>
      <c r="J23" s="21" t="n">
        <v>8.91608391608392</v>
      </c>
      <c r="K23" s="21" t="n">
        <v>11.6173120728929</v>
      </c>
      <c r="L23" s="21" t="n">
        <v>2.33111594402267</v>
      </c>
      <c r="M23" s="21" t="n">
        <v>3.37078651685393</v>
      </c>
      <c r="N23" s="21" t="n">
        <v>3.88127853881279</v>
      </c>
      <c r="O23" s="21" t="n">
        <v>2.42585816901771</v>
      </c>
      <c r="P23" s="21" t="n">
        <v>3.58237649335229</v>
      </c>
      <c r="Q23" s="21" t="n">
        <v>3.62947126357802</v>
      </c>
      <c r="R23" s="22" t="n">
        <v>0.277433796217025</v>
      </c>
      <c r="S23" s="21" t="n">
        <v>1.72325749742785</v>
      </c>
      <c r="T23" s="22" t="n">
        <v>0.002761886</v>
      </c>
      <c r="U23" s="26"/>
      <c r="V23" s="22" t="n">
        <v>0.356519074613145</v>
      </c>
      <c r="W23" s="18" t="n">
        <v>5.08591030592454</v>
      </c>
      <c r="X23" s="19"/>
      <c r="Y23" s="21" t="n">
        <v>0.429682927281003</v>
      </c>
      <c r="Z23" s="30"/>
      <c r="AE23" s="16"/>
    </row>
    <row r="24" customFormat="false" ht="12.95" hidden="false" customHeight="true" outlineLevel="0" collapsed="false"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E24" s="16"/>
    </row>
    <row r="25" customFormat="false" ht="12.95" hidden="false" customHeight="true" outlineLevel="0" collapsed="false">
      <c r="B25" s="30"/>
      <c r="C25" s="30"/>
      <c r="D25" s="30"/>
      <c r="U25" s="48" t="s">
        <v>58</v>
      </c>
      <c r="V25" s="48"/>
      <c r="W25" s="48"/>
      <c r="X25" s="48"/>
      <c r="Y25" s="48"/>
      <c r="AE25" s="16"/>
    </row>
    <row r="26" customFormat="false" ht="12.95" hidden="false" customHeight="true" outlineLevel="0" collapsed="false">
      <c r="A26" s="43"/>
      <c r="B26" s="13" t="s">
        <v>59</v>
      </c>
      <c r="C26" s="13"/>
      <c r="D26" s="13" t="s">
        <v>60</v>
      </c>
      <c r="E26" s="13"/>
      <c r="F26" s="13"/>
      <c r="G26" s="13" t="s">
        <v>61</v>
      </c>
      <c r="H26" s="13"/>
      <c r="J26" s="13" t="s">
        <v>62</v>
      </c>
      <c r="K26" s="13"/>
      <c r="P26" s="13" t="s">
        <v>63</v>
      </c>
      <c r="Q26" s="13"/>
      <c r="R26" s="13"/>
      <c r="S26" s="13"/>
      <c r="U26" s="13" t="s">
        <v>64</v>
      </c>
      <c r="V26" s="13"/>
      <c r="W26" s="13"/>
      <c r="X26" s="13"/>
      <c r="Y26" s="13"/>
      <c r="AA26" s="44"/>
      <c r="AE26" s="16"/>
    </row>
    <row r="27" customFormat="false" ht="3.6" hidden="false" customHeight="true" outlineLevel="0" collapsed="false">
      <c r="A27" s="43"/>
      <c r="B27" s="45" t="s">
        <v>40</v>
      </c>
      <c r="C27" s="45"/>
      <c r="D27" s="45" t="s">
        <v>40</v>
      </c>
      <c r="E27" s="45"/>
      <c r="F27" s="45"/>
      <c r="G27" s="45" t="s">
        <v>40</v>
      </c>
      <c r="H27" s="45"/>
      <c r="J27" s="45" t="s">
        <v>40</v>
      </c>
      <c r="K27" s="45"/>
      <c r="P27" s="45" t="s">
        <v>40</v>
      </c>
      <c r="Q27" s="45"/>
      <c r="R27" s="45"/>
      <c r="S27" s="45"/>
      <c r="U27" s="45" t="s">
        <v>40</v>
      </c>
      <c r="V27" s="45"/>
      <c r="W27" s="45"/>
      <c r="X27" s="45"/>
      <c r="Y27" s="45"/>
      <c r="AA27" s="44"/>
      <c r="AE27" s="16"/>
    </row>
    <row r="28" customFormat="false" ht="12.75" hidden="false" customHeight="false" outlineLevel="0" collapsed="false">
      <c r="A28" s="10"/>
      <c r="B28" s="16"/>
      <c r="C28" s="16"/>
      <c r="D28" s="13" t="s">
        <v>65</v>
      </c>
      <c r="E28" s="13" t="s">
        <v>66</v>
      </c>
      <c r="F28" s="13" t="s">
        <v>8</v>
      </c>
      <c r="G28" s="16" t="s">
        <v>67</v>
      </c>
      <c r="P28" s="13" t="s">
        <v>68</v>
      </c>
      <c r="Q28" s="13"/>
      <c r="R28" s="13" t="s">
        <v>69</v>
      </c>
      <c r="S28" s="13" t="s">
        <v>70</v>
      </c>
      <c r="U28" s="13" t="s">
        <v>71</v>
      </c>
      <c r="V28" s="13" t="s">
        <v>72</v>
      </c>
      <c r="W28" s="13" t="s">
        <v>73</v>
      </c>
      <c r="X28" s="13" t="s">
        <v>74</v>
      </c>
      <c r="Y28" s="13" t="s">
        <v>75</v>
      </c>
      <c r="AA28" s="44"/>
      <c r="AE28" s="16"/>
    </row>
    <row r="29" customFormat="false" ht="12.75" hidden="false" customHeight="false" outlineLevel="0" collapsed="false">
      <c r="A29" s="11" t="s">
        <v>22</v>
      </c>
      <c r="B29" s="16" t="s">
        <v>76</v>
      </c>
      <c r="C29" s="16" t="s">
        <v>77</v>
      </c>
      <c r="D29" s="11" t="s">
        <v>78</v>
      </c>
      <c r="E29" s="11" t="s">
        <v>79</v>
      </c>
      <c r="F29" s="11" t="s">
        <v>80</v>
      </c>
      <c r="G29" s="16" t="s">
        <v>81</v>
      </c>
      <c r="H29" s="16" t="s">
        <v>8</v>
      </c>
      <c r="J29" s="11" t="s">
        <v>82</v>
      </c>
      <c r="K29" s="11" t="s">
        <v>83</v>
      </c>
      <c r="P29" s="11" t="s">
        <v>84</v>
      </c>
      <c r="Q29" s="11" t="s">
        <v>85</v>
      </c>
      <c r="R29" s="11" t="s">
        <v>86</v>
      </c>
      <c r="S29" s="11" t="s">
        <v>87</v>
      </c>
      <c r="U29" s="11" t="s">
        <v>88</v>
      </c>
      <c r="V29" s="11" t="s">
        <v>89</v>
      </c>
      <c r="W29" s="11" t="s">
        <v>90</v>
      </c>
      <c r="X29" s="11" t="s">
        <v>91</v>
      </c>
      <c r="Y29" s="11" t="s">
        <v>92</v>
      </c>
      <c r="AA29" s="13"/>
      <c r="AE29" s="16"/>
    </row>
    <row r="30" customFormat="false" ht="3.6" hidden="false" customHeight="true" outlineLevel="0" collapsed="false">
      <c r="A30" s="14" t="s">
        <v>40</v>
      </c>
      <c r="B30" s="14" t="s">
        <v>40</v>
      </c>
      <c r="C30" s="14" t="s">
        <v>40</v>
      </c>
      <c r="D30" s="14" t="s">
        <v>40</v>
      </c>
      <c r="E30" s="14" t="s">
        <v>40</v>
      </c>
      <c r="F30" s="14" t="s">
        <v>40</v>
      </c>
      <c r="G30" s="14" t="s">
        <v>40</v>
      </c>
      <c r="H30" s="14" t="s">
        <v>40</v>
      </c>
      <c r="J30" s="14" t="s">
        <v>40</v>
      </c>
      <c r="K30" s="14" t="s">
        <v>40</v>
      </c>
      <c r="P30" s="14" t="s">
        <v>40</v>
      </c>
      <c r="Q30" s="14" t="s">
        <v>40</v>
      </c>
      <c r="R30" s="14" t="s">
        <v>40</v>
      </c>
      <c r="S30" s="14" t="s">
        <v>40</v>
      </c>
      <c r="U30" s="14" t="s">
        <v>40</v>
      </c>
      <c r="V30" s="14" t="s">
        <v>40</v>
      </c>
      <c r="W30" s="14" t="s">
        <v>40</v>
      </c>
      <c r="X30" s="14" t="s">
        <v>40</v>
      </c>
      <c r="Y30" s="14" t="s">
        <v>40</v>
      </c>
      <c r="AA30" s="46"/>
      <c r="AE30" s="16"/>
    </row>
    <row r="31" customFormat="false" ht="12.95" hidden="false" customHeight="true" outlineLevel="0" collapsed="false">
      <c r="A31" s="1" t="s">
        <v>278</v>
      </c>
      <c r="B31" s="1" t="s">
        <v>292</v>
      </c>
      <c r="C31" s="15" t="s">
        <v>293</v>
      </c>
      <c r="D31" s="15" t="s">
        <v>123</v>
      </c>
      <c r="E31" s="144" t="s">
        <v>294</v>
      </c>
      <c r="F31" s="25" t="n">
        <v>37088</v>
      </c>
      <c r="G31" s="145" t="s">
        <v>125</v>
      </c>
      <c r="H31" s="25" t="n">
        <v>37088</v>
      </c>
      <c r="I31" s="16"/>
      <c r="J31" s="22" t="n">
        <v>-0.0297265160523187</v>
      </c>
      <c r="K31" s="22" t="n">
        <v>-0.272078501338091</v>
      </c>
      <c r="L31" s="16"/>
      <c r="M31" s="16"/>
      <c r="N31" s="16"/>
      <c r="O31" s="16"/>
      <c r="P31" s="22" t="n">
        <v>3.14542290060199</v>
      </c>
      <c r="Q31" s="21" t="n">
        <v>11.4081989821277</v>
      </c>
      <c r="R31" s="18" t="n">
        <v>5.39970260925418</v>
      </c>
      <c r="S31" s="15" t="s">
        <v>295</v>
      </c>
      <c r="T31" s="16"/>
      <c r="U31" s="23" t="n">
        <v>0</v>
      </c>
      <c r="V31" s="23" t="n">
        <v>0</v>
      </c>
      <c r="W31" s="24" t="n">
        <v>0</v>
      </c>
      <c r="X31" s="23" t="n">
        <v>0</v>
      </c>
      <c r="Y31" s="23" t="n">
        <v>0</v>
      </c>
      <c r="Z31" s="16"/>
      <c r="AA31" s="48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T31" s="16"/>
      <c r="GU31" s="16"/>
      <c r="GV31" s="16"/>
      <c r="GW31" s="16"/>
      <c r="GX31" s="16"/>
      <c r="GY31" s="16"/>
      <c r="GZ31" s="16"/>
      <c r="HA31" s="16"/>
      <c r="HB31" s="16"/>
      <c r="HC31" s="16"/>
      <c r="HD31" s="16"/>
      <c r="HE31" s="16"/>
      <c r="HF31" s="16"/>
      <c r="HG31" s="16"/>
      <c r="HH31" s="16"/>
      <c r="HI31" s="16"/>
      <c r="HJ31" s="16"/>
      <c r="HK31" s="16"/>
      <c r="HL31" s="16"/>
      <c r="HM31" s="16"/>
      <c r="HN31" s="16"/>
      <c r="HO31" s="16"/>
      <c r="HP31" s="16"/>
      <c r="HQ31" s="16"/>
      <c r="HR31" s="16"/>
      <c r="HS31" s="16"/>
      <c r="HT31" s="16"/>
      <c r="HU31" s="16"/>
      <c r="HV31" s="16"/>
      <c r="HW31" s="16"/>
      <c r="HX31" s="16"/>
      <c r="HY31" s="16"/>
      <c r="HZ31" s="16"/>
      <c r="IA31" s="16"/>
      <c r="IB31" s="16"/>
      <c r="IC31" s="16"/>
      <c r="ID31" s="16"/>
      <c r="IE31" s="16"/>
      <c r="IF31" s="16"/>
      <c r="IG31" s="16"/>
      <c r="IH31" s="16"/>
      <c r="II31" s="16"/>
      <c r="IJ31" s="16"/>
      <c r="IK31" s="16"/>
      <c r="IL31" s="16"/>
      <c r="IM31" s="16"/>
      <c r="IN31" s="16"/>
      <c r="IO31" s="16"/>
      <c r="IP31" s="16"/>
      <c r="IQ31" s="16"/>
      <c r="IR31" s="16"/>
      <c r="IS31" s="16"/>
      <c r="IT31" s="16"/>
      <c r="IU31" s="16"/>
      <c r="IV31" s="16"/>
      <c r="IW31" s="16"/>
    </row>
    <row r="32" customFormat="false" ht="12.95" hidden="false" customHeight="true" outlineLevel="0" collapsed="false">
      <c r="A32" s="1" t="s">
        <v>280</v>
      </c>
      <c r="B32" s="1" t="s">
        <v>292</v>
      </c>
      <c r="C32" s="15" t="s">
        <v>293</v>
      </c>
      <c r="D32" s="15" t="s">
        <v>123</v>
      </c>
      <c r="E32" s="144" t="s">
        <v>294</v>
      </c>
      <c r="F32" s="25" t="n">
        <v>37088</v>
      </c>
      <c r="G32" s="145" t="s">
        <v>124</v>
      </c>
      <c r="H32" s="25" t="n">
        <v>37088</v>
      </c>
      <c r="I32" s="16"/>
      <c r="J32" s="22" t="n">
        <v>0.145984654731458</v>
      </c>
      <c r="K32" s="22" t="n">
        <v>-0.212014631401238</v>
      </c>
      <c r="L32" s="16"/>
      <c r="M32" s="16"/>
      <c r="N32" s="16"/>
      <c r="O32" s="16"/>
      <c r="P32" s="22" t="n">
        <v>6.14977785245756</v>
      </c>
      <c r="Q32" s="21" t="n">
        <v>17.6593421591374</v>
      </c>
      <c r="R32" s="18" t="n">
        <v>5.90653435024589</v>
      </c>
      <c r="S32" s="15" t="s">
        <v>98</v>
      </c>
      <c r="T32" s="50"/>
      <c r="U32" s="23" t="n">
        <v>0</v>
      </c>
      <c r="V32" s="23" t="n">
        <v>0</v>
      </c>
      <c r="W32" s="24" t="n">
        <v>0</v>
      </c>
      <c r="X32" s="23" t="n">
        <v>0</v>
      </c>
      <c r="Y32" s="23" t="n">
        <v>0</v>
      </c>
      <c r="Z32" s="51"/>
      <c r="AA32" s="52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  <c r="GU32" s="16"/>
      <c r="GV32" s="16"/>
      <c r="GW32" s="16"/>
      <c r="GX32" s="16"/>
      <c r="GY32" s="16"/>
      <c r="GZ32" s="16"/>
      <c r="HA32" s="16"/>
      <c r="HB32" s="16"/>
      <c r="HC32" s="16"/>
      <c r="HD32" s="16"/>
      <c r="HE32" s="16"/>
      <c r="HF32" s="16"/>
      <c r="HG32" s="16"/>
      <c r="HH32" s="16"/>
      <c r="HI32" s="16"/>
      <c r="HJ32" s="16"/>
      <c r="HK32" s="16"/>
      <c r="HL32" s="16"/>
      <c r="HM32" s="16"/>
      <c r="HN32" s="16"/>
      <c r="HO32" s="16"/>
      <c r="HP32" s="16"/>
      <c r="HQ32" s="16"/>
      <c r="HR32" s="16"/>
      <c r="HS32" s="16"/>
      <c r="HT32" s="16"/>
      <c r="HU32" s="16"/>
      <c r="HV32" s="16"/>
      <c r="HW32" s="16"/>
      <c r="HX32" s="16"/>
      <c r="HY32" s="16"/>
      <c r="HZ32" s="16"/>
      <c r="IA32" s="16"/>
      <c r="IB32" s="16"/>
      <c r="IC32" s="16"/>
      <c r="ID32" s="16"/>
      <c r="IE32" s="16"/>
      <c r="IF32" s="16"/>
      <c r="IG32" s="16"/>
      <c r="IH32" s="16"/>
      <c r="II32" s="16"/>
      <c r="IJ32" s="16"/>
      <c r="IK32" s="16"/>
      <c r="IL32" s="16"/>
      <c r="IM32" s="16"/>
      <c r="IN32" s="16"/>
      <c r="IO32" s="16"/>
      <c r="IP32" s="16"/>
      <c r="IQ32" s="16"/>
      <c r="IR32" s="16"/>
      <c r="IS32" s="16"/>
      <c r="IT32" s="16"/>
      <c r="IU32" s="16"/>
      <c r="IV32" s="16"/>
      <c r="IW32" s="16"/>
    </row>
    <row r="33" customFormat="false" ht="12.95" hidden="false" customHeight="true" outlineLevel="0" collapsed="false">
      <c r="A33" s="1" t="s">
        <v>282</v>
      </c>
      <c r="B33" s="1" t="s">
        <v>292</v>
      </c>
      <c r="C33" s="15" t="s">
        <v>293</v>
      </c>
      <c r="D33" s="15" t="s">
        <v>123</v>
      </c>
      <c r="E33" s="144" t="s">
        <v>296</v>
      </c>
      <c r="F33" s="25" t="n">
        <v>37088</v>
      </c>
      <c r="G33" s="145" t="s">
        <v>125</v>
      </c>
      <c r="H33" s="25" t="n">
        <v>37088</v>
      </c>
      <c r="I33" s="16"/>
      <c r="J33" s="22" t="n">
        <v>0.22245871559633</v>
      </c>
      <c r="K33" s="22" t="n">
        <v>-0.175445544554455</v>
      </c>
      <c r="L33" s="16"/>
      <c r="M33" s="16"/>
      <c r="N33" s="49"/>
      <c r="O33" s="16"/>
      <c r="P33" s="22" t="n">
        <v>1.40688478114059</v>
      </c>
      <c r="Q33" s="21" t="n">
        <v>11.9429609565481</v>
      </c>
      <c r="R33" s="18" t="n">
        <v>5.08197967743149</v>
      </c>
      <c r="S33" s="15" t="s">
        <v>98</v>
      </c>
      <c r="T33" s="50"/>
      <c r="U33" s="23" t="n">
        <v>0</v>
      </c>
      <c r="V33" s="23" t="n">
        <v>0</v>
      </c>
      <c r="W33" s="24" t="n">
        <v>0</v>
      </c>
      <c r="X33" s="23" t="n">
        <v>0</v>
      </c>
      <c r="Y33" s="23" t="n">
        <v>0</v>
      </c>
      <c r="Z33" s="51"/>
      <c r="AA33" s="52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6"/>
      <c r="IM33" s="16"/>
      <c r="IN33" s="16"/>
      <c r="IO33" s="16"/>
      <c r="IP33" s="16"/>
      <c r="IQ33" s="16"/>
      <c r="IR33" s="16"/>
      <c r="IS33" s="16"/>
      <c r="IT33" s="16"/>
      <c r="IU33" s="16"/>
      <c r="IV33" s="16"/>
      <c r="IW33" s="16"/>
    </row>
    <row r="34" customFormat="false" ht="12.95" hidden="false" customHeight="true" outlineLevel="0" collapsed="false">
      <c r="A34" s="1" t="s">
        <v>284</v>
      </c>
      <c r="B34" s="1" t="s">
        <v>292</v>
      </c>
      <c r="C34" s="15" t="s">
        <v>293</v>
      </c>
      <c r="D34" s="15" t="s">
        <v>123</v>
      </c>
      <c r="E34" s="15" t="s">
        <v>294</v>
      </c>
      <c r="F34" s="25" t="n">
        <v>37088</v>
      </c>
      <c r="G34" s="145" t="s">
        <v>297</v>
      </c>
      <c r="H34" s="25" t="n">
        <v>37088</v>
      </c>
      <c r="I34" s="16"/>
      <c r="J34" s="22" t="n">
        <v>0.0784415584415586</v>
      </c>
      <c r="K34" s="22" t="n">
        <v>-0.148761686075119</v>
      </c>
      <c r="L34" s="16"/>
      <c r="M34" s="16"/>
      <c r="N34" s="49"/>
      <c r="O34" s="16"/>
      <c r="P34" s="22" t="n">
        <v>3.37722084818898</v>
      </c>
      <c r="Q34" s="21" t="n">
        <v>9.07023165342355</v>
      </c>
      <c r="R34" s="18" t="n">
        <v>5.85818123059937</v>
      </c>
      <c r="S34" s="15" t="s">
        <v>298</v>
      </c>
      <c r="T34" s="50"/>
      <c r="U34" s="23" t="n">
        <v>0</v>
      </c>
      <c r="V34" s="23" t="n">
        <v>0</v>
      </c>
      <c r="W34" s="24" t="n">
        <v>0</v>
      </c>
      <c r="X34" s="23" t="n">
        <v>0</v>
      </c>
      <c r="Y34" s="23" t="n">
        <v>0</v>
      </c>
      <c r="Z34" s="51"/>
      <c r="AA34" s="52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6"/>
      <c r="FI34" s="16"/>
      <c r="FJ34" s="16"/>
      <c r="FK34" s="16"/>
      <c r="FL34" s="16"/>
      <c r="FM34" s="16"/>
      <c r="FN34" s="16"/>
      <c r="FO34" s="16"/>
      <c r="FP34" s="16"/>
      <c r="FQ34" s="16"/>
      <c r="FR34" s="16"/>
      <c r="FS34" s="16"/>
      <c r="FT34" s="16"/>
      <c r="FU34" s="16"/>
      <c r="FV34" s="16"/>
      <c r="FW34" s="16"/>
      <c r="FX34" s="16"/>
      <c r="FY34" s="16"/>
      <c r="FZ34" s="16"/>
      <c r="GA34" s="16"/>
      <c r="GB34" s="16"/>
      <c r="GC34" s="16"/>
      <c r="GD34" s="16"/>
      <c r="GE34" s="16"/>
      <c r="GF34" s="16"/>
      <c r="GG34" s="16"/>
      <c r="GH34" s="16"/>
      <c r="GI34" s="16"/>
      <c r="GJ34" s="16"/>
      <c r="GK34" s="16"/>
      <c r="GL34" s="16"/>
      <c r="GM34" s="16"/>
      <c r="GN34" s="16"/>
      <c r="GO34" s="16"/>
      <c r="GP34" s="16"/>
      <c r="GQ34" s="16"/>
      <c r="GR34" s="16"/>
      <c r="GS34" s="16"/>
      <c r="GT34" s="16"/>
      <c r="GU34" s="16"/>
      <c r="GV34" s="16"/>
      <c r="GW34" s="16"/>
      <c r="GX34" s="16"/>
      <c r="GY34" s="16"/>
      <c r="GZ34" s="16"/>
      <c r="HA34" s="16"/>
      <c r="HB34" s="16"/>
      <c r="HC34" s="16"/>
      <c r="HD34" s="16"/>
      <c r="HE34" s="16"/>
      <c r="HF34" s="16"/>
      <c r="HG34" s="16"/>
      <c r="HH34" s="16"/>
      <c r="HI34" s="16"/>
      <c r="HJ34" s="16"/>
      <c r="HK34" s="16"/>
      <c r="HL34" s="16"/>
      <c r="HM34" s="16"/>
      <c r="HN34" s="16"/>
      <c r="HO34" s="16"/>
      <c r="HP34" s="16"/>
      <c r="HQ34" s="16"/>
      <c r="HR34" s="16"/>
      <c r="HS34" s="16"/>
      <c r="HT34" s="16"/>
      <c r="HU34" s="16"/>
      <c r="HV34" s="16"/>
      <c r="HW34" s="16"/>
      <c r="HX34" s="16"/>
      <c r="HY34" s="16"/>
      <c r="HZ34" s="16"/>
      <c r="IA34" s="16"/>
      <c r="IB34" s="16"/>
      <c r="IC34" s="16"/>
      <c r="ID34" s="16"/>
      <c r="IE34" s="16"/>
      <c r="IF34" s="16"/>
      <c r="IG34" s="16"/>
      <c r="IH34" s="16"/>
      <c r="II34" s="16"/>
      <c r="IJ34" s="16"/>
      <c r="IK34" s="16"/>
      <c r="IL34" s="16"/>
      <c r="IM34" s="16"/>
      <c r="IN34" s="16"/>
      <c r="IO34" s="16"/>
      <c r="IP34" s="16"/>
      <c r="IQ34" s="16"/>
      <c r="IR34" s="16"/>
      <c r="IS34" s="16"/>
      <c r="IT34" s="16"/>
      <c r="IU34" s="16"/>
      <c r="IV34" s="16"/>
      <c r="IW34" s="16"/>
    </row>
    <row r="35" customFormat="false" ht="12.95" hidden="false" customHeight="true" outlineLevel="0" collapsed="false">
      <c r="A35" s="1" t="s">
        <v>286</v>
      </c>
      <c r="B35" s="1" t="s">
        <v>292</v>
      </c>
      <c r="C35" s="15" t="s">
        <v>293</v>
      </c>
      <c r="D35" s="15" t="s">
        <v>123</v>
      </c>
      <c r="E35" s="144" t="s">
        <v>296</v>
      </c>
      <c r="F35" s="25" t="n">
        <v>37088</v>
      </c>
      <c r="G35" s="145" t="s">
        <v>124</v>
      </c>
      <c r="H35" s="25" t="n">
        <v>37088</v>
      </c>
      <c r="I35" s="16"/>
      <c r="J35" s="22" t="n">
        <v>0.410606060606061</v>
      </c>
      <c r="K35" s="22" t="n">
        <v>-0.24</v>
      </c>
      <c r="L35" s="16"/>
      <c r="M35" s="16"/>
      <c r="N35" s="49"/>
      <c r="O35" s="16"/>
      <c r="P35" s="22" t="n">
        <v>0.195814308524454</v>
      </c>
      <c r="Q35" s="21" t="n">
        <v>9.39165101806062</v>
      </c>
      <c r="R35" s="18" t="n">
        <v>5.56883798133382</v>
      </c>
      <c r="S35" s="15" t="s">
        <v>299</v>
      </c>
      <c r="T35" s="50"/>
      <c r="U35" s="23" t="n">
        <v>0</v>
      </c>
      <c r="V35" s="23" t="n">
        <v>0</v>
      </c>
      <c r="W35" s="24" t="n">
        <v>0</v>
      </c>
      <c r="X35" s="23" t="n">
        <v>0</v>
      </c>
      <c r="Y35" s="23" t="n">
        <v>0</v>
      </c>
      <c r="Z35" s="51"/>
      <c r="AA35" s="52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T35" s="16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16"/>
      <c r="HK35" s="16"/>
      <c r="HL35" s="16"/>
      <c r="HM35" s="16"/>
      <c r="HN35" s="16"/>
      <c r="HO35" s="16"/>
      <c r="HP35" s="16"/>
      <c r="HQ35" s="16"/>
      <c r="HR35" s="16"/>
      <c r="HS35" s="16"/>
      <c r="HT35" s="16"/>
      <c r="HU35" s="16"/>
      <c r="HV35" s="16"/>
      <c r="HW35" s="16"/>
      <c r="HX35" s="16"/>
      <c r="HY35" s="16"/>
      <c r="HZ35" s="16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6"/>
      <c r="IM35" s="16"/>
      <c r="IN35" s="16"/>
      <c r="IO35" s="16"/>
      <c r="IP35" s="16"/>
      <c r="IQ35" s="16"/>
      <c r="IR35" s="16"/>
      <c r="IS35" s="16"/>
      <c r="IT35" s="16"/>
      <c r="IU35" s="16"/>
      <c r="IV35" s="16"/>
      <c r="IW35" s="16"/>
    </row>
    <row r="36" customFormat="false" ht="12.95" hidden="false" customHeight="true" outlineLevel="0" collapsed="false">
      <c r="A36" s="1" t="s">
        <v>288</v>
      </c>
      <c r="B36" s="1" t="s">
        <v>292</v>
      </c>
      <c r="C36" s="15" t="s">
        <v>293</v>
      </c>
      <c r="D36" s="15" t="s">
        <v>123</v>
      </c>
      <c r="E36" s="144" t="s">
        <v>296</v>
      </c>
      <c r="F36" s="25" t="n">
        <v>37088</v>
      </c>
      <c r="G36" s="145" t="s">
        <v>126</v>
      </c>
      <c r="H36" s="25" t="n">
        <v>37088</v>
      </c>
      <c r="I36" s="16"/>
      <c r="J36" s="22" t="n">
        <v>0.0708893709327549</v>
      </c>
      <c r="K36" s="22" t="n">
        <v>-0.0780952380952381</v>
      </c>
      <c r="L36" s="16"/>
      <c r="M36" s="16"/>
      <c r="N36" s="49"/>
      <c r="O36" s="16"/>
      <c r="P36" s="22" t="n">
        <v>1.60413251380631</v>
      </c>
      <c r="Q36" s="21" t="n">
        <v>10.0415384615385</v>
      </c>
      <c r="R36" s="18" t="n">
        <v>6.54265902924329</v>
      </c>
      <c r="S36" s="15" t="s">
        <v>98</v>
      </c>
      <c r="T36" s="50"/>
      <c r="U36" s="23" t="n">
        <v>0</v>
      </c>
      <c r="V36" s="23" t="n">
        <v>0</v>
      </c>
      <c r="W36" s="24" t="n">
        <v>0</v>
      </c>
      <c r="X36" s="23" t="n">
        <v>0</v>
      </c>
      <c r="Y36" s="23" t="n">
        <v>0</v>
      </c>
      <c r="Z36" s="51"/>
      <c r="AA36" s="52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  <c r="IP36" s="16"/>
      <c r="IQ36" s="16"/>
      <c r="IR36" s="16"/>
      <c r="IS36" s="16"/>
      <c r="IT36" s="16"/>
      <c r="IU36" s="16"/>
      <c r="IV36" s="16"/>
      <c r="IW36" s="16"/>
    </row>
    <row r="37" customFormat="false" ht="12.95" hidden="false" customHeight="true" outlineLevel="0" collapsed="false">
      <c r="A37" s="1" t="s">
        <v>290</v>
      </c>
      <c r="B37" s="1" t="s">
        <v>292</v>
      </c>
      <c r="C37" s="15" t="s">
        <v>293</v>
      </c>
      <c r="D37" s="15" t="s">
        <v>123</v>
      </c>
      <c r="E37" s="15" t="s">
        <v>296</v>
      </c>
      <c r="F37" s="25" t="n">
        <v>37088</v>
      </c>
      <c r="G37" s="145" t="s">
        <v>124</v>
      </c>
      <c r="H37" s="25" t="n">
        <v>37088</v>
      </c>
      <c r="I37" s="16"/>
      <c r="J37" s="22" t="n">
        <v>0.166885245901639</v>
      </c>
      <c r="K37" s="22" t="n">
        <v>-0.0800646203554119</v>
      </c>
      <c r="L37" s="16"/>
      <c r="M37" s="16"/>
      <c r="N37" s="49"/>
      <c r="O37" s="16"/>
      <c r="P37" s="22" t="n">
        <v>1.53320193421151</v>
      </c>
      <c r="Q37" s="21" t="n">
        <v>8.98689956331878</v>
      </c>
      <c r="R37" s="18" t="n">
        <v>7.35785953177258</v>
      </c>
      <c r="S37" s="15" t="s">
        <v>98</v>
      </c>
      <c r="T37" s="50"/>
      <c r="U37" s="23" t="n">
        <v>0</v>
      </c>
      <c r="V37" s="23" t="n">
        <v>0</v>
      </c>
      <c r="W37" s="24" t="n">
        <v>0</v>
      </c>
      <c r="X37" s="23" t="n">
        <v>0</v>
      </c>
      <c r="Y37" s="23" t="n">
        <v>0</v>
      </c>
      <c r="Z37" s="51"/>
      <c r="AA37" s="52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  <c r="IQ37" s="16"/>
      <c r="IR37" s="16"/>
      <c r="IS37" s="16"/>
      <c r="IT37" s="16"/>
      <c r="IU37" s="16"/>
      <c r="IV37" s="16"/>
      <c r="IW37" s="16"/>
    </row>
    <row r="38" customFormat="false" ht="12.95" hidden="false" customHeight="true" outlineLevel="0" collapsed="false">
      <c r="C38" s="15"/>
      <c r="D38" s="15"/>
      <c r="E38" s="15"/>
      <c r="F38" s="25"/>
      <c r="G38" s="16"/>
      <c r="H38" s="25"/>
      <c r="I38" s="16"/>
      <c r="J38" s="22"/>
      <c r="K38" s="22"/>
      <c r="L38" s="16"/>
      <c r="M38" s="16"/>
      <c r="N38" s="16"/>
      <c r="O38" s="16"/>
      <c r="P38" s="16"/>
      <c r="Q38" s="16"/>
      <c r="R38" s="16"/>
      <c r="S38" s="16"/>
      <c r="T38" s="50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  <c r="HN38" s="16"/>
      <c r="HO38" s="16"/>
      <c r="HP38" s="16"/>
      <c r="HQ38" s="16"/>
      <c r="HR38" s="16"/>
      <c r="HS38" s="16"/>
      <c r="HT38" s="16"/>
      <c r="HU38" s="16"/>
      <c r="HV38" s="16"/>
      <c r="HW38" s="16"/>
      <c r="HX38" s="16"/>
      <c r="HY38" s="16"/>
      <c r="HZ38" s="16"/>
      <c r="IA38" s="16"/>
      <c r="IB38" s="16"/>
      <c r="IC38" s="16"/>
      <c r="ID38" s="16"/>
      <c r="IE38" s="16"/>
      <c r="IF38" s="16"/>
      <c r="IG38" s="16"/>
      <c r="IH38" s="16"/>
      <c r="II38" s="16"/>
      <c r="IJ38" s="16"/>
      <c r="IK38" s="16"/>
      <c r="IL38" s="16"/>
      <c r="IM38" s="16"/>
      <c r="IN38" s="16"/>
      <c r="IO38" s="16"/>
      <c r="IP38" s="16"/>
      <c r="IQ38" s="16"/>
      <c r="IR38" s="16"/>
      <c r="IS38" s="16"/>
      <c r="IT38" s="16"/>
      <c r="IU38" s="16"/>
      <c r="IV38" s="16"/>
      <c r="IW38" s="16"/>
    </row>
    <row r="39" customFormat="false" ht="12.95" hidden="false" customHeight="true" outlineLevel="0" collapsed="false">
      <c r="C39" s="15"/>
      <c r="D39" s="15"/>
      <c r="E39" s="15"/>
      <c r="F39" s="25"/>
      <c r="G39" s="16"/>
      <c r="H39" s="25"/>
      <c r="I39" s="16"/>
      <c r="J39" s="22"/>
      <c r="K39" s="22"/>
      <c r="L39" s="16"/>
      <c r="M39" s="16"/>
      <c r="N39" s="16"/>
      <c r="O39" s="16"/>
      <c r="P39" s="16"/>
      <c r="Q39" s="16"/>
      <c r="R39" s="16"/>
      <c r="S39" s="16"/>
      <c r="T39" s="50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6"/>
      <c r="IM39" s="16"/>
      <c r="IN39" s="16"/>
      <c r="IO39" s="16"/>
      <c r="IP39" s="16"/>
      <c r="IQ39" s="16"/>
      <c r="IR39" s="16"/>
      <c r="IS39" s="16"/>
      <c r="IT39" s="16"/>
      <c r="IU39" s="16"/>
      <c r="IV39" s="16"/>
      <c r="IW39" s="16"/>
    </row>
    <row r="40" customFormat="false" ht="12.95" hidden="false" customHeight="true" outlineLevel="0" collapsed="false">
      <c r="A40" s="16"/>
      <c r="B40" s="58"/>
      <c r="C40" s="58"/>
      <c r="D40" s="16"/>
      <c r="E40" s="58"/>
      <c r="F40" s="16"/>
      <c r="G40" s="16"/>
      <c r="H40" s="16"/>
      <c r="I40" s="16"/>
      <c r="J40" s="16"/>
      <c r="K40" s="16"/>
      <c r="L40" s="16"/>
      <c r="M40" s="16"/>
      <c r="N40" s="40" t="s">
        <v>56</v>
      </c>
      <c r="O40" s="16"/>
      <c r="P40" s="22" t="n">
        <v>2.48749359127591</v>
      </c>
      <c r="Q40" s="21" t="n">
        <v>11.2144032563078</v>
      </c>
      <c r="R40" s="18" t="n">
        <v>5.9593934871258</v>
      </c>
      <c r="S40" s="15"/>
      <c r="T40" s="50"/>
      <c r="U40" s="23"/>
      <c r="V40" s="23"/>
      <c r="W40" s="24"/>
      <c r="X40" s="23"/>
      <c r="Y40" s="23"/>
      <c r="Z40" s="51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</row>
    <row r="41" customFormat="false" ht="12.95" hidden="false" customHeight="true" outlineLevel="0" collapsed="false">
      <c r="A41" s="16"/>
      <c r="B41" s="58"/>
      <c r="C41" s="58"/>
      <c r="D41" s="58"/>
      <c r="E41" s="16"/>
      <c r="F41" s="16"/>
      <c r="G41" s="16"/>
      <c r="H41" s="16"/>
      <c r="I41" s="16"/>
      <c r="J41" s="16"/>
      <c r="K41" s="16"/>
      <c r="L41" s="16"/>
      <c r="M41" s="16"/>
      <c r="N41" s="40" t="s">
        <v>57</v>
      </c>
      <c r="O41" s="16"/>
      <c r="P41" s="22" t="n">
        <v>1.60413251380631</v>
      </c>
      <c r="Q41" s="21" t="n">
        <v>10.0415384615385</v>
      </c>
      <c r="R41" s="18" t="n">
        <v>5.85818123059937</v>
      </c>
      <c r="S41" s="15"/>
      <c r="T41" s="50"/>
      <c r="U41" s="23"/>
      <c r="V41" s="23"/>
      <c r="W41" s="24"/>
      <c r="X41" s="23"/>
      <c r="Y41" s="23"/>
      <c r="Z41" s="51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</row>
    <row r="42" customFormat="false" ht="12.95" hidden="false" customHeight="true" outlineLevel="0" collapsed="false">
      <c r="A42" s="16"/>
      <c r="B42" s="58"/>
      <c r="C42" s="58"/>
      <c r="D42" s="58"/>
      <c r="E42" s="16"/>
      <c r="F42" s="16"/>
      <c r="G42" s="16"/>
      <c r="H42" s="16"/>
      <c r="I42" s="16"/>
      <c r="J42" s="16"/>
      <c r="K42" s="16"/>
      <c r="L42" s="16"/>
      <c r="M42" s="16"/>
      <c r="N42" s="40" t="s">
        <v>26</v>
      </c>
      <c r="O42" s="16"/>
      <c r="P42" s="22" t="n">
        <v>6.14977785245756</v>
      </c>
      <c r="Q42" s="21" t="n">
        <v>17.6593421591374</v>
      </c>
      <c r="R42" s="18" t="n">
        <v>7.35785953177258</v>
      </c>
      <c r="S42" s="15"/>
      <c r="T42" s="50"/>
      <c r="U42" s="23"/>
      <c r="V42" s="23"/>
      <c r="W42" s="24"/>
      <c r="X42" s="23"/>
      <c r="Y42" s="23"/>
      <c r="Z42" s="51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2.95" hidden="false" customHeight="true" outlineLevel="0" collapsed="false">
      <c r="A43" s="16"/>
      <c r="B43" s="58"/>
      <c r="C43" s="58"/>
      <c r="D43" s="58"/>
      <c r="E43" s="16"/>
      <c r="F43" s="16"/>
      <c r="G43" s="16"/>
      <c r="H43" s="16"/>
      <c r="I43" s="16"/>
      <c r="J43" s="16"/>
      <c r="K43" s="16"/>
      <c r="L43" s="16"/>
      <c r="M43" s="16"/>
      <c r="N43" s="40" t="s">
        <v>27</v>
      </c>
      <c r="O43" s="16"/>
      <c r="P43" s="22" t="n">
        <v>0.195814308524454</v>
      </c>
      <c r="Q43" s="21" t="n">
        <v>8.98689956331878</v>
      </c>
      <c r="R43" s="18" t="n">
        <v>5.08197967743149</v>
      </c>
      <c r="S43" s="15"/>
      <c r="T43" s="50"/>
      <c r="U43" s="23"/>
      <c r="V43" s="23"/>
      <c r="W43" s="24"/>
      <c r="X43" s="23"/>
      <c r="Y43" s="23"/>
      <c r="Z43" s="51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2.95" hidden="false" customHeight="true" outlineLevel="0" collapsed="false">
      <c r="A44" s="61" t="s">
        <v>104</v>
      </c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6"/>
      <c r="IM44" s="16"/>
      <c r="IN44" s="16"/>
      <c r="IO44" s="16"/>
      <c r="IP44" s="16"/>
      <c r="IQ44" s="16"/>
      <c r="IR44" s="16"/>
      <c r="IS44" s="16"/>
      <c r="IT44" s="16"/>
      <c r="IU44" s="16"/>
      <c r="IV44" s="16"/>
      <c r="IW44" s="16"/>
    </row>
    <row r="45" customFormat="false" ht="12.95" hidden="false" customHeight="true" outlineLevel="0" collapsed="false">
      <c r="A45" s="15" t="s">
        <v>241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6"/>
      <c r="IM45" s="16"/>
      <c r="IN45" s="16"/>
      <c r="IO45" s="16"/>
      <c r="IP45" s="16"/>
      <c r="IQ45" s="16"/>
      <c r="IR45" s="16"/>
      <c r="IS45" s="16"/>
      <c r="IT45" s="16"/>
      <c r="IU45" s="16"/>
      <c r="IV45" s="16"/>
      <c r="IW45" s="16"/>
    </row>
    <row r="46" customFormat="false" ht="12.95" hidden="false" customHeight="true" outlineLevel="0" collapsed="false">
      <c r="A46" s="15" t="s">
        <v>242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  <c r="IQ46" s="16"/>
      <c r="IR46" s="16"/>
      <c r="IS46" s="16"/>
      <c r="IT46" s="16"/>
      <c r="IU46" s="16"/>
      <c r="IV46" s="16"/>
      <c r="IW46" s="16"/>
    </row>
    <row r="47" customFormat="false" ht="12.95" hidden="false" customHeight="true" outlineLevel="0" collapsed="false">
      <c r="A47" s="15" t="s">
        <v>243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</row>
    <row r="48" customFormat="false" ht="12.95" hidden="false" customHeight="true" outlineLevel="0" collapsed="false">
      <c r="A48" s="15" t="s">
        <v>244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</row>
    <row r="49" customFormat="false" ht="12.95" hidden="false" customHeight="true" outlineLevel="0" collapsed="false">
      <c r="A49" s="15" t="s">
        <v>245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2.95" hidden="false" customHeight="true" outlineLevel="0" collapsed="false">
      <c r="A50" s="15" t="s">
        <v>246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2.95" hidden="false" customHeight="true" outlineLevel="0" collapsed="false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2.95" hidden="false" customHeight="true" outlineLevel="0" collapsed="false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2.95" hidden="false" customHeight="true" outlineLevel="0" collapsed="false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12.95" hidden="false" customHeight="true" outlineLevel="0" collapsed="false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12.95" hidden="false" customHeight="true" outlineLevel="0" collapsed="false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12.95" hidden="false" customHeight="true" outlineLevel="0" collapsed="false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12.95" hidden="false" customHeight="true" outlineLevel="0" collapsed="false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12.95" hidden="false" customHeight="true" outlineLevel="0" collapsed="false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12.95" hidden="false" customHeight="true" outlineLevel="0" collapsed="false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</row>
    <row r="60" customFormat="false" ht="12.95" hidden="false" customHeight="true" outlineLevel="0" collapsed="false">
      <c r="AA60" s="16"/>
      <c r="AB60" s="16"/>
      <c r="AC60" s="16"/>
      <c r="AD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</row>
    <row r="61" customFormat="false" ht="12.95" hidden="false" customHeight="true" outlineLevel="0" collapsed="false">
      <c r="AA61" s="16"/>
      <c r="AB61" s="16"/>
      <c r="AC61" s="16"/>
      <c r="AD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6"/>
      <c r="IM61" s="16"/>
      <c r="IN61" s="16"/>
      <c r="IO61" s="16"/>
      <c r="IP61" s="16"/>
      <c r="IQ61" s="16"/>
      <c r="IR61" s="16"/>
      <c r="IS61" s="16"/>
      <c r="IT61" s="16"/>
      <c r="IU61" s="16"/>
      <c r="IV61" s="16"/>
      <c r="IW61" s="16"/>
    </row>
    <row r="62" customFormat="false" ht="12.95" hidden="false" customHeight="true" outlineLevel="0" collapsed="false">
      <c r="AA62" s="16"/>
      <c r="AB62" s="16"/>
      <c r="AC62" s="16"/>
      <c r="AD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</row>
    <row r="63" customFormat="false" ht="12.95" hidden="false" customHeight="true" outlineLevel="0" collapsed="false">
      <c r="AA63" s="16"/>
      <c r="AB63" s="16"/>
      <c r="AC63" s="16"/>
      <c r="AD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</row>
    <row r="64" customFormat="false" ht="12.95" hidden="false" customHeight="true" outlineLevel="0" collapsed="false">
      <c r="AA64" s="16"/>
      <c r="AB64" s="16"/>
      <c r="AC64" s="16"/>
      <c r="AD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</row>
    <row r="65" customFormat="false" ht="12.95" hidden="false" customHeight="true" outlineLevel="0" collapsed="false">
      <c r="AA65" s="16"/>
      <c r="AB65" s="16"/>
      <c r="AC65" s="16"/>
      <c r="AD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6"/>
      <c r="IM65" s="16"/>
      <c r="IN65" s="16"/>
      <c r="IO65" s="16"/>
      <c r="IP65" s="16"/>
      <c r="IQ65" s="16"/>
      <c r="IR65" s="16"/>
      <c r="IS65" s="16"/>
      <c r="IT65" s="16"/>
      <c r="IU65" s="16"/>
      <c r="IV65" s="16"/>
      <c r="IW65" s="16"/>
    </row>
    <row r="66" customFormat="false" ht="12.95" hidden="false" customHeight="true" outlineLevel="0" collapsed="false">
      <c r="AA66" s="16"/>
      <c r="AB66" s="16"/>
      <c r="AC66" s="16"/>
      <c r="AD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  <c r="GU66" s="16"/>
      <c r="GV66" s="16"/>
      <c r="GW66" s="16"/>
      <c r="GX66" s="16"/>
      <c r="GY66" s="16"/>
      <c r="GZ66" s="16"/>
      <c r="HA66" s="16"/>
      <c r="HB66" s="16"/>
      <c r="HC66" s="16"/>
      <c r="HD66" s="16"/>
      <c r="HE66" s="16"/>
      <c r="HF66" s="16"/>
      <c r="HG66" s="16"/>
      <c r="HH66" s="16"/>
      <c r="HI66" s="16"/>
      <c r="HJ66" s="16"/>
      <c r="HK66" s="16"/>
      <c r="HL66" s="16"/>
      <c r="HM66" s="16"/>
      <c r="HN66" s="16"/>
      <c r="HO66" s="16"/>
      <c r="HP66" s="16"/>
      <c r="HQ66" s="16"/>
      <c r="HR66" s="16"/>
      <c r="HS66" s="16"/>
      <c r="HT66" s="16"/>
      <c r="HU66" s="16"/>
      <c r="HV66" s="16"/>
      <c r="HW66" s="16"/>
      <c r="HX66" s="16"/>
      <c r="HY66" s="16"/>
      <c r="HZ66" s="16"/>
      <c r="IA66" s="16"/>
      <c r="IB66" s="16"/>
      <c r="IC66" s="16"/>
      <c r="ID66" s="16"/>
      <c r="IE66" s="16"/>
      <c r="IF66" s="16"/>
      <c r="IG66" s="16"/>
      <c r="IH66" s="16"/>
      <c r="II66" s="16"/>
      <c r="IJ66" s="16"/>
      <c r="IK66" s="16"/>
      <c r="IL66" s="16"/>
      <c r="IM66" s="16"/>
      <c r="IN66" s="16"/>
      <c r="IO66" s="16"/>
      <c r="IP66" s="16"/>
      <c r="IQ66" s="16"/>
      <c r="IR66" s="16"/>
      <c r="IS66" s="16"/>
      <c r="IT66" s="16"/>
      <c r="IU66" s="16"/>
      <c r="IV66" s="16"/>
      <c r="IW66" s="16"/>
    </row>
    <row r="67" customFormat="false" ht="12.95" hidden="false" customHeight="true" outlineLevel="0" collapsed="false">
      <c r="AA67" s="16"/>
      <c r="AB67" s="16"/>
      <c r="AC67" s="16"/>
      <c r="AD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</row>
    <row r="68" customFormat="false" ht="12.95" hidden="false" customHeight="true" outlineLevel="0" collapsed="false">
      <c r="AA68" s="16"/>
      <c r="AB68" s="16"/>
      <c r="AC68" s="16"/>
      <c r="AD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</row>
    <row r="69" customFormat="false" ht="12.95" hidden="false" customHeight="true" outlineLevel="0" collapsed="false"/>
    <row r="70" customFormat="false" ht="12.95" hidden="false" customHeight="true" outlineLevel="0" collapsed="false"/>
    <row r="71" customFormat="false" ht="12.95" hidden="false" customHeight="true" outlineLevel="0" collapsed="false"/>
    <row r="72" customFormat="false" ht="12.95" hidden="false" customHeight="true" outlineLevel="0" collapsed="false"/>
    <row r="73" customFormat="false" ht="12.95" hidden="false" customHeight="true" outlineLevel="0" collapsed="false"/>
    <row r="74" customFormat="false" ht="12.95" hidden="false" customHeight="true" outlineLevel="0" collapsed="false"/>
    <row r="75" customFormat="false" ht="12.95" hidden="false" customHeight="true" outlineLevel="0" collapsed="false"/>
    <row r="76" customFormat="false" ht="12.95" hidden="false" customHeight="true" outlineLevel="0" collapsed="false"/>
    <row r="77" customFormat="false" ht="12.95" hidden="false" customHeight="true" outlineLevel="0" collapsed="false"/>
    <row r="78" customFormat="false" ht="12.95" hidden="false" customHeight="true" outlineLevel="0" collapsed="false"/>
    <row r="79" customFormat="false" ht="12.95" hidden="false" customHeight="true" outlineLevel="0" collapsed="false"/>
    <row r="80" customFormat="false" ht="12.95" hidden="false" customHeight="true" outlineLevel="0" collapsed="false"/>
    <row r="81" customFormat="false" ht="12.95" hidden="false" customHeight="true" outlineLevel="0" collapsed="false"/>
    <row r="82" customFormat="false" ht="12.95" hidden="false" customHeight="true" outlineLevel="0" collapsed="false"/>
    <row r="83" customFormat="false" ht="12.95" hidden="false" customHeight="true" outlineLevel="0" collapsed="false"/>
    <row r="84" customFormat="false" ht="12.95" hidden="false" customHeight="true" outlineLevel="0" collapsed="false"/>
    <row r="85" customFormat="false" ht="12.95" hidden="false" customHeight="true" outlineLevel="0" collapsed="false"/>
    <row r="86" customFormat="false" ht="12.95" hidden="false" customHeight="true" outlineLevel="0" collapsed="false"/>
    <row r="87" customFormat="false" ht="12.95" hidden="false" customHeight="true" outlineLevel="0" collapsed="false"/>
    <row r="88" customFormat="false" ht="12.95" hidden="false" customHeight="true" outlineLevel="0" collapsed="false"/>
    <row r="89" customFormat="false" ht="12.95" hidden="false" customHeight="true" outlineLevel="0" collapsed="false"/>
    <row r="90" customFormat="false" ht="12.95" hidden="false" customHeight="true" outlineLevel="0" collapsed="false"/>
    <row r="91" customFormat="false" ht="12.95" hidden="false" customHeight="true" outlineLevel="0" collapsed="false"/>
    <row r="92" customFormat="false" ht="12.95" hidden="false" customHeight="true" outlineLevel="0" collapsed="false"/>
    <row r="93" customFormat="false" ht="12.95" hidden="false" customHeight="true" outlineLevel="0" collapsed="false"/>
    <row r="94" customFormat="false" ht="12.95" hidden="false" customHeight="true" outlineLevel="0" collapsed="false"/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  <row r="109" customFormat="false" ht="12.95" hidden="false" customHeight="true" outlineLevel="0" collapsed="false"/>
  </sheetData>
  <mergeCells count="19">
    <mergeCell ref="U7:W7"/>
    <mergeCell ref="X7:Y7"/>
    <mergeCell ref="E8:F8"/>
    <mergeCell ref="I8:K8"/>
    <mergeCell ref="L8:N8"/>
    <mergeCell ref="O8:Q8"/>
    <mergeCell ref="U25:Y25"/>
    <mergeCell ref="B26:C26"/>
    <mergeCell ref="D26:F26"/>
    <mergeCell ref="G26:H26"/>
    <mergeCell ref="J26:K26"/>
    <mergeCell ref="P26:S26"/>
    <mergeCell ref="U26:Y26"/>
    <mergeCell ref="B27:C27"/>
    <mergeCell ref="D27:F27"/>
    <mergeCell ref="G27:H27"/>
    <mergeCell ref="J27:K27"/>
    <mergeCell ref="P27:S27"/>
    <mergeCell ref="U27:Y27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4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" width="29.71"/>
    <col collapsed="false" customWidth="true" hidden="false" outlineLevel="0" max="2" min="2" style="1" width="14.99"/>
    <col collapsed="false" customWidth="true" hidden="false" outlineLevel="0" max="3" min="3" style="1" width="12.7"/>
    <col collapsed="false" customWidth="true" hidden="false" outlineLevel="0" max="4" min="4" style="1" width="10.71"/>
    <col collapsed="false" customWidth="true" hidden="false" outlineLevel="0" max="5" min="5" style="1" width="11.7"/>
    <col collapsed="false" customWidth="true" hidden="false" outlineLevel="0" max="6" min="6" style="1" width="10.71"/>
    <col collapsed="false" customWidth="true" hidden="false" outlineLevel="0" max="7" min="7" style="1" width="11.7"/>
    <col collapsed="false" customWidth="true" hidden="false" outlineLevel="0" max="8" min="8" style="1" width="10.71"/>
    <col collapsed="false" customWidth="true" hidden="true" outlineLevel="1" max="9" min="9" style="1" width="8.7"/>
    <col collapsed="false" customWidth="true" hidden="false" outlineLevel="0" max="11" min="10" style="1" width="8.7"/>
    <col collapsed="false" customWidth="true" hidden="true" outlineLevel="1" max="12" min="12" style="1" width="8.7"/>
    <col collapsed="false" customWidth="true" hidden="false" outlineLevel="0" max="14" min="13" style="1" width="8.7"/>
    <col collapsed="false" customWidth="true" hidden="true" outlineLevel="1" max="15" min="15" style="1" width="8.7"/>
    <col collapsed="false" customWidth="true" hidden="false" outlineLevel="0" max="17" min="16" style="1" width="8.7"/>
    <col collapsed="false" customWidth="true" hidden="false" outlineLevel="0" max="25" min="18" style="1" width="9.7"/>
    <col collapsed="false" customWidth="true" hidden="false" outlineLevel="0" max="26" min="26" style="1" width="10.71"/>
    <col collapsed="false" customWidth="false" hidden="false" outlineLevel="0" max="27" min="27" style="1" width="9.14"/>
    <col collapsed="false" customWidth="true" hidden="false" outlineLevel="0" max="30" min="28" style="1" width="10.71"/>
    <col collapsed="false" customWidth="true" hidden="false" outlineLevel="0" max="31" min="31" style="1" width="15.7"/>
    <col collapsed="false" customWidth="false" hidden="false" outlineLevel="0" max="257" min="32" style="1" width="9.14"/>
  </cols>
  <sheetData>
    <row r="1" customFormat="false" ht="18" hidden="false" customHeight="false" outlineLevel="0" collapsed="false">
      <c r="A1" s="2" t="s">
        <v>300</v>
      </c>
      <c r="B1" s="2"/>
      <c r="C1" s="2"/>
    </row>
    <row r="2" customFormat="false" ht="15" hidden="false" customHeight="true" outlineLevel="0" collapsed="false">
      <c r="A2" s="3" t="s">
        <v>1</v>
      </c>
      <c r="B2" s="3"/>
      <c r="C2" s="3"/>
      <c r="AF2" s="4"/>
    </row>
    <row r="3" customFormat="false" ht="12.75" hidden="false" customHeight="false" outlineLevel="0" collapsed="false">
      <c r="A3" s="5" t="s">
        <v>2</v>
      </c>
      <c r="B3" s="5"/>
      <c r="C3" s="5"/>
      <c r="AF3" s="4"/>
    </row>
    <row r="4" customFormat="false" ht="12.75" hidden="false" customHeight="false" outlineLevel="0" collapsed="false">
      <c r="A4" s="5"/>
      <c r="B4" s="5"/>
      <c r="C4" s="5"/>
      <c r="AF4" s="4"/>
    </row>
    <row r="5" customFormat="false" ht="12.75" hidden="false" customHeight="false" outlineLevel="0" collapsed="false">
      <c r="A5" s="5"/>
      <c r="B5" s="5"/>
      <c r="C5" s="5"/>
      <c r="AF5" s="4"/>
    </row>
    <row r="6" customFormat="false" ht="12.75" hidden="false" customHeight="false" outlineLevel="0" collapsed="false">
      <c r="A6" s="7" t="s">
        <v>3</v>
      </c>
      <c r="B6" s="8" t="n">
        <v>37106.4147769676</v>
      </c>
      <c r="C6" s="9"/>
    </row>
    <row r="7" customFormat="false" ht="12.75" hidden="false" customHeight="false" outlineLevel="0" collapsed="false">
      <c r="D7" s="10"/>
      <c r="E7" s="10"/>
      <c r="F7" s="10"/>
      <c r="G7" s="10"/>
      <c r="H7" s="11" t="s">
        <v>4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2" t="s">
        <v>5</v>
      </c>
      <c r="V7" s="12"/>
      <c r="W7" s="12"/>
      <c r="X7" s="12" t="s">
        <v>6</v>
      </c>
      <c r="Y7" s="12"/>
      <c r="Z7" s="11" t="s">
        <v>7</v>
      </c>
    </row>
    <row r="8" customFormat="false" ht="12.75" hidden="false" customHeight="false" outlineLevel="0" collapsed="false">
      <c r="A8" s="10"/>
      <c r="B8" s="10"/>
      <c r="C8" s="11" t="s">
        <v>8</v>
      </c>
      <c r="D8" s="11" t="s">
        <v>9</v>
      </c>
      <c r="E8" s="13" t="s">
        <v>10</v>
      </c>
      <c r="F8" s="13"/>
      <c r="G8" s="11" t="s">
        <v>11</v>
      </c>
      <c r="H8" s="11" t="s">
        <v>11</v>
      </c>
      <c r="I8" s="12" t="s">
        <v>12</v>
      </c>
      <c r="J8" s="12"/>
      <c r="K8" s="12"/>
      <c r="L8" s="12" t="s">
        <v>13</v>
      </c>
      <c r="M8" s="12"/>
      <c r="N8" s="12"/>
      <c r="O8" s="12" t="s">
        <v>14</v>
      </c>
      <c r="P8" s="12"/>
      <c r="Q8" s="12"/>
      <c r="R8" s="13" t="s">
        <v>15</v>
      </c>
      <c r="S8" s="13" t="s">
        <v>16</v>
      </c>
      <c r="T8" s="11" t="s">
        <v>17</v>
      </c>
      <c r="U8" s="11" t="s">
        <v>18</v>
      </c>
      <c r="V8" s="11"/>
      <c r="W8" s="11" t="s">
        <v>19</v>
      </c>
      <c r="X8" s="11" t="s">
        <v>18</v>
      </c>
      <c r="Y8" s="11" t="s">
        <v>20</v>
      </c>
      <c r="Z8" s="11" t="s">
        <v>21</v>
      </c>
      <c r="AA8" s="13"/>
    </row>
    <row r="9" customFormat="false" ht="12.75" hidden="false" customHeight="false" outlineLevel="0" collapsed="false">
      <c r="A9" s="11" t="s">
        <v>22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29</v>
      </c>
      <c r="J9" s="11" t="s">
        <v>30</v>
      </c>
      <c r="K9" s="11" t="s">
        <v>31</v>
      </c>
      <c r="L9" s="11" t="s">
        <v>29</v>
      </c>
      <c r="M9" s="11" t="s">
        <v>30</v>
      </c>
      <c r="N9" s="11" t="s">
        <v>31</v>
      </c>
      <c r="O9" s="11" t="s">
        <v>29</v>
      </c>
      <c r="P9" s="11" t="s">
        <v>30</v>
      </c>
      <c r="Q9" s="11" t="s">
        <v>31</v>
      </c>
      <c r="R9" s="11" t="s">
        <v>32</v>
      </c>
      <c r="S9" s="11" t="s">
        <v>33</v>
      </c>
      <c r="T9" s="11" t="s">
        <v>34</v>
      </c>
      <c r="U9" s="11" t="s">
        <v>35</v>
      </c>
      <c r="V9" s="11" t="s">
        <v>36</v>
      </c>
      <c r="W9" s="11" t="s">
        <v>37</v>
      </c>
      <c r="X9" s="11" t="s">
        <v>38</v>
      </c>
      <c r="Y9" s="11" t="s">
        <v>6</v>
      </c>
      <c r="Z9" s="11" t="s">
        <v>39</v>
      </c>
      <c r="AA9" s="13"/>
    </row>
    <row r="10" customFormat="false" ht="4.9" hidden="false" customHeight="true" outlineLevel="0" collapsed="false">
      <c r="A10" s="14" t="s">
        <v>40</v>
      </c>
      <c r="B10" s="14" t="s">
        <v>40</v>
      </c>
      <c r="C10" s="14" t="s">
        <v>40</v>
      </c>
      <c r="D10" s="14" t="s">
        <v>40</v>
      </c>
      <c r="E10" s="14" t="s">
        <v>40</v>
      </c>
      <c r="F10" s="14" t="s">
        <v>40</v>
      </c>
      <c r="G10" s="14" t="s">
        <v>40</v>
      </c>
      <c r="H10" s="14" t="s">
        <v>40</v>
      </c>
      <c r="I10" s="14" t="s">
        <v>40</v>
      </c>
      <c r="J10" s="14" t="s">
        <v>40</v>
      </c>
      <c r="K10" s="14" t="s">
        <v>40</v>
      </c>
      <c r="L10" s="14" t="s">
        <v>40</v>
      </c>
      <c r="M10" s="14" t="s">
        <v>40</v>
      </c>
      <c r="N10" s="14" t="s">
        <v>40</v>
      </c>
      <c r="O10" s="14" t="s">
        <v>40</v>
      </c>
      <c r="P10" s="14" t="s">
        <v>40</v>
      </c>
      <c r="Q10" s="14" t="s">
        <v>40</v>
      </c>
      <c r="R10" s="14" t="s">
        <v>40</v>
      </c>
      <c r="S10" s="14" t="s">
        <v>40</v>
      </c>
      <c r="T10" s="14" t="s">
        <v>40</v>
      </c>
      <c r="U10" s="14" t="s">
        <v>40</v>
      </c>
      <c r="V10" s="14" t="s">
        <v>40</v>
      </c>
      <c r="W10" s="14" t="s">
        <v>40</v>
      </c>
      <c r="X10" s="14" t="s">
        <v>40</v>
      </c>
      <c r="Y10" s="14" t="s">
        <v>40</v>
      </c>
      <c r="Z10" s="14" t="s">
        <v>40</v>
      </c>
      <c r="AA10" s="15"/>
    </row>
    <row r="11" customFormat="false" ht="12.95" hidden="false" customHeight="true" outlineLevel="0" collapsed="false">
      <c r="A11" s="1" t="s">
        <v>301</v>
      </c>
      <c r="B11" s="16" t="s">
        <v>302</v>
      </c>
      <c r="C11" s="25" t="n">
        <v>37106.4142394676</v>
      </c>
      <c r="D11" s="18" t="n">
        <v>6.25</v>
      </c>
      <c r="E11" s="18" t="n">
        <v>11.06</v>
      </c>
      <c r="F11" s="18" t="n">
        <v>5.4375</v>
      </c>
      <c r="G11" s="19" t="n">
        <v>1044.66669776</v>
      </c>
      <c r="H11" s="19" t="n">
        <v>2196.25558276</v>
      </c>
      <c r="I11" s="21" t="n">
        <v>4.10829289710793</v>
      </c>
      <c r="J11" s="21" t="n">
        <v>5.00747685864696</v>
      </c>
      <c r="K11" s="21" t="n">
        <v>6.39009559432659</v>
      </c>
      <c r="L11" s="21" t="n">
        <v>2.22752931417118</v>
      </c>
      <c r="M11" s="21" t="n">
        <v>2.0780959576982</v>
      </c>
      <c r="N11" s="21" t="n">
        <v>2.33511321928835</v>
      </c>
      <c r="O11" s="21" t="n">
        <v>1.85670002285625</v>
      </c>
      <c r="P11" s="21" t="n">
        <v>3.53488346901956</v>
      </c>
      <c r="Q11" s="21" t="n">
        <v>3.98509382922644</v>
      </c>
      <c r="R11" s="22" t="n">
        <v>0.741015072245518</v>
      </c>
      <c r="S11" s="21" t="n">
        <v>2.61829758302902</v>
      </c>
      <c r="T11" s="22" t="n">
        <v>0</v>
      </c>
      <c r="U11" s="26" t="n">
        <v>276.055</v>
      </c>
      <c r="V11" s="22" t="n">
        <v>0.907391642969698</v>
      </c>
      <c r="W11" s="18" t="n">
        <v>6.63836419755557</v>
      </c>
      <c r="X11" s="19" t="n">
        <v>4920.834</v>
      </c>
      <c r="Y11" s="21" t="n">
        <v>0.1771384540036</v>
      </c>
      <c r="Z11" s="27" t="n">
        <v>167.1466716416</v>
      </c>
      <c r="AA11" s="28"/>
    </row>
    <row r="12" customFormat="false" ht="12.95" hidden="false" customHeight="true" outlineLevel="0" collapsed="false">
      <c r="A12" s="35" t="s">
        <v>303</v>
      </c>
      <c r="B12" s="36" t="s">
        <v>304</v>
      </c>
      <c r="C12" s="53" t="n">
        <v>37106.4118561343</v>
      </c>
      <c r="D12" s="18" t="n">
        <v>14.4</v>
      </c>
      <c r="E12" s="18" t="n">
        <v>21.73333</v>
      </c>
      <c r="F12" s="18" t="n">
        <v>8.333333</v>
      </c>
      <c r="G12" s="19" t="n">
        <v>1768.28505139</v>
      </c>
      <c r="H12" s="19" t="n">
        <v>2587.52805139</v>
      </c>
      <c r="I12" s="21" t="n">
        <v>10.8559124144605</v>
      </c>
      <c r="J12" s="21" t="n">
        <v>6.74615538397124</v>
      </c>
      <c r="K12" s="21" t="n">
        <v>7.73390067977791</v>
      </c>
      <c r="L12" s="21" t="n">
        <v>4.42998448023373</v>
      </c>
      <c r="M12" s="21" t="n">
        <v>3.44276779681572</v>
      </c>
      <c r="N12" s="21" t="n">
        <v>3.59499970853744</v>
      </c>
      <c r="O12" s="21" t="n">
        <v>3.42104153030171</v>
      </c>
      <c r="P12" s="21" t="n">
        <v>4.17383626058973</v>
      </c>
      <c r="Q12" s="21" t="n">
        <v>4.52255933252118</v>
      </c>
      <c r="R12" s="22" t="n">
        <v>0.61628568331232</v>
      </c>
      <c r="S12" s="21" t="n">
        <v>3.42174986433246</v>
      </c>
      <c r="T12" s="22" t="n">
        <v>0.002787457</v>
      </c>
      <c r="U12" s="26" t="n">
        <v>375.404166666667</v>
      </c>
      <c r="V12" s="22" t="n">
        <v>0.785678990421435</v>
      </c>
      <c r="W12" s="18" t="n">
        <v>6.74391715611625</v>
      </c>
      <c r="X12" s="19" t="n">
        <v>5262.03</v>
      </c>
      <c r="Y12" s="21" t="n">
        <v>0.328794999842672</v>
      </c>
      <c r="Z12" s="27" t="n">
        <v>122.797573013194</v>
      </c>
      <c r="AA12" s="28"/>
    </row>
    <row r="13" customFormat="false" ht="12.95" hidden="false" customHeight="true" outlineLevel="0" collapsed="false">
      <c r="A13" s="1" t="s">
        <v>305</v>
      </c>
      <c r="B13" s="16" t="s">
        <v>306</v>
      </c>
      <c r="C13" s="25" t="n">
        <v>37106.4140922454</v>
      </c>
      <c r="D13" s="18" t="n">
        <v>25.89</v>
      </c>
      <c r="E13" s="18" t="n">
        <v>37.85</v>
      </c>
      <c r="F13" s="18" t="n">
        <v>24.5</v>
      </c>
      <c r="G13" s="19" t="n">
        <v>1267.69485667</v>
      </c>
      <c r="H13" s="19" t="n">
        <v>1761.58885667</v>
      </c>
      <c r="I13" s="21" t="n">
        <v>5.72726121306313</v>
      </c>
      <c r="J13" s="21" t="n">
        <v>6.42474501710653</v>
      </c>
      <c r="K13" s="21" t="n">
        <v>8.7720993947041</v>
      </c>
      <c r="L13" s="21" t="n">
        <v>2.57623938461516</v>
      </c>
      <c r="M13" s="21" t="n">
        <v>2.41817667803044</v>
      </c>
      <c r="N13" s="21" t="n">
        <v>2.94971067762519</v>
      </c>
      <c r="O13" s="21" t="n">
        <v>2.22189382587237</v>
      </c>
      <c r="P13" s="21" t="n">
        <v>2.88412173126578</v>
      </c>
      <c r="Q13" s="21" t="n">
        <v>3.53142809442523</v>
      </c>
      <c r="R13" s="22" t="n">
        <v>0.357535568600831</v>
      </c>
      <c r="S13" s="21" t="n">
        <v>1.37096409834169</v>
      </c>
      <c r="T13" s="22" t="n">
        <v>0</v>
      </c>
      <c r="U13" s="26" t="n">
        <v>229.917333333333</v>
      </c>
      <c r="V13" s="22" t="n">
        <v>0.611856145397186</v>
      </c>
      <c r="W13" s="18" t="n">
        <v>7.61625097067921</v>
      </c>
      <c r="X13" s="19" t="n">
        <v>3694.431</v>
      </c>
      <c r="Y13" s="21" t="n">
        <v>0.341095173616016</v>
      </c>
      <c r="Z13" s="27" t="n">
        <v>48.964652633063</v>
      </c>
      <c r="AA13" s="28"/>
    </row>
    <row r="14" customFormat="false" ht="12.95" hidden="false" customHeight="true" outlineLevel="0" collapsed="false">
      <c r="A14" s="1" t="s">
        <v>307</v>
      </c>
      <c r="B14" s="16" t="s">
        <v>308</v>
      </c>
      <c r="C14" s="25" t="n">
        <v>37106.4139356482</v>
      </c>
      <c r="D14" s="18" t="n">
        <v>31.57</v>
      </c>
      <c r="E14" s="18" t="n">
        <v>48.1875</v>
      </c>
      <c r="F14" s="18" t="n">
        <v>29.01</v>
      </c>
      <c r="G14" s="19" t="n">
        <v>1398.60179947</v>
      </c>
      <c r="H14" s="19" t="n">
        <v>1902.85979947</v>
      </c>
      <c r="I14" s="21" t="n">
        <v>8.26382740195732</v>
      </c>
      <c r="J14" s="21" t="n">
        <v>7.38337581080149</v>
      </c>
      <c r="K14" s="21" t="n">
        <v>12.6491136375816</v>
      </c>
      <c r="L14" s="21" t="n">
        <v>3.32580360482302</v>
      </c>
      <c r="M14" s="21" t="n">
        <v>3.12721957332541</v>
      </c>
      <c r="N14" s="21" t="n">
        <v>3.88964960759199</v>
      </c>
      <c r="O14" s="21" t="n">
        <v>2.89101710396362</v>
      </c>
      <c r="P14" s="21" t="n">
        <v>3.48725515311103</v>
      </c>
      <c r="Q14" s="21" t="n">
        <v>4.43544152746528</v>
      </c>
      <c r="R14" s="22" t="n">
        <v>0.446452840805362</v>
      </c>
      <c r="S14" s="21" t="n">
        <v>2.22835032736919</v>
      </c>
      <c r="T14" s="22" t="n">
        <v>0</v>
      </c>
      <c r="U14" s="26" t="n">
        <v>301.336166666667</v>
      </c>
      <c r="V14" s="22" t="n">
        <v>0.889631568729719</v>
      </c>
      <c r="W14" s="18" t="n">
        <v>6.22318228985784</v>
      </c>
      <c r="X14" s="19" t="n">
        <v>2539.824</v>
      </c>
      <c r="Y14" s="21" t="n">
        <v>0.542684541296875</v>
      </c>
      <c r="Z14" s="27" t="n">
        <v>44.3016091057966</v>
      </c>
      <c r="AA14" s="28"/>
    </row>
    <row r="15" customFormat="false" ht="12.95" hidden="false" customHeight="true" outlineLevel="0" collapsed="false">
      <c r="A15" s="1" t="s">
        <v>309</v>
      </c>
      <c r="B15" s="16" t="s">
        <v>310</v>
      </c>
      <c r="C15" s="25" t="n">
        <v>37106.4137793982</v>
      </c>
      <c r="D15" s="18" t="n">
        <v>46.55</v>
      </c>
      <c r="E15" s="18" t="n">
        <v>64</v>
      </c>
      <c r="F15" s="18" t="n">
        <v>32</v>
      </c>
      <c r="G15" s="19" t="n">
        <v>2348.67609375</v>
      </c>
      <c r="H15" s="19" t="n">
        <v>2508.36109375</v>
      </c>
      <c r="I15" s="21" t="n">
        <v>6.82277384138757</v>
      </c>
      <c r="J15" s="21" t="n">
        <v>7.72746396190725</v>
      </c>
      <c r="K15" s="21" t="n">
        <v>11.2418316128421</v>
      </c>
      <c r="L15" s="21" t="n">
        <v>3.40957089771619</v>
      </c>
      <c r="M15" s="21" t="n">
        <v>4.09667686774902</v>
      </c>
      <c r="N15" s="21" t="n">
        <v>4.75589967546777</v>
      </c>
      <c r="O15" s="21" t="n">
        <v>3.27267461374169</v>
      </c>
      <c r="P15" s="21" t="n">
        <v>3.63036022483863</v>
      </c>
      <c r="Q15" s="21" t="n">
        <v>4.41908511636306</v>
      </c>
      <c r="R15" s="22" t="n">
        <v>0.275775069992552</v>
      </c>
      <c r="S15" s="21" t="n">
        <v>3.18243618498073</v>
      </c>
      <c r="T15" s="22" t="n">
        <v>0.01151673</v>
      </c>
      <c r="U15" s="26" t="n">
        <v>426.333333333333</v>
      </c>
      <c r="V15" s="22" t="n">
        <v>0.56137607505864</v>
      </c>
      <c r="W15" s="18" t="n">
        <v>3.68782065090404</v>
      </c>
      <c r="X15" s="19" t="n">
        <v>4528</v>
      </c>
      <c r="Y15" s="21" t="n">
        <v>0.325121533590212</v>
      </c>
      <c r="Z15" s="27" t="n">
        <v>50.4549107142857</v>
      </c>
      <c r="AA15" s="28"/>
    </row>
    <row r="16" customFormat="false" ht="12.95" hidden="false" customHeight="true" outlineLevel="0" collapsed="false">
      <c r="A16" s="35" t="s">
        <v>311</v>
      </c>
      <c r="B16" s="36" t="s">
        <v>312</v>
      </c>
      <c r="C16" s="53" t="n">
        <v>37106.4135496528</v>
      </c>
      <c r="D16" s="18" t="n">
        <v>33.01</v>
      </c>
      <c r="E16" s="18" t="n">
        <v>50.25</v>
      </c>
      <c r="F16" s="18" t="n">
        <v>29.39</v>
      </c>
      <c r="G16" s="19" t="n">
        <v>1498.02444017</v>
      </c>
      <c r="H16" s="19" t="n">
        <v>2071.51744017</v>
      </c>
      <c r="I16" s="21" t="n">
        <v>8.58132169020147</v>
      </c>
      <c r="J16" s="21" t="n">
        <v>9.29467261345883</v>
      </c>
      <c r="K16" s="21" t="n">
        <v>13.5315708550745</v>
      </c>
      <c r="L16" s="21" t="n">
        <v>3.30403128230394</v>
      </c>
      <c r="M16" s="21" t="n">
        <v>3.3573306928514</v>
      </c>
      <c r="N16" s="21" t="n">
        <v>3.78722188990389</v>
      </c>
      <c r="O16" s="21" t="n">
        <v>2.93986223333647</v>
      </c>
      <c r="P16" s="21" t="n">
        <v>3.66975069906145</v>
      </c>
      <c r="Q16" s="21" t="n">
        <v>4.19178878490227</v>
      </c>
      <c r="R16" s="22" t="n">
        <v>0.392614674993017</v>
      </c>
      <c r="S16" s="21" t="n">
        <v>2.41822003856498</v>
      </c>
      <c r="T16" s="22" t="n">
        <v>0</v>
      </c>
      <c r="U16" s="26" t="n">
        <v>114.5545</v>
      </c>
      <c r="V16" s="22" t="n">
        <v>0.756151002361322</v>
      </c>
      <c r="W16" s="18" t="n">
        <v>17.9962594291241</v>
      </c>
      <c r="X16" s="19" t="n">
        <v>2670.258</v>
      </c>
      <c r="Y16" s="21" t="n">
        <v>0.558304951237133</v>
      </c>
      <c r="Z16" s="27" t="n">
        <v>45.3809282087246</v>
      </c>
      <c r="AA16" s="28"/>
    </row>
    <row r="17" customFormat="false" ht="12.95" hidden="false" customHeight="true" outlineLevel="0" collapsed="false">
      <c r="A17" s="1" t="s">
        <v>313</v>
      </c>
      <c r="B17" s="16" t="s">
        <v>314</v>
      </c>
      <c r="C17" s="25" t="n">
        <v>37106.4136725695</v>
      </c>
      <c r="D17" s="18" t="n">
        <v>35.7</v>
      </c>
      <c r="E17" s="18" t="n">
        <v>51.09</v>
      </c>
      <c r="F17" s="18" t="n">
        <v>29.625</v>
      </c>
      <c r="G17" s="19" t="n">
        <v>2041.1508402</v>
      </c>
      <c r="H17" s="19" t="n">
        <v>2467.4228402</v>
      </c>
      <c r="I17" s="21" t="n">
        <v>7.54230302297996</v>
      </c>
      <c r="J17" s="21" t="n">
        <v>8.22662274280136</v>
      </c>
      <c r="K17" s="21" t="n">
        <v>11.7352222480801</v>
      </c>
      <c r="L17" s="21" t="n">
        <v>7.54230302297996</v>
      </c>
      <c r="M17" s="21" t="n">
        <v>3.07228542353316</v>
      </c>
      <c r="N17" s="21" t="n">
        <v>3.50437819243198</v>
      </c>
      <c r="O17" s="21" t="n">
        <v>2.56566516358206</v>
      </c>
      <c r="P17" s="21" t="n">
        <v>3.07881365601058</v>
      </c>
      <c r="Q17" s="21" t="n">
        <v>3.61839955448666</v>
      </c>
      <c r="R17" s="22" t="n">
        <v>0.319459677803928</v>
      </c>
      <c r="S17" s="21" t="n">
        <v>2.10335547501819</v>
      </c>
      <c r="T17" s="22" t="n">
        <v>0.004545454</v>
      </c>
      <c r="U17" s="26" t="n">
        <v>394.5405</v>
      </c>
      <c r="V17" s="22" t="n">
        <v>0.622930979202389</v>
      </c>
      <c r="W17" s="18" t="n">
        <v>6.18193588621062</v>
      </c>
      <c r="X17" s="19" t="n">
        <v>4074</v>
      </c>
      <c r="Y17" s="21" t="n">
        <v>0.495252392353331</v>
      </c>
      <c r="Z17" s="27" t="n">
        <v>57.1750935630252</v>
      </c>
      <c r="AA17" s="28"/>
    </row>
    <row r="18" customFormat="false" ht="12.95" hidden="false" customHeight="true" outlineLevel="0" collapsed="false">
      <c r="A18" s="35" t="s">
        <v>315</v>
      </c>
      <c r="B18" s="36" t="s">
        <v>316</v>
      </c>
      <c r="C18" s="53" t="n">
        <v>37106.4134012731</v>
      </c>
      <c r="D18" s="18" t="n">
        <v>19.68</v>
      </c>
      <c r="E18" s="18" t="n">
        <v>21.72</v>
      </c>
      <c r="F18" s="18" t="n">
        <v>12.59375</v>
      </c>
      <c r="G18" s="19" t="n">
        <v>3512.38127138</v>
      </c>
      <c r="H18" s="19" t="n">
        <v>4577.09227138</v>
      </c>
      <c r="I18" s="21" t="n">
        <v>11.6410843312652</v>
      </c>
      <c r="J18" s="21" t="n">
        <v>10.6899446698635</v>
      </c>
      <c r="K18" s="21" t="n">
        <v>14.2658058180925</v>
      </c>
      <c r="L18" s="21" t="n">
        <v>4.47045868313972</v>
      </c>
      <c r="M18" s="21" t="n">
        <v>4.20180893920213</v>
      </c>
      <c r="N18" s="21" t="n">
        <v>4.97310278461697</v>
      </c>
      <c r="O18" s="21" t="n">
        <v>3.77499644937357</v>
      </c>
      <c r="P18" s="21" t="n">
        <v>4.48488307535079</v>
      </c>
      <c r="Q18" s="21" t="n">
        <v>5.21249546905819</v>
      </c>
      <c r="R18" s="22" t="n">
        <v>0.462249057793818</v>
      </c>
      <c r="S18" s="21" t="n">
        <v>2.73923067432195</v>
      </c>
      <c r="T18" s="22" t="n">
        <v>0.00843437</v>
      </c>
      <c r="U18" s="26" t="n">
        <v>460.121</v>
      </c>
      <c r="V18" s="22" t="n">
        <v>0.518289754216826</v>
      </c>
      <c r="W18" s="18" t="n">
        <v>9.52550425306295</v>
      </c>
      <c r="X18" s="19" t="n">
        <v>5846.993</v>
      </c>
      <c r="Y18" s="21" t="n">
        <v>0.575227236719116</v>
      </c>
      <c r="Z18" s="27" t="n">
        <v>178.474658098577</v>
      </c>
      <c r="AA18" s="28"/>
      <c r="AB18" s="16"/>
      <c r="AC18" s="69"/>
      <c r="AD18" s="70"/>
    </row>
    <row r="19" customFormat="false" ht="12.95" hidden="false" customHeight="true" outlineLevel="0" collapsed="false">
      <c r="A19" s="35" t="s">
        <v>317</v>
      </c>
      <c r="B19" s="36" t="s">
        <v>318</v>
      </c>
      <c r="C19" s="53" t="n">
        <v>37106.412962963</v>
      </c>
      <c r="D19" s="18" t="n">
        <v>17.25</v>
      </c>
      <c r="E19" s="18" t="n">
        <v>23.05</v>
      </c>
      <c r="F19" s="18" t="n">
        <v>11.1875</v>
      </c>
      <c r="G19" s="19" t="n">
        <v>1698.38071684</v>
      </c>
      <c r="H19" s="19" t="n">
        <v>3230.30571684</v>
      </c>
      <c r="I19" s="21" t="n">
        <v>9.20317062603294</v>
      </c>
      <c r="J19" s="21" t="n">
        <v>9.21061864458865</v>
      </c>
      <c r="K19" s="21" t="n">
        <v>11.0139473460666</v>
      </c>
      <c r="L19" s="21" t="n">
        <v>3.18480621074265</v>
      </c>
      <c r="M19" s="21" t="n">
        <v>3.43843003661263</v>
      </c>
      <c r="N19" s="21" t="n">
        <v>3.48992521909291</v>
      </c>
      <c r="O19" s="21" t="n">
        <v>2.72868187751639</v>
      </c>
      <c r="P19" s="21" t="n">
        <v>4.88632930694593</v>
      </c>
      <c r="Q19" s="21" t="n">
        <v>5.20562114623175</v>
      </c>
      <c r="R19" s="22" t="n">
        <v>0.648305747485992</v>
      </c>
      <c r="S19" s="21" t="n">
        <v>2.01954490380179</v>
      </c>
      <c r="T19" s="22" t="n">
        <v>0</v>
      </c>
      <c r="U19" s="26" t="n">
        <v>628.183333333333</v>
      </c>
      <c r="V19" s="22" t="n">
        <v>0.502911039770768</v>
      </c>
      <c r="W19" s="18" t="n">
        <v>5.14229771060465</v>
      </c>
      <c r="X19" s="19" t="n">
        <v>5645.502</v>
      </c>
      <c r="Y19" s="21" t="n">
        <v>0.300837855843466</v>
      </c>
      <c r="Z19" s="27" t="n">
        <v>98.4568531501449</v>
      </c>
      <c r="AA19" s="28"/>
      <c r="AB19" s="16"/>
      <c r="AC19" s="69"/>
      <c r="AD19" s="70"/>
    </row>
    <row r="20" customFormat="false" ht="12.95" hidden="false" customHeight="true" outlineLevel="0" collapsed="false">
      <c r="A20" s="35" t="s">
        <v>319</v>
      </c>
      <c r="B20" s="36" t="s">
        <v>320</v>
      </c>
      <c r="C20" s="53" t="n">
        <v>37106.413066088</v>
      </c>
      <c r="D20" s="18" t="n">
        <v>24.28</v>
      </c>
      <c r="E20" s="18" t="n">
        <v>34.5</v>
      </c>
      <c r="F20" s="18" t="n">
        <v>20.125</v>
      </c>
      <c r="G20" s="19" t="n">
        <v>1310.19486041</v>
      </c>
      <c r="H20" s="19" t="n">
        <v>2086.74186041</v>
      </c>
      <c r="I20" s="21" t="n">
        <v>9.32435149634173</v>
      </c>
      <c r="J20" s="21" t="n">
        <v>12.764403127715</v>
      </c>
      <c r="K20" s="21" t="n">
        <v>15.6908004926108</v>
      </c>
      <c r="L20" s="21" t="n">
        <v>2.71823080780859</v>
      </c>
      <c r="M20" s="21" t="n">
        <v>3.73381823726746</v>
      </c>
      <c r="N20" s="21" t="n">
        <v>3.59295842831293</v>
      </c>
      <c r="O20" s="21" t="n">
        <v>2.48528467530127</v>
      </c>
      <c r="P20" s="21" t="n">
        <v>4.24246622158294</v>
      </c>
      <c r="Q20" s="21" t="n">
        <v>4.05239806659028</v>
      </c>
      <c r="R20" s="22" t="n">
        <v>0.433275023811451</v>
      </c>
      <c r="S20" s="21" t="n">
        <v>1.71171759084798</v>
      </c>
      <c r="T20" s="22" t="n">
        <v>0.004960727</v>
      </c>
      <c r="U20" s="26" t="n">
        <v>246.485330333333</v>
      </c>
      <c r="V20" s="22" t="n">
        <v>0.572301131035126</v>
      </c>
      <c r="W20" s="18" t="n">
        <v>8.34824106054806</v>
      </c>
      <c r="X20" s="19" t="n">
        <v>3166.676</v>
      </c>
      <c r="Y20" s="21" t="n">
        <v>0.407990068109553</v>
      </c>
      <c r="Z20" s="27" t="n">
        <v>53.9618970514827</v>
      </c>
      <c r="AA20" s="28"/>
      <c r="AB20" s="16"/>
      <c r="AC20" s="69"/>
      <c r="AD20" s="70"/>
    </row>
    <row r="21" customFormat="false" ht="12.95" hidden="false" customHeight="true" outlineLevel="0" collapsed="false">
      <c r="A21" s="35" t="s">
        <v>321</v>
      </c>
      <c r="B21" s="36" t="s">
        <v>322</v>
      </c>
      <c r="C21" s="53" t="n">
        <v>37106</v>
      </c>
      <c r="D21" s="18" t="n">
        <v>44.2</v>
      </c>
      <c r="E21" s="18" t="n">
        <v>69</v>
      </c>
      <c r="F21" s="18" t="n">
        <v>39.45</v>
      </c>
      <c r="G21" s="19" t="n">
        <v>1169.85373558</v>
      </c>
      <c r="H21" s="19" t="n">
        <v>1243.74573558</v>
      </c>
      <c r="I21" s="21" t="n">
        <v>7.00314485076602</v>
      </c>
      <c r="J21" s="21" t="n">
        <v>7.78986879849826</v>
      </c>
      <c r="K21" s="21" t="n">
        <v>11.1947795737054</v>
      </c>
      <c r="L21" s="21" t="n">
        <v>3.16759644204564</v>
      </c>
      <c r="M21" s="21" t="n">
        <v>3.18052602688017</v>
      </c>
      <c r="N21" s="21" t="n">
        <v>3.69153951468869</v>
      </c>
      <c r="O21" s="21" t="n">
        <v>3.02705473594055</v>
      </c>
      <c r="P21" s="21" t="n">
        <v>3.34180715150806</v>
      </c>
      <c r="Q21" s="21" t="n">
        <v>3.6633655349371</v>
      </c>
      <c r="R21" s="22" t="n">
        <v>0.151443377741045</v>
      </c>
      <c r="S21" s="21" t="n">
        <v>1.91180061116631</v>
      </c>
      <c r="T21" s="22" t="n">
        <v>0</v>
      </c>
      <c r="U21" s="26" t="n">
        <v>100.045666666667</v>
      </c>
      <c r="V21" s="22" t="n">
        <v>0.663903484075606</v>
      </c>
      <c r="W21" s="18" t="n">
        <v>12.0905552975446</v>
      </c>
      <c r="X21" s="19" t="n">
        <v>2941.79</v>
      </c>
      <c r="Y21" s="21" t="n">
        <v>0.386752228111011</v>
      </c>
      <c r="Z21" s="27" t="n">
        <v>26.4672790855204</v>
      </c>
      <c r="AA21" s="28"/>
      <c r="AB21" s="16"/>
      <c r="AC21" s="69"/>
      <c r="AD21" s="70"/>
    </row>
    <row r="22" customFormat="false" ht="12.95" hidden="false" customHeight="true" outlineLevel="0" collapsed="false">
      <c r="A22" s="35" t="s">
        <v>323</v>
      </c>
      <c r="B22" s="36" t="s">
        <v>324</v>
      </c>
      <c r="C22" s="53" t="n">
        <v>37106.4121738426</v>
      </c>
      <c r="D22" s="18" t="n">
        <v>23.7</v>
      </c>
      <c r="E22" s="18" t="n">
        <v>36.75</v>
      </c>
      <c r="F22" s="18" t="n">
        <v>19.125</v>
      </c>
      <c r="G22" s="19" t="n">
        <v>940.9416234</v>
      </c>
      <c r="H22" s="19" t="n">
        <v>1014.6876234</v>
      </c>
      <c r="I22" s="21" t="n">
        <v>9.73059334193148</v>
      </c>
      <c r="J22" s="21" t="n">
        <v>14.5957317073171</v>
      </c>
      <c r="K22" s="21" t="n">
        <v>19.1386904761905</v>
      </c>
      <c r="L22" s="21" t="n">
        <v>4.21385698598727</v>
      </c>
      <c r="M22" s="21" t="n">
        <v>4.53567029843676</v>
      </c>
      <c r="N22" s="21" t="n">
        <v>5.24233695652174</v>
      </c>
      <c r="O22" s="21" t="n">
        <v>4.08783358921892</v>
      </c>
      <c r="P22" s="21" t="n">
        <v>4.41552490600522</v>
      </c>
      <c r="Q22" s="21" t="n">
        <v>4.97152191768741</v>
      </c>
      <c r="R22" s="22" t="n">
        <v>0.173867327472372</v>
      </c>
      <c r="S22" s="21" t="n">
        <v>1.53770742100171</v>
      </c>
      <c r="T22" s="22" t="n">
        <v>0</v>
      </c>
      <c r="U22" s="26" t="n">
        <v>113.0085</v>
      </c>
      <c r="V22" s="22" t="n">
        <v>0.876000477840163</v>
      </c>
      <c r="W22" s="18" t="n">
        <v>5.86685685853257</v>
      </c>
      <c r="X22" s="19" t="n">
        <v>1475.755</v>
      </c>
      <c r="Y22" s="21" t="n">
        <v>0.416612845623276</v>
      </c>
      <c r="Z22" s="27" t="n">
        <v>39.7021782025317</v>
      </c>
      <c r="AA22" s="28"/>
      <c r="AB22" s="16"/>
      <c r="AC22" s="69"/>
      <c r="AD22" s="70"/>
    </row>
    <row r="23" customFormat="false" ht="12.95" hidden="false" customHeight="true" outlineLevel="0" collapsed="false">
      <c r="A23" s="35" t="s">
        <v>325</v>
      </c>
      <c r="B23" s="36" t="s">
        <v>326</v>
      </c>
      <c r="C23" s="53" t="n">
        <v>37106.4132712963</v>
      </c>
      <c r="D23" s="18" t="n">
        <v>44.87</v>
      </c>
      <c r="E23" s="18" t="n">
        <v>50.875</v>
      </c>
      <c r="F23" s="18" t="n">
        <v>16.75</v>
      </c>
      <c r="G23" s="19" t="n">
        <v>2664.14111816</v>
      </c>
      <c r="H23" s="19" t="n">
        <v>3086.22411816</v>
      </c>
      <c r="I23" s="21" t="n">
        <v>30.3399700979847</v>
      </c>
      <c r="J23" s="21" t="n">
        <v>28.7187371829466</v>
      </c>
      <c r="K23" s="21" t="n">
        <v>26.8956939249975</v>
      </c>
      <c r="L23" s="21" t="n">
        <v>19.5818410695792</v>
      </c>
      <c r="M23" s="21" t="n">
        <v>12.2639703171091</v>
      </c>
      <c r="N23" s="21" t="n">
        <v>9.60262369627197</v>
      </c>
      <c r="O23" s="21" t="n">
        <v>8.91270467577739</v>
      </c>
      <c r="P23" s="21" t="n">
        <v>9.08835655268272</v>
      </c>
      <c r="Q23" s="21" t="n">
        <v>7.87201662583854</v>
      </c>
      <c r="R23" s="22" t="n">
        <v>0.4697557127159</v>
      </c>
      <c r="S23" s="21" t="n">
        <v>13.1937160735917</v>
      </c>
      <c r="T23" s="22" t="n">
        <v>0</v>
      </c>
      <c r="U23" s="26" t="n">
        <v>293.457166666667</v>
      </c>
      <c r="V23" s="22" t="n">
        <v>0.336547128115801</v>
      </c>
      <c r="W23" s="18" t="n">
        <v>7.75397913917352</v>
      </c>
      <c r="X23" s="19" t="n">
        <v>1640.844</v>
      </c>
      <c r="Y23" s="21" t="n">
        <v>1.19710382828023</v>
      </c>
      <c r="Z23" s="27" t="n">
        <v>59.3746627626476</v>
      </c>
      <c r="AA23" s="28"/>
      <c r="AB23" s="16"/>
      <c r="AC23" s="69"/>
      <c r="AD23" s="70"/>
    </row>
    <row r="24" customFormat="false" ht="12.95" hidden="false" customHeight="true" outlineLevel="0" collapsed="false">
      <c r="A24" s="35" t="s">
        <v>327</v>
      </c>
      <c r="B24" s="36" t="s">
        <v>328</v>
      </c>
      <c r="C24" s="53" t="n">
        <v>37106.4120550926</v>
      </c>
      <c r="D24" s="18" t="n">
        <v>18.56</v>
      </c>
      <c r="E24" s="18" t="n">
        <v>27.9375</v>
      </c>
      <c r="F24" s="18" t="n">
        <v>15.2</v>
      </c>
      <c r="G24" s="19" t="n">
        <v>1186.69118462</v>
      </c>
      <c r="H24" s="19" t="n">
        <v>2091.48718462</v>
      </c>
      <c r="I24" s="21" t="n">
        <v>5.86446203001154</v>
      </c>
      <c r="J24" s="21" t="n">
        <v>6.07388888888889</v>
      </c>
      <c r="K24" s="21" t="n">
        <v>9.9439652290204</v>
      </c>
      <c r="L24" s="21" t="n">
        <v>2.42455265115526</v>
      </c>
      <c r="M24" s="21" t="n">
        <v>2.88100755667506</v>
      </c>
      <c r="N24" s="21" t="n">
        <v>3.48343044534887</v>
      </c>
      <c r="O24" s="21" t="n">
        <v>1.79814093847612</v>
      </c>
      <c r="P24" s="21" t="n">
        <v>3.75646529917201</v>
      </c>
      <c r="Q24" s="21" t="n">
        <v>4.43017831946622</v>
      </c>
      <c r="R24" s="22" t="n">
        <v>0.574972856521038</v>
      </c>
      <c r="S24" s="21" t="n">
        <v>1.70688235933255</v>
      </c>
      <c r="T24" s="22" t="n">
        <v>0.007760532</v>
      </c>
      <c r="U24" s="26" t="n">
        <v>567.688666666666</v>
      </c>
      <c r="V24" s="22" t="n">
        <v>0.378684090927774</v>
      </c>
      <c r="W24" s="18" t="n">
        <v>3.68421514718749</v>
      </c>
      <c r="X24" s="19" t="n">
        <v>3235.90520385565</v>
      </c>
      <c r="Y24" s="21" t="n">
        <v>0.282376023531557</v>
      </c>
      <c r="Z24" s="27" t="n">
        <v>63.9381026196121</v>
      </c>
      <c r="AA24" s="28"/>
      <c r="AB24" s="16"/>
      <c r="AC24" s="69"/>
      <c r="AD24" s="70"/>
      <c r="AE24" s="15"/>
    </row>
    <row r="25" customFormat="false" ht="12.95" hidden="false" customHeight="true" outlineLevel="0" collapsed="false">
      <c r="AA25" s="28"/>
      <c r="AB25" s="16"/>
      <c r="AC25" s="69"/>
      <c r="AD25" s="70"/>
      <c r="AE25" s="15"/>
    </row>
    <row r="26" customFormat="false" ht="12.95" hidden="false" customHeight="true" outlineLevel="0" collapsed="false">
      <c r="A26" s="35"/>
      <c r="B26" s="36"/>
      <c r="C26" s="53"/>
      <c r="D26" s="18"/>
      <c r="E26" s="18"/>
      <c r="F26" s="18"/>
      <c r="G26" s="19"/>
      <c r="H26" s="19"/>
      <c r="I26" s="21"/>
      <c r="J26" s="21"/>
      <c r="K26" s="21"/>
      <c r="L26" s="21"/>
      <c r="M26" s="21"/>
      <c r="N26" s="21"/>
      <c r="O26" s="21"/>
      <c r="P26" s="21"/>
      <c r="Q26" s="21"/>
      <c r="R26" s="22"/>
      <c r="S26" s="21"/>
      <c r="T26" s="22"/>
      <c r="U26" s="26"/>
      <c r="V26" s="22"/>
      <c r="W26" s="18"/>
      <c r="X26" s="19"/>
      <c r="Y26" s="21"/>
      <c r="Z26" s="27"/>
      <c r="AA26" s="28"/>
      <c r="AB26" s="16"/>
      <c r="AC26" s="69"/>
      <c r="AD26" s="70"/>
      <c r="AE26" s="15"/>
    </row>
    <row r="27" customFormat="false" ht="12.95" hidden="false" customHeight="true" outlineLevel="0" collapsed="false">
      <c r="B27" s="16"/>
      <c r="C27" s="25"/>
      <c r="D27" s="18"/>
      <c r="E27" s="18"/>
      <c r="F27" s="18"/>
      <c r="G27" s="19"/>
      <c r="H27" s="19"/>
      <c r="I27" s="21"/>
      <c r="J27" s="21"/>
      <c r="K27" s="21"/>
      <c r="L27" s="21"/>
      <c r="M27" s="21"/>
      <c r="N27" s="21"/>
      <c r="O27" s="21"/>
      <c r="P27" s="21"/>
      <c r="Q27" s="21"/>
      <c r="R27" s="22"/>
      <c r="S27" s="21"/>
      <c r="T27" s="22"/>
      <c r="U27" s="26"/>
      <c r="V27" s="22"/>
      <c r="W27" s="18"/>
      <c r="X27" s="37"/>
      <c r="Y27" s="21"/>
      <c r="Z27" s="27"/>
      <c r="AA27" s="28"/>
      <c r="AB27" s="16"/>
      <c r="AC27" s="69"/>
      <c r="AD27" s="70"/>
      <c r="AE27" s="15"/>
    </row>
    <row r="28" customFormat="false" ht="13.5" hidden="false" customHeight="true" outlineLevel="0" collapsed="false">
      <c r="B28" s="30"/>
      <c r="C28" s="30"/>
      <c r="D28" s="30"/>
      <c r="E28" s="30"/>
      <c r="F28" s="30"/>
      <c r="G28" s="39"/>
      <c r="H28" s="96" t="s">
        <v>56</v>
      </c>
      <c r="I28" s="146"/>
      <c r="J28" s="147" t="n">
        <v>10.0466932434651</v>
      </c>
      <c r="K28" s="147" t="n">
        <v>12.8712512059336</v>
      </c>
      <c r="L28" s="147" t="n">
        <v>4.75548605980725</v>
      </c>
      <c r="M28" s="147" t="n">
        <v>3.98769888587048</v>
      </c>
      <c r="N28" s="147" t="n">
        <v>4.20663500112148</v>
      </c>
      <c r="O28" s="147" t="n">
        <v>3.28453938823274</v>
      </c>
      <c r="P28" s="147" t="n">
        <v>4.19106097908175</v>
      </c>
      <c r="Q28" s="147" t="n">
        <v>4.57938523708569</v>
      </c>
      <c r="R28" s="148" t="n">
        <v>0.433071977949653</v>
      </c>
      <c r="S28" s="147" t="n">
        <v>3.01171237183573</v>
      </c>
      <c r="T28" s="148" t="n">
        <v>0.00285751928571429</v>
      </c>
      <c r="U28" s="149"/>
      <c r="V28" s="148" t="n">
        <v>0.641689536437318</v>
      </c>
      <c r="W28" s="150" t="n">
        <v>7.67852714622153</v>
      </c>
      <c r="X28" s="151"/>
      <c r="Y28" s="152" t="n">
        <v>0.452520866582718</v>
      </c>
      <c r="Z28" s="30"/>
      <c r="AC28" s="69"/>
      <c r="AD28" s="70"/>
      <c r="AE28" s="15"/>
    </row>
    <row r="29" customFormat="false" ht="12.95" hidden="false" customHeight="true" outlineLevel="0" collapsed="false">
      <c r="B29" s="30"/>
      <c r="C29" s="30"/>
      <c r="D29" s="30"/>
      <c r="E29" s="30"/>
      <c r="F29" s="30"/>
      <c r="G29" s="39"/>
      <c r="H29" s="102" t="s">
        <v>57</v>
      </c>
      <c r="I29" s="153"/>
      <c r="J29" s="154" t="n">
        <v>8.00824577064982</v>
      </c>
      <c r="K29" s="154" t="n">
        <v>11.4885269304611</v>
      </c>
      <c r="L29" s="154" t="n">
        <v>3.31491744356348</v>
      </c>
      <c r="M29" s="154" t="n">
        <v>3.39788036473202</v>
      </c>
      <c r="N29" s="154" t="n">
        <v>3.64326961161307</v>
      </c>
      <c r="O29" s="154" t="n">
        <v>2.91543966865005</v>
      </c>
      <c r="P29" s="154" t="n">
        <v>3.71310799911673</v>
      </c>
      <c r="Q29" s="154" t="n">
        <v>4.42463171791464</v>
      </c>
      <c r="R29" s="22" t="n">
        <v>0.439863932308406</v>
      </c>
      <c r="S29" s="154" t="n">
        <v>2.16585290119369</v>
      </c>
      <c r="T29" s="22" t="n">
        <v>0</v>
      </c>
      <c r="U29" s="26"/>
      <c r="V29" s="22" t="n">
        <v>0.617393562299787</v>
      </c>
      <c r="W29" s="18" t="n">
        <v>6.69114067683591</v>
      </c>
      <c r="X29" s="19"/>
      <c r="Y29" s="155" t="n">
        <v>0.397371148110282</v>
      </c>
      <c r="Z29" s="30"/>
      <c r="AC29" s="69"/>
      <c r="AD29" s="70"/>
      <c r="AE29" s="15"/>
    </row>
    <row r="30" customFormat="false" ht="12.95" hidden="false" customHeight="true" outlineLevel="0" collapsed="false">
      <c r="B30" s="30"/>
      <c r="C30" s="30"/>
      <c r="D30" s="30"/>
      <c r="E30" s="30"/>
      <c r="F30" s="30"/>
      <c r="G30" s="39"/>
      <c r="H30" s="102" t="s">
        <v>26</v>
      </c>
      <c r="I30" s="153"/>
      <c r="J30" s="154" t="n">
        <v>28.7187371829466</v>
      </c>
      <c r="K30" s="154" t="n">
        <v>26.8956939249975</v>
      </c>
      <c r="L30" s="154" t="n">
        <v>19.5818410695792</v>
      </c>
      <c r="M30" s="154" t="n">
        <v>12.2639703171091</v>
      </c>
      <c r="N30" s="154" t="n">
        <v>9.60262369627197</v>
      </c>
      <c r="O30" s="154" t="n">
        <v>8.91270467577739</v>
      </c>
      <c r="P30" s="154" t="n">
        <v>9.08835655268272</v>
      </c>
      <c r="Q30" s="154" t="n">
        <v>7.87201662583854</v>
      </c>
      <c r="R30" s="22" t="n">
        <v>0.741015072245518</v>
      </c>
      <c r="S30" s="154" t="n">
        <v>13.1937160735917</v>
      </c>
      <c r="T30" s="22" t="n">
        <v>0.01151673</v>
      </c>
      <c r="U30" s="26"/>
      <c r="V30" s="22" t="n">
        <v>0.907391642969698</v>
      </c>
      <c r="W30" s="18" t="n">
        <v>17.9962594291241</v>
      </c>
      <c r="X30" s="19"/>
      <c r="Y30" s="155" t="n">
        <v>1.19710382828023</v>
      </c>
      <c r="Z30" s="30"/>
      <c r="AC30" s="69"/>
      <c r="AD30" s="70"/>
      <c r="AE30" s="15"/>
    </row>
    <row r="31" customFormat="false" ht="12.95" hidden="false" customHeight="true" outlineLevel="0" collapsed="false">
      <c r="B31" s="30"/>
      <c r="C31" s="30"/>
      <c r="D31" s="30"/>
      <c r="E31" s="30"/>
      <c r="F31" s="30"/>
      <c r="G31" s="39"/>
      <c r="H31" s="104" t="s">
        <v>27</v>
      </c>
      <c r="I31" s="156"/>
      <c r="J31" s="157" t="n">
        <v>5.00747685864696</v>
      </c>
      <c r="K31" s="157" t="n">
        <v>6.39009559432659</v>
      </c>
      <c r="L31" s="157" t="n">
        <v>2.22752931417118</v>
      </c>
      <c r="M31" s="157" t="n">
        <v>2.0780959576982</v>
      </c>
      <c r="N31" s="157" t="n">
        <v>2.33511321928835</v>
      </c>
      <c r="O31" s="157" t="n">
        <v>1.79814093847612</v>
      </c>
      <c r="P31" s="157" t="n">
        <v>2.88412173126578</v>
      </c>
      <c r="Q31" s="157" t="n">
        <v>3.53142809442523</v>
      </c>
      <c r="R31" s="158" t="n">
        <v>0.151443377741045</v>
      </c>
      <c r="S31" s="157" t="n">
        <v>1.37096409834169</v>
      </c>
      <c r="T31" s="158" t="n">
        <v>0</v>
      </c>
      <c r="U31" s="159"/>
      <c r="V31" s="158" t="n">
        <v>0.336547128115801</v>
      </c>
      <c r="W31" s="160" t="n">
        <v>3.68421514718749</v>
      </c>
      <c r="X31" s="161"/>
      <c r="Y31" s="162" t="n">
        <v>0.1771384540036</v>
      </c>
      <c r="Z31" s="30"/>
      <c r="AC31" s="69"/>
      <c r="AD31" s="70"/>
      <c r="AE31" s="15"/>
    </row>
    <row r="32" customFormat="false" ht="12.95" hidden="false" customHeight="true" outlineLevel="0" collapsed="false"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28"/>
      <c r="AB32" s="16"/>
      <c r="AC32" s="69"/>
      <c r="AD32" s="70"/>
      <c r="AE32" s="15"/>
    </row>
    <row r="33" customFormat="false" ht="12.95" hidden="false" customHeight="true" outlineLevel="0" collapsed="false">
      <c r="B33" s="30"/>
      <c r="C33" s="30"/>
      <c r="D33" s="30"/>
      <c r="U33" s="13" t="s">
        <v>58</v>
      </c>
      <c r="V33" s="13"/>
      <c r="W33" s="13"/>
      <c r="X33" s="13"/>
      <c r="Y33" s="13"/>
      <c r="AA33" s="28"/>
      <c r="AB33" s="16"/>
      <c r="AC33" s="69"/>
      <c r="AD33" s="70"/>
      <c r="AE33" s="15"/>
    </row>
    <row r="34" customFormat="false" ht="12.95" hidden="false" customHeight="true" outlineLevel="0" collapsed="false">
      <c r="A34" s="43"/>
      <c r="B34" s="13" t="s">
        <v>191</v>
      </c>
      <c r="C34" s="13"/>
      <c r="D34" s="13" t="s">
        <v>60</v>
      </c>
      <c r="E34" s="13"/>
      <c r="F34" s="13"/>
      <c r="G34" s="13" t="s">
        <v>61</v>
      </c>
      <c r="H34" s="13"/>
      <c r="J34" s="13" t="s">
        <v>62</v>
      </c>
      <c r="K34" s="13"/>
      <c r="P34" s="13" t="s">
        <v>63</v>
      </c>
      <c r="Q34" s="13"/>
      <c r="R34" s="13"/>
      <c r="S34" s="13"/>
      <c r="U34" s="48" t="s">
        <v>64</v>
      </c>
      <c r="V34" s="48"/>
      <c r="W34" s="48"/>
      <c r="X34" s="48"/>
      <c r="Y34" s="48"/>
      <c r="AA34" s="28"/>
      <c r="AB34" s="16"/>
      <c r="AC34" s="69"/>
      <c r="AD34" s="70"/>
      <c r="AE34" s="15"/>
    </row>
    <row r="35" customFormat="false" ht="5.25" hidden="false" customHeight="true" outlineLevel="0" collapsed="false">
      <c r="A35" s="43"/>
      <c r="B35" s="45" t="s">
        <v>40</v>
      </c>
      <c r="C35" s="45"/>
      <c r="D35" s="45" t="s">
        <v>40</v>
      </c>
      <c r="E35" s="45"/>
      <c r="F35" s="45"/>
      <c r="G35" s="45" t="s">
        <v>40</v>
      </c>
      <c r="H35" s="45"/>
      <c r="J35" s="45" t="s">
        <v>40</v>
      </c>
      <c r="K35" s="45"/>
      <c r="P35" s="45" t="s">
        <v>40</v>
      </c>
      <c r="Q35" s="45"/>
      <c r="R35" s="45"/>
      <c r="S35" s="45"/>
      <c r="U35" s="14" t="s">
        <v>40</v>
      </c>
      <c r="V35" s="79" t="s">
        <v>40</v>
      </c>
      <c r="W35" s="79"/>
      <c r="X35" s="79"/>
      <c r="Y35" s="79"/>
    </row>
    <row r="36" customFormat="false" ht="12.95" hidden="false" customHeight="true" outlineLevel="0" collapsed="false">
      <c r="A36" s="10"/>
      <c r="B36" s="16"/>
      <c r="C36" s="16"/>
      <c r="D36" s="13" t="s">
        <v>65</v>
      </c>
      <c r="E36" s="13" t="s">
        <v>66</v>
      </c>
      <c r="F36" s="13" t="s">
        <v>8</v>
      </c>
      <c r="G36" s="16" t="s">
        <v>67</v>
      </c>
      <c r="P36" s="13" t="s">
        <v>68</v>
      </c>
      <c r="Q36" s="13"/>
      <c r="R36" s="13" t="s">
        <v>69</v>
      </c>
      <c r="S36" s="13" t="s">
        <v>70</v>
      </c>
      <c r="U36" s="13" t="s">
        <v>71</v>
      </c>
      <c r="V36" s="13" t="s">
        <v>72</v>
      </c>
      <c r="W36" s="13" t="s">
        <v>73</v>
      </c>
      <c r="X36" s="13" t="s">
        <v>74</v>
      </c>
      <c r="Y36" s="13" t="s">
        <v>75</v>
      </c>
    </row>
    <row r="37" customFormat="false" ht="12.95" hidden="false" customHeight="true" outlineLevel="0" collapsed="false">
      <c r="A37" s="11" t="s">
        <v>22</v>
      </c>
      <c r="B37" s="16" t="s">
        <v>76</v>
      </c>
      <c r="C37" s="16" t="s">
        <v>77</v>
      </c>
      <c r="D37" s="11" t="s">
        <v>78</v>
      </c>
      <c r="E37" s="11" t="s">
        <v>79</v>
      </c>
      <c r="F37" s="11" t="s">
        <v>80</v>
      </c>
      <c r="G37" s="16" t="s">
        <v>81</v>
      </c>
      <c r="H37" s="16" t="s">
        <v>8</v>
      </c>
      <c r="J37" s="11" t="s">
        <v>82</v>
      </c>
      <c r="K37" s="11" t="s">
        <v>83</v>
      </c>
      <c r="P37" s="11" t="s">
        <v>84</v>
      </c>
      <c r="Q37" s="11" t="s">
        <v>85</v>
      </c>
      <c r="R37" s="11" t="s">
        <v>86</v>
      </c>
      <c r="S37" s="11" t="s">
        <v>87</v>
      </c>
      <c r="U37" s="11" t="s">
        <v>88</v>
      </c>
      <c r="V37" s="11" t="s">
        <v>89</v>
      </c>
      <c r="W37" s="11" t="s">
        <v>90</v>
      </c>
      <c r="X37" s="11" t="s">
        <v>91</v>
      </c>
      <c r="Y37" s="11" t="s">
        <v>92</v>
      </c>
    </row>
    <row r="38" customFormat="false" ht="3.75" hidden="false" customHeight="true" outlineLevel="0" collapsed="false">
      <c r="A38" s="14" t="s">
        <v>40</v>
      </c>
      <c r="B38" s="14" t="s">
        <v>40</v>
      </c>
      <c r="C38" s="14" t="s">
        <v>40</v>
      </c>
      <c r="D38" s="14" t="s">
        <v>40</v>
      </c>
      <c r="E38" s="14" t="s">
        <v>40</v>
      </c>
      <c r="F38" s="14" t="s">
        <v>40</v>
      </c>
      <c r="G38" s="14" t="s">
        <v>40</v>
      </c>
      <c r="H38" s="14" t="s">
        <v>40</v>
      </c>
      <c r="J38" s="14" t="s">
        <v>40</v>
      </c>
      <c r="K38" s="14" t="s">
        <v>40</v>
      </c>
      <c r="P38" s="14" t="s">
        <v>40</v>
      </c>
      <c r="Q38" s="14" t="s">
        <v>40</v>
      </c>
      <c r="R38" s="14" t="s">
        <v>40</v>
      </c>
      <c r="S38" s="14" t="s">
        <v>40</v>
      </c>
      <c r="U38" s="14" t="s">
        <v>40</v>
      </c>
      <c r="V38" s="14" t="s">
        <v>40</v>
      </c>
      <c r="W38" s="14" t="s">
        <v>40</v>
      </c>
      <c r="X38" s="14" t="s">
        <v>40</v>
      </c>
      <c r="Y38" s="14" t="s">
        <v>40</v>
      </c>
    </row>
    <row r="39" customFormat="false" ht="12.95" hidden="false" customHeight="true" outlineLevel="0" collapsed="false">
      <c r="A39" s="1" t="s">
        <v>301</v>
      </c>
      <c r="B39" s="1" t="s">
        <v>329</v>
      </c>
      <c r="C39" s="15" t="s">
        <v>330</v>
      </c>
      <c r="D39" s="15" t="s">
        <v>123</v>
      </c>
      <c r="E39" s="15" t="s">
        <v>128</v>
      </c>
      <c r="F39" s="25" t="n">
        <v>37056</v>
      </c>
      <c r="G39" s="16" t="s">
        <v>331</v>
      </c>
      <c r="H39" s="25" t="n">
        <v>37033</v>
      </c>
      <c r="I39" s="16"/>
      <c r="J39" s="163" t="n">
        <v>-0.029126213592233</v>
      </c>
      <c r="K39" s="163" t="n">
        <v>-0.382716049382716</v>
      </c>
      <c r="L39" s="16"/>
      <c r="M39" s="16"/>
      <c r="N39" s="49"/>
      <c r="O39" s="16"/>
      <c r="P39" s="164" t="n">
        <v>3.24389443804697</v>
      </c>
      <c r="Q39" s="21" t="n">
        <v>10.2687572071569</v>
      </c>
      <c r="R39" s="18" t="n">
        <v>6.14866402172831</v>
      </c>
      <c r="S39" s="15" t="s">
        <v>332</v>
      </c>
      <c r="T39" s="50"/>
      <c r="U39" s="23" t="n">
        <v>0</v>
      </c>
      <c r="V39" s="23" t="n">
        <v>0</v>
      </c>
      <c r="W39" s="24" t="n">
        <v>0</v>
      </c>
      <c r="X39" s="23" t="n">
        <v>0</v>
      </c>
      <c r="Y39" s="23" t="n">
        <v>0</v>
      </c>
      <c r="Z39" s="51"/>
    </row>
    <row r="40" customFormat="false" ht="12.95" hidden="false" customHeight="true" outlineLevel="0" collapsed="false">
      <c r="A40" s="1" t="s">
        <v>303</v>
      </c>
      <c r="B40" s="1" t="s">
        <v>329</v>
      </c>
      <c r="C40" s="15" t="s">
        <v>330</v>
      </c>
      <c r="D40" s="15" t="s">
        <v>333</v>
      </c>
      <c r="E40" s="15" t="s">
        <v>99</v>
      </c>
      <c r="F40" s="25" t="n">
        <v>37018</v>
      </c>
      <c r="G40" s="16" t="s">
        <v>334</v>
      </c>
      <c r="H40" s="25" t="n">
        <v>37034</v>
      </c>
      <c r="I40" s="16"/>
      <c r="J40" s="163" t="n">
        <v>0.0100680272108843</v>
      </c>
      <c r="K40" s="163" t="n">
        <v>-0.136744186046512</v>
      </c>
      <c r="L40" s="16"/>
      <c r="M40" s="16"/>
      <c r="N40" s="16"/>
      <c r="O40" s="16"/>
      <c r="P40" s="165" t="n">
        <v>3.62891495901418</v>
      </c>
      <c r="Q40" s="21" t="n">
        <v>13.7338800646322</v>
      </c>
      <c r="R40" s="18" t="n">
        <v>3.81374471945111</v>
      </c>
      <c r="S40" s="15" t="s">
        <v>335</v>
      </c>
      <c r="T40" s="50"/>
      <c r="U40" s="23" t="n">
        <v>0</v>
      </c>
      <c r="V40" s="23" t="n">
        <v>0</v>
      </c>
      <c r="W40" s="24" t="n">
        <v>0</v>
      </c>
      <c r="X40" s="23" t="n">
        <v>0</v>
      </c>
      <c r="Y40" s="23" t="n">
        <v>0</v>
      </c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</row>
    <row r="41" customFormat="false" ht="12.95" hidden="false" customHeight="true" outlineLevel="0" collapsed="false">
      <c r="A41" s="1" t="s">
        <v>305</v>
      </c>
      <c r="B41" s="1" t="s">
        <v>329</v>
      </c>
      <c r="C41" s="15" t="s">
        <v>330</v>
      </c>
      <c r="D41" s="15" t="s">
        <v>123</v>
      </c>
      <c r="E41" s="15" t="s">
        <v>99</v>
      </c>
      <c r="F41" s="25" t="n">
        <v>37056</v>
      </c>
      <c r="G41" s="16" t="s">
        <v>334</v>
      </c>
      <c r="H41" s="25" t="n">
        <v>37033</v>
      </c>
      <c r="I41" s="16"/>
      <c r="J41" s="163" t="n">
        <v>0.722258953115327</v>
      </c>
      <c r="K41" s="163" t="n">
        <v>-0.221621621621622</v>
      </c>
      <c r="L41" s="16"/>
      <c r="M41" s="16"/>
      <c r="N41" s="49"/>
      <c r="O41" s="16"/>
      <c r="P41" s="164" t="n">
        <v>4.28713606235746</v>
      </c>
      <c r="Q41" s="21" t="n">
        <v>7.56290432227363</v>
      </c>
      <c r="R41" s="18" t="n">
        <v>6.98678118751304</v>
      </c>
      <c r="S41" s="15" t="s">
        <v>98</v>
      </c>
      <c r="T41" s="50"/>
      <c r="U41" s="23" t="n">
        <v>0</v>
      </c>
      <c r="V41" s="23" t="n">
        <v>0</v>
      </c>
      <c r="W41" s="24" t="n">
        <v>0</v>
      </c>
      <c r="X41" s="23" t="n">
        <v>0</v>
      </c>
      <c r="Y41" s="23" t="n">
        <v>0</v>
      </c>
      <c r="Z41" s="51"/>
    </row>
    <row r="42" customFormat="false" ht="12.75" hidden="false" customHeight="true" outlineLevel="0" collapsed="false">
      <c r="A42" s="1" t="s">
        <v>307</v>
      </c>
      <c r="B42" s="1" t="s">
        <v>329</v>
      </c>
      <c r="C42" s="15" t="s">
        <v>330</v>
      </c>
      <c r="D42" s="15" t="s">
        <v>123</v>
      </c>
      <c r="E42" s="15" t="s">
        <v>99</v>
      </c>
      <c r="F42" s="25" t="n">
        <v>37056</v>
      </c>
      <c r="G42" s="16" t="s">
        <v>228</v>
      </c>
      <c r="H42" s="25" t="n">
        <v>37034</v>
      </c>
      <c r="I42" s="16"/>
      <c r="J42" s="163" t="n">
        <v>0.0152941176470588</v>
      </c>
      <c r="K42" s="163" t="n">
        <v>-0.297898305084746</v>
      </c>
      <c r="L42" s="16"/>
      <c r="M42" s="16"/>
      <c r="N42" s="49"/>
      <c r="O42" s="16"/>
      <c r="P42" s="164" t="n">
        <v>2.53994258501592</v>
      </c>
      <c r="Q42" s="21" t="n">
        <v>13.1957595883662</v>
      </c>
      <c r="R42" s="18" t="n">
        <v>4.85730513832346</v>
      </c>
      <c r="S42" s="15" t="s">
        <v>336</v>
      </c>
      <c r="T42" s="50"/>
      <c r="U42" s="23" t="n">
        <v>0</v>
      </c>
      <c r="V42" s="23" t="n">
        <v>0</v>
      </c>
      <c r="W42" s="24" t="n">
        <v>0</v>
      </c>
      <c r="X42" s="23" t="n">
        <v>0</v>
      </c>
      <c r="Y42" s="23" t="n">
        <v>0</v>
      </c>
      <c r="Z42" s="51"/>
      <c r="AA42" s="44"/>
    </row>
    <row r="43" customFormat="false" ht="12.75" hidden="false" customHeight="false" outlineLevel="0" collapsed="false">
      <c r="A43" s="1" t="s">
        <v>309</v>
      </c>
      <c r="B43" s="1" t="s">
        <v>337</v>
      </c>
      <c r="C43" s="15" t="s">
        <v>338</v>
      </c>
      <c r="D43" s="15" t="s">
        <v>123</v>
      </c>
      <c r="E43" s="15" t="s">
        <v>128</v>
      </c>
      <c r="F43" s="25" t="n">
        <v>37060</v>
      </c>
      <c r="G43" s="16" t="s">
        <v>235</v>
      </c>
      <c r="H43" s="25" t="n">
        <v>36667</v>
      </c>
      <c r="I43" s="16"/>
      <c r="J43" s="163" t="n">
        <v>0.0545302713987474</v>
      </c>
      <c r="K43" s="163" t="n">
        <v>-0.310886766712142</v>
      </c>
      <c r="L43" s="16"/>
      <c r="M43" s="16"/>
      <c r="N43" s="49"/>
      <c r="O43" s="16"/>
      <c r="P43" s="164" t="n">
        <v>2.3739672614749</v>
      </c>
      <c r="Q43" s="21" t="n">
        <v>10.7614640302903</v>
      </c>
      <c r="R43" s="18" t="n">
        <v>2.36839130154223</v>
      </c>
      <c r="S43" s="15" t="s">
        <v>51</v>
      </c>
      <c r="T43" s="50"/>
      <c r="U43" s="23" t="n">
        <v>0</v>
      </c>
      <c r="V43" s="23" t="n">
        <v>0</v>
      </c>
      <c r="W43" s="24" t="n">
        <v>0</v>
      </c>
      <c r="X43" s="23" t="n">
        <v>0</v>
      </c>
      <c r="Y43" s="23" t="n">
        <v>0</v>
      </c>
      <c r="Z43" s="51"/>
      <c r="AA43" s="44"/>
    </row>
    <row r="44" customFormat="false" ht="12" hidden="false" customHeight="true" outlineLevel="0" collapsed="false">
      <c r="A44" s="1" t="s">
        <v>311</v>
      </c>
      <c r="B44" s="1" t="s">
        <v>329</v>
      </c>
      <c r="C44" s="15" t="s">
        <v>330</v>
      </c>
      <c r="D44" s="15" t="s">
        <v>123</v>
      </c>
      <c r="E44" s="15" t="s">
        <v>267</v>
      </c>
      <c r="F44" s="25" t="n">
        <v>37056</v>
      </c>
      <c r="G44" s="16" t="s">
        <v>339</v>
      </c>
      <c r="H44" s="25" t="n">
        <v>37032</v>
      </c>
      <c r="I44" s="16"/>
      <c r="J44" s="163" t="n">
        <v>-0.0500719424460432</v>
      </c>
      <c r="K44" s="163" t="n">
        <v>-0.304137022397892</v>
      </c>
      <c r="L44" s="16"/>
      <c r="M44" s="16"/>
      <c r="N44" s="49"/>
      <c r="O44" s="16"/>
      <c r="P44" s="164" t="n">
        <v>1.7539154244154</v>
      </c>
      <c r="Q44" s="21" t="n">
        <v>4.92065548889621</v>
      </c>
      <c r="R44" s="18" t="n">
        <v>8.91923202814266</v>
      </c>
      <c r="S44" s="15" t="s">
        <v>340</v>
      </c>
      <c r="T44" s="50"/>
      <c r="U44" s="23" t="n">
        <v>0</v>
      </c>
      <c r="V44" s="23" t="n">
        <v>0</v>
      </c>
      <c r="W44" s="24" t="n">
        <v>0</v>
      </c>
      <c r="X44" s="23" t="n">
        <v>0</v>
      </c>
      <c r="Y44" s="23" t="n">
        <v>0</v>
      </c>
      <c r="Z44" s="51"/>
      <c r="AA44" s="13"/>
    </row>
    <row r="45" customFormat="false" ht="12.75" hidden="false" customHeight="false" outlineLevel="0" collapsed="false">
      <c r="A45" s="1" t="s">
        <v>313</v>
      </c>
      <c r="B45" s="1" t="s">
        <v>337</v>
      </c>
      <c r="C45" s="15" t="s">
        <v>338</v>
      </c>
      <c r="D45" s="15" t="s">
        <v>123</v>
      </c>
      <c r="E45" s="15" t="s">
        <v>128</v>
      </c>
      <c r="F45" s="25" t="n">
        <v>37032</v>
      </c>
      <c r="G45" s="16" t="s">
        <v>235</v>
      </c>
      <c r="H45" s="25" t="n">
        <v>37032</v>
      </c>
      <c r="I45" s="16"/>
      <c r="J45" s="163" t="n">
        <v>0.410606060606061</v>
      </c>
      <c r="K45" s="163" t="n">
        <v>-0.24</v>
      </c>
      <c r="L45" s="16"/>
      <c r="M45" s="16"/>
      <c r="N45" s="49"/>
      <c r="O45" s="16"/>
      <c r="P45" s="164" t="n">
        <v>1.30763589403109</v>
      </c>
      <c r="Q45" s="21" t="n">
        <v>11.5421780150662</v>
      </c>
      <c r="R45" s="18" t="n">
        <v>7.65218178806118</v>
      </c>
      <c r="S45" s="15" t="s">
        <v>98</v>
      </c>
      <c r="T45" s="50"/>
      <c r="U45" s="23" t="n">
        <v>0</v>
      </c>
      <c r="V45" s="23" t="n">
        <v>0</v>
      </c>
      <c r="W45" s="24" t="n">
        <v>0</v>
      </c>
      <c r="X45" s="23" t="n">
        <v>0</v>
      </c>
      <c r="Y45" s="23" t="n">
        <v>0</v>
      </c>
      <c r="Z45" s="51"/>
      <c r="AA45" s="44"/>
    </row>
    <row r="46" customFormat="false" ht="12.95" hidden="false" customHeight="true" outlineLevel="0" collapsed="false">
      <c r="A46" s="1" t="s">
        <v>315</v>
      </c>
      <c r="B46" s="1" t="s">
        <v>337</v>
      </c>
      <c r="C46" s="15" t="s">
        <v>338</v>
      </c>
      <c r="D46" s="15" t="s">
        <v>123</v>
      </c>
      <c r="E46" s="15" t="s">
        <v>128</v>
      </c>
      <c r="F46" s="25" t="n">
        <v>37060</v>
      </c>
      <c r="G46" s="16" t="s">
        <v>270</v>
      </c>
      <c r="H46" s="25" t="n">
        <v>37032</v>
      </c>
      <c r="I46" s="16"/>
      <c r="J46" s="163" t="n">
        <v>0.172895277207392</v>
      </c>
      <c r="K46" s="163" t="n">
        <v>-0.223913043478261</v>
      </c>
      <c r="L46" s="16"/>
      <c r="M46" s="16"/>
      <c r="N46" s="49"/>
      <c r="O46" s="16"/>
      <c r="P46" s="164" t="n">
        <v>1.89122302109547</v>
      </c>
      <c r="Q46" s="21" t="n">
        <v>9.28571284421259</v>
      </c>
      <c r="R46" s="18" t="n">
        <v>6.21907174283718</v>
      </c>
      <c r="S46" s="15" t="s">
        <v>341</v>
      </c>
      <c r="T46" s="50"/>
      <c r="U46" s="23" t="n">
        <v>0</v>
      </c>
      <c r="V46" s="23" t="n">
        <v>0</v>
      </c>
      <c r="W46" s="24" t="n">
        <v>0</v>
      </c>
      <c r="X46" s="23" t="n">
        <v>0</v>
      </c>
      <c r="Y46" s="23" t="n">
        <v>0</v>
      </c>
      <c r="Z46" s="51"/>
      <c r="AA46" s="4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  <c r="IQ46" s="16"/>
      <c r="IR46" s="16"/>
      <c r="IS46" s="16"/>
      <c r="IT46" s="16"/>
      <c r="IU46" s="16"/>
      <c r="IV46" s="16"/>
      <c r="IW46" s="16"/>
    </row>
    <row r="47" customFormat="false" ht="12.95" hidden="false" customHeight="true" outlineLevel="0" collapsed="false">
      <c r="A47" s="1" t="s">
        <v>317</v>
      </c>
      <c r="B47" s="1" t="s">
        <v>329</v>
      </c>
      <c r="C47" s="15" t="s">
        <v>330</v>
      </c>
      <c r="D47" s="15" t="s">
        <v>123</v>
      </c>
      <c r="E47" s="15" t="s">
        <v>99</v>
      </c>
      <c r="F47" s="25" t="n">
        <v>37056</v>
      </c>
      <c r="G47" s="16" t="s">
        <v>342</v>
      </c>
      <c r="H47" s="25" t="n">
        <v>37033</v>
      </c>
      <c r="I47" s="16"/>
      <c r="J47" s="163" t="n">
        <v>0.188012232415902</v>
      </c>
      <c r="K47" s="163" t="n">
        <v>-0.219919678714859</v>
      </c>
      <c r="L47" s="16"/>
      <c r="M47" s="16"/>
      <c r="N47" s="49"/>
      <c r="O47" s="16"/>
      <c r="P47" s="164" t="n">
        <v>0.258845460894534</v>
      </c>
      <c r="Q47" s="21" t="n">
        <v>14.4229260658103</v>
      </c>
      <c r="R47" s="18" t="n">
        <v>6.9425425970142</v>
      </c>
      <c r="S47" s="15" t="s">
        <v>98</v>
      </c>
      <c r="T47" s="50"/>
      <c r="U47" s="23" t="n">
        <v>0</v>
      </c>
      <c r="V47" s="23" t="n">
        <v>0</v>
      </c>
      <c r="W47" s="24" t="n">
        <v>0</v>
      </c>
      <c r="X47" s="23" t="n">
        <v>0</v>
      </c>
      <c r="Y47" s="23" t="n">
        <v>0</v>
      </c>
      <c r="Z47" s="51"/>
      <c r="AA47" s="52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</row>
    <row r="48" customFormat="false" ht="12.95" hidden="false" customHeight="true" outlineLevel="0" collapsed="false">
      <c r="A48" s="1" t="s">
        <v>319</v>
      </c>
      <c r="B48" s="1" t="s">
        <v>337</v>
      </c>
      <c r="C48" s="15" t="s">
        <v>338</v>
      </c>
      <c r="D48" s="15" t="s">
        <v>123</v>
      </c>
      <c r="E48" s="15" t="s">
        <v>99</v>
      </c>
      <c r="F48" s="25" t="n">
        <v>37060</v>
      </c>
      <c r="G48" s="16" t="s">
        <v>343</v>
      </c>
      <c r="H48" s="25" t="n">
        <v>37032</v>
      </c>
      <c r="I48" s="16"/>
      <c r="J48" s="163" t="n">
        <v>0.5</v>
      </c>
      <c r="K48" s="163" t="n">
        <v>-0.123809523809524</v>
      </c>
      <c r="L48" s="16"/>
      <c r="M48" s="16"/>
      <c r="N48" s="49"/>
      <c r="O48" s="16"/>
      <c r="P48" s="164" t="n">
        <v>2.16623793050609</v>
      </c>
      <c r="Q48" s="21" t="n">
        <v>8.90653294228175</v>
      </c>
      <c r="R48" s="18" t="n">
        <v>6.50717421770636</v>
      </c>
      <c r="S48" s="15" t="s">
        <v>336</v>
      </c>
      <c r="T48" s="50"/>
      <c r="U48" s="23" t="n">
        <v>0</v>
      </c>
      <c r="V48" s="23" t="n">
        <v>0</v>
      </c>
      <c r="W48" s="24" t="n">
        <v>0</v>
      </c>
      <c r="X48" s="23" t="n">
        <v>0</v>
      </c>
      <c r="Y48" s="23" t="n">
        <v>0</v>
      </c>
      <c r="Z48" s="51"/>
      <c r="AA48" s="52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</row>
    <row r="49" customFormat="false" ht="12.95" hidden="false" customHeight="true" outlineLevel="0" collapsed="false">
      <c r="A49" s="1" t="s">
        <v>321</v>
      </c>
      <c r="B49" s="1" t="s">
        <v>329</v>
      </c>
      <c r="C49" s="15" t="s">
        <v>330</v>
      </c>
      <c r="D49" s="15" t="s">
        <v>123</v>
      </c>
      <c r="E49" s="15" t="s">
        <v>99</v>
      </c>
      <c r="F49" s="25" t="n">
        <v>37056</v>
      </c>
      <c r="G49" s="16" t="s">
        <v>344</v>
      </c>
      <c r="H49" s="25" t="n">
        <v>37032</v>
      </c>
      <c r="I49" s="16"/>
      <c r="J49" s="163" t="n">
        <v>-0.116</v>
      </c>
      <c r="K49" s="163" t="n">
        <v>-0.315259488768397</v>
      </c>
      <c r="L49" s="16"/>
      <c r="M49" s="16"/>
      <c r="N49" s="49"/>
      <c r="O49" s="16"/>
      <c r="P49" s="164" t="n">
        <v>1.35762971853407</v>
      </c>
      <c r="Q49" s="21" t="n">
        <v>6.06748001172511</v>
      </c>
      <c r="R49" s="18" t="n">
        <v>13.4770317586698</v>
      </c>
      <c r="S49" s="15" t="s">
        <v>336</v>
      </c>
      <c r="T49" s="50"/>
      <c r="U49" s="23" t="n">
        <v>0</v>
      </c>
      <c r="V49" s="23" t="n">
        <v>0</v>
      </c>
      <c r="W49" s="24" t="n">
        <v>0</v>
      </c>
      <c r="X49" s="23" t="n">
        <v>0</v>
      </c>
      <c r="Y49" s="23" t="n">
        <v>0</v>
      </c>
      <c r="Z49" s="51"/>
      <c r="AA49" s="52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2.95" hidden="false" customHeight="true" outlineLevel="0" collapsed="false">
      <c r="A50" s="1" t="s">
        <v>323</v>
      </c>
      <c r="B50" s="1" t="s">
        <v>337</v>
      </c>
      <c r="C50" s="15" t="s">
        <v>338</v>
      </c>
      <c r="D50" s="15" t="s">
        <v>345</v>
      </c>
      <c r="E50" s="15" t="s">
        <v>99</v>
      </c>
      <c r="F50" s="25" t="n">
        <v>37056</v>
      </c>
      <c r="G50" s="16" t="s">
        <v>269</v>
      </c>
      <c r="H50" s="25" t="n">
        <v>37032</v>
      </c>
      <c r="I50" s="16"/>
      <c r="J50" s="163" t="n">
        <v>0.2</v>
      </c>
      <c r="K50" s="163" t="n">
        <v>-0.279087452471483</v>
      </c>
      <c r="L50" s="16"/>
      <c r="M50" s="16"/>
      <c r="N50" s="49"/>
      <c r="O50" s="16"/>
      <c r="P50" s="164" t="n">
        <v>2.60432129495866</v>
      </c>
      <c r="Q50" s="21" t="n">
        <v>10.8869639215812</v>
      </c>
      <c r="R50" s="18" t="n">
        <v>5.97528214509496</v>
      </c>
      <c r="S50" s="15" t="s">
        <v>336</v>
      </c>
      <c r="T50" s="50"/>
      <c r="U50" s="23" t="n">
        <v>0</v>
      </c>
      <c r="V50" s="23" t="n">
        <v>0</v>
      </c>
      <c r="W50" s="24" t="n">
        <v>0</v>
      </c>
      <c r="X50" s="23" t="n">
        <v>0</v>
      </c>
      <c r="Y50" s="23" t="n">
        <v>0</v>
      </c>
      <c r="Z50" s="51"/>
      <c r="AA50" s="52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2.95" hidden="false" customHeight="true" outlineLevel="0" collapsed="false">
      <c r="A51" s="1" t="s">
        <v>346</v>
      </c>
      <c r="B51" s="1" t="s">
        <v>337</v>
      </c>
      <c r="C51" s="15" t="s">
        <v>338</v>
      </c>
      <c r="D51" s="15" t="s">
        <v>123</v>
      </c>
      <c r="E51" s="15" t="s">
        <v>99</v>
      </c>
      <c r="F51" s="25" t="n">
        <v>37060</v>
      </c>
      <c r="G51" s="16" t="s">
        <v>347</v>
      </c>
      <c r="H51" s="25" t="n">
        <v>37032</v>
      </c>
      <c r="I51" s="16"/>
      <c r="J51" s="163" t="n">
        <v>0.506602870813397</v>
      </c>
      <c r="K51" s="163" t="n">
        <v>0.132661870503597</v>
      </c>
      <c r="L51" s="16"/>
      <c r="M51" s="16"/>
      <c r="N51" s="49"/>
      <c r="O51" s="16"/>
      <c r="P51" s="164" t="s">
        <v>169</v>
      </c>
      <c r="Q51" s="21" t="n">
        <v>26.095906450083</v>
      </c>
      <c r="R51" s="18" t="n">
        <v>8.64186111369341</v>
      </c>
      <c r="S51" s="15" t="s">
        <v>348</v>
      </c>
      <c r="T51" s="50"/>
      <c r="U51" s="23" t="n">
        <v>0</v>
      </c>
      <c r="V51" s="23" t="n">
        <v>0</v>
      </c>
      <c r="W51" s="24" t="n">
        <v>0</v>
      </c>
      <c r="X51" s="23" t="n">
        <v>0</v>
      </c>
      <c r="Y51" s="23" t="n">
        <v>0</v>
      </c>
      <c r="Z51" s="51"/>
      <c r="AA51" s="48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2.95" hidden="false" customHeight="true" outlineLevel="0" collapsed="false">
      <c r="A52" s="1" t="s">
        <v>327</v>
      </c>
      <c r="B52" s="1" t="s">
        <v>337</v>
      </c>
      <c r="C52" s="15" t="s">
        <v>338</v>
      </c>
      <c r="D52" s="15" t="s">
        <v>123</v>
      </c>
      <c r="E52" s="15" t="s">
        <v>99</v>
      </c>
      <c r="F52" s="25" t="n">
        <v>37060</v>
      </c>
      <c r="G52" s="16" t="s">
        <v>342</v>
      </c>
      <c r="H52" s="25" t="n">
        <v>37034</v>
      </c>
      <c r="I52" s="16"/>
      <c r="J52" s="163" t="n">
        <v>0.0620118343195266</v>
      </c>
      <c r="K52" s="163" t="n">
        <v>0.495666666666667</v>
      </c>
      <c r="L52" s="16"/>
      <c r="M52" s="16"/>
      <c r="N52" s="16"/>
      <c r="O52" s="16"/>
      <c r="P52" s="164" t="n">
        <v>3.78436367889501</v>
      </c>
      <c r="Q52" s="21" t="n">
        <v>15.6464929970187</v>
      </c>
      <c r="R52" s="18" t="n">
        <v>2.16562013334294</v>
      </c>
      <c r="S52" s="15" t="s">
        <v>349</v>
      </c>
      <c r="T52" s="50"/>
      <c r="U52" s="23" t="n">
        <v>0</v>
      </c>
      <c r="V52" s="23" t="n">
        <v>0</v>
      </c>
      <c r="W52" s="24" t="n">
        <v>0</v>
      </c>
      <c r="X52" s="23" t="n">
        <v>0</v>
      </c>
      <c r="Y52" s="23" t="n">
        <v>0</v>
      </c>
      <c r="Z52" s="16"/>
      <c r="AA52" s="52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2.75" hidden="false" customHeight="false" outlineLevel="0" collapsed="false">
      <c r="P53" s="166"/>
    </row>
    <row r="54" customFormat="false" ht="12.95" hidden="false" customHeight="true" outlineLevel="0" collapsed="false">
      <c r="C54" s="15"/>
      <c r="D54" s="15"/>
      <c r="E54" s="15"/>
      <c r="F54" s="25"/>
      <c r="G54" s="16"/>
      <c r="H54" s="25"/>
      <c r="I54" s="16"/>
      <c r="J54" s="22"/>
      <c r="K54" s="22"/>
      <c r="L54" s="16"/>
      <c r="M54" s="16"/>
      <c r="N54" s="16"/>
      <c r="O54" s="16"/>
      <c r="P54" s="165"/>
      <c r="Q54" s="16"/>
      <c r="R54" s="16"/>
      <c r="S54" s="16"/>
      <c r="T54" s="50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12.95" hidden="false" customHeight="true" outlineLevel="0" collapsed="false">
      <c r="C55" s="15"/>
      <c r="D55" s="15"/>
      <c r="E55" s="15"/>
      <c r="F55" s="25"/>
      <c r="G55" s="16"/>
      <c r="H55" s="25"/>
      <c r="I55" s="16"/>
      <c r="J55" s="22"/>
      <c r="K55" s="22"/>
      <c r="L55" s="16"/>
      <c r="M55" s="16"/>
      <c r="N55" s="16"/>
      <c r="O55" s="16"/>
      <c r="P55" s="165"/>
      <c r="Q55" s="16"/>
      <c r="R55" s="16"/>
      <c r="S55" s="16"/>
      <c r="T55" s="50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12.95" hidden="false" customHeight="true" outlineLevel="0" collapsed="false">
      <c r="A56" s="16"/>
      <c r="B56" s="58"/>
      <c r="C56" s="58"/>
      <c r="D56" s="16"/>
      <c r="E56" s="58"/>
      <c r="F56" s="16"/>
      <c r="G56" s="16"/>
      <c r="H56" s="16"/>
      <c r="I56" s="16"/>
      <c r="J56" s="16"/>
      <c r="K56" s="16"/>
      <c r="L56" s="16"/>
      <c r="M56" s="16"/>
      <c r="N56" s="96" t="s">
        <v>56</v>
      </c>
      <c r="O56" s="167"/>
      <c r="P56" s="168" t="n">
        <v>2.3998482868646</v>
      </c>
      <c r="Q56" s="147" t="n">
        <v>11.6641152820996</v>
      </c>
      <c r="R56" s="169" t="n">
        <v>6.4767774209372</v>
      </c>
      <c r="S56" s="50"/>
      <c r="T56" s="50"/>
      <c r="U56" s="23"/>
      <c r="V56" s="60"/>
      <c r="W56" s="24"/>
      <c r="X56" s="23"/>
      <c r="Y56" s="51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12.95" hidden="false" customHeight="true" outlineLevel="0" collapsed="false">
      <c r="A57" s="16"/>
      <c r="B57" s="58"/>
      <c r="C57" s="58"/>
      <c r="D57" s="58"/>
      <c r="E57" s="16"/>
      <c r="F57" s="16"/>
      <c r="G57" s="16"/>
      <c r="H57" s="16"/>
      <c r="I57" s="16"/>
      <c r="J57" s="16"/>
      <c r="K57" s="16"/>
      <c r="L57" s="16"/>
      <c r="M57" s="16"/>
      <c r="N57" s="102" t="s">
        <v>57</v>
      </c>
      <c r="O57" s="48"/>
      <c r="P57" s="170" t="n">
        <v>2.3739672614749</v>
      </c>
      <c r="Q57" s="154" t="n">
        <v>10.8242139759358</v>
      </c>
      <c r="R57" s="171" t="n">
        <v>6.36312298027177</v>
      </c>
      <c r="S57" s="50"/>
      <c r="T57" s="50"/>
      <c r="U57" s="16"/>
      <c r="V57" s="60"/>
      <c r="W57" s="24"/>
      <c r="X57" s="23"/>
      <c r="Y57" s="51"/>
      <c r="Z57" s="51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12.95" hidden="false" customHeight="true" outlineLevel="0" collapsed="false">
      <c r="A58" s="16"/>
      <c r="B58" s="58"/>
      <c r="C58" s="58"/>
      <c r="D58" s="58"/>
      <c r="E58" s="16"/>
      <c r="F58" s="16"/>
      <c r="G58" s="16"/>
      <c r="H58" s="16"/>
      <c r="I58" s="16"/>
      <c r="J58" s="16"/>
      <c r="K58" s="16"/>
      <c r="L58" s="16"/>
      <c r="M58" s="16"/>
      <c r="N58" s="102" t="s">
        <v>26</v>
      </c>
      <c r="O58" s="48"/>
      <c r="P58" s="170" t="n">
        <v>4.28713606235746</v>
      </c>
      <c r="Q58" s="154" t="n">
        <v>26.095906450083</v>
      </c>
      <c r="R58" s="171" t="n">
        <v>13.4770317586698</v>
      </c>
      <c r="S58" s="50"/>
      <c r="T58" s="50"/>
      <c r="U58" s="16"/>
      <c r="V58" s="60"/>
      <c r="W58" s="24"/>
      <c r="X58" s="23"/>
      <c r="Y58" s="51"/>
      <c r="Z58" s="51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12.95" hidden="false" customHeight="true" outlineLevel="0" collapsed="false">
      <c r="A59" s="16"/>
      <c r="B59" s="58"/>
      <c r="C59" s="58"/>
      <c r="D59" s="58"/>
      <c r="E59" s="16"/>
      <c r="F59" s="16"/>
      <c r="G59" s="16"/>
      <c r="H59" s="16"/>
      <c r="I59" s="16"/>
      <c r="J59" s="16"/>
      <c r="K59" s="16"/>
      <c r="L59" s="16"/>
      <c r="M59" s="16"/>
      <c r="N59" s="104" t="s">
        <v>27</v>
      </c>
      <c r="O59" s="172"/>
      <c r="P59" s="173" t="n">
        <v>0.258845460894534</v>
      </c>
      <c r="Q59" s="157" t="n">
        <v>4.92065548889621</v>
      </c>
      <c r="R59" s="174" t="n">
        <v>2.16562013334294</v>
      </c>
      <c r="S59" s="50"/>
      <c r="T59" s="50"/>
      <c r="U59" s="16"/>
      <c r="V59" s="60"/>
      <c r="W59" s="24"/>
      <c r="X59" s="23"/>
      <c r="Y59" s="51"/>
      <c r="Z59" s="51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</row>
    <row r="60" customFormat="false" ht="12.95" hidden="false" customHeight="true" outlineLevel="0" collapsed="false">
      <c r="A60" s="61" t="s">
        <v>104</v>
      </c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51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</row>
    <row r="61" customFormat="false" ht="12.95" hidden="false" customHeight="true" outlineLevel="0" collapsed="false">
      <c r="A61" s="15" t="s">
        <v>350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6"/>
      <c r="IM61" s="16"/>
      <c r="IN61" s="16"/>
      <c r="IO61" s="16"/>
      <c r="IP61" s="16"/>
      <c r="IQ61" s="16"/>
      <c r="IR61" s="16"/>
      <c r="IS61" s="16"/>
      <c r="IT61" s="16"/>
      <c r="IU61" s="16"/>
      <c r="IV61" s="16"/>
      <c r="IW61" s="16"/>
    </row>
    <row r="62" customFormat="false" ht="12.95" hidden="false" customHeight="true" outlineLevel="0" collapsed="false">
      <c r="A62" s="15" t="s">
        <v>351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</row>
    <row r="63" customFormat="false" ht="12.95" hidden="false" customHeight="true" outlineLevel="0" collapsed="false">
      <c r="A63" s="15" t="s">
        <v>352</v>
      </c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</row>
    <row r="64" customFormat="false" ht="12.95" hidden="false" customHeight="true" outlineLevel="0" collapsed="false">
      <c r="A64" s="15" t="s">
        <v>353</v>
      </c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</row>
    <row r="65" customFormat="false" ht="12.95" hidden="false" customHeight="true" outlineLevel="0" collapsed="false">
      <c r="A65" s="15" t="s">
        <v>354</v>
      </c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6"/>
      <c r="IM65" s="16"/>
      <c r="IN65" s="16"/>
      <c r="IO65" s="16"/>
      <c r="IP65" s="16"/>
      <c r="IQ65" s="16"/>
      <c r="IR65" s="16"/>
      <c r="IS65" s="16"/>
      <c r="IT65" s="16"/>
      <c r="IU65" s="16"/>
      <c r="IV65" s="16"/>
      <c r="IW65" s="16"/>
    </row>
    <row r="66" customFormat="false" ht="12.95" hidden="false" customHeight="true" outlineLevel="0" collapsed="false">
      <c r="A66" s="15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  <c r="GU66" s="16"/>
      <c r="GV66" s="16"/>
      <c r="GW66" s="16"/>
      <c r="GX66" s="16"/>
      <c r="GY66" s="16"/>
      <c r="GZ66" s="16"/>
      <c r="HA66" s="16"/>
      <c r="HB66" s="16"/>
      <c r="HC66" s="16"/>
      <c r="HD66" s="16"/>
      <c r="HE66" s="16"/>
      <c r="HF66" s="16"/>
      <c r="HG66" s="16"/>
      <c r="HH66" s="16"/>
      <c r="HI66" s="16"/>
      <c r="HJ66" s="16"/>
      <c r="HK66" s="16"/>
      <c r="HL66" s="16"/>
      <c r="HM66" s="16"/>
      <c r="HN66" s="16"/>
      <c r="HO66" s="16"/>
      <c r="HP66" s="16"/>
      <c r="HQ66" s="16"/>
      <c r="HR66" s="16"/>
      <c r="HS66" s="16"/>
      <c r="HT66" s="16"/>
      <c r="HU66" s="16"/>
      <c r="HV66" s="16"/>
      <c r="HW66" s="16"/>
      <c r="HX66" s="16"/>
      <c r="HY66" s="16"/>
      <c r="HZ66" s="16"/>
      <c r="IA66" s="16"/>
      <c r="IB66" s="16"/>
      <c r="IC66" s="16"/>
      <c r="ID66" s="16"/>
      <c r="IE66" s="16"/>
      <c r="IF66" s="16"/>
      <c r="IG66" s="16"/>
      <c r="IH66" s="16"/>
      <c r="II66" s="16"/>
      <c r="IJ66" s="16"/>
      <c r="IK66" s="16"/>
      <c r="IL66" s="16"/>
      <c r="IM66" s="16"/>
      <c r="IN66" s="16"/>
      <c r="IO66" s="16"/>
      <c r="IP66" s="16"/>
      <c r="IQ66" s="16"/>
      <c r="IR66" s="16"/>
      <c r="IS66" s="16"/>
      <c r="IT66" s="16"/>
      <c r="IU66" s="16"/>
      <c r="IV66" s="16"/>
      <c r="IW66" s="16"/>
    </row>
    <row r="67" customFormat="false" ht="12.95" hidden="false" customHeight="true" outlineLevel="0" collapsed="false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</row>
    <row r="68" customFormat="false" ht="12.95" hidden="false" customHeight="true" outlineLevel="0" collapsed="false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</row>
    <row r="69" customFormat="false" ht="12.95" hidden="false" customHeight="true" outlineLevel="0" collapsed="false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  <c r="IU69" s="16"/>
      <c r="IV69" s="16"/>
      <c r="IW69" s="16"/>
    </row>
    <row r="70" customFormat="false" ht="12.95" hidden="false" customHeight="true" outlineLevel="0" collapsed="false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</row>
    <row r="71" customFormat="false" ht="12.95" hidden="false" customHeight="true" outlineLevel="0" collapsed="false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  <c r="FF71" s="16"/>
      <c r="FG71" s="16"/>
      <c r="FH71" s="16"/>
      <c r="FI71" s="16"/>
      <c r="FJ71" s="16"/>
      <c r="FK71" s="16"/>
      <c r="FL71" s="16"/>
      <c r="FM71" s="16"/>
      <c r="FN71" s="16"/>
      <c r="FO71" s="16"/>
      <c r="FP71" s="16"/>
      <c r="FQ71" s="16"/>
      <c r="FR71" s="16"/>
      <c r="FS71" s="16"/>
      <c r="FT71" s="16"/>
      <c r="FU71" s="16"/>
      <c r="FV71" s="16"/>
      <c r="FW71" s="16"/>
      <c r="FX71" s="16"/>
      <c r="FY71" s="16"/>
      <c r="FZ71" s="16"/>
      <c r="GA71" s="16"/>
      <c r="GB71" s="16"/>
      <c r="GC71" s="16"/>
      <c r="GD71" s="16"/>
      <c r="GE71" s="16"/>
      <c r="GF71" s="16"/>
      <c r="GG71" s="16"/>
      <c r="GH71" s="16"/>
      <c r="GI71" s="16"/>
      <c r="GJ71" s="16"/>
      <c r="GK71" s="16"/>
      <c r="GL71" s="16"/>
      <c r="GM71" s="16"/>
      <c r="GN71" s="16"/>
      <c r="GO71" s="16"/>
      <c r="GP71" s="16"/>
      <c r="GQ71" s="16"/>
      <c r="GR71" s="16"/>
      <c r="GS71" s="16"/>
      <c r="GT71" s="16"/>
      <c r="GU71" s="16"/>
      <c r="GV71" s="16"/>
      <c r="GW71" s="16"/>
      <c r="GX71" s="16"/>
      <c r="GY71" s="16"/>
      <c r="GZ71" s="16"/>
      <c r="HA71" s="16"/>
      <c r="HB71" s="16"/>
      <c r="HC71" s="16"/>
      <c r="HD71" s="16"/>
      <c r="HE71" s="16"/>
      <c r="HF71" s="16"/>
      <c r="HG71" s="16"/>
      <c r="HH71" s="16"/>
      <c r="HI71" s="16"/>
      <c r="HJ71" s="16"/>
      <c r="HK71" s="16"/>
      <c r="HL71" s="16"/>
      <c r="HM71" s="16"/>
      <c r="HN71" s="16"/>
      <c r="HO71" s="16"/>
      <c r="HP71" s="16"/>
      <c r="HQ71" s="16"/>
      <c r="HR71" s="16"/>
      <c r="HS71" s="16"/>
      <c r="HT71" s="16"/>
      <c r="HU71" s="16"/>
      <c r="HV71" s="16"/>
      <c r="HW71" s="16"/>
      <c r="HX71" s="16"/>
      <c r="HY71" s="16"/>
      <c r="HZ71" s="16"/>
      <c r="IA71" s="16"/>
      <c r="IB71" s="16"/>
      <c r="IC71" s="16"/>
      <c r="ID71" s="16"/>
      <c r="IE71" s="16"/>
      <c r="IF71" s="16"/>
      <c r="IG71" s="16"/>
      <c r="IH71" s="16"/>
      <c r="II71" s="16"/>
      <c r="IJ71" s="16"/>
      <c r="IK71" s="16"/>
      <c r="IL71" s="16"/>
      <c r="IM71" s="16"/>
      <c r="IN71" s="16"/>
      <c r="IO71" s="16"/>
      <c r="IP71" s="16"/>
      <c r="IQ71" s="16"/>
      <c r="IR71" s="16"/>
      <c r="IS71" s="16"/>
      <c r="IT71" s="16"/>
      <c r="IU71" s="16"/>
      <c r="IV71" s="16"/>
      <c r="IW71" s="16"/>
    </row>
    <row r="72" customFormat="false" ht="12.95" hidden="false" customHeight="true" outlineLevel="0" collapsed="false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6"/>
      <c r="FI72" s="16"/>
      <c r="FJ72" s="16"/>
      <c r="FK72" s="16"/>
      <c r="FL72" s="16"/>
      <c r="FM72" s="16"/>
      <c r="FN72" s="16"/>
      <c r="FO72" s="16"/>
      <c r="FP72" s="16"/>
      <c r="FQ72" s="16"/>
      <c r="FR72" s="16"/>
      <c r="FS72" s="16"/>
      <c r="FT72" s="16"/>
      <c r="FU72" s="16"/>
      <c r="FV72" s="16"/>
      <c r="FW72" s="16"/>
      <c r="FX72" s="16"/>
      <c r="FY72" s="16"/>
      <c r="FZ72" s="16"/>
      <c r="GA72" s="16"/>
      <c r="GB72" s="16"/>
      <c r="GC72" s="16"/>
      <c r="GD72" s="16"/>
      <c r="GE72" s="16"/>
      <c r="GF72" s="16"/>
      <c r="GG72" s="16"/>
      <c r="GH72" s="16"/>
      <c r="GI72" s="16"/>
      <c r="GJ72" s="16"/>
      <c r="GK72" s="16"/>
      <c r="GL72" s="16"/>
      <c r="GM72" s="16"/>
      <c r="GN72" s="16"/>
      <c r="GO72" s="16"/>
      <c r="GP72" s="16"/>
      <c r="GQ72" s="16"/>
      <c r="GR72" s="16"/>
      <c r="GS72" s="16"/>
      <c r="GT72" s="16"/>
      <c r="GU72" s="16"/>
      <c r="GV72" s="16"/>
      <c r="GW72" s="16"/>
      <c r="GX72" s="16"/>
      <c r="GY72" s="16"/>
      <c r="GZ72" s="16"/>
      <c r="HA72" s="16"/>
      <c r="HB72" s="16"/>
      <c r="HC72" s="16"/>
      <c r="HD72" s="16"/>
      <c r="HE72" s="16"/>
      <c r="HF72" s="16"/>
      <c r="HG72" s="16"/>
      <c r="HH72" s="16"/>
      <c r="HI72" s="16"/>
      <c r="HJ72" s="16"/>
      <c r="HK72" s="16"/>
      <c r="HL72" s="16"/>
      <c r="HM72" s="16"/>
      <c r="HN72" s="16"/>
      <c r="HO72" s="16"/>
      <c r="HP72" s="16"/>
      <c r="HQ72" s="16"/>
      <c r="HR72" s="16"/>
      <c r="HS72" s="16"/>
      <c r="HT72" s="16"/>
      <c r="HU72" s="16"/>
      <c r="HV72" s="16"/>
      <c r="HW72" s="16"/>
      <c r="HX72" s="16"/>
      <c r="HY72" s="16"/>
      <c r="HZ72" s="16"/>
      <c r="IA72" s="16"/>
      <c r="IB72" s="16"/>
      <c r="IC72" s="16"/>
      <c r="ID72" s="16"/>
      <c r="IE72" s="16"/>
      <c r="IF72" s="16"/>
      <c r="IG72" s="16"/>
      <c r="IH72" s="16"/>
      <c r="II72" s="16"/>
      <c r="IJ72" s="16"/>
      <c r="IK72" s="16"/>
      <c r="IL72" s="16"/>
      <c r="IM72" s="16"/>
      <c r="IN72" s="16"/>
      <c r="IO72" s="16"/>
      <c r="IP72" s="16"/>
      <c r="IQ72" s="16"/>
      <c r="IR72" s="16"/>
      <c r="IS72" s="16"/>
      <c r="IT72" s="16"/>
      <c r="IU72" s="16"/>
      <c r="IV72" s="16"/>
      <c r="IW72" s="16"/>
    </row>
    <row r="73" customFormat="false" ht="12.95" hidden="false" customHeight="true" outlineLevel="0" collapsed="false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  <c r="FF73" s="16"/>
      <c r="FG73" s="16"/>
      <c r="FH73" s="16"/>
      <c r="FI73" s="16"/>
      <c r="FJ73" s="16"/>
      <c r="FK73" s="16"/>
      <c r="FL73" s="16"/>
      <c r="FM73" s="16"/>
      <c r="FN73" s="16"/>
      <c r="FO73" s="16"/>
      <c r="FP73" s="16"/>
      <c r="FQ73" s="16"/>
      <c r="FR73" s="16"/>
      <c r="FS73" s="16"/>
      <c r="FT73" s="16"/>
      <c r="FU73" s="16"/>
      <c r="FV73" s="16"/>
      <c r="FW73" s="16"/>
      <c r="FX73" s="16"/>
      <c r="FY73" s="16"/>
      <c r="FZ73" s="16"/>
      <c r="GA73" s="16"/>
      <c r="GB73" s="16"/>
      <c r="GC73" s="16"/>
      <c r="GD73" s="16"/>
      <c r="GE73" s="16"/>
      <c r="GF73" s="16"/>
      <c r="GG73" s="16"/>
      <c r="GH73" s="16"/>
      <c r="GI73" s="16"/>
      <c r="GJ73" s="16"/>
      <c r="GK73" s="16"/>
      <c r="GL73" s="16"/>
      <c r="GM73" s="16"/>
      <c r="GN73" s="16"/>
      <c r="GO73" s="16"/>
      <c r="GP73" s="16"/>
      <c r="GQ73" s="16"/>
      <c r="GR73" s="16"/>
      <c r="GS73" s="16"/>
      <c r="GT73" s="16"/>
      <c r="GU73" s="16"/>
      <c r="GV73" s="16"/>
      <c r="GW73" s="16"/>
      <c r="GX73" s="16"/>
      <c r="GY73" s="16"/>
      <c r="GZ73" s="16"/>
      <c r="HA73" s="16"/>
      <c r="HB73" s="16"/>
      <c r="HC73" s="16"/>
      <c r="HD73" s="16"/>
      <c r="HE73" s="16"/>
      <c r="HF73" s="16"/>
      <c r="HG73" s="16"/>
      <c r="HH73" s="16"/>
      <c r="HI73" s="16"/>
      <c r="HJ73" s="16"/>
      <c r="HK73" s="16"/>
      <c r="HL73" s="16"/>
      <c r="HM73" s="16"/>
      <c r="HN73" s="16"/>
      <c r="HO73" s="16"/>
      <c r="HP73" s="16"/>
      <c r="HQ73" s="16"/>
      <c r="HR73" s="16"/>
      <c r="HS73" s="16"/>
      <c r="HT73" s="16"/>
      <c r="HU73" s="16"/>
      <c r="HV73" s="16"/>
      <c r="HW73" s="16"/>
      <c r="HX73" s="16"/>
      <c r="HY73" s="16"/>
      <c r="HZ73" s="16"/>
      <c r="IA73" s="16"/>
      <c r="IB73" s="16"/>
      <c r="IC73" s="16"/>
      <c r="ID73" s="16"/>
      <c r="IE73" s="16"/>
      <c r="IF73" s="16"/>
      <c r="IG73" s="16"/>
      <c r="IH73" s="16"/>
      <c r="II73" s="16"/>
      <c r="IJ73" s="16"/>
      <c r="IK73" s="16"/>
      <c r="IL73" s="16"/>
      <c r="IM73" s="16"/>
      <c r="IN73" s="16"/>
      <c r="IO73" s="16"/>
      <c r="IP73" s="16"/>
      <c r="IQ73" s="16"/>
      <c r="IR73" s="16"/>
      <c r="IS73" s="16"/>
      <c r="IT73" s="16"/>
      <c r="IU73" s="16"/>
      <c r="IV73" s="16"/>
      <c r="IW73" s="16"/>
    </row>
    <row r="74" customFormat="false" ht="12.95" hidden="false" customHeight="true" outlineLevel="0" collapsed="false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DC74" s="16"/>
      <c r="DD74" s="16"/>
      <c r="DE74" s="16"/>
      <c r="DF74" s="16"/>
      <c r="DG74" s="16"/>
      <c r="DH74" s="16"/>
      <c r="DI74" s="16"/>
      <c r="DJ74" s="16"/>
      <c r="DK74" s="16"/>
      <c r="DL74" s="16"/>
      <c r="DM74" s="16"/>
      <c r="DN74" s="16"/>
      <c r="DO74" s="16"/>
      <c r="DP74" s="16"/>
      <c r="DQ74" s="16"/>
      <c r="DR74" s="16"/>
      <c r="DS74" s="16"/>
      <c r="DT74" s="16"/>
      <c r="DU74" s="16"/>
      <c r="DV74" s="16"/>
      <c r="DW74" s="16"/>
      <c r="DX74" s="16"/>
      <c r="DY74" s="16"/>
      <c r="DZ74" s="16"/>
      <c r="EA74" s="16"/>
      <c r="EB74" s="16"/>
      <c r="EC74" s="16"/>
      <c r="ED74" s="16"/>
      <c r="EE74" s="16"/>
      <c r="EF74" s="16"/>
      <c r="EG74" s="16"/>
      <c r="EH74" s="16"/>
      <c r="EI74" s="16"/>
      <c r="EJ74" s="16"/>
      <c r="EK74" s="16"/>
      <c r="EL74" s="16"/>
      <c r="EM74" s="16"/>
      <c r="EN74" s="16"/>
      <c r="EO74" s="16"/>
      <c r="EP74" s="16"/>
      <c r="EQ74" s="16"/>
      <c r="ER74" s="16"/>
      <c r="ES74" s="16"/>
      <c r="ET74" s="16"/>
      <c r="EU74" s="16"/>
      <c r="EV74" s="16"/>
      <c r="EW74" s="16"/>
      <c r="EX74" s="16"/>
      <c r="EY74" s="16"/>
      <c r="EZ74" s="16"/>
      <c r="FA74" s="16"/>
      <c r="FB74" s="16"/>
      <c r="FC74" s="16"/>
      <c r="FD74" s="16"/>
      <c r="FE74" s="16"/>
      <c r="FF74" s="16"/>
      <c r="FG74" s="16"/>
      <c r="FH74" s="16"/>
      <c r="FI74" s="16"/>
      <c r="FJ74" s="16"/>
      <c r="FK74" s="16"/>
      <c r="FL74" s="16"/>
      <c r="FM74" s="16"/>
      <c r="FN74" s="16"/>
      <c r="FO74" s="16"/>
      <c r="FP74" s="16"/>
      <c r="FQ74" s="16"/>
      <c r="FR74" s="16"/>
      <c r="FS74" s="16"/>
      <c r="FT74" s="16"/>
      <c r="FU74" s="16"/>
      <c r="FV74" s="16"/>
      <c r="FW74" s="16"/>
      <c r="FX74" s="16"/>
      <c r="FY74" s="16"/>
      <c r="FZ74" s="16"/>
      <c r="GA74" s="16"/>
      <c r="GB74" s="16"/>
      <c r="GC74" s="16"/>
      <c r="GD74" s="16"/>
      <c r="GE74" s="16"/>
      <c r="GF74" s="16"/>
      <c r="GG74" s="16"/>
      <c r="GH74" s="16"/>
      <c r="GI74" s="16"/>
      <c r="GJ74" s="16"/>
      <c r="GK74" s="16"/>
      <c r="GL74" s="16"/>
      <c r="GM74" s="16"/>
      <c r="GN74" s="16"/>
      <c r="GO74" s="16"/>
      <c r="GP74" s="16"/>
      <c r="GQ74" s="16"/>
      <c r="GR74" s="16"/>
      <c r="GS74" s="16"/>
      <c r="GT74" s="16"/>
      <c r="GU74" s="16"/>
      <c r="GV74" s="16"/>
      <c r="GW74" s="16"/>
      <c r="GX74" s="16"/>
      <c r="GY74" s="16"/>
      <c r="GZ74" s="16"/>
      <c r="HA74" s="16"/>
      <c r="HB74" s="16"/>
      <c r="HC74" s="16"/>
      <c r="HD74" s="16"/>
      <c r="HE74" s="16"/>
      <c r="HF74" s="16"/>
      <c r="HG74" s="16"/>
      <c r="HH74" s="16"/>
      <c r="HI74" s="16"/>
      <c r="HJ74" s="16"/>
      <c r="HK74" s="16"/>
      <c r="HL74" s="16"/>
      <c r="HM74" s="16"/>
      <c r="HN74" s="16"/>
      <c r="HO74" s="16"/>
      <c r="HP74" s="16"/>
      <c r="HQ74" s="16"/>
      <c r="HR74" s="16"/>
      <c r="HS74" s="16"/>
      <c r="HT74" s="16"/>
      <c r="HU74" s="16"/>
      <c r="HV74" s="16"/>
      <c r="HW74" s="16"/>
      <c r="HX74" s="16"/>
      <c r="HY74" s="16"/>
      <c r="HZ74" s="16"/>
      <c r="IA74" s="16"/>
      <c r="IB74" s="16"/>
      <c r="IC74" s="16"/>
      <c r="ID74" s="16"/>
      <c r="IE74" s="16"/>
      <c r="IF74" s="16"/>
      <c r="IG74" s="16"/>
      <c r="IH74" s="16"/>
      <c r="II74" s="16"/>
      <c r="IJ74" s="16"/>
      <c r="IK74" s="16"/>
      <c r="IL74" s="16"/>
      <c r="IM74" s="16"/>
      <c r="IN74" s="16"/>
      <c r="IO74" s="16"/>
      <c r="IP74" s="16"/>
      <c r="IQ74" s="16"/>
      <c r="IR74" s="16"/>
      <c r="IS74" s="16"/>
      <c r="IT74" s="16"/>
      <c r="IU74" s="16"/>
      <c r="IV74" s="16"/>
      <c r="IW74" s="16"/>
    </row>
    <row r="75" customFormat="false" ht="12.95" hidden="false" customHeight="true" outlineLevel="0" collapsed="false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6"/>
      <c r="CU75" s="16"/>
      <c r="CV75" s="16"/>
      <c r="CW75" s="16"/>
      <c r="CX75" s="16"/>
      <c r="CY75" s="16"/>
      <c r="CZ75" s="16"/>
      <c r="DA75" s="16"/>
      <c r="DB75" s="16"/>
      <c r="DC75" s="16"/>
      <c r="DD75" s="16"/>
      <c r="DE75" s="16"/>
      <c r="DF75" s="16"/>
      <c r="DG75" s="16"/>
      <c r="DH75" s="16"/>
      <c r="DI75" s="16"/>
      <c r="DJ75" s="16"/>
      <c r="DK75" s="16"/>
      <c r="DL75" s="16"/>
      <c r="DM75" s="16"/>
      <c r="DN75" s="16"/>
      <c r="DO75" s="16"/>
      <c r="DP75" s="16"/>
      <c r="DQ75" s="16"/>
      <c r="DR75" s="16"/>
      <c r="DS75" s="16"/>
      <c r="DT75" s="16"/>
      <c r="DU75" s="16"/>
      <c r="DV75" s="16"/>
      <c r="DW75" s="16"/>
      <c r="DX75" s="16"/>
      <c r="DY75" s="16"/>
      <c r="DZ75" s="16"/>
      <c r="EA75" s="16"/>
      <c r="EB75" s="16"/>
      <c r="EC75" s="16"/>
      <c r="ED75" s="16"/>
      <c r="EE75" s="16"/>
      <c r="EF75" s="16"/>
      <c r="EG75" s="16"/>
      <c r="EH75" s="16"/>
      <c r="EI75" s="16"/>
      <c r="EJ75" s="16"/>
      <c r="EK75" s="16"/>
      <c r="EL75" s="16"/>
      <c r="EM75" s="16"/>
      <c r="EN75" s="16"/>
      <c r="EO75" s="16"/>
      <c r="EP75" s="16"/>
      <c r="EQ75" s="16"/>
      <c r="ER75" s="16"/>
      <c r="ES75" s="16"/>
      <c r="ET75" s="16"/>
      <c r="EU75" s="16"/>
      <c r="EV75" s="16"/>
      <c r="EW75" s="16"/>
      <c r="EX75" s="16"/>
      <c r="EY75" s="16"/>
      <c r="EZ75" s="16"/>
      <c r="FA75" s="16"/>
      <c r="FB75" s="16"/>
      <c r="FC75" s="16"/>
      <c r="FD75" s="16"/>
      <c r="FE75" s="16"/>
      <c r="FF75" s="16"/>
      <c r="FG75" s="16"/>
      <c r="FH75" s="16"/>
      <c r="FI75" s="16"/>
      <c r="FJ75" s="16"/>
      <c r="FK75" s="16"/>
      <c r="FL75" s="16"/>
      <c r="FM75" s="16"/>
      <c r="FN75" s="16"/>
      <c r="FO75" s="16"/>
      <c r="FP75" s="16"/>
      <c r="FQ75" s="16"/>
      <c r="FR75" s="16"/>
      <c r="FS75" s="16"/>
      <c r="FT75" s="16"/>
      <c r="FU75" s="16"/>
      <c r="FV75" s="16"/>
      <c r="FW75" s="16"/>
      <c r="FX75" s="16"/>
      <c r="FY75" s="16"/>
      <c r="FZ75" s="16"/>
      <c r="GA75" s="16"/>
      <c r="GB75" s="16"/>
      <c r="GC75" s="16"/>
      <c r="GD75" s="16"/>
      <c r="GE75" s="16"/>
      <c r="GF75" s="16"/>
      <c r="GG75" s="16"/>
      <c r="GH75" s="16"/>
      <c r="GI75" s="16"/>
      <c r="GJ75" s="16"/>
      <c r="GK75" s="16"/>
      <c r="GL75" s="16"/>
      <c r="GM75" s="16"/>
      <c r="GN75" s="16"/>
      <c r="GO75" s="16"/>
      <c r="GP75" s="16"/>
      <c r="GQ75" s="16"/>
      <c r="GR75" s="16"/>
      <c r="GS75" s="16"/>
      <c r="GT75" s="16"/>
      <c r="GU75" s="16"/>
      <c r="GV75" s="16"/>
      <c r="GW75" s="16"/>
      <c r="GX75" s="16"/>
      <c r="GY75" s="16"/>
      <c r="GZ75" s="16"/>
      <c r="HA75" s="16"/>
      <c r="HB75" s="16"/>
      <c r="HC75" s="16"/>
      <c r="HD75" s="16"/>
      <c r="HE75" s="16"/>
      <c r="HF75" s="16"/>
      <c r="HG75" s="16"/>
      <c r="HH75" s="16"/>
      <c r="HI75" s="16"/>
      <c r="HJ75" s="16"/>
      <c r="HK75" s="16"/>
      <c r="HL75" s="16"/>
      <c r="HM75" s="16"/>
      <c r="HN75" s="16"/>
      <c r="HO75" s="16"/>
      <c r="HP75" s="16"/>
      <c r="HQ75" s="16"/>
      <c r="HR75" s="16"/>
      <c r="HS75" s="16"/>
      <c r="HT75" s="16"/>
      <c r="HU75" s="16"/>
      <c r="HV75" s="16"/>
      <c r="HW75" s="16"/>
      <c r="HX75" s="16"/>
      <c r="HY75" s="16"/>
      <c r="HZ75" s="16"/>
      <c r="IA75" s="16"/>
      <c r="IB75" s="16"/>
      <c r="IC75" s="16"/>
      <c r="ID75" s="16"/>
      <c r="IE75" s="16"/>
      <c r="IF75" s="16"/>
      <c r="IG75" s="16"/>
      <c r="IH75" s="16"/>
      <c r="II75" s="16"/>
      <c r="IJ75" s="16"/>
      <c r="IK75" s="16"/>
      <c r="IL75" s="16"/>
      <c r="IM75" s="16"/>
      <c r="IN75" s="16"/>
      <c r="IO75" s="16"/>
      <c r="IP75" s="16"/>
      <c r="IQ75" s="16"/>
      <c r="IR75" s="16"/>
      <c r="IS75" s="16"/>
      <c r="IT75" s="16"/>
      <c r="IU75" s="16"/>
      <c r="IV75" s="16"/>
      <c r="IW75" s="16"/>
    </row>
    <row r="76" customFormat="false" ht="12.95" hidden="false" customHeight="true" outlineLevel="0" collapsed="false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6"/>
      <c r="CU76" s="16"/>
      <c r="CV76" s="16"/>
      <c r="CW76" s="16"/>
      <c r="CX76" s="16"/>
      <c r="CY76" s="16"/>
      <c r="CZ76" s="16"/>
      <c r="DA76" s="16"/>
      <c r="DB76" s="16"/>
      <c r="DC76" s="16"/>
      <c r="DD76" s="16"/>
      <c r="DE76" s="16"/>
      <c r="DF76" s="16"/>
      <c r="DG76" s="16"/>
      <c r="DH76" s="16"/>
      <c r="DI76" s="16"/>
      <c r="DJ76" s="16"/>
      <c r="DK76" s="16"/>
      <c r="DL76" s="16"/>
      <c r="DM76" s="16"/>
      <c r="DN76" s="16"/>
      <c r="DO76" s="16"/>
      <c r="DP76" s="16"/>
      <c r="DQ76" s="16"/>
      <c r="DR76" s="16"/>
      <c r="DS76" s="16"/>
      <c r="DT76" s="16"/>
      <c r="DU76" s="16"/>
      <c r="DV76" s="16"/>
      <c r="DW76" s="16"/>
      <c r="DX76" s="16"/>
      <c r="DY76" s="16"/>
      <c r="DZ76" s="16"/>
      <c r="EA76" s="16"/>
      <c r="EB76" s="16"/>
      <c r="EC76" s="16"/>
      <c r="ED76" s="16"/>
      <c r="EE76" s="16"/>
      <c r="EF76" s="16"/>
      <c r="EG76" s="16"/>
      <c r="EH76" s="16"/>
      <c r="EI76" s="16"/>
      <c r="EJ76" s="16"/>
      <c r="EK76" s="16"/>
      <c r="EL76" s="16"/>
      <c r="EM76" s="16"/>
      <c r="EN76" s="16"/>
      <c r="EO76" s="16"/>
      <c r="EP76" s="16"/>
      <c r="EQ76" s="16"/>
      <c r="ER76" s="16"/>
      <c r="ES76" s="16"/>
      <c r="ET76" s="16"/>
      <c r="EU76" s="16"/>
      <c r="EV76" s="16"/>
      <c r="EW76" s="16"/>
      <c r="EX76" s="16"/>
      <c r="EY76" s="16"/>
      <c r="EZ76" s="16"/>
      <c r="FA76" s="16"/>
      <c r="FB76" s="16"/>
      <c r="FC76" s="16"/>
      <c r="FD76" s="16"/>
      <c r="FE76" s="16"/>
      <c r="FF76" s="16"/>
      <c r="FG76" s="16"/>
      <c r="FH76" s="16"/>
      <c r="FI76" s="16"/>
      <c r="FJ76" s="16"/>
      <c r="FK76" s="16"/>
      <c r="FL76" s="16"/>
      <c r="FM76" s="16"/>
      <c r="FN76" s="16"/>
      <c r="FO76" s="16"/>
      <c r="FP76" s="16"/>
      <c r="FQ76" s="16"/>
      <c r="FR76" s="16"/>
      <c r="FS76" s="16"/>
      <c r="FT76" s="16"/>
      <c r="FU76" s="16"/>
      <c r="FV76" s="16"/>
      <c r="FW76" s="16"/>
      <c r="FX76" s="16"/>
      <c r="FY76" s="16"/>
      <c r="FZ76" s="16"/>
      <c r="GA76" s="16"/>
      <c r="GB76" s="16"/>
      <c r="GC76" s="16"/>
      <c r="GD76" s="16"/>
      <c r="GE76" s="16"/>
      <c r="GF76" s="16"/>
      <c r="GG76" s="16"/>
      <c r="GH76" s="16"/>
      <c r="GI76" s="16"/>
      <c r="GJ76" s="16"/>
      <c r="GK76" s="16"/>
      <c r="GL76" s="16"/>
      <c r="GM76" s="16"/>
      <c r="GN76" s="16"/>
      <c r="GO76" s="16"/>
      <c r="GP76" s="16"/>
      <c r="GQ76" s="16"/>
      <c r="GR76" s="16"/>
      <c r="GS76" s="16"/>
      <c r="GT76" s="16"/>
      <c r="GU76" s="16"/>
      <c r="GV76" s="16"/>
      <c r="GW76" s="16"/>
      <c r="GX76" s="16"/>
      <c r="GY76" s="16"/>
      <c r="GZ76" s="16"/>
      <c r="HA76" s="16"/>
      <c r="HB76" s="16"/>
      <c r="HC76" s="16"/>
      <c r="HD76" s="16"/>
      <c r="HE76" s="16"/>
      <c r="HF76" s="16"/>
      <c r="HG76" s="16"/>
      <c r="HH76" s="16"/>
      <c r="HI76" s="16"/>
      <c r="HJ76" s="16"/>
      <c r="HK76" s="16"/>
      <c r="HL76" s="16"/>
      <c r="HM76" s="16"/>
      <c r="HN76" s="16"/>
      <c r="HO76" s="16"/>
      <c r="HP76" s="16"/>
      <c r="HQ76" s="16"/>
      <c r="HR76" s="16"/>
      <c r="HS76" s="16"/>
      <c r="HT76" s="16"/>
      <c r="HU76" s="16"/>
      <c r="HV76" s="16"/>
      <c r="HW76" s="16"/>
      <c r="HX76" s="16"/>
      <c r="HY76" s="16"/>
      <c r="HZ76" s="16"/>
      <c r="IA76" s="16"/>
      <c r="IB76" s="16"/>
      <c r="IC76" s="16"/>
      <c r="ID76" s="16"/>
      <c r="IE76" s="16"/>
      <c r="IF76" s="16"/>
      <c r="IG76" s="16"/>
      <c r="IH76" s="16"/>
      <c r="II76" s="16"/>
      <c r="IJ76" s="16"/>
      <c r="IK76" s="16"/>
      <c r="IL76" s="16"/>
      <c r="IM76" s="16"/>
      <c r="IN76" s="16"/>
      <c r="IO76" s="16"/>
      <c r="IP76" s="16"/>
      <c r="IQ76" s="16"/>
      <c r="IR76" s="16"/>
      <c r="IS76" s="16"/>
      <c r="IT76" s="16"/>
      <c r="IU76" s="16"/>
      <c r="IV76" s="16"/>
      <c r="IW76" s="16"/>
    </row>
    <row r="77" customFormat="false" ht="12.95" hidden="false" customHeight="true" outlineLevel="0" collapsed="false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</row>
    <row r="78" customFormat="false" ht="12.95" hidden="false" customHeight="true" outlineLevel="0" collapsed="false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  <c r="CE78" s="16"/>
      <c r="CF78" s="16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6"/>
      <c r="CU78" s="16"/>
      <c r="CV78" s="16"/>
      <c r="CW78" s="16"/>
      <c r="CX78" s="16"/>
      <c r="CY78" s="16"/>
      <c r="CZ78" s="16"/>
      <c r="DA78" s="16"/>
      <c r="DB78" s="16"/>
      <c r="DC78" s="16"/>
      <c r="DD78" s="16"/>
      <c r="DE78" s="16"/>
      <c r="DF78" s="16"/>
      <c r="DG78" s="16"/>
      <c r="DH78" s="16"/>
      <c r="DI78" s="16"/>
      <c r="DJ78" s="16"/>
      <c r="DK78" s="16"/>
      <c r="DL78" s="16"/>
      <c r="DM78" s="16"/>
      <c r="DN78" s="16"/>
      <c r="DO78" s="16"/>
      <c r="DP78" s="16"/>
      <c r="DQ78" s="16"/>
      <c r="DR78" s="16"/>
      <c r="DS78" s="16"/>
      <c r="DT78" s="16"/>
      <c r="DU78" s="16"/>
      <c r="DV78" s="16"/>
      <c r="DW78" s="16"/>
      <c r="DX78" s="16"/>
      <c r="DY78" s="16"/>
      <c r="DZ78" s="16"/>
      <c r="EA78" s="16"/>
      <c r="EB78" s="16"/>
      <c r="EC78" s="16"/>
      <c r="ED78" s="16"/>
      <c r="EE78" s="16"/>
      <c r="EF78" s="16"/>
      <c r="EG78" s="16"/>
      <c r="EH78" s="16"/>
      <c r="EI78" s="16"/>
      <c r="EJ78" s="16"/>
      <c r="EK78" s="16"/>
      <c r="EL78" s="16"/>
      <c r="EM78" s="16"/>
      <c r="EN78" s="16"/>
      <c r="EO78" s="16"/>
      <c r="EP78" s="16"/>
      <c r="EQ78" s="16"/>
      <c r="ER78" s="16"/>
      <c r="ES78" s="16"/>
      <c r="ET78" s="16"/>
      <c r="EU78" s="16"/>
      <c r="EV78" s="16"/>
      <c r="EW78" s="16"/>
      <c r="EX78" s="16"/>
      <c r="EY78" s="16"/>
      <c r="EZ78" s="16"/>
      <c r="FA78" s="16"/>
      <c r="FB78" s="16"/>
      <c r="FC78" s="16"/>
      <c r="FD78" s="16"/>
      <c r="FE78" s="16"/>
      <c r="FF78" s="16"/>
      <c r="FG78" s="16"/>
      <c r="FH78" s="16"/>
      <c r="FI78" s="16"/>
      <c r="FJ78" s="16"/>
      <c r="FK78" s="16"/>
      <c r="FL78" s="16"/>
      <c r="FM78" s="16"/>
      <c r="FN78" s="16"/>
      <c r="FO78" s="16"/>
      <c r="FP78" s="16"/>
      <c r="FQ78" s="16"/>
      <c r="FR78" s="16"/>
      <c r="FS78" s="16"/>
      <c r="FT78" s="16"/>
      <c r="FU78" s="16"/>
      <c r="FV78" s="16"/>
      <c r="FW78" s="16"/>
      <c r="FX78" s="16"/>
      <c r="FY78" s="16"/>
      <c r="FZ78" s="16"/>
      <c r="GA78" s="16"/>
      <c r="GB78" s="16"/>
      <c r="GC78" s="16"/>
      <c r="GD78" s="16"/>
      <c r="GE78" s="16"/>
      <c r="GF78" s="16"/>
      <c r="GG78" s="16"/>
      <c r="GH78" s="16"/>
      <c r="GI78" s="16"/>
      <c r="GJ78" s="16"/>
      <c r="GK78" s="16"/>
      <c r="GL78" s="16"/>
      <c r="GM78" s="16"/>
      <c r="GN78" s="16"/>
      <c r="GO78" s="16"/>
      <c r="GP78" s="16"/>
      <c r="GQ78" s="16"/>
      <c r="GR78" s="16"/>
      <c r="GS78" s="16"/>
      <c r="GT78" s="16"/>
      <c r="GU78" s="16"/>
      <c r="GV78" s="16"/>
      <c r="GW78" s="16"/>
      <c r="GX78" s="16"/>
      <c r="GY78" s="16"/>
      <c r="GZ78" s="16"/>
      <c r="HA78" s="16"/>
      <c r="HB78" s="16"/>
      <c r="HC78" s="16"/>
      <c r="HD78" s="16"/>
      <c r="HE78" s="16"/>
      <c r="HF78" s="16"/>
      <c r="HG78" s="16"/>
      <c r="HH78" s="16"/>
      <c r="HI78" s="16"/>
      <c r="HJ78" s="16"/>
      <c r="HK78" s="16"/>
      <c r="HL78" s="16"/>
      <c r="HM78" s="16"/>
      <c r="HN78" s="16"/>
      <c r="HO78" s="16"/>
      <c r="HP78" s="16"/>
      <c r="HQ78" s="16"/>
      <c r="HR78" s="16"/>
      <c r="HS78" s="16"/>
      <c r="HT78" s="16"/>
      <c r="HU78" s="16"/>
      <c r="HV78" s="16"/>
      <c r="HW78" s="16"/>
      <c r="HX78" s="16"/>
      <c r="HY78" s="16"/>
      <c r="HZ78" s="16"/>
      <c r="IA78" s="16"/>
      <c r="IB78" s="16"/>
      <c r="IC78" s="16"/>
      <c r="ID78" s="16"/>
      <c r="IE78" s="16"/>
      <c r="IF78" s="16"/>
      <c r="IG78" s="16"/>
      <c r="IH78" s="16"/>
      <c r="II78" s="16"/>
      <c r="IJ78" s="16"/>
      <c r="IK78" s="16"/>
      <c r="IL78" s="16"/>
      <c r="IM78" s="16"/>
      <c r="IN78" s="16"/>
      <c r="IO78" s="16"/>
      <c r="IP78" s="16"/>
      <c r="IQ78" s="16"/>
      <c r="IR78" s="16"/>
      <c r="IS78" s="16"/>
      <c r="IT78" s="16"/>
      <c r="IU78" s="16"/>
      <c r="IV78" s="16"/>
      <c r="IW78" s="16"/>
    </row>
    <row r="79" customFormat="false" ht="12.95" hidden="false" customHeight="true" outlineLevel="0" collapsed="false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  <c r="CE79" s="16"/>
      <c r="CF79" s="16"/>
      <c r="CG79" s="16"/>
      <c r="CH79" s="16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6"/>
      <c r="CT79" s="16"/>
      <c r="CU79" s="16"/>
      <c r="CV79" s="16"/>
      <c r="CW79" s="16"/>
      <c r="CX79" s="16"/>
      <c r="CY79" s="16"/>
      <c r="CZ79" s="16"/>
      <c r="DA79" s="16"/>
      <c r="DB79" s="16"/>
      <c r="DC79" s="16"/>
      <c r="DD79" s="16"/>
      <c r="DE79" s="16"/>
      <c r="DF79" s="16"/>
      <c r="DG79" s="16"/>
      <c r="DH79" s="16"/>
      <c r="DI79" s="16"/>
      <c r="DJ79" s="16"/>
      <c r="DK79" s="16"/>
      <c r="DL79" s="16"/>
      <c r="DM79" s="16"/>
      <c r="DN79" s="16"/>
      <c r="DO79" s="16"/>
      <c r="DP79" s="16"/>
      <c r="DQ79" s="16"/>
      <c r="DR79" s="16"/>
      <c r="DS79" s="16"/>
      <c r="DT79" s="16"/>
      <c r="DU79" s="16"/>
      <c r="DV79" s="16"/>
      <c r="DW79" s="16"/>
      <c r="DX79" s="16"/>
      <c r="DY79" s="16"/>
      <c r="DZ79" s="16"/>
      <c r="EA79" s="16"/>
      <c r="EB79" s="16"/>
      <c r="EC79" s="16"/>
      <c r="ED79" s="16"/>
      <c r="EE79" s="16"/>
      <c r="EF79" s="16"/>
      <c r="EG79" s="16"/>
      <c r="EH79" s="16"/>
      <c r="EI79" s="16"/>
      <c r="EJ79" s="16"/>
      <c r="EK79" s="16"/>
      <c r="EL79" s="16"/>
      <c r="EM79" s="16"/>
      <c r="EN79" s="16"/>
      <c r="EO79" s="16"/>
      <c r="EP79" s="16"/>
      <c r="EQ79" s="16"/>
      <c r="ER79" s="16"/>
      <c r="ES79" s="16"/>
      <c r="ET79" s="16"/>
      <c r="EU79" s="16"/>
      <c r="EV79" s="16"/>
      <c r="EW79" s="16"/>
      <c r="EX79" s="16"/>
      <c r="EY79" s="16"/>
      <c r="EZ79" s="16"/>
      <c r="FA79" s="16"/>
      <c r="FB79" s="16"/>
      <c r="FC79" s="16"/>
      <c r="FD79" s="16"/>
      <c r="FE79" s="16"/>
      <c r="FF79" s="16"/>
      <c r="FG79" s="16"/>
      <c r="FH79" s="16"/>
      <c r="FI79" s="16"/>
      <c r="FJ79" s="16"/>
      <c r="FK79" s="16"/>
      <c r="FL79" s="16"/>
      <c r="FM79" s="16"/>
      <c r="FN79" s="16"/>
      <c r="FO79" s="16"/>
      <c r="FP79" s="16"/>
      <c r="FQ79" s="16"/>
      <c r="FR79" s="16"/>
      <c r="FS79" s="16"/>
      <c r="FT79" s="16"/>
      <c r="FU79" s="16"/>
      <c r="FV79" s="16"/>
      <c r="FW79" s="16"/>
      <c r="FX79" s="16"/>
      <c r="FY79" s="16"/>
      <c r="FZ79" s="16"/>
      <c r="GA79" s="16"/>
      <c r="GB79" s="16"/>
      <c r="GC79" s="16"/>
      <c r="GD79" s="16"/>
      <c r="GE79" s="16"/>
      <c r="GF79" s="16"/>
      <c r="GG79" s="16"/>
      <c r="GH79" s="16"/>
      <c r="GI79" s="16"/>
      <c r="GJ79" s="16"/>
      <c r="GK79" s="16"/>
      <c r="GL79" s="16"/>
      <c r="GM79" s="16"/>
      <c r="GN79" s="16"/>
      <c r="GO79" s="16"/>
      <c r="GP79" s="16"/>
      <c r="GQ79" s="16"/>
      <c r="GR79" s="16"/>
      <c r="GS79" s="16"/>
      <c r="GT79" s="16"/>
      <c r="GU79" s="16"/>
      <c r="GV79" s="16"/>
      <c r="GW79" s="16"/>
      <c r="GX79" s="16"/>
      <c r="GY79" s="16"/>
      <c r="GZ79" s="16"/>
      <c r="HA79" s="16"/>
      <c r="HB79" s="16"/>
      <c r="HC79" s="16"/>
      <c r="HD79" s="16"/>
      <c r="HE79" s="16"/>
      <c r="HF79" s="16"/>
      <c r="HG79" s="16"/>
      <c r="HH79" s="16"/>
      <c r="HI79" s="16"/>
      <c r="HJ79" s="16"/>
      <c r="HK79" s="16"/>
      <c r="HL79" s="16"/>
      <c r="HM79" s="16"/>
      <c r="HN79" s="16"/>
      <c r="HO79" s="16"/>
      <c r="HP79" s="16"/>
      <c r="HQ79" s="16"/>
      <c r="HR79" s="16"/>
      <c r="HS79" s="16"/>
      <c r="HT79" s="16"/>
      <c r="HU79" s="16"/>
      <c r="HV79" s="16"/>
      <c r="HW79" s="16"/>
      <c r="HX79" s="16"/>
      <c r="HY79" s="16"/>
      <c r="HZ79" s="16"/>
      <c r="IA79" s="16"/>
      <c r="IB79" s="16"/>
      <c r="IC79" s="16"/>
      <c r="ID79" s="16"/>
      <c r="IE79" s="16"/>
      <c r="IF79" s="16"/>
      <c r="IG79" s="16"/>
      <c r="IH79" s="16"/>
      <c r="II79" s="16"/>
      <c r="IJ79" s="16"/>
      <c r="IK79" s="16"/>
      <c r="IL79" s="16"/>
      <c r="IM79" s="16"/>
      <c r="IN79" s="16"/>
      <c r="IO79" s="16"/>
      <c r="IP79" s="16"/>
      <c r="IQ79" s="16"/>
      <c r="IR79" s="16"/>
      <c r="IS79" s="16"/>
      <c r="IT79" s="16"/>
      <c r="IU79" s="16"/>
      <c r="IV79" s="16"/>
      <c r="IW79" s="16"/>
    </row>
    <row r="80" customFormat="false" ht="12.95" hidden="false" customHeight="true" outlineLevel="0" collapsed="false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  <c r="FF80" s="16"/>
      <c r="FG80" s="16"/>
      <c r="FH80" s="16"/>
      <c r="FI80" s="16"/>
      <c r="FJ80" s="16"/>
      <c r="FK80" s="16"/>
      <c r="FL80" s="16"/>
      <c r="FM80" s="16"/>
      <c r="FN80" s="16"/>
      <c r="FO80" s="16"/>
      <c r="FP80" s="16"/>
      <c r="FQ80" s="16"/>
      <c r="FR80" s="16"/>
      <c r="FS80" s="16"/>
      <c r="FT80" s="16"/>
      <c r="FU80" s="16"/>
      <c r="FV80" s="16"/>
      <c r="FW80" s="16"/>
      <c r="FX80" s="16"/>
      <c r="FY80" s="16"/>
      <c r="FZ80" s="16"/>
      <c r="GA80" s="16"/>
      <c r="GB80" s="16"/>
      <c r="GC80" s="16"/>
      <c r="GD80" s="16"/>
      <c r="GE80" s="16"/>
      <c r="GF80" s="16"/>
      <c r="GG80" s="16"/>
      <c r="GH80" s="16"/>
      <c r="GI80" s="16"/>
      <c r="GJ80" s="16"/>
      <c r="GK80" s="16"/>
      <c r="GL80" s="16"/>
      <c r="GM80" s="16"/>
      <c r="GN80" s="16"/>
      <c r="GO80" s="16"/>
      <c r="GP80" s="16"/>
      <c r="GQ80" s="16"/>
      <c r="GR80" s="16"/>
      <c r="GS80" s="16"/>
      <c r="GT80" s="16"/>
      <c r="GU80" s="16"/>
      <c r="GV80" s="16"/>
      <c r="GW80" s="16"/>
      <c r="GX80" s="16"/>
      <c r="GY80" s="16"/>
      <c r="GZ80" s="16"/>
      <c r="HA80" s="16"/>
      <c r="HB80" s="16"/>
      <c r="HC80" s="16"/>
      <c r="HD80" s="16"/>
      <c r="HE80" s="16"/>
      <c r="HF80" s="16"/>
      <c r="HG80" s="16"/>
      <c r="HH80" s="16"/>
      <c r="HI80" s="16"/>
      <c r="HJ80" s="16"/>
      <c r="HK80" s="16"/>
      <c r="HL80" s="16"/>
      <c r="HM80" s="16"/>
      <c r="HN80" s="16"/>
      <c r="HO80" s="16"/>
      <c r="HP80" s="16"/>
      <c r="HQ80" s="16"/>
      <c r="HR80" s="16"/>
      <c r="HS80" s="16"/>
      <c r="HT80" s="16"/>
      <c r="HU80" s="16"/>
      <c r="HV80" s="16"/>
      <c r="HW80" s="16"/>
      <c r="HX80" s="16"/>
      <c r="HY80" s="16"/>
      <c r="HZ80" s="16"/>
      <c r="IA80" s="16"/>
      <c r="IB80" s="16"/>
      <c r="IC80" s="16"/>
      <c r="ID80" s="16"/>
      <c r="IE80" s="16"/>
      <c r="IF80" s="16"/>
      <c r="IG80" s="16"/>
      <c r="IH80" s="16"/>
      <c r="II80" s="16"/>
      <c r="IJ80" s="16"/>
      <c r="IK80" s="16"/>
      <c r="IL80" s="16"/>
      <c r="IM80" s="16"/>
      <c r="IN80" s="16"/>
      <c r="IO80" s="16"/>
      <c r="IP80" s="16"/>
      <c r="IQ80" s="16"/>
      <c r="IR80" s="16"/>
      <c r="IS80" s="16"/>
      <c r="IT80" s="16"/>
      <c r="IU80" s="16"/>
      <c r="IV80" s="16"/>
      <c r="IW80" s="16"/>
    </row>
    <row r="81" customFormat="false" ht="12.95" hidden="false" customHeight="true" outlineLevel="0" collapsed="false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6"/>
      <c r="CU81" s="16"/>
      <c r="CV81" s="16"/>
      <c r="CW81" s="16"/>
      <c r="CX81" s="16"/>
      <c r="CY81" s="16"/>
      <c r="CZ81" s="16"/>
      <c r="DA81" s="16"/>
      <c r="DB81" s="16"/>
      <c r="DC81" s="16"/>
      <c r="DD81" s="16"/>
      <c r="DE81" s="16"/>
      <c r="DF81" s="16"/>
      <c r="DG81" s="16"/>
      <c r="DH81" s="16"/>
      <c r="DI81" s="16"/>
      <c r="DJ81" s="16"/>
      <c r="DK81" s="16"/>
      <c r="DL81" s="16"/>
      <c r="DM81" s="16"/>
      <c r="DN81" s="16"/>
      <c r="DO81" s="16"/>
      <c r="DP81" s="16"/>
      <c r="DQ81" s="16"/>
      <c r="DR81" s="16"/>
      <c r="DS81" s="16"/>
      <c r="DT81" s="16"/>
      <c r="DU81" s="16"/>
      <c r="DV81" s="16"/>
      <c r="DW81" s="16"/>
      <c r="DX81" s="16"/>
      <c r="DY81" s="16"/>
      <c r="DZ81" s="16"/>
      <c r="EA81" s="16"/>
      <c r="EB81" s="16"/>
      <c r="EC81" s="16"/>
      <c r="ED81" s="16"/>
      <c r="EE81" s="16"/>
      <c r="EF81" s="16"/>
      <c r="EG81" s="16"/>
      <c r="EH81" s="16"/>
      <c r="EI81" s="16"/>
      <c r="EJ81" s="16"/>
      <c r="EK81" s="16"/>
      <c r="EL81" s="16"/>
      <c r="EM81" s="16"/>
      <c r="EN81" s="16"/>
      <c r="EO81" s="16"/>
      <c r="EP81" s="16"/>
      <c r="EQ81" s="16"/>
      <c r="ER81" s="16"/>
      <c r="ES81" s="16"/>
      <c r="ET81" s="16"/>
      <c r="EU81" s="16"/>
      <c r="EV81" s="16"/>
      <c r="EW81" s="16"/>
      <c r="EX81" s="16"/>
      <c r="EY81" s="16"/>
      <c r="EZ81" s="16"/>
      <c r="FA81" s="16"/>
      <c r="FB81" s="16"/>
      <c r="FC81" s="16"/>
      <c r="FD81" s="16"/>
      <c r="FE81" s="16"/>
      <c r="FF81" s="16"/>
      <c r="FG81" s="16"/>
      <c r="FH81" s="16"/>
      <c r="FI81" s="16"/>
      <c r="FJ81" s="16"/>
      <c r="FK81" s="16"/>
      <c r="FL81" s="16"/>
      <c r="FM81" s="16"/>
      <c r="FN81" s="16"/>
      <c r="FO81" s="16"/>
      <c r="FP81" s="16"/>
      <c r="FQ81" s="16"/>
      <c r="FR81" s="16"/>
      <c r="FS81" s="16"/>
      <c r="FT81" s="16"/>
      <c r="FU81" s="16"/>
      <c r="FV81" s="16"/>
      <c r="FW81" s="16"/>
      <c r="FX81" s="16"/>
      <c r="FY81" s="16"/>
      <c r="FZ81" s="16"/>
      <c r="GA81" s="16"/>
      <c r="GB81" s="16"/>
      <c r="GC81" s="16"/>
      <c r="GD81" s="16"/>
      <c r="GE81" s="16"/>
      <c r="GF81" s="16"/>
      <c r="GG81" s="16"/>
      <c r="GH81" s="16"/>
      <c r="GI81" s="16"/>
      <c r="GJ81" s="16"/>
      <c r="GK81" s="16"/>
      <c r="GL81" s="16"/>
      <c r="GM81" s="16"/>
      <c r="GN81" s="16"/>
      <c r="GO81" s="16"/>
      <c r="GP81" s="16"/>
      <c r="GQ81" s="16"/>
      <c r="GR81" s="16"/>
      <c r="GS81" s="16"/>
      <c r="GT81" s="16"/>
      <c r="GU81" s="16"/>
      <c r="GV81" s="16"/>
      <c r="GW81" s="16"/>
      <c r="GX81" s="16"/>
      <c r="GY81" s="16"/>
      <c r="GZ81" s="16"/>
      <c r="HA81" s="16"/>
      <c r="HB81" s="16"/>
      <c r="HC81" s="16"/>
      <c r="HD81" s="16"/>
      <c r="HE81" s="16"/>
      <c r="HF81" s="16"/>
      <c r="HG81" s="16"/>
      <c r="HH81" s="16"/>
      <c r="HI81" s="16"/>
      <c r="HJ81" s="16"/>
      <c r="HK81" s="16"/>
      <c r="HL81" s="16"/>
      <c r="HM81" s="16"/>
      <c r="HN81" s="16"/>
      <c r="HO81" s="16"/>
      <c r="HP81" s="16"/>
      <c r="HQ81" s="16"/>
      <c r="HR81" s="16"/>
      <c r="HS81" s="16"/>
      <c r="HT81" s="16"/>
      <c r="HU81" s="16"/>
      <c r="HV81" s="16"/>
      <c r="HW81" s="16"/>
      <c r="HX81" s="16"/>
      <c r="HY81" s="16"/>
      <c r="HZ81" s="16"/>
      <c r="IA81" s="16"/>
      <c r="IB81" s="16"/>
      <c r="IC81" s="16"/>
      <c r="ID81" s="16"/>
      <c r="IE81" s="16"/>
      <c r="IF81" s="16"/>
      <c r="IG81" s="16"/>
      <c r="IH81" s="16"/>
      <c r="II81" s="16"/>
      <c r="IJ81" s="16"/>
      <c r="IK81" s="16"/>
      <c r="IL81" s="16"/>
      <c r="IM81" s="16"/>
      <c r="IN81" s="16"/>
      <c r="IO81" s="16"/>
      <c r="IP81" s="16"/>
      <c r="IQ81" s="16"/>
      <c r="IR81" s="16"/>
      <c r="IS81" s="16"/>
      <c r="IT81" s="16"/>
      <c r="IU81" s="16"/>
      <c r="IV81" s="16"/>
      <c r="IW81" s="16"/>
    </row>
    <row r="82" customFormat="false" ht="12.95" hidden="false" customHeight="true" outlineLevel="0" collapsed="false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J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  <c r="FF82" s="16"/>
      <c r="FG82" s="16"/>
      <c r="FH82" s="16"/>
      <c r="FI82" s="16"/>
      <c r="FJ82" s="16"/>
      <c r="FK82" s="16"/>
      <c r="FL82" s="16"/>
      <c r="FM82" s="16"/>
      <c r="FN82" s="16"/>
      <c r="FO82" s="16"/>
      <c r="FP82" s="16"/>
      <c r="FQ82" s="16"/>
      <c r="FR82" s="16"/>
      <c r="FS82" s="16"/>
      <c r="FT82" s="16"/>
      <c r="FU82" s="16"/>
      <c r="FV82" s="16"/>
      <c r="FW82" s="16"/>
      <c r="FX82" s="16"/>
      <c r="FY82" s="16"/>
      <c r="FZ82" s="16"/>
      <c r="GA82" s="16"/>
      <c r="GB82" s="16"/>
      <c r="GC82" s="16"/>
      <c r="GD82" s="16"/>
      <c r="GE82" s="16"/>
      <c r="GF82" s="16"/>
      <c r="GG82" s="16"/>
      <c r="GH82" s="16"/>
      <c r="GI82" s="16"/>
      <c r="GJ82" s="16"/>
      <c r="GK82" s="16"/>
      <c r="GL82" s="16"/>
      <c r="GM82" s="16"/>
      <c r="GN82" s="16"/>
      <c r="GO82" s="16"/>
      <c r="GP82" s="16"/>
      <c r="GQ82" s="16"/>
      <c r="GR82" s="16"/>
      <c r="GS82" s="16"/>
      <c r="GT82" s="16"/>
      <c r="GU82" s="16"/>
      <c r="GV82" s="16"/>
      <c r="GW82" s="16"/>
      <c r="GX82" s="16"/>
      <c r="GY82" s="16"/>
      <c r="GZ82" s="16"/>
      <c r="HA82" s="16"/>
      <c r="HB82" s="16"/>
      <c r="HC82" s="16"/>
      <c r="HD82" s="16"/>
      <c r="HE82" s="16"/>
      <c r="HF82" s="16"/>
      <c r="HG82" s="16"/>
      <c r="HH82" s="16"/>
      <c r="HI82" s="16"/>
      <c r="HJ82" s="16"/>
      <c r="HK82" s="16"/>
      <c r="HL82" s="16"/>
      <c r="HM82" s="16"/>
      <c r="HN82" s="16"/>
      <c r="HO82" s="16"/>
      <c r="HP82" s="16"/>
      <c r="HQ82" s="16"/>
      <c r="HR82" s="16"/>
      <c r="HS82" s="16"/>
      <c r="HT82" s="16"/>
      <c r="HU82" s="16"/>
      <c r="HV82" s="16"/>
      <c r="HW82" s="16"/>
      <c r="HX82" s="16"/>
      <c r="HY82" s="16"/>
      <c r="HZ82" s="16"/>
      <c r="IA82" s="16"/>
      <c r="IB82" s="16"/>
      <c r="IC82" s="16"/>
      <c r="ID82" s="16"/>
      <c r="IE82" s="16"/>
      <c r="IF82" s="16"/>
      <c r="IG82" s="16"/>
      <c r="IH82" s="16"/>
      <c r="II82" s="16"/>
      <c r="IJ82" s="16"/>
      <c r="IK82" s="16"/>
      <c r="IL82" s="16"/>
      <c r="IM82" s="16"/>
      <c r="IN82" s="16"/>
      <c r="IO82" s="16"/>
      <c r="IP82" s="16"/>
      <c r="IQ82" s="16"/>
      <c r="IR82" s="16"/>
      <c r="IS82" s="16"/>
      <c r="IT82" s="16"/>
      <c r="IU82" s="16"/>
      <c r="IV82" s="16"/>
      <c r="IW82" s="16"/>
    </row>
    <row r="83" customFormat="false" ht="12.95" hidden="false" customHeight="true" outlineLevel="0" collapsed="false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  <c r="FO83" s="16"/>
      <c r="FP83" s="16"/>
      <c r="FQ83" s="16"/>
      <c r="FR83" s="16"/>
      <c r="FS83" s="16"/>
      <c r="FT83" s="16"/>
      <c r="FU83" s="16"/>
      <c r="FV83" s="16"/>
      <c r="FW83" s="16"/>
      <c r="FX83" s="16"/>
      <c r="FY83" s="16"/>
      <c r="FZ83" s="16"/>
      <c r="GA83" s="16"/>
      <c r="GB83" s="16"/>
      <c r="GC83" s="16"/>
      <c r="GD83" s="16"/>
      <c r="GE83" s="16"/>
      <c r="GF83" s="16"/>
      <c r="GG83" s="16"/>
      <c r="GH83" s="16"/>
      <c r="GI83" s="16"/>
      <c r="GJ83" s="16"/>
      <c r="GK83" s="16"/>
      <c r="GL83" s="16"/>
      <c r="GM83" s="16"/>
      <c r="GN83" s="16"/>
      <c r="GO83" s="16"/>
      <c r="GP83" s="16"/>
      <c r="GQ83" s="16"/>
      <c r="GR83" s="16"/>
      <c r="GS83" s="16"/>
      <c r="GT83" s="16"/>
      <c r="GU83" s="16"/>
      <c r="GV83" s="16"/>
      <c r="GW83" s="16"/>
      <c r="GX83" s="16"/>
      <c r="GY83" s="16"/>
      <c r="GZ83" s="16"/>
      <c r="HA83" s="16"/>
      <c r="HB83" s="16"/>
      <c r="HC83" s="16"/>
      <c r="HD83" s="16"/>
      <c r="HE83" s="16"/>
      <c r="HF83" s="16"/>
      <c r="HG83" s="16"/>
      <c r="HH83" s="16"/>
      <c r="HI83" s="16"/>
      <c r="HJ83" s="16"/>
      <c r="HK83" s="16"/>
      <c r="HL83" s="16"/>
      <c r="HM83" s="16"/>
      <c r="HN83" s="16"/>
      <c r="HO83" s="16"/>
      <c r="HP83" s="16"/>
      <c r="HQ83" s="16"/>
      <c r="HR83" s="16"/>
      <c r="HS83" s="16"/>
      <c r="HT83" s="16"/>
      <c r="HU83" s="16"/>
      <c r="HV83" s="16"/>
      <c r="HW83" s="16"/>
      <c r="HX83" s="16"/>
      <c r="HY83" s="16"/>
      <c r="HZ83" s="16"/>
      <c r="IA83" s="16"/>
      <c r="IB83" s="16"/>
      <c r="IC83" s="16"/>
      <c r="ID83" s="16"/>
      <c r="IE83" s="16"/>
      <c r="IF83" s="16"/>
      <c r="IG83" s="16"/>
      <c r="IH83" s="16"/>
      <c r="II83" s="16"/>
      <c r="IJ83" s="16"/>
      <c r="IK83" s="16"/>
      <c r="IL83" s="16"/>
      <c r="IM83" s="16"/>
      <c r="IN83" s="16"/>
      <c r="IO83" s="16"/>
      <c r="IP83" s="16"/>
      <c r="IQ83" s="16"/>
      <c r="IR83" s="16"/>
      <c r="IS83" s="16"/>
      <c r="IT83" s="16"/>
      <c r="IU83" s="16"/>
      <c r="IV83" s="16"/>
      <c r="IW83" s="16"/>
    </row>
    <row r="84" customFormat="false" ht="12.95" hidden="false" customHeight="true" outlineLevel="0" collapsed="false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6"/>
      <c r="CU84" s="16"/>
      <c r="CV84" s="16"/>
      <c r="CW84" s="16"/>
      <c r="CX84" s="16"/>
      <c r="CY84" s="16"/>
      <c r="CZ84" s="16"/>
      <c r="DA84" s="16"/>
      <c r="DB84" s="16"/>
      <c r="DC84" s="16"/>
      <c r="DD84" s="16"/>
      <c r="DE84" s="16"/>
      <c r="DF84" s="16"/>
      <c r="DG84" s="16"/>
      <c r="DH84" s="16"/>
      <c r="DI84" s="16"/>
      <c r="DJ84" s="16"/>
      <c r="DK84" s="16"/>
      <c r="DL84" s="16"/>
      <c r="DM84" s="16"/>
      <c r="DN84" s="16"/>
      <c r="DO84" s="16"/>
      <c r="DP84" s="16"/>
      <c r="DQ84" s="16"/>
      <c r="DR84" s="16"/>
      <c r="DS84" s="16"/>
      <c r="DT84" s="16"/>
      <c r="DU84" s="16"/>
      <c r="DV84" s="16"/>
      <c r="DW84" s="16"/>
      <c r="DX84" s="16"/>
      <c r="DY84" s="16"/>
      <c r="DZ84" s="16"/>
      <c r="EA84" s="16"/>
      <c r="EB84" s="16"/>
      <c r="EC84" s="16"/>
      <c r="ED84" s="16"/>
      <c r="EE84" s="16"/>
      <c r="EF84" s="16"/>
      <c r="EG84" s="16"/>
      <c r="EH84" s="16"/>
      <c r="EI84" s="16"/>
      <c r="EJ84" s="16"/>
      <c r="EK84" s="16"/>
      <c r="EL84" s="16"/>
      <c r="EM84" s="16"/>
      <c r="EN84" s="16"/>
      <c r="EO84" s="16"/>
      <c r="EP84" s="16"/>
      <c r="EQ84" s="16"/>
      <c r="ER84" s="16"/>
      <c r="ES84" s="16"/>
      <c r="ET84" s="16"/>
      <c r="EU84" s="16"/>
      <c r="EV84" s="16"/>
      <c r="EW84" s="16"/>
      <c r="EX84" s="16"/>
      <c r="EY84" s="16"/>
      <c r="EZ84" s="16"/>
      <c r="FA84" s="16"/>
      <c r="FB84" s="16"/>
      <c r="FC84" s="16"/>
      <c r="FD84" s="16"/>
      <c r="FE84" s="16"/>
      <c r="FF84" s="16"/>
      <c r="FG84" s="16"/>
      <c r="FH84" s="16"/>
      <c r="FI84" s="16"/>
      <c r="FJ84" s="16"/>
      <c r="FK84" s="16"/>
      <c r="FL84" s="16"/>
      <c r="FM84" s="16"/>
      <c r="FN84" s="16"/>
      <c r="FO84" s="16"/>
      <c r="FP84" s="16"/>
      <c r="FQ84" s="16"/>
      <c r="FR84" s="16"/>
      <c r="FS84" s="16"/>
      <c r="FT84" s="16"/>
      <c r="FU84" s="16"/>
      <c r="FV84" s="16"/>
      <c r="FW84" s="16"/>
      <c r="FX84" s="16"/>
      <c r="FY84" s="16"/>
      <c r="FZ84" s="16"/>
      <c r="GA84" s="16"/>
      <c r="GB84" s="16"/>
      <c r="GC84" s="16"/>
      <c r="GD84" s="16"/>
      <c r="GE84" s="16"/>
      <c r="GF84" s="16"/>
      <c r="GG84" s="16"/>
      <c r="GH84" s="16"/>
      <c r="GI84" s="16"/>
      <c r="GJ84" s="16"/>
      <c r="GK84" s="16"/>
      <c r="GL84" s="16"/>
      <c r="GM84" s="16"/>
      <c r="GN84" s="16"/>
      <c r="GO84" s="16"/>
      <c r="GP84" s="16"/>
      <c r="GQ84" s="16"/>
      <c r="GR84" s="16"/>
      <c r="GS84" s="16"/>
      <c r="GT84" s="16"/>
      <c r="GU84" s="16"/>
      <c r="GV84" s="16"/>
      <c r="GW84" s="16"/>
      <c r="GX84" s="16"/>
      <c r="GY84" s="16"/>
      <c r="GZ84" s="16"/>
      <c r="HA84" s="16"/>
      <c r="HB84" s="16"/>
      <c r="HC84" s="16"/>
      <c r="HD84" s="16"/>
      <c r="HE84" s="16"/>
      <c r="HF84" s="16"/>
      <c r="HG84" s="16"/>
      <c r="HH84" s="16"/>
      <c r="HI84" s="16"/>
      <c r="HJ84" s="16"/>
      <c r="HK84" s="16"/>
      <c r="HL84" s="16"/>
      <c r="HM84" s="16"/>
      <c r="HN84" s="16"/>
      <c r="HO84" s="16"/>
      <c r="HP84" s="16"/>
      <c r="HQ84" s="16"/>
      <c r="HR84" s="16"/>
      <c r="HS84" s="16"/>
      <c r="HT84" s="16"/>
      <c r="HU84" s="16"/>
      <c r="HV84" s="16"/>
      <c r="HW84" s="16"/>
      <c r="HX84" s="16"/>
      <c r="HY84" s="16"/>
      <c r="HZ84" s="16"/>
      <c r="IA84" s="16"/>
      <c r="IB84" s="16"/>
      <c r="IC84" s="16"/>
      <c r="ID84" s="16"/>
      <c r="IE84" s="16"/>
      <c r="IF84" s="16"/>
      <c r="IG84" s="16"/>
      <c r="IH84" s="16"/>
      <c r="II84" s="16"/>
      <c r="IJ84" s="16"/>
      <c r="IK84" s="16"/>
      <c r="IL84" s="16"/>
      <c r="IM84" s="16"/>
      <c r="IN84" s="16"/>
      <c r="IO84" s="16"/>
      <c r="IP84" s="16"/>
      <c r="IQ84" s="16"/>
      <c r="IR84" s="16"/>
      <c r="IS84" s="16"/>
      <c r="IT84" s="16"/>
      <c r="IU84" s="16"/>
      <c r="IV84" s="16"/>
      <c r="IW84" s="16"/>
    </row>
    <row r="85" customFormat="false" ht="12.95" hidden="false" customHeight="true" outlineLevel="0" collapsed="false"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6"/>
      <c r="CK85" s="16"/>
      <c r="CL85" s="16"/>
      <c r="CM85" s="16"/>
      <c r="CN85" s="16"/>
      <c r="CO85" s="16"/>
      <c r="CP85" s="16"/>
      <c r="CQ85" s="16"/>
      <c r="CR85" s="16"/>
      <c r="CS85" s="16"/>
      <c r="CT85" s="16"/>
      <c r="CU85" s="16"/>
      <c r="CV85" s="16"/>
      <c r="CW85" s="16"/>
      <c r="CX85" s="16"/>
      <c r="CY85" s="16"/>
      <c r="CZ85" s="16"/>
      <c r="DA85" s="16"/>
      <c r="DB85" s="16"/>
      <c r="DC85" s="16"/>
      <c r="DD85" s="16"/>
      <c r="DE85" s="16"/>
      <c r="DF85" s="16"/>
      <c r="DG85" s="16"/>
      <c r="DH85" s="16"/>
      <c r="DI85" s="16"/>
      <c r="DJ85" s="16"/>
      <c r="DK85" s="16"/>
      <c r="DL85" s="16"/>
      <c r="DM85" s="16"/>
      <c r="DN85" s="16"/>
      <c r="DO85" s="16"/>
      <c r="DP85" s="16"/>
      <c r="DQ85" s="16"/>
      <c r="DR85" s="16"/>
      <c r="DS85" s="16"/>
      <c r="DT85" s="16"/>
      <c r="DU85" s="16"/>
      <c r="DV85" s="16"/>
      <c r="DW85" s="16"/>
      <c r="DX85" s="16"/>
      <c r="DY85" s="16"/>
      <c r="DZ85" s="16"/>
      <c r="EA85" s="16"/>
      <c r="EB85" s="16"/>
      <c r="EC85" s="16"/>
      <c r="ED85" s="16"/>
      <c r="EE85" s="16"/>
      <c r="EF85" s="16"/>
      <c r="EG85" s="16"/>
      <c r="EH85" s="16"/>
      <c r="EI85" s="16"/>
      <c r="EJ85" s="16"/>
      <c r="EK85" s="16"/>
      <c r="EL85" s="16"/>
      <c r="EM85" s="16"/>
      <c r="EN85" s="16"/>
      <c r="EO85" s="16"/>
      <c r="EP85" s="16"/>
      <c r="EQ85" s="16"/>
      <c r="ER85" s="16"/>
      <c r="ES85" s="16"/>
      <c r="ET85" s="16"/>
      <c r="EU85" s="16"/>
      <c r="EV85" s="16"/>
      <c r="EW85" s="16"/>
      <c r="EX85" s="16"/>
      <c r="EY85" s="16"/>
      <c r="EZ85" s="16"/>
      <c r="FA85" s="16"/>
      <c r="FB85" s="16"/>
      <c r="FC85" s="16"/>
      <c r="FD85" s="16"/>
      <c r="FE85" s="16"/>
      <c r="FF85" s="16"/>
      <c r="FG85" s="16"/>
      <c r="FH85" s="16"/>
      <c r="FI85" s="16"/>
      <c r="FJ85" s="16"/>
      <c r="FK85" s="16"/>
      <c r="FL85" s="16"/>
      <c r="FM85" s="16"/>
      <c r="FN85" s="16"/>
      <c r="FO85" s="16"/>
      <c r="FP85" s="16"/>
      <c r="FQ85" s="16"/>
      <c r="FR85" s="16"/>
      <c r="FS85" s="16"/>
      <c r="FT85" s="16"/>
      <c r="FU85" s="16"/>
      <c r="FV85" s="16"/>
      <c r="FW85" s="16"/>
      <c r="FX85" s="16"/>
      <c r="FY85" s="16"/>
      <c r="FZ85" s="16"/>
      <c r="GA85" s="16"/>
      <c r="GB85" s="16"/>
      <c r="GC85" s="16"/>
      <c r="GD85" s="16"/>
      <c r="GE85" s="16"/>
      <c r="GF85" s="16"/>
      <c r="GG85" s="16"/>
      <c r="GH85" s="16"/>
      <c r="GI85" s="16"/>
      <c r="GJ85" s="16"/>
      <c r="GK85" s="16"/>
      <c r="GL85" s="16"/>
      <c r="GM85" s="16"/>
      <c r="GN85" s="16"/>
      <c r="GO85" s="16"/>
      <c r="GP85" s="16"/>
      <c r="GQ85" s="16"/>
      <c r="GR85" s="16"/>
      <c r="GS85" s="16"/>
      <c r="GT85" s="16"/>
      <c r="GU85" s="16"/>
      <c r="GV85" s="16"/>
      <c r="GW85" s="16"/>
      <c r="GX85" s="16"/>
      <c r="GY85" s="16"/>
      <c r="GZ85" s="16"/>
      <c r="HA85" s="16"/>
      <c r="HB85" s="16"/>
      <c r="HC85" s="16"/>
      <c r="HD85" s="16"/>
      <c r="HE85" s="16"/>
      <c r="HF85" s="16"/>
      <c r="HG85" s="16"/>
      <c r="HH85" s="16"/>
      <c r="HI85" s="16"/>
      <c r="HJ85" s="16"/>
      <c r="HK85" s="16"/>
      <c r="HL85" s="16"/>
      <c r="HM85" s="16"/>
      <c r="HN85" s="16"/>
      <c r="HO85" s="16"/>
      <c r="HP85" s="16"/>
      <c r="HQ85" s="16"/>
      <c r="HR85" s="16"/>
      <c r="HS85" s="16"/>
      <c r="HT85" s="16"/>
      <c r="HU85" s="16"/>
      <c r="HV85" s="16"/>
      <c r="HW85" s="16"/>
      <c r="HX85" s="16"/>
      <c r="HY85" s="16"/>
      <c r="HZ85" s="16"/>
      <c r="IA85" s="16"/>
      <c r="IB85" s="16"/>
      <c r="IC85" s="16"/>
      <c r="ID85" s="16"/>
      <c r="IE85" s="16"/>
      <c r="IF85" s="16"/>
      <c r="IG85" s="16"/>
      <c r="IH85" s="16"/>
      <c r="II85" s="16"/>
      <c r="IJ85" s="16"/>
      <c r="IK85" s="16"/>
      <c r="IL85" s="16"/>
      <c r="IM85" s="16"/>
      <c r="IN85" s="16"/>
      <c r="IO85" s="16"/>
      <c r="IP85" s="16"/>
      <c r="IQ85" s="16"/>
      <c r="IR85" s="16"/>
      <c r="IS85" s="16"/>
      <c r="IT85" s="16"/>
      <c r="IU85" s="16"/>
      <c r="IV85" s="16"/>
      <c r="IW85" s="16"/>
    </row>
    <row r="86" customFormat="false" ht="12.95" hidden="false" customHeight="true" outlineLevel="0" collapsed="false"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16"/>
      <c r="CR86" s="16"/>
      <c r="CS86" s="16"/>
      <c r="CT86" s="16"/>
      <c r="CU86" s="16"/>
      <c r="CV86" s="16"/>
      <c r="CW86" s="16"/>
      <c r="CX86" s="16"/>
      <c r="CY86" s="16"/>
      <c r="CZ86" s="16"/>
      <c r="DA86" s="16"/>
      <c r="DB86" s="16"/>
      <c r="DC86" s="16"/>
      <c r="DD86" s="16"/>
      <c r="DE86" s="16"/>
      <c r="DF86" s="16"/>
      <c r="DG86" s="16"/>
      <c r="DH86" s="16"/>
      <c r="DI86" s="16"/>
      <c r="DJ86" s="16"/>
      <c r="DK86" s="16"/>
      <c r="DL86" s="16"/>
      <c r="DM86" s="16"/>
      <c r="DN86" s="16"/>
      <c r="DO86" s="16"/>
      <c r="DP86" s="16"/>
      <c r="DQ86" s="16"/>
      <c r="DR86" s="16"/>
      <c r="DS86" s="16"/>
      <c r="DT86" s="16"/>
      <c r="DU86" s="16"/>
      <c r="DV86" s="16"/>
      <c r="DW86" s="16"/>
      <c r="DX86" s="16"/>
      <c r="DY86" s="16"/>
      <c r="DZ86" s="16"/>
      <c r="EA86" s="16"/>
      <c r="EB86" s="16"/>
      <c r="EC86" s="16"/>
      <c r="ED86" s="16"/>
      <c r="EE86" s="16"/>
      <c r="EF86" s="16"/>
      <c r="EG86" s="16"/>
      <c r="EH86" s="16"/>
      <c r="EI86" s="16"/>
      <c r="EJ86" s="16"/>
      <c r="EK86" s="16"/>
      <c r="EL86" s="16"/>
      <c r="EM86" s="16"/>
      <c r="EN86" s="16"/>
      <c r="EO86" s="16"/>
      <c r="EP86" s="16"/>
      <c r="EQ86" s="16"/>
      <c r="ER86" s="16"/>
      <c r="ES86" s="16"/>
      <c r="ET86" s="16"/>
      <c r="EU86" s="16"/>
      <c r="EV86" s="16"/>
      <c r="EW86" s="16"/>
      <c r="EX86" s="16"/>
      <c r="EY86" s="16"/>
      <c r="EZ86" s="16"/>
      <c r="FA86" s="16"/>
      <c r="FB86" s="16"/>
      <c r="FC86" s="16"/>
      <c r="FD86" s="16"/>
      <c r="FE86" s="16"/>
      <c r="FF86" s="16"/>
      <c r="FG86" s="16"/>
      <c r="FH86" s="16"/>
      <c r="FI86" s="16"/>
      <c r="FJ86" s="16"/>
      <c r="FK86" s="16"/>
      <c r="FL86" s="16"/>
      <c r="FM86" s="16"/>
      <c r="FN86" s="16"/>
      <c r="FO86" s="16"/>
      <c r="FP86" s="16"/>
      <c r="FQ86" s="16"/>
      <c r="FR86" s="16"/>
      <c r="FS86" s="16"/>
      <c r="FT86" s="16"/>
      <c r="FU86" s="16"/>
      <c r="FV86" s="16"/>
      <c r="FW86" s="16"/>
      <c r="FX86" s="16"/>
      <c r="FY86" s="16"/>
      <c r="FZ86" s="16"/>
      <c r="GA86" s="16"/>
      <c r="GB86" s="16"/>
      <c r="GC86" s="16"/>
      <c r="GD86" s="16"/>
      <c r="GE86" s="16"/>
      <c r="GF86" s="16"/>
      <c r="GG86" s="16"/>
      <c r="GH86" s="16"/>
      <c r="GI86" s="16"/>
      <c r="GJ86" s="16"/>
      <c r="GK86" s="16"/>
      <c r="GL86" s="16"/>
      <c r="GM86" s="16"/>
      <c r="GN86" s="16"/>
      <c r="GO86" s="16"/>
      <c r="GP86" s="16"/>
      <c r="GQ86" s="16"/>
      <c r="GR86" s="16"/>
      <c r="GS86" s="16"/>
      <c r="GT86" s="16"/>
      <c r="GU86" s="16"/>
      <c r="GV86" s="16"/>
      <c r="GW86" s="16"/>
      <c r="GX86" s="16"/>
      <c r="GY86" s="16"/>
      <c r="GZ86" s="16"/>
      <c r="HA86" s="16"/>
      <c r="HB86" s="16"/>
      <c r="HC86" s="16"/>
      <c r="HD86" s="16"/>
      <c r="HE86" s="16"/>
      <c r="HF86" s="16"/>
      <c r="HG86" s="16"/>
      <c r="HH86" s="16"/>
      <c r="HI86" s="16"/>
      <c r="HJ86" s="16"/>
      <c r="HK86" s="16"/>
      <c r="HL86" s="16"/>
      <c r="HM86" s="16"/>
      <c r="HN86" s="16"/>
      <c r="HO86" s="16"/>
      <c r="HP86" s="16"/>
      <c r="HQ86" s="16"/>
      <c r="HR86" s="16"/>
      <c r="HS86" s="16"/>
      <c r="HT86" s="16"/>
      <c r="HU86" s="16"/>
      <c r="HV86" s="16"/>
      <c r="HW86" s="16"/>
      <c r="HX86" s="16"/>
      <c r="HY86" s="16"/>
      <c r="HZ86" s="16"/>
      <c r="IA86" s="16"/>
      <c r="IB86" s="16"/>
      <c r="IC86" s="16"/>
      <c r="ID86" s="16"/>
      <c r="IE86" s="16"/>
      <c r="IF86" s="16"/>
      <c r="IG86" s="16"/>
      <c r="IH86" s="16"/>
      <c r="II86" s="16"/>
      <c r="IJ86" s="16"/>
      <c r="IK86" s="16"/>
      <c r="IL86" s="16"/>
      <c r="IM86" s="16"/>
      <c r="IN86" s="16"/>
      <c r="IO86" s="16"/>
      <c r="IP86" s="16"/>
      <c r="IQ86" s="16"/>
      <c r="IR86" s="16"/>
      <c r="IS86" s="16"/>
      <c r="IT86" s="16"/>
      <c r="IU86" s="16"/>
      <c r="IV86" s="16"/>
      <c r="IW86" s="16"/>
    </row>
    <row r="87" customFormat="false" ht="12.95" hidden="false" customHeight="true" outlineLevel="0" collapsed="false"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  <c r="CN87" s="16"/>
      <c r="CO87" s="16"/>
      <c r="CP87" s="16"/>
      <c r="CQ87" s="16"/>
      <c r="CR87" s="16"/>
      <c r="CS87" s="16"/>
      <c r="CT87" s="16"/>
      <c r="CU87" s="16"/>
      <c r="CV87" s="16"/>
      <c r="CW87" s="16"/>
      <c r="CX87" s="16"/>
      <c r="CY87" s="16"/>
      <c r="CZ87" s="16"/>
      <c r="DA87" s="16"/>
      <c r="DB87" s="16"/>
      <c r="DC87" s="16"/>
      <c r="DD87" s="16"/>
      <c r="DE87" s="16"/>
      <c r="DF87" s="16"/>
      <c r="DG87" s="16"/>
      <c r="DH87" s="16"/>
      <c r="DI87" s="16"/>
      <c r="DJ87" s="16"/>
      <c r="DK87" s="16"/>
      <c r="DL87" s="16"/>
      <c r="DM87" s="16"/>
      <c r="DN87" s="16"/>
      <c r="DO87" s="16"/>
      <c r="DP87" s="16"/>
      <c r="DQ87" s="16"/>
      <c r="DR87" s="16"/>
      <c r="DS87" s="16"/>
      <c r="DT87" s="16"/>
      <c r="DU87" s="16"/>
      <c r="DV87" s="16"/>
      <c r="DW87" s="16"/>
      <c r="DX87" s="16"/>
      <c r="DY87" s="16"/>
      <c r="DZ87" s="16"/>
      <c r="EA87" s="16"/>
      <c r="EB87" s="16"/>
      <c r="EC87" s="16"/>
      <c r="ED87" s="16"/>
      <c r="EE87" s="16"/>
      <c r="EF87" s="16"/>
      <c r="EG87" s="16"/>
      <c r="EH87" s="16"/>
      <c r="EI87" s="16"/>
      <c r="EJ87" s="16"/>
      <c r="EK87" s="16"/>
      <c r="EL87" s="16"/>
      <c r="EM87" s="16"/>
      <c r="EN87" s="16"/>
      <c r="EO87" s="16"/>
      <c r="EP87" s="16"/>
      <c r="EQ87" s="16"/>
      <c r="ER87" s="16"/>
      <c r="ES87" s="16"/>
      <c r="ET87" s="16"/>
      <c r="EU87" s="16"/>
      <c r="EV87" s="16"/>
      <c r="EW87" s="16"/>
      <c r="EX87" s="16"/>
      <c r="EY87" s="16"/>
      <c r="EZ87" s="16"/>
      <c r="FA87" s="16"/>
      <c r="FB87" s="16"/>
      <c r="FC87" s="16"/>
      <c r="FD87" s="16"/>
      <c r="FE87" s="16"/>
      <c r="FF87" s="16"/>
      <c r="FG87" s="16"/>
      <c r="FH87" s="16"/>
      <c r="FI87" s="16"/>
      <c r="FJ87" s="16"/>
      <c r="FK87" s="16"/>
      <c r="FL87" s="16"/>
      <c r="FM87" s="16"/>
      <c r="FN87" s="16"/>
      <c r="FO87" s="16"/>
      <c r="FP87" s="16"/>
      <c r="FQ87" s="16"/>
      <c r="FR87" s="16"/>
      <c r="FS87" s="16"/>
      <c r="FT87" s="16"/>
      <c r="FU87" s="16"/>
      <c r="FV87" s="16"/>
      <c r="FW87" s="16"/>
      <c r="FX87" s="16"/>
      <c r="FY87" s="16"/>
      <c r="FZ87" s="16"/>
      <c r="GA87" s="16"/>
      <c r="GB87" s="16"/>
      <c r="GC87" s="16"/>
      <c r="GD87" s="16"/>
      <c r="GE87" s="16"/>
      <c r="GF87" s="16"/>
      <c r="GG87" s="16"/>
      <c r="GH87" s="16"/>
      <c r="GI87" s="16"/>
      <c r="GJ87" s="16"/>
      <c r="GK87" s="16"/>
      <c r="GL87" s="16"/>
      <c r="GM87" s="16"/>
      <c r="GN87" s="16"/>
      <c r="GO87" s="16"/>
      <c r="GP87" s="16"/>
      <c r="GQ87" s="16"/>
      <c r="GR87" s="16"/>
      <c r="GS87" s="16"/>
      <c r="GT87" s="16"/>
      <c r="GU87" s="16"/>
      <c r="GV87" s="16"/>
      <c r="GW87" s="16"/>
      <c r="GX87" s="16"/>
      <c r="GY87" s="16"/>
      <c r="GZ87" s="16"/>
      <c r="HA87" s="16"/>
      <c r="HB87" s="16"/>
      <c r="HC87" s="16"/>
      <c r="HD87" s="16"/>
      <c r="HE87" s="16"/>
      <c r="HF87" s="16"/>
      <c r="HG87" s="16"/>
      <c r="HH87" s="16"/>
      <c r="HI87" s="16"/>
      <c r="HJ87" s="16"/>
      <c r="HK87" s="16"/>
      <c r="HL87" s="16"/>
      <c r="HM87" s="16"/>
      <c r="HN87" s="16"/>
      <c r="HO87" s="16"/>
      <c r="HP87" s="16"/>
      <c r="HQ87" s="16"/>
      <c r="HR87" s="16"/>
      <c r="HS87" s="16"/>
      <c r="HT87" s="16"/>
      <c r="HU87" s="16"/>
      <c r="HV87" s="16"/>
      <c r="HW87" s="16"/>
      <c r="HX87" s="16"/>
      <c r="HY87" s="16"/>
      <c r="HZ87" s="16"/>
      <c r="IA87" s="16"/>
      <c r="IB87" s="16"/>
      <c r="IC87" s="16"/>
      <c r="ID87" s="16"/>
      <c r="IE87" s="16"/>
      <c r="IF87" s="16"/>
      <c r="IG87" s="16"/>
      <c r="IH87" s="16"/>
      <c r="II87" s="16"/>
      <c r="IJ87" s="16"/>
      <c r="IK87" s="16"/>
      <c r="IL87" s="16"/>
      <c r="IM87" s="16"/>
      <c r="IN87" s="16"/>
      <c r="IO87" s="16"/>
      <c r="IP87" s="16"/>
      <c r="IQ87" s="16"/>
      <c r="IR87" s="16"/>
      <c r="IS87" s="16"/>
      <c r="IT87" s="16"/>
      <c r="IU87" s="16"/>
      <c r="IV87" s="16"/>
      <c r="IW87" s="16"/>
    </row>
    <row r="88" customFormat="false" ht="12.95" hidden="false" customHeight="true" outlineLevel="0" collapsed="false"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  <c r="FF88" s="16"/>
      <c r="FG88" s="16"/>
      <c r="FH88" s="16"/>
      <c r="FI88" s="16"/>
      <c r="FJ88" s="16"/>
      <c r="FK88" s="16"/>
      <c r="FL88" s="16"/>
      <c r="FM88" s="16"/>
      <c r="FN88" s="16"/>
      <c r="FO88" s="16"/>
      <c r="FP88" s="16"/>
      <c r="FQ88" s="16"/>
      <c r="FR88" s="16"/>
      <c r="FS88" s="16"/>
      <c r="FT88" s="16"/>
      <c r="FU88" s="16"/>
      <c r="FV88" s="16"/>
      <c r="FW88" s="16"/>
      <c r="FX88" s="16"/>
      <c r="FY88" s="16"/>
      <c r="FZ88" s="16"/>
      <c r="GA88" s="16"/>
      <c r="GB88" s="16"/>
      <c r="GC88" s="16"/>
      <c r="GD88" s="16"/>
      <c r="GE88" s="16"/>
      <c r="GF88" s="16"/>
      <c r="GG88" s="16"/>
      <c r="GH88" s="16"/>
      <c r="GI88" s="16"/>
      <c r="GJ88" s="16"/>
      <c r="GK88" s="16"/>
      <c r="GL88" s="16"/>
      <c r="GM88" s="16"/>
      <c r="GN88" s="16"/>
      <c r="GO88" s="16"/>
      <c r="GP88" s="16"/>
      <c r="GQ88" s="16"/>
      <c r="GR88" s="16"/>
      <c r="GS88" s="16"/>
      <c r="GT88" s="16"/>
      <c r="GU88" s="16"/>
      <c r="GV88" s="16"/>
      <c r="GW88" s="16"/>
      <c r="GX88" s="16"/>
      <c r="GY88" s="16"/>
      <c r="GZ88" s="16"/>
      <c r="HA88" s="16"/>
      <c r="HB88" s="16"/>
      <c r="HC88" s="16"/>
      <c r="HD88" s="16"/>
      <c r="HE88" s="16"/>
      <c r="HF88" s="16"/>
      <c r="HG88" s="16"/>
      <c r="HH88" s="16"/>
      <c r="HI88" s="16"/>
      <c r="HJ88" s="16"/>
      <c r="HK88" s="16"/>
      <c r="HL88" s="16"/>
      <c r="HM88" s="16"/>
      <c r="HN88" s="16"/>
      <c r="HO88" s="16"/>
      <c r="HP88" s="16"/>
      <c r="HQ88" s="16"/>
      <c r="HR88" s="16"/>
      <c r="HS88" s="16"/>
      <c r="HT88" s="16"/>
      <c r="HU88" s="16"/>
      <c r="HV88" s="16"/>
      <c r="HW88" s="16"/>
      <c r="HX88" s="16"/>
      <c r="HY88" s="16"/>
      <c r="HZ88" s="16"/>
      <c r="IA88" s="16"/>
      <c r="IB88" s="16"/>
      <c r="IC88" s="16"/>
      <c r="ID88" s="16"/>
      <c r="IE88" s="16"/>
      <c r="IF88" s="16"/>
      <c r="IG88" s="16"/>
      <c r="IH88" s="16"/>
      <c r="II88" s="16"/>
      <c r="IJ88" s="16"/>
      <c r="IK88" s="16"/>
      <c r="IL88" s="16"/>
      <c r="IM88" s="16"/>
      <c r="IN88" s="16"/>
      <c r="IO88" s="16"/>
      <c r="IP88" s="16"/>
      <c r="IQ88" s="16"/>
      <c r="IR88" s="16"/>
      <c r="IS88" s="16"/>
      <c r="IT88" s="16"/>
      <c r="IU88" s="16"/>
      <c r="IV88" s="16"/>
      <c r="IW88" s="16"/>
    </row>
    <row r="89" customFormat="false" ht="12.95" hidden="false" customHeight="true" outlineLevel="0" collapsed="false"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  <c r="CN89" s="16"/>
      <c r="CO89" s="16"/>
      <c r="CP89" s="16"/>
      <c r="CQ89" s="16"/>
      <c r="CR89" s="16"/>
      <c r="CS89" s="16"/>
      <c r="CT89" s="16"/>
      <c r="CU89" s="16"/>
      <c r="CV89" s="16"/>
      <c r="CW89" s="16"/>
      <c r="CX89" s="16"/>
      <c r="CY89" s="16"/>
      <c r="CZ89" s="16"/>
      <c r="DA89" s="16"/>
      <c r="DB89" s="16"/>
      <c r="DC89" s="16"/>
      <c r="DD89" s="16"/>
      <c r="DE89" s="16"/>
      <c r="DF89" s="16"/>
      <c r="DG89" s="16"/>
      <c r="DH89" s="16"/>
      <c r="DI89" s="16"/>
      <c r="DJ89" s="16"/>
      <c r="DK89" s="16"/>
      <c r="DL89" s="16"/>
      <c r="DM89" s="16"/>
      <c r="DN89" s="16"/>
      <c r="DO89" s="16"/>
      <c r="DP89" s="16"/>
      <c r="DQ89" s="16"/>
      <c r="DR89" s="16"/>
      <c r="DS89" s="16"/>
      <c r="DT89" s="16"/>
      <c r="DU89" s="16"/>
      <c r="DV89" s="16"/>
      <c r="DW89" s="16"/>
      <c r="DX89" s="16"/>
      <c r="DY89" s="16"/>
      <c r="DZ89" s="16"/>
      <c r="EA89" s="16"/>
      <c r="EB89" s="16"/>
      <c r="EC89" s="16"/>
      <c r="ED89" s="16"/>
      <c r="EE89" s="16"/>
      <c r="EF89" s="16"/>
      <c r="EG89" s="16"/>
      <c r="EH89" s="16"/>
      <c r="EI89" s="16"/>
      <c r="EJ89" s="16"/>
      <c r="EK89" s="16"/>
      <c r="EL89" s="16"/>
      <c r="EM89" s="16"/>
      <c r="EN89" s="16"/>
      <c r="EO89" s="16"/>
      <c r="EP89" s="16"/>
      <c r="EQ89" s="16"/>
      <c r="ER89" s="16"/>
      <c r="ES89" s="16"/>
      <c r="ET89" s="16"/>
      <c r="EU89" s="16"/>
      <c r="EV89" s="16"/>
      <c r="EW89" s="16"/>
      <c r="EX89" s="16"/>
      <c r="EY89" s="16"/>
      <c r="EZ89" s="16"/>
      <c r="FA89" s="16"/>
      <c r="FB89" s="16"/>
      <c r="FC89" s="16"/>
      <c r="FD89" s="16"/>
      <c r="FE89" s="16"/>
      <c r="FF89" s="16"/>
      <c r="FG89" s="16"/>
      <c r="FH89" s="16"/>
      <c r="FI89" s="16"/>
      <c r="FJ89" s="16"/>
      <c r="FK89" s="16"/>
      <c r="FL89" s="16"/>
      <c r="FM89" s="16"/>
      <c r="FN89" s="16"/>
      <c r="FO89" s="16"/>
      <c r="FP89" s="16"/>
      <c r="FQ89" s="16"/>
      <c r="FR89" s="16"/>
      <c r="FS89" s="16"/>
      <c r="FT89" s="16"/>
      <c r="FU89" s="16"/>
      <c r="FV89" s="16"/>
      <c r="FW89" s="16"/>
      <c r="FX89" s="16"/>
      <c r="FY89" s="16"/>
      <c r="FZ89" s="16"/>
      <c r="GA89" s="16"/>
      <c r="GB89" s="16"/>
      <c r="GC89" s="16"/>
      <c r="GD89" s="16"/>
      <c r="GE89" s="16"/>
      <c r="GF89" s="16"/>
      <c r="GG89" s="16"/>
      <c r="GH89" s="16"/>
      <c r="GI89" s="16"/>
      <c r="GJ89" s="16"/>
      <c r="GK89" s="16"/>
      <c r="GL89" s="16"/>
      <c r="GM89" s="16"/>
      <c r="GN89" s="16"/>
      <c r="GO89" s="16"/>
      <c r="GP89" s="16"/>
      <c r="GQ89" s="16"/>
      <c r="GR89" s="16"/>
      <c r="GS89" s="16"/>
      <c r="GT89" s="16"/>
      <c r="GU89" s="16"/>
      <c r="GV89" s="16"/>
      <c r="GW89" s="16"/>
      <c r="GX89" s="16"/>
      <c r="GY89" s="16"/>
      <c r="GZ89" s="16"/>
      <c r="HA89" s="16"/>
      <c r="HB89" s="16"/>
      <c r="HC89" s="16"/>
      <c r="HD89" s="16"/>
      <c r="HE89" s="16"/>
      <c r="HF89" s="16"/>
      <c r="HG89" s="16"/>
      <c r="HH89" s="16"/>
      <c r="HI89" s="16"/>
      <c r="HJ89" s="16"/>
      <c r="HK89" s="16"/>
      <c r="HL89" s="16"/>
      <c r="HM89" s="16"/>
      <c r="HN89" s="16"/>
      <c r="HO89" s="16"/>
      <c r="HP89" s="16"/>
      <c r="HQ89" s="16"/>
      <c r="HR89" s="16"/>
      <c r="HS89" s="16"/>
      <c r="HT89" s="16"/>
      <c r="HU89" s="16"/>
      <c r="HV89" s="16"/>
      <c r="HW89" s="16"/>
      <c r="HX89" s="16"/>
      <c r="HY89" s="16"/>
      <c r="HZ89" s="16"/>
      <c r="IA89" s="16"/>
      <c r="IB89" s="16"/>
      <c r="IC89" s="16"/>
      <c r="ID89" s="16"/>
      <c r="IE89" s="16"/>
      <c r="IF89" s="16"/>
      <c r="IG89" s="16"/>
      <c r="IH89" s="16"/>
      <c r="II89" s="16"/>
      <c r="IJ89" s="16"/>
      <c r="IK89" s="16"/>
      <c r="IL89" s="16"/>
      <c r="IM89" s="16"/>
      <c r="IN89" s="16"/>
      <c r="IO89" s="16"/>
      <c r="IP89" s="16"/>
      <c r="IQ89" s="16"/>
      <c r="IR89" s="16"/>
      <c r="IS89" s="16"/>
      <c r="IT89" s="16"/>
      <c r="IU89" s="16"/>
      <c r="IV89" s="16"/>
      <c r="IW89" s="16"/>
    </row>
    <row r="90" customFormat="false" ht="12.95" hidden="false" customHeight="true" outlineLevel="0" collapsed="false"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  <c r="CN90" s="16"/>
      <c r="CO90" s="16"/>
      <c r="CP90" s="16"/>
      <c r="CQ90" s="16"/>
      <c r="CR90" s="16"/>
      <c r="CS90" s="16"/>
      <c r="CT90" s="16"/>
      <c r="CU90" s="16"/>
      <c r="CV90" s="16"/>
      <c r="CW90" s="16"/>
      <c r="CX90" s="16"/>
      <c r="CY90" s="16"/>
      <c r="CZ90" s="16"/>
      <c r="DA90" s="16"/>
      <c r="DB90" s="16"/>
      <c r="DC90" s="16"/>
      <c r="DD90" s="16"/>
      <c r="DE90" s="16"/>
      <c r="DF90" s="16"/>
      <c r="DG90" s="16"/>
      <c r="DH90" s="16"/>
      <c r="DI90" s="16"/>
      <c r="DJ90" s="16"/>
      <c r="DK90" s="16"/>
      <c r="DL90" s="16"/>
      <c r="DM90" s="16"/>
      <c r="DN90" s="16"/>
      <c r="DO90" s="16"/>
      <c r="DP90" s="16"/>
      <c r="DQ90" s="16"/>
      <c r="DR90" s="16"/>
      <c r="DS90" s="16"/>
      <c r="DT90" s="16"/>
      <c r="DU90" s="16"/>
      <c r="DV90" s="16"/>
      <c r="DW90" s="16"/>
      <c r="DX90" s="16"/>
      <c r="DY90" s="16"/>
      <c r="DZ90" s="16"/>
      <c r="EA90" s="16"/>
      <c r="EB90" s="16"/>
      <c r="EC90" s="16"/>
      <c r="ED90" s="16"/>
      <c r="EE90" s="16"/>
      <c r="EF90" s="16"/>
      <c r="EG90" s="16"/>
      <c r="EH90" s="16"/>
      <c r="EI90" s="16"/>
      <c r="EJ90" s="16"/>
      <c r="EK90" s="16"/>
      <c r="EL90" s="16"/>
      <c r="EM90" s="16"/>
      <c r="EN90" s="16"/>
      <c r="EO90" s="16"/>
      <c r="EP90" s="16"/>
      <c r="EQ90" s="16"/>
      <c r="ER90" s="16"/>
      <c r="ES90" s="16"/>
      <c r="ET90" s="16"/>
      <c r="EU90" s="16"/>
      <c r="EV90" s="16"/>
      <c r="EW90" s="16"/>
      <c r="EX90" s="16"/>
      <c r="EY90" s="16"/>
      <c r="EZ90" s="16"/>
      <c r="FA90" s="16"/>
      <c r="FB90" s="16"/>
      <c r="FC90" s="16"/>
      <c r="FD90" s="16"/>
      <c r="FE90" s="16"/>
      <c r="FF90" s="16"/>
      <c r="FG90" s="16"/>
      <c r="FH90" s="16"/>
      <c r="FI90" s="16"/>
      <c r="FJ90" s="16"/>
      <c r="FK90" s="16"/>
      <c r="FL90" s="16"/>
      <c r="FM90" s="16"/>
      <c r="FN90" s="16"/>
      <c r="FO90" s="16"/>
      <c r="FP90" s="16"/>
      <c r="FQ90" s="16"/>
      <c r="FR90" s="16"/>
      <c r="FS90" s="16"/>
      <c r="FT90" s="16"/>
      <c r="FU90" s="16"/>
      <c r="FV90" s="16"/>
      <c r="FW90" s="16"/>
      <c r="FX90" s="16"/>
      <c r="FY90" s="16"/>
      <c r="FZ90" s="16"/>
      <c r="GA90" s="16"/>
      <c r="GB90" s="16"/>
      <c r="GC90" s="16"/>
      <c r="GD90" s="16"/>
      <c r="GE90" s="16"/>
      <c r="GF90" s="16"/>
      <c r="GG90" s="16"/>
      <c r="GH90" s="16"/>
      <c r="GI90" s="16"/>
      <c r="GJ90" s="16"/>
      <c r="GK90" s="16"/>
      <c r="GL90" s="16"/>
      <c r="GM90" s="16"/>
      <c r="GN90" s="16"/>
      <c r="GO90" s="16"/>
      <c r="GP90" s="16"/>
      <c r="GQ90" s="16"/>
      <c r="GR90" s="16"/>
      <c r="GS90" s="16"/>
      <c r="GT90" s="16"/>
      <c r="GU90" s="16"/>
      <c r="GV90" s="16"/>
      <c r="GW90" s="16"/>
      <c r="GX90" s="16"/>
      <c r="GY90" s="16"/>
      <c r="GZ90" s="16"/>
      <c r="HA90" s="16"/>
      <c r="HB90" s="16"/>
      <c r="HC90" s="16"/>
      <c r="HD90" s="16"/>
      <c r="HE90" s="16"/>
      <c r="HF90" s="16"/>
      <c r="HG90" s="16"/>
      <c r="HH90" s="16"/>
      <c r="HI90" s="16"/>
      <c r="HJ90" s="16"/>
      <c r="HK90" s="16"/>
      <c r="HL90" s="16"/>
      <c r="HM90" s="16"/>
      <c r="HN90" s="16"/>
      <c r="HO90" s="16"/>
      <c r="HP90" s="16"/>
      <c r="HQ90" s="16"/>
      <c r="HR90" s="16"/>
      <c r="HS90" s="16"/>
      <c r="HT90" s="16"/>
      <c r="HU90" s="16"/>
      <c r="HV90" s="16"/>
      <c r="HW90" s="16"/>
      <c r="HX90" s="16"/>
      <c r="HY90" s="16"/>
      <c r="HZ90" s="16"/>
      <c r="IA90" s="16"/>
      <c r="IB90" s="16"/>
      <c r="IC90" s="16"/>
      <c r="ID90" s="16"/>
      <c r="IE90" s="16"/>
      <c r="IF90" s="16"/>
      <c r="IG90" s="16"/>
      <c r="IH90" s="16"/>
      <c r="II90" s="16"/>
      <c r="IJ90" s="16"/>
      <c r="IK90" s="16"/>
      <c r="IL90" s="16"/>
      <c r="IM90" s="16"/>
      <c r="IN90" s="16"/>
      <c r="IO90" s="16"/>
      <c r="IP90" s="16"/>
      <c r="IQ90" s="16"/>
      <c r="IR90" s="16"/>
      <c r="IS90" s="16"/>
      <c r="IT90" s="16"/>
      <c r="IU90" s="16"/>
      <c r="IV90" s="16"/>
      <c r="IW90" s="16"/>
    </row>
    <row r="91" customFormat="false" ht="12.95" hidden="false" customHeight="true" outlineLevel="0" collapsed="false"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  <c r="CE91" s="16"/>
      <c r="CF91" s="16"/>
      <c r="CG91" s="16"/>
      <c r="CH91" s="16"/>
      <c r="CI91" s="16"/>
      <c r="CJ91" s="16"/>
      <c r="CK91" s="16"/>
      <c r="CL91" s="16"/>
      <c r="CM91" s="16"/>
      <c r="CN91" s="16"/>
      <c r="CO91" s="16"/>
      <c r="CP91" s="16"/>
      <c r="CQ91" s="16"/>
      <c r="CR91" s="16"/>
      <c r="CS91" s="16"/>
      <c r="CT91" s="16"/>
      <c r="CU91" s="16"/>
      <c r="CV91" s="16"/>
      <c r="CW91" s="16"/>
      <c r="CX91" s="16"/>
      <c r="CY91" s="16"/>
      <c r="CZ91" s="16"/>
      <c r="DA91" s="16"/>
      <c r="DB91" s="16"/>
      <c r="DC91" s="16"/>
      <c r="DD91" s="16"/>
      <c r="DE91" s="16"/>
      <c r="DF91" s="16"/>
      <c r="DG91" s="16"/>
      <c r="DH91" s="16"/>
      <c r="DI91" s="16"/>
      <c r="DJ91" s="16"/>
      <c r="DK91" s="16"/>
      <c r="DL91" s="16"/>
      <c r="DM91" s="16"/>
      <c r="DN91" s="16"/>
      <c r="DO91" s="16"/>
      <c r="DP91" s="16"/>
      <c r="DQ91" s="16"/>
      <c r="DR91" s="16"/>
      <c r="DS91" s="16"/>
      <c r="DT91" s="16"/>
      <c r="DU91" s="16"/>
      <c r="DV91" s="16"/>
      <c r="DW91" s="16"/>
      <c r="DX91" s="16"/>
      <c r="DY91" s="16"/>
      <c r="DZ91" s="16"/>
      <c r="EA91" s="16"/>
      <c r="EB91" s="16"/>
      <c r="EC91" s="16"/>
      <c r="ED91" s="16"/>
      <c r="EE91" s="16"/>
      <c r="EF91" s="16"/>
      <c r="EG91" s="16"/>
      <c r="EH91" s="16"/>
      <c r="EI91" s="16"/>
      <c r="EJ91" s="16"/>
      <c r="EK91" s="16"/>
      <c r="EL91" s="16"/>
      <c r="EM91" s="16"/>
      <c r="EN91" s="16"/>
      <c r="EO91" s="16"/>
      <c r="EP91" s="16"/>
      <c r="EQ91" s="16"/>
      <c r="ER91" s="16"/>
      <c r="ES91" s="16"/>
      <c r="ET91" s="16"/>
      <c r="EU91" s="16"/>
      <c r="EV91" s="16"/>
      <c r="EW91" s="16"/>
      <c r="EX91" s="16"/>
      <c r="EY91" s="16"/>
      <c r="EZ91" s="16"/>
      <c r="FA91" s="16"/>
      <c r="FB91" s="16"/>
      <c r="FC91" s="16"/>
      <c r="FD91" s="16"/>
      <c r="FE91" s="16"/>
      <c r="FF91" s="16"/>
      <c r="FG91" s="16"/>
      <c r="FH91" s="16"/>
      <c r="FI91" s="16"/>
      <c r="FJ91" s="16"/>
      <c r="FK91" s="16"/>
      <c r="FL91" s="16"/>
      <c r="FM91" s="16"/>
      <c r="FN91" s="16"/>
      <c r="FO91" s="16"/>
      <c r="FP91" s="16"/>
      <c r="FQ91" s="16"/>
      <c r="FR91" s="16"/>
      <c r="FS91" s="16"/>
      <c r="FT91" s="16"/>
      <c r="FU91" s="16"/>
      <c r="FV91" s="16"/>
      <c r="FW91" s="16"/>
      <c r="FX91" s="16"/>
      <c r="FY91" s="16"/>
      <c r="FZ91" s="16"/>
      <c r="GA91" s="16"/>
      <c r="GB91" s="16"/>
      <c r="GC91" s="16"/>
      <c r="GD91" s="16"/>
      <c r="GE91" s="16"/>
      <c r="GF91" s="16"/>
      <c r="GG91" s="16"/>
      <c r="GH91" s="16"/>
      <c r="GI91" s="16"/>
      <c r="GJ91" s="16"/>
      <c r="GK91" s="16"/>
      <c r="GL91" s="16"/>
      <c r="GM91" s="16"/>
      <c r="GN91" s="16"/>
      <c r="GO91" s="16"/>
      <c r="GP91" s="16"/>
      <c r="GQ91" s="16"/>
      <c r="GR91" s="16"/>
      <c r="GS91" s="16"/>
      <c r="GT91" s="16"/>
      <c r="GU91" s="16"/>
      <c r="GV91" s="16"/>
      <c r="GW91" s="16"/>
      <c r="GX91" s="16"/>
      <c r="GY91" s="16"/>
      <c r="GZ91" s="16"/>
      <c r="HA91" s="16"/>
      <c r="HB91" s="16"/>
      <c r="HC91" s="16"/>
      <c r="HD91" s="16"/>
      <c r="HE91" s="16"/>
      <c r="HF91" s="16"/>
      <c r="HG91" s="16"/>
      <c r="HH91" s="16"/>
      <c r="HI91" s="16"/>
      <c r="HJ91" s="16"/>
      <c r="HK91" s="16"/>
      <c r="HL91" s="16"/>
      <c r="HM91" s="16"/>
      <c r="HN91" s="16"/>
      <c r="HO91" s="16"/>
      <c r="HP91" s="16"/>
      <c r="HQ91" s="16"/>
      <c r="HR91" s="16"/>
      <c r="HS91" s="16"/>
      <c r="HT91" s="16"/>
      <c r="HU91" s="16"/>
      <c r="HV91" s="16"/>
      <c r="HW91" s="16"/>
      <c r="HX91" s="16"/>
      <c r="HY91" s="16"/>
      <c r="HZ91" s="16"/>
      <c r="IA91" s="16"/>
      <c r="IB91" s="16"/>
      <c r="IC91" s="16"/>
      <c r="ID91" s="16"/>
      <c r="IE91" s="16"/>
      <c r="IF91" s="16"/>
      <c r="IG91" s="16"/>
      <c r="IH91" s="16"/>
      <c r="II91" s="16"/>
      <c r="IJ91" s="16"/>
      <c r="IK91" s="16"/>
      <c r="IL91" s="16"/>
      <c r="IM91" s="16"/>
      <c r="IN91" s="16"/>
      <c r="IO91" s="16"/>
      <c r="IP91" s="16"/>
      <c r="IQ91" s="16"/>
      <c r="IR91" s="16"/>
      <c r="IS91" s="16"/>
      <c r="IT91" s="16"/>
      <c r="IU91" s="16"/>
      <c r="IV91" s="16"/>
      <c r="IW91" s="16"/>
    </row>
    <row r="92" customFormat="false" ht="12.95" hidden="false" customHeight="true" outlineLevel="0" collapsed="false"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  <c r="CE92" s="16"/>
      <c r="CF92" s="16"/>
      <c r="CG92" s="16"/>
      <c r="CH92" s="16"/>
      <c r="CI92" s="16"/>
      <c r="CJ92" s="16"/>
      <c r="CK92" s="16"/>
      <c r="CL92" s="16"/>
      <c r="CM92" s="16"/>
      <c r="CN92" s="16"/>
      <c r="CO92" s="16"/>
      <c r="CP92" s="16"/>
      <c r="CQ92" s="16"/>
      <c r="CR92" s="16"/>
      <c r="CS92" s="16"/>
      <c r="CT92" s="16"/>
      <c r="CU92" s="16"/>
      <c r="CV92" s="16"/>
      <c r="CW92" s="16"/>
      <c r="CX92" s="16"/>
      <c r="CY92" s="16"/>
      <c r="CZ92" s="16"/>
      <c r="DA92" s="16"/>
      <c r="DB92" s="16"/>
      <c r="DC92" s="16"/>
      <c r="DD92" s="16"/>
      <c r="DE92" s="16"/>
      <c r="DF92" s="16"/>
      <c r="DG92" s="16"/>
      <c r="DH92" s="16"/>
      <c r="DI92" s="16"/>
      <c r="DJ92" s="16"/>
      <c r="DK92" s="16"/>
      <c r="DL92" s="16"/>
      <c r="DM92" s="16"/>
      <c r="DN92" s="16"/>
      <c r="DO92" s="16"/>
      <c r="DP92" s="16"/>
      <c r="DQ92" s="16"/>
      <c r="DR92" s="16"/>
      <c r="DS92" s="16"/>
      <c r="DT92" s="16"/>
      <c r="DU92" s="16"/>
      <c r="DV92" s="16"/>
      <c r="DW92" s="16"/>
      <c r="DX92" s="16"/>
      <c r="DY92" s="16"/>
      <c r="DZ92" s="16"/>
      <c r="EA92" s="16"/>
      <c r="EB92" s="16"/>
      <c r="EC92" s="16"/>
      <c r="ED92" s="16"/>
      <c r="EE92" s="16"/>
      <c r="EF92" s="16"/>
      <c r="EG92" s="16"/>
      <c r="EH92" s="16"/>
      <c r="EI92" s="16"/>
      <c r="EJ92" s="16"/>
      <c r="EK92" s="16"/>
      <c r="EL92" s="16"/>
      <c r="EM92" s="16"/>
      <c r="EN92" s="16"/>
      <c r="EO92" s="16"/>
      <c r="EP92" s="16"/>
      <c r="EQ92" s="16"/>
      <c r="ER92" s="16"/>
      <c r="ES92" s="16"/>
      <c r="ET92" s="16"/>
      <c r="EU92" s="16"/>
      <c r="EV92" s="16"/>
      <c r="EW92" s="16"/>
      <c r="EX92" s="16"/>
      <c r="EY92" s="16"/>
      <c r="EZ92" s="16"/>
      <c r="FA92" s="16"/>
      <c r="FB92" s="16"/>
      <c r="FC92" s="16"/>
      <c r="FD92" s="16"/>
      <c r="FE92" s="16"/>
      <c r="FF92" s="16"/>
      <c r="FG92" s="16"/>
      <c r="FH92" s="16"/>
      <c r="FI92" s="16"/>
      <c r="FJ92" s="16"/>
      <c r="FK92" s="16"/>
      <c r="FL92" s="16"/>
      <c r="FM92" s="16"/>
      <c r="FN92" s="16"/>
      <c r="FO92" s="16"/>
      <c r="FP92" s="16"/>
      <c r="FQ92" s="16"/>
      <c r="FR92" s="16"/>
      <c r="FS92" s="16"/>
      <c r="FT92" s="16"/>
      <c r="FU92" s="16"/>
      <c r="FV92" s="16"/>
      <c r="FW92" s="16"/>
      <c r="FX92" s="16"/>
      <c r="FY92" s="16"/>
      <c r="FZ92" s="16"/>
      <c r="GA92" s="16"/>
      <c r="GB92" s="16"/>
      <c r="GC92" s="16"/>
      <c r="GD92" s="16"/>
      <c r="GE92" s="16"/>
      <c r="GF92" s="16"/>
      <c r="GG92" s="16"/>
      <c r="GH92" s="16"/>
      <c r="GI92" s="16"/>
      <c r="GJ92" s="16"/>
      <c r="GK92" s="16"/>
      <c r="GL92" s="16"/>
      <c r="GM92" s="16"/>
      <c r="GN92" s="16"/>
      <c r="GO92" s="16"/>
      <c r="GP92" s="16"/>
      <c r="GQ92" s="16"/>
      <c r="GR92" s="16"/>
      <c r="GS92" s="16"/>
      <c r="GT92" s="16"/>
      <c r="GU92" s="16"/>
      <c r="GV92" s="16"/>
      <c r="GW92" s="16"/>
      <c r="GX92" s="16"/>
      <c r="GY92" s="16"/>
      <c r="GZ92" s="16"/>
      <c r="HA92" s="16"/>
      <c r="HB92" s="16"/>
      <c r="HC92" s="16"/>
      <c r="HD92" s="16"/>
      <c r="HE92" s="16"/>
      <c r="HF92" s="16"/>
      <c r="HG92" s="16"/>
      <c r="HH92" s="16"/>
      <c r="HI92" s="16"/>
      <c r="HJ92" s="16"/>
      <c r="HK92" s="16"/>
      <c r="HL92" s="16"/>
      <c r="HM92" s="16"/>
      <c r="HN92" s="16"/>
      <c r="HO92" s="16"/>
      <c r="HP92" s="16"/>
      <c r="HQ92" s="16"/>
      <c r="HR92" s="16"/>
      <c r="HS92" s="16"/>
      <c r="HT92" s="16"/>
      <c r="HU92" s="16"/>
      <c r="HV92" s="16"/>
      <c r="HW92" s="16"/>
      <c r="HX92" s="16"/>
      <c r="HY92" s="16"/>
      <c r="HZ92" s="16"/>
      <c r="IA92" s="16"/>
      <c r="IB92" s="16"/>
      <c r="IC92" s="16"/>
      <c r="ID92" s="16"/>
      <c r="IE92" s="16"/>
      <c r="IF92" s="16"/>
      <c r="IG92" s="16"/>
      <c r="IH92" s="16"/>
      <c r="II92" s="16"/>
      <c r="IJ92" s="16"/>
      <c r="IK92" s="16"/>
      <c r="IL92" s="16"/>
      <c r="IM92" s="16"/>
      <c r="IN92" s="16"/>
      <c r="IO92" s="16"/>
      <c r="IP92" s="16"/>
      <c r="IQ92" s="16"/>
      <c r="IR92" s="16"/>
      <c r="IS92" s="16"/>
      <c r="IT92" s="16"/>
      <c r="IU92" s="16"/>
      <c r="IV92" s="16"/>
      <c r="IW92" s="16"/>
    </row>
    <row r="93" customFormat="false" ht="12.95" hidden="false" customHeight="true" outlineLevel="0" collapsed="false"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  <c r="CE93" s="16"/>
      <c r="CF93" s="16"/>
      <c r="CG93" s="16"/>
      <c r="CH93" s="16"/>
      <c r="CI93" s="16"/>
      <c r="CJ93" s="16"/>
      <c r="CK93" s="16"/>
      <c r="CL93" s="16"/>
      <c r="CM93" s="16"/>
      <c r="CN93" s="16"/>
      <c r="CO93" s="16"/>
      <c r="CP93" s="16"/>
      <c r="CQ93" s="16"/>
      <c r="CR93" s="16"/>
      <c r="CS93" s="16"/>
      <c r="CT93" s="16"/>
      <c r="CU93" s="16"/>
      <c r="CV93" s="16"/>
      <c r="CW93" s="16"/>
      <c r="CX93" s="16"/>
      <c r="CY93" s="16"/>
      <c r="CZ93" s="16"/>
      <c r="DA93" s="16"/>
      <c r="DB93" s="16"/>
      <c r="DC93" s="16"/>
      <c r="DD93" s="16"/>
      <c r="DE93" s="16"/>
      <c r="DF93" s="16"/>
      <c r="DG93" s="16"/>
      <c r="DH93" s="16"/>
      <c r="DI93" s="16"/>
      <c r="DJ93" s="16"/>
      <c r="DK93" s="16"/>
      <c r="DL93" s="16"/>
      <c r="DM93" s="16"/>
      <c r="DN93" s="16"/>
      <c r="DO93" s="16"/>
      <c r="DP93" s="16"/>
      <c r="DQ93" s="16"/>
      <c r="DR93" s="16"/>
      <c r="DS93" s="16"/>
      <c r="DT93" s="16"/>
      <c r="DU93" s="16"/>
      <c r="DV93" s="16"/>
      <c r="DW93" s="16"/>
      <c r="DX93" s="16"/>
      <c r="DY93" s="16"/>
      <c r="DZ93" s="16"/>
      <c r="EA93" s="16"/>
      <c r="EB93" s="16"/>
      <c r="EC93" s="16"/>
      <c r="ED93" s="16"/>
      <c r="EE93" s="16"/>
      <c r="EF93" s="16"/>
      <c r="EG93" s="16"/>
      <c r="EH93" s="16"/>
      <c r="EI93" s="16"/>
      <c r="EJ93" s="16"/>
      <c r="EK93" s="16"/>
      <c r="EL93" s="16"/>
      <c r="EM93" s="16"/>
      <c r="EN93" s="16"/>
      <c r="EO93" s="16"/>
      <c r="EP93" s="16"/>
      <c r="EQ93" s="16"/>
      <c r="ER93" s="16"/>
      <c r="ES93" s="16"/>
      <c r="ET93" s="16"/>
      <c r="EU93" s="16"/>
      <c r="EV93" s="16"/>
      <c r="EW93" s="16"/>
      <c r="EX93" s="16"/>
      <c r="EY93" s="16"/>
      <c r="EZ93" s="16"/>
      <c r="FA93" s="16"/>
      <c r="FB93" s="16"/>
      <c r="FC93" s="16"/>
      <c r="FD93" s="16"/>
      <c r="FE93" s="16"/>
      <c r="FF93" s="16"/>
      <c r="FG93" s="16"/>
      <c r="FH93" s="16"/>
      <c r="FI93" s="16"/>
      <c r="FJ93" s="16"/>
      <c r="FK93" s="16"/>
      <c r="FL93" s="16"/>
      <c r="FM93" s="16"/>
      <c r="FN93" s="16"/>
      <c r="FO93" s="16"/>
      <c r="FP93" s="16"/>
      <c r="FQ93" s="16"/>
      <c r="FR93" s="16"/>
      <c r="FS93" s="16"/>
      <c r="FT93" s="16"/>
      <c r="FU93" s="16"/>
      <c r="FV93" s="16"/>
      <c r="FW93" s="16"/>
      <c r="FX93" s="16"/>
      <c r="FY93" s="16"/>
      <c r="FZ93" s="16"/>
      <c r="GA93" s="16"/>
      <c r="GB93" s="16"/>
      <c r="GC93" s="16"/>
      <c r="GD93" s="16"/>
      <c r="GE93" s="16"/>
      <c r="GF93" s="16"/>
      <c r="GG93" s="16"/>
      <c r="GH93" s="16"/>
      <c r="GI93" s="16"/>
      <c r="GJ93" s="16"/>
      <c r="GK93" s="16"/>
      <c r="GL93" s="16"/>
      <c r="GM93" s="16"/>
      <c r="GN93" s="16"/>
      <c r="GO93" s="16"/>
      <c r="GP93" s="16"/>
      <c r="GQ93" s="16"/>
      <c r="GR93" s="16"/>
      <c r="GS93" s="16"/>
      <c r="GT93" s="16"/>
      <c r="GU93" s="16"/>
      <c r="GV93" s="16"/>
      <c r="GW93" s="16"/>
      <c r="GX93" s="16"/>
      <c r="GY93" s="16"/>
      <c r="GZ93" s="16"/>
      <c r="HA93" s="16"/>
      <c r="HB93" s="16"/>
      <c r="HC93" s="16"/>
      <c r="HD93" s="16"/>
      <c r="HE93" s="16"/>
      <c r="HF93" s="16"/>
      <c r="HG93" s="16"/>
      <c r="HH93" s="16"/>
      <c r="HI93" s="16"/>
      <c r="HJ93" s="16"/>
      <c r="HK93" s="16"/>
      <c r="HL93" s="16"/>
      <c r="HM93" s="16"/>
      <c r="HN93" s="16"/>
      <c r="HO93" s="16"/>
      <c r="HP93" s="16"/>
      <c r="HQ93" s="16"/>
      <c r="HR93" s="16"/>
      <c r="HS93" s="16"/>
      <c r="HT93" s="16"/>
      <c r="HU93" s="16"/>
      <c r="HV93" s="16"/>
      <c r="HW93" s="16"/>
      <c r="HX93" s="16"/>
      <c r="HY93" s="16"/>
      <c r="HZ93" s="16"/>
      <c r="IA93" s="16"/>
      <c r="IB93" s="16"/>
      <c r="IC93" s="16"/>
      <c r="ID93" s="16"/>
      <c r="IE93" s="16"/>
      <c r="IF93" s="16"/>
      <c r="IG93" s="16"/>
      <c r="IH93" s="16"/>
      <c r="II93" s="16"/>
      <c r="IJ93" s="16"/>
      <c r="IK93" s="16"/>
      <c r="IL93" s="16"/>
      <c r="IM93" s="16"/>
      <c r="IN93" s="16"/>
      <c r="IO93" s="16"/>
      <c r="IP93" s="16"/>
      <c r="IQ93" s="16"/>
      <c r="IR93" s="16"/>
      <c r="IS93" s="16"/>
      <c r="IT93" s="16"/>
      <c r="IU93" s="16"/>
      <c r="IV93" s="16"/>
      <c r="IW93" s="16"/>
    </row>
    <row r="94" customFormat="false" ht="12.95" hidden="false" customHeight="true" outlineLevel="0" collapsed="false">
      <c r="E94" s="16"/>
      <c r="F94" s="16"/>
      <c r="G94" s="16"/>
      <c r="H94" s="16"/>
      <c r="I94" s="16"/>
      <c r="J94" s="16"/>
    </row>
    <row r="95" customFormat="false" ht="12.95" hidden="false" customHeight="true" outlineLevel="0" collapsed="false"/>
    <row r="96" customFormat="false" ht="12.95" hidden="false" customHeight="true" outlineLevel="0" collapsed="false"/>
    <row r="97" customFormat="false" ht="12.95" hidden="false" customHeight="true" outlineLevel="0" collapsed="false"/>
    <row r="98" customFormat="false" ht="12.95" hidden="false" customHeight="true" outlineLevel="0" collapsed="false"/>
    <row r="99" customFormat="false" ht="12.95" hidden="false" customHeight="true" outlineLevel="0" collapsed="false"/>
    <row r="100" customFormat="false" ht="12.95" hidden="false" customHeight="true" outlineLevel="0" collapsed="false"/>
    <row r="101" customFormat="false" ht="12.95" hidden="false" customHeight="true" outlineLevel="0" collapsed="false"/>
    <row r="102" customFormat="false" ht="12.95" hidden="false" customHeight="true" outlineLevel="0" collapsed="false"/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  <row r="109" customFormat="false" ht="12.95" hidden="false" customHeight="true" outlineLevel="0" collapsed="false"/>
    <row r="110" customFormat="false" ht="12.95" hidden="false" customHeight="true" outlineLevel="0" collapsed="false"/>
    <row r="111" customFormat="false" ht="12.95" hidden="false" customHeight="true" outlineLevel="0" collapsed="false"/>
    <row r="112" customFormat="false" ht="12.95" hidden="false" customHeight="true" outlineLevel="0" collapsed="false"/>
    <row r="113" customFormat="false" ht="12.95" hidden="false" customHeight="true" outlineLevel="0" collapsed="false"/>
    <row r="114" customFormat="false" ht="12.95" hidden="false" customHeight="true" outlineLevel="0" collapsed="false"/>
    <row r="115" customFormat="false" ht="12.95" hidden="false" customHeight="true" outlineLevel="0" collapsed="false"/>
    <row r="116" customFormat="false" ht="12.95" hidden="false" customHeight="true" outlineLevel="0" collapsed="false"/>
    <row r="117" customFormat="false" ht="12.95" hidden="false" customHeight="true" outlineLevel="0" collapsed="false"/>
    <row r="118" customFormat="false" ht="12.95" hidden="false" customHeight="true" outlineLevel="0" collapsed="false"/>
    <row r="119" customFormat="false" ht="12.95" hidden="false" customHeight="true" outlineLevel="0" collapsed="false"/>
    <row r="120" customFormat="false" ht="12.95" hidden="false" customHeight="true" outlineLevel="0" collapsed="false"/>
    <row r="121" customFormat="false" ht="12.95" hidden="false" customHeight="true" outlineLevel="0" collapsed="false"/>
    <row r="122" customFormat="false" ht="12.95" hidden="false" customHeight="true" outlineLevel="0" collapsed="false"/>
    <row r="123" customFormat="false" ht="12.95" hidden="false" customHeight="true" outlineLevel="0" collapsed="false"/>
    <row r="124" customFormat="false" ht="12.95" hidden="false" customHeight="true" outlineLevel="0" collapsed="false"/>
    <row r="125" customFormat="false" ht="12.95" hidden="false" customHeight="true" outlineLevel="0" collapsed="false"/>
    <row r="126" customFormat="false" ht="12.95" hidden="false" customHeight="true" outlineLevel="0" collapsed="false"/>
    <row r="127" customFormat="false" ht="12.95" hidden="false" customHeight="true" outlineLevel="0" collapsed="false"/>
    <row r="128" customFormat="false" ht="12.95" hidden="false" customHeight="true" outlineLevel="0" collapsed="false"/>
    <row r="129" customFormat="false" ht="12.95" hidden="false" customHeight="true" outlineLevel="0" collapsed="false"/>
    <row r="130" customFormat="false" ht="12.95" hidden="false" customHeight="true" outlineLevel="0" collapsed="false"/>
    <row r="131" customFormat="false" ht="12.95" hidden="false" customHeight="true" outlineLevel="0" collapsed="false"/>
    <row r="132" customFormat="false" ht="12.95" hidden="false" customHeight="true" outlineLevel="0" collapsed="false"/>
    <row r="133" customFormat="false" ht="12.95" hidden="false" customHeight="true" outlineLevel="0" collapsed="false"/>
    <row r="134" customFormat="false" ht="12.95" hidden="false" customHeight="true" outlineLevel="0" collapsed="false"/>
  </sheetData>
  <mergeCells count="19">
    <mergeCell ref="U7:W7"/>
    <mergeCell ref="X7:Y7"/>
    <mergeCell ref="E8:F8"/>
    <mergeCell ref="I8:K8"/>
    <mergeCell ref="L8:N8"/>
    <mergeCell ref="O8:Q8"/>
    <mergeCell ref="U33:Y33"/>
    <mergeCell ref="B34:C34"/>
    <mergeCell ref="D34:F34"/>
    <mergeCell ref="G34:H34"/>
    <mergeCell ref="J34:K34"/>
    <mergeCell ref="P34:S34"/>
    <mergeCell ref="U34:Y34"/>
    <mergeCell ref="B35:C35"/>
    <mergeCell ref="D35:F35"/>
    <mergeCell ref="G35:H35"/>
    <mergeCell ref="J35:K35"/>
    <mergeCell ref="P35:S35"/>
    <mergeCell ref="V35:Y35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0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" width="29.71"/>
    <col collapsed="false" customWidth="true" hidden="false" outlineLevel="0" max="2" min="2" style="1" width="12.85"/>
    <col collapsed="false" customWidth="true" hidden="false" outlineLevel="0" max="3" min="3" style="1" width="12.7"/>
    <col collapsed="false" customWidth="true" hidden="false" outlineLevel="0" max="4" min="4" style="1" width="10.71"/>
    <col collapsed="false" customWidth="true" hidden="false" outlineLevel="0" max="5" min="5" style="1" width="11.7"/>
    <col collapsed="false" customWidth="true" hidden="false" outlineLevel="0" max="6" min="6" style="1" width="10.71"/>
    <col collapsed="false" customWidth="true" hidden="false" outlineLevel="0" max="7" min="7" style="1" width="11.7"/>
    <col collapsed="false" customWidth="true" hidden="false" outlineLevel="0" max="8" min="8" style="1" width="10.71"/>
    <col collapsed="false" customWidth="true" hidden="true" outlineLevel="1" max="9" min="9" style="1" width="8.7"/>
    <col collapsed="false" customWidth="true" hidden="false" outlineLevel="0" max="11" min="10" style="1" width="13.7"/>
    <col collapsed="false" customWidth="true" hidden="true" outlineLevel="1" max="12" min="12" style="1" width="13.7"/>
    <col collapsed="false" customWidth="true" hidden="false" outlineLevel="0" max="14" min="13" style="1" width="13.7"/>
    <col collapsed="false" customWidth="true" hidden="true" outlineLevel="1" max="15" min="15" style="1" width="13.7"/>
    <col collapsed="false" customWidth="true" hidden="false" outlineLevel="0" max="17" min="16" style="1" width="13.7"/>
    <col collapsed="false" customWidth="true" hidden="false" outlineLevel="0" max="25" min="18" style="1" width="9.7"/>
    <col collapsed="false" customWidth="true" hidden="false" outlineLevel="0" max="26" min="26" style="1" width="10.71"/>
    <col collapsed="false" customWidth="false" hidden="false" outlineLevel="0" max="27" min="27" style="1" width="9.14"/>
    <col collapsed="false" customWidth="true" hidden="false" outlineLevel="0" max="30" min="28" style="1" width="10.71"/>
    <col collapsed="false" customWidth="true" hidden="false" outlineLevel="0" max="31" min="31" style="1" width="15.7"/>
    <col collapsed="false" customWidth="false" hidden="false" outlineLevel="0" max="257" min="32" style="1" width="9.14"/>
  </cols>
  <sheetData>
    <row r="1" customFormat="false" ht="18" hidden="false" customHeight="false" outlineLevel="0" collapsed="false">
      <c r="A1" s="2" t="s">
        <v>355</v>
      </c>
      <c r="B1" s="2"/>
      <c r="C1" s="2"/>
    </row>
    <row r="2" customFormat="false" ht="15" hidden="false" customHeight="true" outlineLevel="0" collapsed="false">
      <c r="A2" s="3" t="s">
        <v>1</v>
      </c>
      <c r="B2" s="3"/>
      <c r="C2" s="3"/>
      <c r="AF2" s="4"/>
    </row>
    <row r="3" customFormat="false" ht="12.75" hidden="false" customHeight="false" outlineLevel="0" collapsed="false">
      <c r="A3" s="5" t="s">
        <v>2</v>
      </c>
      <c r="B3" s="5"/>
      <c r="C3" s="5"/>
      <c r="AF3" s="4"/>
    </row>
    <row r="4" customFormat="false" ht="12.75" hidden="false" customHeight="false" outlineLevel="0" collapsed="false">
      <c r="A4" s="5"/>
      <c r="B4" s="5"/>
      <c r="C4" s="5"/>
      <c r="AF4" s="4"/>
    </row>
    <row r="5" customFormat="false" ht="12.75" hidden="false" customHeight="false" outlineLevel="0" collapsed="false">
      <c r="A5" s="5"/>
      <c r="B5" s="5"/>
      <c r="C5" s="5"/>
      <c r="AF5" s="4"/>
    </row>
    <row r="6" customFormat="false" ht="12.75" hidden="false" customHeight="false" outlineLevel="0" collapsed="false">
      <c r="A6" s="7" t="s">
        <v>3</v>
      </c>
      <c r="B6" s="8" t="n">
        <v>37106</v>
      </c>
      <c r="C6" s="9"/>
    </row>
    <row r="7" customFormat="false" ht="12.75" hidden="false" customHeight="false" outlineLevel="0" collapsed="false">
      <c r="D7" s="10"/>
      <c r="E7" s="10"/>
      <c r="F7" s="10"/>
      <c r="G7" s="10"/>
      <c r="H7" s="11" t="s">
        <v>4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2" t="s">
        <v>5</v>
      </c>
      <c r="V7" s="12"/>
      <c r="W7" s="12"/>
      <c r="X7" s="12" t="s">
        <v>6</v>
      </c>
      <c r="Y7" s="12"/>
      <c r="Z7" s="11" t="s">
        <v>7</v>
      </c>
    </row>
    <row r="8" customFormat="false" ht="12.75" hidden="false" customHeight="false" outlineLevel="0" collapsed="false">
      <c r="A8" s="10"/>
      <c r="B8" s="10"/>
      <c r="C8" s="11" t="s">
        <v>8</v>
      </c>
      <c r="D8" s="11" t="s">
        <v>9</v>
      </c>
      <c r="E8" s="13" t="s">
        <v>10</v>
      </c>
      <c r="F8" s="13"/>
      <c r="G8" s="11" t="s">
        <v>11</v>
      </c>
      <c r="H8" s="11" t="s">
        <v>11</v>
      </c>
      <c r="I8" s="12" t="s">
        <v>12</v>
      </c>
      <c r="J8" s="12"/>
      <c r="K8" s="12"/>
      <c r="L8" s="12" t="s">
        <v>13</v>
      </c>
      <c r="M8" s="12"/>
      <c r="N8" s="12"/>
      <c r="O8" s="12" t="s">
        <v>14</v>
      </c>
      <c r="P8" s="12"/>
      <c r="Q8" s="12"/>
      <c r="R8" s="13" t="s">
        <v>15</v>
      </c>
      <c r="S8" s="13" t="s">
        <v>16</v>
      </c>
      <c r="T8" s="11" t="s">
        <v>17</v>
      </c>
      <c r="U8" s="11" t="s">
        <v>18</v>
      </c>
      <c r="V8" s="11"/>
      <c r="W8" s="11" t="s">
        <v>19</v>
      </c>
      <c r="X8" s="11" t="s">
        <v>18</v>
      </c>
      <c r="Y8" s="11" t="s">
        <v>20</v>
      </c>
      <c r="Z8" s="11" t="s">
        <v>21</v>
      </c>
      <c r="AA8" s="13"/>
    </row>
    <row r="9" customFormat="false" ht="12.75" hidden="false" customHeight="false" outlineLevel="0" collapsed="false">
      <c r="A9" s="11" t="s">
        <v>22</v>
      </c>
      <c r="B9" s="11" t="s">
        <v>23</v>
      </c>
      <c r="C9" s="11" t="s">
        <v>24</v>
      </c>
      <c r="D9" s="11" t="s">
        <v>25</v>
      </c>
      <c r="E9" s="11" t="s">
        <v>26</v>
      </c>
      <c r="F9" s="11" t="s">
        <v>27</v>
      </c>
      <c r="G9" s="11" t="s">
        <v>28</v>
      </c>
      <c r="H9" s="11" t="s">
        <v>28</v>
      </c>
      <c r="I9" s="11" t="s">
        <v>29</v>
      </c>
      <c r="J9" s="11" t="s">
        <v>30</v>
      </c>
      <c r="K9" s="11" t="s">
        <v>31</v>
      </c>
      <c r="L9" s="11" t="s">
        <v>29</v>
      </c>
      <c r="M9" s="11" t="s">
        <v>30</v>
      </c>
      <c r="N9" s="11" t="s">
        <v>31</v>
      </c>
      <c r="O9" s="11" t="s">
        <v>29</v>
      </c>
      <c r="P9" s="11" t="s">
        <v>30</v>
      </c>
      <c r="Q9" s="11" t="s">
        <v>31</v>
      </c>
      <c r="R9" s="11" t="s">
        <v>32</v>
      </c>
      <c r="S9" s="11" t="s">
        <v>33</v>
      </c>
      <c r="T9" s="11" t="s">
        <v>34</v>
      </c>
      <c r="U9" s="11" t="s">
        <v>35</v>
      </c>
      <c r="V9" s="11" t="s">
        <v>36</v>
      </c>
      <c r="W9" s="11" t="s">
        <v>37</v>
      </c>
      <c r="X9" s="11" t="s">
        <v>38</v>
      </c>
      <c r="Y9" s="11" t="s">
        <v>6</v>
      </c>
      <c r="Z9" s="11" t="s">
        <v>39</v>
      </c>
      <c r="AA9" s="13"/>
    </row>
    <row r="10" customFormat="false" ht="4.9" hidden="false" customHeight="true" outlineLevel="0" collapsed="false">
      <c r="A10" s="14" t="s">
        <v>40</v>
      </c>
      <c r="B10" s="14" t="s">
        <v>40</v>
      </c>
      <c r="C10" s="14" t="s">
        <v>40</v>
      </c>
      <c r="D10" s="14" t="s">
        <v>40</v>
      </c>
      <c r="E10" s="14" t="s">
        <v>40</v>
      </c>
      <c r="F10" s="14" t="s">
        <v>40</v>
      </c>
      <c r="G10" s="14" t="s">
        <v>40</v>
      </c>
      <c r="H10" s="14" t="s">
        <v>40</v>
      </c>
      <c r="I10" s="14" t="s">
        <v>40</v>
      </c>
      <c r="J10" s="14" t="s">
        <v>40</v>
      </c>
      <c r="K10" s="14" t="s">
        <v>40</v>
      </c>
      <c r="L10" s="14" t="s">
        <v>40</v>
      </c>
      <c r="M10" s="14" t="s">
        <v>40</v>
      </c>
      <c r="N10" s="14" t="s">
        <v>40</v>
      </c>
      <c r="O10" s="14" t="s">
        <v>40</v>
      </c>
      <c r="P10" s="14" t="s">
        <v>40</v>
      </c>
      <c r="Q10" s="14" t="s">
        <v>40</v>
      </c>
      <c r="R10" s="14" t="s">
        <v>40</v>
      </c>
      <c r="S10" s="14" t="s">
        <v>40</v>
      </c>
      <c r="T10" s="14" t="s">
        <v>40</v>
      </c>
      <c r="U10" s="14" t="s">
        <v>40</v>
      </c>
      <c r="V10" s="14" t="s">
        <v>40</v>
      </c>
      <c r="W10" s="14" t="s">
        <v>40</v>
      </c>
      <c r="X10" s="14" t="s">
        <v>40</v>
      </c>
      <c r="Y10" s="14" t="s">
        <v>40</v>
      </c>
      <c r="Z10" s="14" t="s">
        <v>40</v>
      </c>
      <c r="AA10" s="15"/>
    </row>
    <row r="11" customFormat="false" ht="12.95" hidden="false" customHeight="true" outlineLevel="0" collapsed="false">
      <c r="A11" s="1" t="s">
        <v>356</v>
      </c>
      <c r="B11" s="16" t="s">
        <v>357</v>
      </c>
      <c r="C11" s="25" t="n">
        <v>37106</v>
      </c>
      <c r="D11" s="18" t="n">
        <v>8.78</v>
      </c>
      <c r="E11" s="18" t="n">
        <v>12.75</v>
      </c>
      <c r="F11" s="18" t="n">
        <v>7.9</v>
      </c>
      <c r="G11" s="19" t="n">
        <v>288.2872172</v>
      </c>
      <c r="H11" s="19" t="n">
        <v>773.1877172</v>
      </c>
      <c r="I11" s="21" t="s">
        <v>169</v>
      </c>
      <c r="J11" s="21" t="n">
        <v>6.04433684210526</v>
      </c>
      <c r="K11" s="21" t="n">
        <v>8.25470085470085</v>
      </c>
      <c r="L11" s="21" t="s">
        <v>169</v>
      </c>
      <c r="M11" s="21" t="n">
        <v>3.22228956228956</v>
      </c>
      <c r="N11" s="21" t="n">
        <v>2.37297297297297</v>
      </c>
      <c r="O11" s="21" t="n">
        <v>1.71265159212965</v>
      </c>
      <c r="P11" s="21" t="n">
        <v>6.25556405501618</v>
      </c>
      <c r="Q11" s="21" t="n">
        <v>4.89669231918936</v>
      </c>
      <c r="R11" s="22" t="n">
        <v>0.854998759354364</v>
      </c>
      <c r="S11" s="21" t="n">
        <v>4.14736109680482</v>
      </c>
      <c r="T11" s="22" t="n">
        <v>0</v>
      </c>
      <c r="U11" s="23" t="n">
        <v>121.044833333333</v>
      </c>
      <c r="V11" s="22" t="n">
        <v>0.525043751006858</v>
      </c>
      <c r="W11" s="18" t="n">
        <v>6.3876143731868</v>
      </c>
      <c r="X11" s="19" t="n">
        <v>1666.004</v>
      </c>
      <c r="Y11" s="21" t="n">
        <v>0.464097155348967</v>
      </c>
      <c r="Z11" s="24" t="n">
        <v>32.8345349886105</v>
      </c>
    </row>
    <row r="12" customFormat="false" ht="12.95" hidden="false" customHeight="true" outlineLevel="0" collapsed="false">
      <c r="A12" s="1" t="s">
        <v>358</v>
      </c>
      <c r="B12" s="16" t="s">
        <v>359</v>
      </c>
      <c r="C12" s="25" t="n">
        <v>37106</v>
      </c>
      <c r="D12" s="18" t="n">
        <v>24.72</v>
      </c>
      <c r="E12" s="18" t="n">
        <v>34.35</v>
      </c>
      <c r="F12" s="18" t="n">
        <v>17.125</v>
      </c>
      <c r="G12" s="19" t="n">
        <v>730.73976715</v>
      </c>
      <c r="H12" s="19" t="n">
        <v>1092.62876715</v>
      </c>
      <c r="I12" s="21" t="n">
        <v>10.1169535689013</v>
      </c>
      <c r="J12" s="21" t="n">
        <v>9.89475409836065</v>
      </c>
      <c r="K12" s="21" t="n">
        <v>15.5877707006369</v>
      </c>
      <c r="L12" s="21" t="n">
        <v>3.90317964201833</v>
      </c>
      <c r="M12" s="21" t="n">
        <v>3.10856652360515</v>
      </c>
      <c r="N12" s="21" t="n">
        <v>3.49112696148359</v>
      </c>
      <c r="O12" s="21" t="n">
        <v>3.47479881857563</v>
      </c>
      <c r="P12" s="21" t="n">
        <v>4.12157211297624</v>
      </c>
      <c r="Q12" s="21" t="n">
        <v>4.44881419849348</v>
      </c>
      <c r="R12" s="22" t="n">
        <v>0.561068217054264</v>
      </c>
      <c r="S12" s="21" t="n">
        <v>2.58110694091717</v>
      </c>
      <c r="T12" s="22" t="n">
        <v>0.006622515</v>
      </c>
      <c r="U12" s="26" t="n">
        <v>194.41</v>
      </c>
      <c r="V12" s="22" t="n">
        <v>0.891733964302248</v>
      </c>
      <c r="W12" s="18" t="n">
        <v>5.62022924309449</v>
      </c>
      <c r="X12" s="19" t="n">
        <v>2409.832</v>
      </c>
      <c r="Y12" s="21" t="n">
        <v>0.453404539050855</v>
      </c>
      <c r="Z12" s="27" t="n">
        <v>29.5606701921521</v>
      </c>
      <c r="AA12" s="28"/>
    </row>
    <row r="13" customFormat="false" ht="12.95" hidden="false" customHeight="true" outlineLevel="0" collapsed="false">
      <c r="A13" s="1" t="s">
        <v>360</v>
      </c>
      <c r="B13" s="16" t="s">
        <v>361</v>
      </c>
      <c r="C13" s="25" t="n">
        <v>37106</v>
      </c>
      <c r="D13" s="18" t="n">
        <v>9</v>
      </c>
      <c r="E13" s="18" t="n">
        <v>17.625</v>
      </c>
      <c r="F13" s="18" t="n">
        <v>8.8</v>
      </c>
      <c r="G13" s="19" t="n">
        <v>120.235959</v>
      </c>
      <c r="H13" s="19" t="n">
        <v>261.074959</v>
      </c>
      <c r="I13" s="21" t="n">
        <v>9.45000729836079</v>
      </c>
      <c r="J13" s="21" t="n">
        <v>11.413043891777</v>
      </c>
      <c r="K13" s="21" t="n">
        <v>15.9898460924014</v>
      </c>
      <c r="L13" s="21" t="n">
        <v>3.71488472471112</v>
      </c>
      <c r="M13" s="21" t="n">
        <v>3.52020814599633</v>
      </c>
      <c r="N13" s="21" t="n">
        <v>3.88209976737596</v>
      </c>
      <c r="O13" s="21" t="n">
        <v>2.21253811898497</v>
      </c>
      <c r="P13" s="21" t="n">
        <v>5.02000393512771</v>
      </c>
      <c r="Q13" s="21" t="n">
        <v>5.13695638989741</v>
      </c>
      <c r="R13" s="22" t="n">
        <v>0.575161815201656</v>
      </c>
      <c r="S13" s="21" t="n">
        <v>0.846547296012842</v>
      </c>
      <c r="T13" s="22" t="n">
        <v>0</v>
      </c>
      <c r="U13" s="26" t="n">
        <v>55.0356666666667</v>
      </c>
      <c r="V13" s="22" t="n">
        <v>0.393447885310738</v>
      </c>
      <c r="W13" s="18" t="n">
        <v>4.74374119207544</v>
      </c>
      <c r="X13" s="19" t="n">
        <v>671.197</v>
      </c>
      <c r="Y13" s="21" t="n">
        <v>0.388969198312865</v>
      </c>
      <c r="Z13" s="27" t="n">
        <v>13.359551</v>
      </c>
      <c r="AA13" s="28"/>
    </row>
    <row r="14" customFormat="false" ht="12.95" hidden="false" customHeight="true" outlineLevel="0" collapsed="false">
      <c r="A14" s="1" t="s">
        <v>362</v>
      </c>
      <c r="B14" s="16" t="s">
        <v>363</v>
      </c>
      <c r="C14" s="25" t="n">
        <v>37106</v>
      </c>
      <c r="D14" s="18" t="n">
        <v>28.96</v>
      </c>
      <c r="E14" s="18" t="n">
        <v>33.7</v>
      </c>
      <c r="F14" s="18" t="n">
        <v>16.75</v>
      </c>
      <c r="G14" s="19" t="n">
        <v>474.40874417</v>
      </c>
      <c r="H14" s="19" t="n">
        <v>529.04724417</v>
      </c>
      <c r="I14" s="21" t="n">
        <v>10.5984706708816</v>
      </c>
      <c r="J14" s="21" t="n">
        <v>9.92055363321799</v>
      </c>
      <c r="K14" s="21" t="n">
        <v>11.6072144288577</v>
      </c>
      <c r="L14" s="21" t="n">
        <v>3.81182853652266</v>
      </c>
      <c r="M14" s="21" t="n">
        <v>3.49639024390244</v>
      </c>
      <c r="N14" s="21" t="n">
        <v>3.79554390563565</v>
      </c>
      <c r="O14" s="21" t="n">
        <v>3.70235563631114</v>
      </c>
      <c r="P14" s="21" t="n">
        <v>3.06694054591304</v>
      </c>
      <c r="Q14" s="21" t="n">
        <v>3.36972766987261</v>
      </c>
      <c r="R14" s="22" t="n">
        <v>0.0311261761803824</v>
      </c>
      <c r="S14" s="21" t="n">
        <v>1.91394176047928</v>
      </c>
      <c r="T14" s="22" t="n">
        <v>0</v>
      </c>
      <c r="U14" s="26" t="n">
        <v>44.2606666666667</v>
      </c>
      <c r="V14" s="22" t="n">
        <v>0.70364205991776</v>
      </c>
      <c r="W14" s="18" t="n">
        <v>11.952988601693</v>
      </c>
      <c r="X14" s="19" t="n">
        <v>849.465</v>
      </c>
      <c r="Y14" s="21" t="n">
        <v>0.622800520527626</v>
      </c>
      <c r="Z14" s="27" t="n">
        <v>16.3815174091851</v>
      </c>
      <c r="AA14" s="28"/>
    </row>
    <row r="15" customFormat="false" ht="12.95" hidden="false" customHeight="true" outlineLevel="0" collapsed="false">
      <c r="A15" s="1" t="s">
        <v>364</v>
      </c>
      <c r="B15" s="16" t="s">
        <v>365</v>
      </c>
      <c r="C15" s="25" t="n">
        <v>37106</v>
      </c>
      <c r="D15" s="18" t="n">
        <v>7.16</v>
      </c>
      <c r="E15" s="18" t="n">
        <v>15</v>
      </c>
      <c r="F15" s="18" t="n">
        <v>6.58</v>
      </c>
      <c r="G15" s="19" t="n">
        <v>247.49745268</v>
      </c>
      <c r="H15" s="19" t="n">
        <v>442.18145268</v>
      </c>
      <c r="I15" s="21" t="n">
        <v>4.08502304026224</v>
      </c>
      <c r="J15" s="21" t="n">
        <v>3.73178572494347</v>
      </c>
      <c r="K15" s="21" t="n">
        <v>4.56661182297995</v>
      </c>
      <c r="L15" s="21" t="n">
        <v>1.74021245351036</v>
      </c>
      <c r="M15" s="21" t="n">
        <v>1.63674812497521</v>
      </c>
      <c r="N15" s="21" t="n">
        <v>1.79793249916725</v>
      </c>
      <c r="O15" s="21" t="n">
        <v>1.17689483292677</v>
      </c>
      <c r="P15" s="21" t="n">
        <v>2.49538065846501</v>
      </c>
      <c r="Q15" s="21" t="n">
        <v>2.77056048045113</v>
      </c>
      <c r="R15" s="22" t="n">
        <v>0.514081705407933</v>
      </c>
      <c r="S15" s="21" t="n">
        <v>1.31578992163659</v>
      </c>
      <c r="T15" s="22" t="n">
        <v>0</v>
      </c>
      <c r="U15" s="26" t="n">
        <v>67.0901666666667</v>
      </c>
      <c r="V15" s="22" t="n">
        <v>0.739887365510594</v>
      </c>
      <c r="W15" s="18" t="n">
        <v>6.59085339401452</v>
      </c>
      <c r="X15" s="19" t="n">
        <v>1288.764</v>
      </c>
      <c r="Y15" s="21" t="n">
        <v>0.343105062431911</v>
      </c>
      <c r="Z15" s="27" t="n">
        <v>34.5666833351955</v>
      </c>
      <c r="AA15" s="28"/>
    </row>
    <row r="16" customFormat="false" ht="12.95" hidden="false" customHeight="true" outlineLevel="0" collapsed="false">
      <c r="A16" s="1" t="s">
        <v>366</v>
      </c>
      <c r="B16" s="16" t="s">
        <v>367</v>
      </c>
      <c r="C16" s="25" t="n">
        <v>37106</v>
      </c>
      <c r="D16" s="18" t="n">
        <v>9.34</v>
      </c>
      <c r="E16" s="18" t="n">
        <v>12.3</v>
      </c>
      <c r="F16" s="18" t="n">
        <v>5.4375</v>
      </c>
      <c r="G16" s="19" t="n">
        <v>486.05385443</v>
      </c>
      <c r="H16" s="19" t="n">
        <v>765.30285443</v>
      </c>
      <c r="I16" s="21" t="n">
        <v>3.10218759409246</v>
      </c>
      <c r="J16" s="21" t="n">
        <v>7.17153262518968</v>
      </c>
      <c r="K16" s="21" t="n">
        <v>13.7189159891599</v>
      </c>
      <c r="L16" s="21" t="n">
        <v>3.10218759409246</v>
      </c>
      <c r="M16" s="21" t="n">
        <v>2.68830489192264</v>
      </c>
      <c r="N16" s="21" t="n">
        <v>3.13842529448233</v>
      </c>
      <c r="O16" s="21" t="n">
        <v>3.03893820528692</v>
      </c>
      <c r="P16" s="21" t="n">
        <v>3.67580621724304</v>
      </c>
      <c r="Q16" s="21" t="n">
        <v>3.75332444546346</v>
      </c>
      <c r="R16" s="22" t="n">
        <v>0.553908746390981</v>
      </c>
      <c r="S16" s="21" t="n">
        <v>1.99864244888812</v>
      </c>
      <c r="T16" s="22" t="n">
        <v>0</v>
      </c>
      <c r="U16" s="26" t="n">
        <v>100.525333333333</v>
      </c>
      <c r="V16" s="22" t="n">
        <v>0.288070005570735</v>
      </c>
      <c r="W16" s="18" t="n">
        <v>7.61303473515797</v>
      </c>
      <c r="X16" s="19" t="n">
        <v>841.299</v>
      </c>
      <c r="Y16" s="21" t="n">
        <v>0.909668089977523</v>
      </c>
      <c r="Z16" s="27" t="n">
        <v>52.0400272408994</v>
      </c>
      <c r="AA16" s="28"/>
    </row>
    <row r="17" customFormat="false" ht="12.95" hidden="false" customHeight="true" outlineLevel="0" collapsed="false">
      <c r="A17" s="35" t="s">
        <v>368</v>
      </c>
      <c r="B17" s="36" t="s">
        <v>368</v>
      </c>
      <c r="C17" s="53" t="n">
        <v>37106</v>
      </c>
      <c r="D17" s="18" t="n">
        <v>2.95</v>
      </c>
      <c r="E17" s="18" t="n">
        <v>6.875</v>
      </c>
      <c r="F17" s="18" t="n">
        <v>2.29</v>
      </c>
      <c r="G17" s="19" t="n">
        <v>124.55015935</v>
      </c>
      <c r="H17" s="19" t="n">
        <v>680.01715935</v>
      </c>
      <c r="I17" s="21" t="n">
        <v>2.60507072531095</v>
      </c>
      <c r="J17" s="21" t="s">
        <v>169</v>
      </c>
      <c r="K17" s="21" t="s">
        <v>169</v>
      </c>
      <c r="L17" s="21" t="e">
        <f aca="false"/>
        <v>#DIV/0!</v>
      </c>
      <c r="M17" s="21" t="n">
        <v>1.15724365004704</v>
      </c>
      <c r="N17" s="21" t="n">
        <v>1.04205214465938</v>
      </c>
      <c r="O17" s="21" t="n">
        <v>0.674385091262514</v>
      </c>
      <c r="P17" s="21" t="n">
        <v>4.50342489635762</v>
      </c>
      <c r="Q17" s="21" t="n">
        <v>4.17444542265193</v>
      </c>
      <c r="R17" s="22" t="n">
        <v>0.584742348982769</v>
      </c>
      <c r="S17" s="21" t="n">
        <v>0.447261168407709</v>
      </c>
      <c r="T17" s="22" t="n">
        <v>0</v>
      </c>
      <c r="U17" s="26" t="n">
        <v>88.8851666666667</v>
      </c>
      <c r="V17" s="22" t="n">
        <v>0.717421917042776</v>
      </c>
      <c r="W17" s="18" t="n">
        <v>7.65051340793646</v>
      </c>
      <c r="X17" s="19" t="n">
        <v>1283.3</v>
      </c>
      <c r="Y17" s="21" t="n">
        <v>0.529897264357516</v>
      </c>
      <c r="Z17" s="27" t="n">
        <v>42.220393</v>
      </c>
      <c r="AA17" s="28"/>
    </row>
    <row r="18" customFormat="false" ht="12.95" hidden="false" customHeight="true" outlineLevel="0" collapsed="false">
      <c r="A18" s="35" t="s">
        <v>369</v>
      </c>
      <c r="B18" s="36" t="s">
        <v>370</v>
      </c>
      <c r="C18" s="53" t="n">
        <v>37106</v>
      </c>
      <c r="D18" s="18" t="n">
        <v>10.95</v>
      </c>
      <c r="E18" s="18" t="n">
        <v>15.375</v>
      </c>
      <c r="F18" s="18" t="n">
        <v>9</v>
      </c>
      <c r="G18" s="19" t="n">
        <v>292.7760849</v>
      </c>
      <c r="H18" s="19" t="n">
        <v>291.6110849</v>
      </c>
      <c r="I18" s="21" t="n">
        <v>20.9363252675177</v>
      </c>
      <c r="J18" s="21" t="n">
        <v>9.41665071770335</v>
      </c>
      <c r="K18" s="21" t="n">
        <v>14.3306796116505</v>
      </c>
      <c r="L18" s="21" t="n">
        <v>3.42732460948328</v>
      </c>
      <c r="M18" s="21" t="n">
        <v>2.73699239755238</v>
      </c>
      <c r="N18" s="21" t="n">
        <v>3.06490863787376</v>
      </c>
      <c r="O18" s="21" t="n">
        <v>3.08731319491311</v>
      </c>
      <c r="P18" s="21" t="n">
        <v>2.57061957775035</v>
      </c>
      <c r="Q18" s="21" t="n">
        <v>3.0044414269524</v>
      </c>
      <c r="R18" s="22" t="n">
        <v>0.0327510144380485</v>
      </c>
      <c r="S18" s="21" t="n">
        <v>1.78523091543241</v>
      </c>
      <c r="T18" s="22" t="n">
        <v>0</v>
      </c>
      <c r="U18" s="26" t="n">
        <v>35.7126666666667</v>
      </c>
      <c r="V18" s="22" t="n">
        <v>0.229377065093618</v>
      </c>
      <c r="W18" s="18" t="n">
        <v>8.16548054565141</v>
      </c>
      <c r="X18" s="19" t="n">
        <v>348.102</v>
      </c>
      <c r="Y18" s="21" t="n">
        <v>0.837717349799771</v>
      </c>
      <c r="Z18" s="27" t="n">
        <v>26.737542</v>
      </c>
      <c r="AA18" s="28"/>
      <c r="AB18" s="16"/>
      <c r="AC18" s="69"/>
      <c r="AD18" s="70"/>
    </row>
    <row r="19" customFormat="false" ht="12.95" hidden="false" customHeight="true" outlineLevel="0" collapsed="false">
      <c r="A19" s="35" t="s">
        <v>371</v>
      </c>
      <c r="B19" s="36" t="s">
        <v>372</v>
      </c>
      <c r="C19" s="53" t="n">
        <v>37106</v>
      </c>
      <c r="D19" s="18" t="n">
        <v>36.31</v>
      </c>
      <c r="E19" s="18" t="n">
        <v>50.99</v>
      </c>
      <c r="F19" s="18" t="n">
        <v>26.375</v>
      </c>
      <c r="G19" s="19" t="n">
        <v>705.621356329</v>
      </c>
      <c r="H19" s="19" t="n">
        <v>841.856356329</v>
      </c>
      <c r="I19" s="21" t="n">
        <v>25.973473564582</v>
      </c>
      <c r="J19" s="21" t="n">
        <v>16.0250036760553</v>
      </c>
      <c r="K19" s="21" t="n">
        <v>20.5827034883721</v>
      </c>
      <c r="L19" s="21" t="n">
        <v>12.4461381509331</v>
      </c>
      <c r="M19" s="21" t="n">
        <v>8.38584421757731</v>
      </c>
      <c r="N19" s="21" t="n">
        <v>11.7615448504983</v>
      </c>
      <c r="O19" s="21" t="n">
        <v>10.966389349885</v>
      </c>
      <c r="P19" s="21" t="n">
        <v>8.71486911313665</v>
      </c>
      <c r="Q19" s="21" t="n">
        <v>10.1550827060193</v>
      </c>
      <c r="R19" s="22" t="n">
        <v>0.328735977752307</v>
      </c>
      <c r="S19" s="21" t="n">
        <v>2.46900317828701</v>
      </c>
      <c r="T19" s="22" t="n">
        <v>0</v>
      </c>
      <c r="U19" s="26" t="n">
        <v>145.754333333333</v>
      </c>
      <c r="V19" s="22" t="n">
        <v>1</v>
      </c>
      <c r="W19" s="18" t="n">
        <v>5.77585816542218</v>
      </c>
      <c r="X19" s="19" t="n">
        <v>1823.751</v>
      </c>
      <c r="Y19" s="21" t="n">
        <v>0.461607070443827</v>
      </c>
      <c r="Z19" s="27" t="n">
        <v>19.4332513447811</v>
      </c>
      <c r="AA19" s="28"/>
      <c r="AB19" s="16"/>
      <c r="AC19" s="69"/>
      <c r="AD19" s="70"/>
    </row>
    <row r="20" customFormat="false" ht="12.95" hidden="false" customHeight="true" outlineLevel="0" collapsed="false">
      <c r="A20" s="1" t="s">
        <v>373</v>
      </c>
      <c r="B20" s="16" t="s">
        <v>374</v>
      </c>
      <c r="C20" s="25" t="n">
        <v>37106</v>
      </c>
      <c r="D20" s="18" t="n">
        <v>31.77</v>
      </c>
      <c r="E20" s="18" t="n">
        <v>39.75</v>
      </c>
      <c r="F20" s="18" t="n">
        <v>21.5625</v>
      </c>
      <c r="G20" s="19" t="n">
        <v>964.95254193</v>
      </c>
      <c r="H20" s="19" t="n">
        <v>1147.28254193</v>
      </c>
      <c r="I20" s="21" t="e">
        <f aca="false"/>
        <v>#REF!</v>
      </c>
      <c r="J20" s="21" t="n">
        <v>6.17149751623997</v>
      </c>
      <c r="K20" s="21" t="n">
        <v>8.88350757214624</v>
      </c>
      <c r="L20" s="21" t="e">
        <f aca="false"/>
        <v>#REF!</v>
      </c>
      <c r="M20" s="21" t="n">
        <v>2.79300124511465</v>
      </c>
      <c r="N20" s="21" t="n">
        <v>3.49693101034231</v>
      </c>
      <c r="O20" s="21" t="e">
        <f aca="false"/>
        <v>#REF!</v>
      </c>
      <c r="P20" s="21" t="n">
        <v>3.1317595824894</v>
      </c>
      <c r="Q20" s="21" t="n">
        <v>3.86368472395097</v>
      </c>
      <c r="R20" s="22" t="n">
        <v>0.311686692536662</v>
      </c>
      <c r="S20" s="21" t="n">
        <v>2.18478171922476</v>
      </c>
      <c r="T20" s="22" t="n">
        <v>0</v>
      </c>
      <c r="U20" s="26" t="n">
        <v>93.605</v>
      </c>
      <c r="V20" s="22" t="n">
        <v>0.942823567117141</v>
      </c>
      <c r="W20" s="18" t="n">
        <v>12.256637379734</v>
      </c>
      <c r="X20" s="19" t="n">
        <v>2064.027</v>
      </c>
      <c r="Y20" s="21" t="n">
        <v>0.555846673483438</v>
      </c>
      <c r="Z20" s="27" t="n">
        <v>30.3730734003777</v>
      </c>
      <c r="AA20" s="28"/>
      <c r="AB20" s="16"/>
      <c r="AC20" s="69"/>
      <c r="AD20" s="70"/>
    </row>
    <row r="21" customFormat="false" ht="12.95" hidden="false" customHeight="true" outlineLevel="0" collapsed="false">
      <c r="A21" s="35" t="s">
        <v>375</v>
      </c>
      <c r="B21" s="36" t="s">
        <v>376</v>
      </c>
      <c r="C21" s="53" t="n">
        <v>37106</v>
      </c>
      <c r="D21" s="18" t="n">
        <v>63.58</v>
      </c>
      <c r="E21" s="18" t="n">
        <v>66.55</v>
      </c>
      <c r="F21" s="18" t="n">
        <v>27.6875</v>
      </c>
      <c r="G21" s="19" t="n">
        <v>1224.5118539</v>
      </c>
      <c r="H21" s="19" t="n">
        <v>1673.1728539</v>
      </c>
      <c r="I21" s="21" t="n">
        <v>14.9530403776125</v>
      </c>
      <c r="J21" s="21" t="n">
        <v>11.820156555773</v>
      </c>
      <c r="K21" s="21" t="n">
        <v>14.4917010949453</v>
      </c>
      <c r="L21" s="21" t="n">
        <v>5.419235430538</v>
      </c>
      <c r="M21" s="21" t="n">
        <v>4.73176654915786</v>
      </c>
      <c r="N21" s="21" t="n">
        <v>5.29394599789067</v>
      </c>
      <c r="O21" s="21" t="n">
        <v>4.50085588542317</v>
      </c>
      <c r="P21" s="21" t="n">
        <v>5.3285759678344</v>
      </c>
      <c r="Q21" s="21" t="n">
        <v>5.71438816222678</v>
      </c>
      <c r="R21" s="22" t="n">
        <v>0.693793582763813</v>
      </c>
      <c r="S21" s="21" t="n">
        <v>6.1762618664286</v>
      </c>
      <c r="T21" s="22" t="n">
        <v>0</v>
      </c>
      <c r="U21" s="26" t="n">
        <v>215.9065</v>
      </c>
      <c r="V21" s="22" t="n">
        <v>0.790705698994704</v>
      </c>
      <c r="W21" s="18" t="n">
        <v>7.7495251597335</v>
      </c>
      <c r="X21" s="19" t="n">
        <v>2829.442</v>
      </c>
      <c r="Y21" s="21" t="n">
        <v>0.591343753962795</v>
      </c>
      <c r="Z21" s="27" t="n">
        <v>19.2593874473105</v>
      </c>
      <c r="AA21" s="28"/>
      <c r="AB21" s="16"/>
      <c r="AC21" s="69"/>
      <c r="AD21" s="70"/>
    </row>
    <row r="22" customFormat="false" ht="12.95" hidden="false" customHeight="true" outlineLevel="0" collapsed="false">
      <c r="A22" s="1" t="s">
        <v>377</v>
      </c>
      <c r="B22" s="16" t="s">
        <v>378</v>
      </c>
      <c r="C22" s="25" t="n">
        <v>37106</v>
      </c>
      <c r="D22" s="18" t="n">
        <v>5.91</v>
      </c>
      <c r="E22" s="18" t="n">
        <v>9.3125</v>
      </c>
      <c r="F22" s="18" t="n">
        <v>5</v>
      </c>
      <c r="G22" s="19" t="n">
        <v>289.30265355</v>
      </c>
      <c r="H22" s="19" t="n">
        <v>502.43265355</v>
      </c>
      <c r="I22" s="21" t="e">
        <f aca="false"/>
        <v>#REF!</v>
      </c>
      <c r="J22" s="21" t="n">
        <v>9.33558765537934</v>
      </c>
      <c r="K22" s="21" t="n">
        <v>16.6064905984634</v>
      </c>
      <c r="L22" s="21" t="e">
        <f aca="false"/>
        <v>#REF!</v>
      </c>
      <c r="M22" s="21" t="n">
        <v>2.29458521701954</v>
      </c>
      <c r="N22" s="21" t="n">
        <v>2.57424160070167</v>
      </c>
      <c r="O22" s="21" t="e">
        <f aca="false"/>
        <v>#REF!</v>
      </c>
      <c r="P22" s="21" t="n">
        <v>3.44415035337264</v>
      </c>
      <c r="Q22" s="21" t="n">
        <v>4.01230327934964</v>
      </c>
      <c r="R22" s="22" t="n">
        <v>0.57072362033477</v>
      </c>
      <c r="S22" s="21" t="n">
        <v>1.63581834582002</v>
      </c>
      <c r="T22" s="22" t="n">
        <v>0</v>
      </c>
      <c r="U22" s="26" t="n">
        <v>43.4788333333333</v>
      </c>
      <c r="V22" s="22" t="n">
        <v>0.486163765510421</v>
      </c>
      <c r="W22" s="18" t="n">
        <v>11.5557988802981</v>
      </c>
      <c r="X22" s="19" t="n">
        <v>992.254</v>
      </c>
      <c r="Y22" s="21" t="n">
        <v>0.506354878438384</v>
      </c>
      <c r="Z22" s="27" t="n">
        <v>48.9513796192893</v>
      </c>
      <c r="AA22" s="28"/>
      <c r="AB22" s="16"/>
      <c r="AC22" s="69"/>
      <c r="AD22" s="70"/>
      <c r="AE22" s="15"/>
    </row>
    <row r="23" customFormat="false" ht="12.95" hidden="false" customHeight="true" outlineLevel="0" collapsed="false">
      <c r="A23" s="35" t="s">
        <v>379</v>
      </c>
      <c r="B23" s="36" t="s">
        <v>380</v>
      </c>
      <c r="C23" s="53" t="n">
        <v>37106</v>
      </c>
      <c r="D23" s="18" t="n">
        <v>9</v>
      </c>
      <c r="E23" s="18" t="n">
        <v>13.9</v>
      </c>
      <c r="F23" s="18" t="n">
        <v>5.8125</v>
      </c>
      <c r="G23" s="19" t="n">
        <v>338.6808135</v>
      </c>
      <c r="H23" s="19" t="n">
        <v>536.1348135</v>
      </c>
      <c r="I23" s="21" t="n">
        <v>9.42922567110824</v>
      </c>
      <c r="J23" s="21" t="n">
        <v>5.83076923076923</v>
      </c>
      <c r="K23" s="21" t="n">
        <v>4.09580838323353</v>
      </c>
      <c r="L23" s="21" t="n">
        <v>4.45669572279894</v>
      </c>
      <c r="M23" s="21" t="n">
        <v>2.7200956937799</v>
      </c>
      <c r="N23" s="21" t="n">
        <v>2.07272727272727</v>
      </c>
      <c r="O23" s="21" t="n">
        <v>3.50768288729623</v>
      </c>
      <c r="P23" s="21" t="n">
        <v>3.55527064655172</v>
      </c>
      <c r="Q23" s="21" t="n">
        <v>2.66999409113546</v>
      </c>
      <c r="R23" s="22" t="n">
        <v>0.634310673762426</v>
      </c>
      <c r="S23" s="21" t="n">
        <v>3.09988296752581</v>
      </c>
      <c r="T23" s="22" t="n">
        <v>0</v>
      </c>
      <c r="U23" s="26" t="n">
        <v>61.171</v>
      </c>
      <c r="V23" s="22" t="n">
        <v>0.635399127037322</v>
      </c>
      <c r="W23" s="18" t="n">
        <v>8.76452589462327</v>
      </c>
      <c r="X23" s="19" t="n">
        <v>804.923</v>
      </c>
      <c r="Y23" s="21" t="n">
        <v>0.666069690516981</v>
      </c>
      <c r="Z23" s="27" t="n">
        <v>37.6312015</v>
      </c>
      <c r="AA23" s="28"/>
      <c r="AB23" s="16"/>
      <c r="AC23" s="69"/>
      <c r="AD23" s="70"/>
      <c r="AE23" s="15"/>
    </row>
    <row r="24" customFormat="false" ht="12.95" hidden="false" customHeight="true" outlineLevel="0" collapsed="false">
      <c r="A24" s="35" t="s">
        <v>381</v>
      </c>
      <c r="B24" s="36" t="s">
        <v>382</v>
      </c>
      <c r="C24" s="53" t="n">
        <v>37106</v>
      </c>
      <c r="D24" s="18" t="n">
        <v>17.36</v>
      </c>
      <c r="E24" s="18" t="n">
        <v>21.56</v>
      </c>
      <c r="F24" s="18" t="n">
        <v>14.05</v>
      </c>
      <c r="G24" s="19" t="n">
        <v>293.8541633</v>
      </c>
      <c r="H24" s="19" t="n">
        <v>686.7341633</v>
      </c>
      <c r="I24" s="21" t="n">
        <v>13.8214066874248</v>
      </c>
      <c r="J24" s="21" t="n">
        <v>15.9949158469945</v>
      </c>
      <c r="K24" s="21" t="n">
        <v>19.9161462882096</v>
      </c>
      <c r="L24" s="21" t="n">
        <v>2.63928180424588</v>
      </c>
      <c r="M24" s="21" t="n">
        <v>2.09522383358864</v>
      </c>
      <c r="N24" s="21" t="n">
        <v>2.17111370618031</v>
      </c>
      <c r="O24" s="21" t="n">
        <v>1.77174273647019</v>
      </c>
      <c r="P24" s="21" t="n">
        <v>3.60979259732341</v>
      </c>
      <c r="Q24" s="21" t="n">
        <v>3.732108905096</v>
      </c>
      <c r="R24" s="22" t="n">
        <v>0.553487548955106</v>
      </c>
      <c r="S24" s="21" t="n">
        <v>1.36348484481503</v>
      </c>
      <c r="T24" s="22" t="n">
        <v>0</v>
      </c>
      <c r="U24" s="26" t="n">
        <v>247.556833333333</v>
      </c>
      <c r="V24" s="22" t="n">
        <v>0.111743363981739</v>
      </c>
      <c r="W24" s="18" t="n">
        <v>2.77404648481393</v>
      </c>
      <c r="X24" s="19" t="n">
        <v>1149.562</v>
      </c>
      <c r="Y24" s="21" t="n">
        <v>0.597387668781675</v>
      </c>
      <c r="Z24" s="27" t="n">
        <v>16.9270831394009</v>
      </c>
      <c r="AA24" s="28"/>
      <c r="AB24" s="16"/>
      <c r="AC24" s="69"/>
      <c r="AD24" s="70"/>
      <c r="AE24" s="15"/>
    </row>
    <row r="25" customFormat="false" ht="12.95" hidden="false" customHeight="true" outlineLevel="0" collapsed="false">
      <c r="A25" s="35" t="s">
        <v>383</v>
      </c>
      <c r="B25" s="36" t="s">
        <v>384</v>
      </c>
      <c r="C25" s="53" t="n">
        <v>37106</v>
      </c>
      <c r="D25" s="18" t="n">
        <v>25.62</v>
      </c>
      <c r="E25" s="18" t="n">
        <v>33.8</v>
      </c>
      <c r="F25" s="18" t="n">
        <v>16.75</v>
      </c>
      <c r="G25" s="19" t="n">
        <v>517.93045246</v>
      </c>
      <c r="H25" s="19" t="n">
        <v>655.42045246</v>
      </c>
      <c r="I25" s="21" t="n">
        <v>8.24257515532497</v>
      </c>
      <c r="J25" s="21" t="n">
        <v>8.31016997167139</v>
      </c>
      <c r="K25" s="21" t="n">
        <v>10.1596551724138</v>
      </c>
      <c r="L25" s="21" t="n">
        <v>4.14215126848423</v>
      </c>
      <c r="M25" s="21" t="n">
        <v>4.17876068376068</v>
      </c>
      <c r="N25" s="21" t="n">
        <v>4.51540229885058</v>
      </c>
      <c r="O25" s="21" t="n">
        <v>3.59187525545269</v>
      </c>
      <c r="P25" s="21" t="n">
        <v>3.9199787826555</v>
      </c>
      <c r="Q25" s="21" t="n">
        <v>4.49225807032214</v>
      </c>
      <c r="R25" s="22" t="n">
        <v>0.42648799498104</v>
      </c>
      <c r="S25" s="21" t="n">
        <v>2.40319999099839</v>
      </c>
      <c r="T25" s="22" t="n">
        <v>0.006349206</v>
      </c>
      <c r="U25" s="26" t="n">
        <v>134.221333333333</v>
      </c>
      <c r="V25" s="22" t="n">
        <v>0.68177189915165</v>
      </c>
      <c r="W25" s="18" t="n">
        <v>4.88313173608766</v>
      </c>
      <c r="X25" s="19" t="n">
        <v>1438.945</v>
      </c>
      <c r="Y25" s="21" t="n">
        <v>0.455486799328675</v>
      </c>
      <c r="Z25" s="27" t="n">
        <v>20.2158646549571</v>
      </c>
      <c r="AA25" s="28"/>
      <c r="AB25" s="16"/>
      <c r="AC25" s="69"/>
      <c r="AD25" s="70"/>
      <c r="AE25" s="15"/>
    </row>
    <row r="26" customFormat="false" ht="12.95" hidden="false" customHeight="true" outlineLevel="0" collapsed="false">
      <c r="A26" s="35" t="s">
        <v>385</v>
      </c>
      <c r="B26" s="36" t="s">
        <v>386</v>
      </c>
      <c r="C26" s="53" t="n">
        <v>37106</v>
      </c>
      <c r="D26" s="18" t="n">
        <v>25.9</v>
      </c>
      <c r="E26" s="18" t="n">
        <v>27.75</v>
      </c>
      <c r="F26" s="18" t="n">
        <v>15.25</v>
      </c>
      <c r="G26" s="19" t="n">
        <v>712.0561971</v>
      </c>
      <c r="H26" s="19" t="n">
        <v>1316.2591971</v>
      </c>
      <c r="I26" s="21" t="n">
        <v>18.6509803983716</v>
      </c>
      <c r="J26" s="21" t="n">
        <v>9.73684210526316</v>
      </c>
      <c r="K26" s="21" t="n">
        <v>11.0683760683761</v>
      </c>
      <c r="L26" s="21" t="n">
        <v>5.48512495664876</v>
      </c>
      <c r="M26" s="21" t="n">
        <v>4.44253859348199</v>
      </c>
      <c r="N26" s="21" t="n">
        <v>5.00967117988395</v>
      </c>
      <c r="O26" s="21" t="n">
        <v>3.77258309941986</v>
      </c>
      <c r="P26" s="21" t="n">
        <v>5.27052007279148</v>
      </c>
      <c r="Q26" s="21" t="n">
        <v>5.82492515000745</v>
      </c>
      <c r="R26" s="22" t="n">
        <v>0.600779610287999</v>
      </c>
      <c r="S26" s="21" t="n">
        <v>5.06124329793586</v>
      </c>
      <c r="T26" s="22" t="n">
        <v>0</v>
      </c>
      <c r="U26" s="26" t="n">
        <v>238.743</v>
      </c>
      <c r="V26" s="22" t="n">
        <v>0.0652626464440842</v>
      </c>
      <c r="W26" s="18" t="n">
        <v>5.51328917329513</v>
      </c>
      <c r="X26" s="19" t="n">
        <v>919.661</v>
      </c>
      <c r="Y26" s="21" t="n">
        <v>1.43124390085042</v>
      </c>
      <c r="Z26" s="27" t="n">
        <v>27.4925172625483</v>
      </c>
      <c r="AA26" s="28"/>
      <c r="AB26" s="16"/>
      <c r="AC26" s="69"/>
      <c r="AD26" s="70"/>
      <c r="AE26" s="15"/>
    </row>
    <row r="27" customFormat="false" ht="12.95" hidden="false" customHeight="true" outlineLevel="0" collapsed="false">
      <c r="A27" s="35" t="s">
        <v>387</v>
      </c>
      <c r="B27" s="36" t="s">
        <v>388</v>
      </c>
      <c r="C27" s="53" t="n">
        <v>37106</v>
      </c>
      <c r="D27" s="18" t="n">
        <v>18.7</v>
      </c>
      <c r="E27" s="18" t="n">
        <v>26.5</v>
      </c>
      <c r="F27" s="18" t="n">
        <v>14.75</v>
      </c>
      <c r="G27" s="19" t="n">
        <v>263.90495568</v>
      </c>
      <c r="H27" s="19" t="n">
        <v>517.95995568</v>
      </c>
      <c r="I27" s="21" t="n">
        <v>6.32665332988118</v>
      </c>
      <c r="J27" s="21" t="n">
        <v>5.38904899135447</v>
      </c>
      <c r="K27" s="21" t="n">
        <v>5.05405405405405</v>
      </c>
      <c r="L27" s="21" t="n">
        <v>2.97759630103509</v>
      </c>
      <c r="M27" s="21" t="n">
        <v>2.73792093704246</v>
      </c>
      <c r="N27" s="21" t="n">
        <v>2.55813953488372</v>
      </c>
      <c r="O27" s="21" t="n">
        <v>2.31790396275965</v>
      </c>
      <c r="P27" s="21" t="n">
        <v>4.00338583978628</v>
      </c>
      <c r="Q27" s="21" t="n">
        <v>3.75599238242068</v>
      </c>
      <c r="R27" s="22" t="n">
        <v>0.743109596639987</v>
      </c>
      <c r="S27" s="21" t="n">
        <v>2.71364773297961</v>
      </c>
      <c r="T27" s="22" t="n">
        <v>0</v>
      </c>
      <c r="U27" s="26" t="n">
        <v>111.609666666667</v>
      </c>
      <c r="V27" s="22" t="n">
        <v>0.479991279130541</v>
      </c>
      <c r="W27" s="18" t="n">
        <v>4.64081625856781</v>
      </c>
      <c r="X27" s="19" t="n">
        <v>1121.345</v>
      </c>
      <c r="Y27" s="21" t="n">
        <v>0.461909542272895</v>
      </c>
      <c r="Z27" s="27" t="n">
        <v>14.1125644748663</v>
      </c>
      <c r="AA27" s="28"/>
      <c r="AB27" s="16"/>
      <c r="AC27" s="69"/>
      <c r="AD27" s="70"/>
      <c r="AE27" s="15"/>
    </row>
    <row r="28" customFormat="false" ht="12.95" hidden="false" customHeight="true" outlineLevel="0" collapsed="false">
      <c r="A28" s="35" t="s">
        <v>389</v>
      </c>
      <c r="B28" s="36" t="s">
        <v>390</v>
      </c>
      <c r="C28" s="53" t="n">
        <v>37106</v>
      </c>
      <c r="D28" s="18" t="n">
        <v>19.05</v>
      </c>
      <c r="E28" s="18" t="n">
        <v>25.3</v>
      </c>
      <c r="F28" s="18" t="n">
        <v>15.0625</v>
      </c>
      <c r="G28" s="19" t="n">
        <v>963.22927956</v>
      </c>
      <c r="H28" s="19" t="n">
        <v>1534.37427956</v>
      </c>
      <c r="I28" s="21" t="n">
        <v>6.32665332988118</v>
      </c>
      <c r="J28" s="21" t="n">
        <v>17.4344522968198</v>
      </c>
      <c r="K28" s="21" t="n">
        <v>28.9339130434783</v>
      </c>
      <c r="L28" s="21" t="n">
        <v>2.97759630103509</v>
      </c>
      <c r="M28" s="21" t="n">
        <v>3.78080459770115</v>
      </c>
      <c r="N28" s="21" t="n">
        <v>4.071044045677</v>
      </c>
      <c r="O28" s="21" t="n">
        <v>8.46014035009442</v>
      </c>
      <c r="P28" s="21" t="n">
        <v>4.46039034755814</v>
      </c>
      <c r="Q28" s="21" t="n">
        <v>4.99308258887081</v>
      </c>
      <c r="R28" s="22" t="n">
        <v>0.617542811177262</v>
      </c>
      <c r="S28" s="21" t="n">
        <v>1.69510100354954</v>
      </c>
      <c r="T28" s="22" t="n">
        <v>0</v>
      </c>
      <c r="U28" s="26" t="n">
        <v>286.892166666667</v>
      </c>
      <c r="V28" s="22" t="n">
        <v>0.551925723544212</v>
      </c>
      <c r="W28" s="18" t="n">
        <v>5.34826132545736</v>
      </c>
      <c r="X28" s="19" t="n">
        <v>3081.144</v>
      </c>
      <c r="Y28" s="21" t="n">
        <v>0.497988500232381</v>
      </c>
      <c r="Z28" s="27" t="n">
        <v>50.5632167748032</v>
      </c>
      <c r="AA28" s="28"/>
      <c r="AB28" s="16"/>
      <c r="AC28" s="69"/>
      <c r="AD28" s="70"/>
      <c r="AE28" s="15"/>
    </row>
    <row r="29" customFormat="false" ht="13.5" hidden="false" customHeight="true" outlineLevel="0" collapsed="false">
      <c r="A29" s="35" t="s">
        <v>391</v>
      </c>
      <c r="B29" s="36" t="s">
        <v>392</v>
      </c>
      <c r="C29" s="53" t="n">
        <v>37106</v>
      </c>
      <c r="D29" s="18" t="n">
        <v>5.2</v>
      </c>
      <c r="E29" s="18" t="n">
        <v>7.125</v>
      </c>
      <c r="F29" s="18" t="n">
        <v>3.0625</v>
      </c>
      <c r="G29" s="19" t="n">
        <v>265.871633381281</v>
      </c>
      <c r="H29" s="19" t="n">
        <v>692.953633381281</v>
      </c>
      <c r="I29" s="21" t="n">
        <v>6.32665332988118</v>
      </c>
      <c r="J29" s="21" t="n">
        <v>5.17944664031621</v>
      </c>
      <c r="K29" s="21" t="n">
        <v>9.08650519031142</v>
      </c>
      <c r="L29" s="21" t="n">
        <v>2.97759630103509</v>
      </c>
      <c r="M29" s="21" t="n">
        <v>1.85740609496811</v>
      </c>
      <c r="N29" s="21" t="n">
        <v>2.1008</v>
      </c>
      <c r="O29" s="21" t="n">
        <v>2.33517749226016</v>
      </c>
      <c r="P29" s="21" t="n">
        <v>4.02412098363113</v>
      </c>
      <c r="Q29" s="21" t="n">
        <v>4.62277273770034</v>
      </c>
      <c r="R29" s="22" t="n">
        <v>0.556128612758327</v>
      </c>
      <c r="S29" s="21" t="n">
        <v>1.51634642648888</v>
      </c>
      <c r="T29" s="22" t="n">
        <v>0</v>
      </c>
      <c r="U29" s="26" t="n">
        <v>97.2698333333333</v>
      </c>
      <c r="V29" s="22" t="n">
        <v>0.732784573497436</v>
      </c>
      <c r="W29" s="18" t="n">
        <v>7.12403434481688</v>
      </c>
      <c r="X29" s="19" t="n">
        <v>1506.262</v>
      </c>
      <c r="Y29" s="21" t="n">
        <v>0.460048539617464</v>
      </c>
      <c r="Z29" s="27" t="n">
        <v>51.1291602656309</v>
      </c>
      <c r="AC29" s="69"/>
      <c r="AD29" s="70"/>
      <c r="AE29" s="15"/>
    </row>
    <row r="30" customFormat="false" ht="12.95" hidden="false" customHeight="true" outlineLevel="0" collapsed="false">
      <c r="A30" s="35" t="s">
        <v>393</v>
      </c>
      <c r="B30" s="36" t="s">
        <v>394</v>
      </c>
      <c r="C30" s="53" t="n">
        <v>37106</v>
      </c>
      <c r="D30" s="18" t="n">
        <v>39.99</v>
      </c>
      <c r="E30" s="18" t="n">
        <v>48</v>
      </c>
      <c r="F30" s="18" t="n">
        <v>24.75</v>
      </c>
      <c r="G30" s="19" t="n">
        <v>1152.91865763</v>
      </c>
      <c r="H30" s="19" t="n">
        <v>1037.26565763</v>
      </c>
      <c r="I30" s="21" t="n">
        <v>6.32665332988118</v>
      </c>
      <c r="J30" s="21" t="n">
        <v>13.8958580958156</v>
      </c>
      <c r="K30" s="21" t="n">
        <v>16.6351016875811</v>
      </c>
      <c r="L30" s="21" t="n">
        <v>2.97759630103509</v>
      </c>
      <c r="M30" s="21" t="n">
        <v>5.47718916469188</v>
      </c>
      <c r="N30" s="21" t="n">
        <v>5.85452219599482</v>
      </c>
      <c r="O30" s="21" t="n">
        <v>10.1262013756972</v>
      </c>
      <c r="P30" s="21" t="n">
        <v>5.01748975780003</v>
      </c>
      <c r="Q30" s="21" t="n">
        <v>5.14491174857398</v>
      </c>
      <c r="R30" s="22" t="n">
        <v>0</v>
      </c>
      <c r="S30" s="21" t="n">
        <v>2.91945399479374</v>
      </c>
      <c r="T30" s="22" t="n">
        <v>0</v>
      </c>
      <c r="U30" s="26" t="n">
        <v>30.3396666666667</v>
      </c>
      <c r="V30" s="22" t="n">
        <v>0.901449147980092</v>
      </c>
      <c r="W30" s="18" t="n">
        <v>34.1884328864303</v>
      </c>
      <c r="X30" s="19" t="n">
        <v>899.137</v>
      </c>
      <c r="Y30" s="21" t="n">
        <v>1.15362359421312</v>
      </c>
      <c r="Z30" s="27" t="n">
        <v>28.8301739842461</v>
      </c>
      <c r="AC30" s="69"/>
      <c r="AD30" s="70"/>
      <c r="AE30" s="15"/>
    </row>
    <row r="31" customFormat="false" ht="12.95" hidden="false" customHeight="true" outlineLevel="0" collapsed="false">
      <c r="A31" s="35" t="s">
        <v>395</v>
      </c>
      <c r="B31" s="36" t="s">
        <v>396</v>
      </c>
      <c r="C31" s="53" t="n">
        <v>37106</v>
      </c>
      <c r="D31" s="18" t="n">
        <v>21.45</v>
      </c>
      <c r="E31" s="18" t="n">
        <v>35</v>
      </c>
      <c r="F31" s="18" t="n">
        <v>16.5</v>
      </c>
      <c r="G31" s="19" t="n">
        <v>613.62089937</v>
      </c>
      <c r="H31" s="19" t="n">
        <v>610.44489937</v>
      </c>
      <c r="I31" s="21" t="n">
        <v>14.7104729287132</v>
      </c>
      <c r="J31" s="21" t="n">
        <v>11.4373616236162</v>
      </c>
      <c r="K31" s="21" t="n">
        <v>14.5679156908665</v>
      </c>
      <c r="L31" s="21" t="n">
        <v>2.97759630103509</v>
      </c>
      <c r="M31" s="21" t="n">
        <v>4.29297091412742</v>
      </c>
      <c r="N31" s="21" t="n">
        <v>4.54051094890511</v>
      </c>
      <c r="O31" s="21" t="n">
        <v>5.38949452698608</v>
      </c>
      <c r="P31" s="21" t="n">
        <v>3.84653370743541</v>
      </c>
      <c r="Q31" s="21" t="n">
        <v>4.17255570314422</v>
      </c>
      <c r="R31" s="22" t="n">
        <v>0</v>
      </c>
      <c r="S31" s="21" t="n">
        <v>2.39419769940888</v>
      </c>
      <c r="T31" s="22" t="n">
        <v>0.004651163</v>
      </c>
      <c r="U31" s="26" t="n">
        <v>58.6125</v>
      </c>
      <c r="V31" s="22" t="n">
        <v>0.6425677116656</v>
      </c>
      <c r="W31" s="18" t="n">
        <v>10.4149268393261</v>
      </c>
      <c r="X31" s="19" t="n">
        <v>718.484</v>
      </c>
      <c r="Y31" s="21" t="n">
        <v>0.849629079241848</v>
      </c>
      <c r="Z31" s="27" t="n">
        <v>28.6070349356643</v>
      </c>
      <c r="AC31" s="69"/>
      <c r="AD31" s="70"/>
      <c r="AE31" s="15"/>
    </row>
    <row r="32" customFormat="false" ht="12.95" hidden="false" customHeight="true" outlineLevel="0" collapsed="false">
      <c r="A32" s="1" t="s">
        <v>397</v>
      </c>
      <c r="B32" s="16" t="s">
        <v>398</v>
      </c>
      <c r="C32" s="25" t="n">
        <v>37106</v>
      </c>
      <c r="D32" s="18" t="n">
        <v>30.88</v>
      </c>
      <c r="E32" s="18" t="n">
        <v>43.5</v>
      </c>
      <c r="F32" s="18" t="n">
        <v>23.8125</v>
      </c>
      <c r="G32" s="19" t="n">
        <v>782.57708299</v>
      </c>
      <c r="H32" s="19" t="n">
        <v>968.78824499</v>
      </c>
      <c r="I32" s="21" t="e">
        <f aca="false"/>
        <v>#REF!</v>
      </c>
      <c r="J32" s="21" t="n">
        <v>13.0829239184485</v>
      </c>
      <c r="K32" s="21" t="n">
        <v>17.6585296089386</v>
      </c>
      <c r="L32" s="21" t="e">
        <f aca="false"/>
        <v>#REF!</v>
      </c>
      <c r="M32" s="21" t="n">
        <v>5.32083591748686</v>
      </c>
      <c r="N32" s="21" t="n">
        <v>5.93257657657658</v>
      </c>
      <c r="O32" s="21" t="e">
        <f aca="false"/>
        <v>#REF!</v>
      </c>
      <c r="P32" s="21" t="n">
        <v>5.91481925019842</v>
      </c>
      <c r="Q32" s="21" t="n">
        <v>6.45729684056522</v>
      </c>
      <c r="R32" s="22" t="n">
        <v>0.347347762034956</v>
      </c>
      <c r="S32" s="21" t="n">
        <v>2.19965237557383</v>
      </c>
      <c r="T32" s="22" t="n">
        <v>0</v>
      </c>
      <c r="U32" s="26" t="n">
        <v>112.619258666667</v>
      </c>
      <c r="V32" s="22" t="n">
        <v>0.624987799600031</v>
      </c>
      <c r="W32" s="18" t="n">
        <v>8.60233193203166</v>
      </c>
      <c r="X32" s="19" t="n">
        <v>1577.958466</v>
      </c>
      <c r="Y32" s="21" t="n">
        <v>0.613950408622479</v>
      </c>
      <c r="Z32" s="27" t="n">
        <v>25.3425221175518</v>
      </c>
      <c r="AA32" s="28"/>
      <c r="AB32" s="16"/>
      <c r="AC32" s="69"/>
      <c r="AD32" s="70"/>
      <c r="AE32" s="15"/>
    </row>
    <row r="33" customFormat="false" ht="12.95" hidden="false" customHeight="true" outlineLevel="0" collapsed="false">
      <c r="A33" s="1" t="s">
        <v>399</v>
      </c>
      <c r="B33" s="16" t="s">
        <v>400</v>
      </c>
      <c r="C33" s="25" t="n">
        <v>37106</v>
      </c>
      <c r="D33" s="18" t="n">
        <v>21.56</v>
      </c>
      <c r="E33" s="18" t="n">
        <v>32.09</v>
      </c>
      <c r="F33" s="18" t="n">
        <v>14.875</v>
      </c>
      <c r="G33" s="19" t="n">
        <v>829.20305832</v>
      </c>
      <c r="H33" s="19" t="n">
        <v>754.80205832</v>
      </c>
      <c r="I33" s="21" t="e">
        <f aca="false"/>
        <v>#REF!</v>
      </c>
      <c r="J33" s="21" t="s">
        <v>169</v>
      </c>
      <c r="K33" s="21" t="n">
        <v>24.6283469150175</v>
      </c>
      <c r="L33" s="21" t="e">
        <f aca="false"/>
        <v>#REF!</v>
      </c>
      <c r="M33" s="21" t="n">
        <v>3.8526291827908</v>
      </c>
      <c r="N33" s="21" t="n">
        <v>4.67840557275542</v>
      </c>
      <c r="O33" s="21" t="e">
        <f aca="false"/>
        <v>#REF!</v>
      </c>
      <c r="P33" s="21" t="n">
        <v>4.60835251431711</v>
      </c>
      <c r="Q33" s="21" t="n">
        <v>4.16534439777054</v>
      </c>
      <c r="R33" s="22" t="n">
        <v>0.000328806493319342</v>
      </c>
      <c r="S33" s="21" t="n">
        <v>1.6835618985278</v>
      </c>
      <c r="T33" s="22" t="n">
        <v>0</v>
      </c>
      <c r="U33" s="26" t="n">
        <v>75.7108333333333</v>
      </c>
      <c r="V33" s="22" t="n">
        <v>0.540356399898738</v>
      </c>
      <c r="W33" s="18" t="n">
        <v>9.96953837500137</v>
      </c>
      <c r="X33" s="19" t="n">
        <v>1098.399</v>
      </c>
      <c r="Y33" s="21" t="n">
        <v>0.687183854246044</v>
      </c>
      <c r="Z33" s="27" t="n">
        <v>38.4602531688312</v>
      </c>
      <c r="AA33" s="28"/>
      <c r="AB33" s="16"/>
      <c r="AC33" s="69"/>
      <c r="AD33" s="70"/>
      <c r="AE33" s="15"/>
    </row>
    <row r="34" customFormat="false" ht="12.95" hidden="false" customHeight="true" outlineLevel="0" collapsed="false">
      <c r="A34" s="35"/>
      <c r="B34" s="36"/>
      <c r="C34" s="53"/>
      <c r="D34" s="18"/>
      <c r="E34" s="18"/>
      <c r="F34" s="18"/>
      <c r="G34" s="19"/>
      <c r="H34" s="19"/>
      <c r="I34" s="21"/>
      <c r="J34" s="21"/>
      <c r="K34" s="21"/>
      <c r="L34" s="21"/>
      <c r="M34" s="21"/>
      <c r="N34" s="21"/>
      <c r="O34" s="21"/>
      <c r="P34" s="21"/>
      <c r="Q34" s="21"/>
      <c r="R34" s="22"/>
      <c r="S34" s="21"/>
      <c r="T34" s="22"/>
      <c r="U34" s="26"/>
      <c r="V34" s="22"/>
      <c r="W34" s="18"/>
      <c r="X34" s="19"/>
      <c r="Y34" s="21"/>
      <c r="Z34" s="27"/>
    </row>
    <row r="35" customFormat="false" ht="12.95" hidden="false" customHeight="true" outlineLevel="0" collapsed="false">
      <c r="A35" s="35"/>
      <c r="B35" s="36"/>
      <c r="C35" s="53"/>
      <c r="D35" s="18"/>
      <c r="E35" s="18"/>
      <c r="F35" s="18"/>
      <c r="G35" s="19"/>
      <c r="H35" s="19"/>
      <c r="I35" s="21"/>
      <c r="J35" s="21"/>
      <c r="K35" s="21"/>
      <c r="L35" s="21"/>
      <c r="M35" s="21"/>
      <c r="N35" s="21"/>
      <c r="O35" s="21"/>
      <c r="P35" s="21"/>
      <c r="Q35" s="21"/>
      <c r="R35" s="22"/>
      <c r="S35" s="21"/>
      <c r="T35" s="22"/>
      <c r="U35" s="26"/>
      <c r="V35" s="22"/>
      <c r="W35" s="18"/>
      <c r="X35" s="19"/>
      <c r="Y35" s="21"/>
      <c r="Z35" s="27"/>
    </row>
    <row r="36" customFormat="false" ht="12.95" hidden="false" customHeight="true" outlineLevel="0" collapsed="false">
      <c r="B36" s="16"/>
      <c r="C36" s="25"/>
      <c r="D36" s="18"/>
      <c r="E36" s="18"/>
      <c r="F36" s="18"/>
      <c r="G36" s="19"/>
      <c r="H36" s="19"/>
      <c r="I36" s="21"/>
      <c r="J36" s="21"/>
      <c r="K36" s="21"/>
      <c r="L36" s="21"/>
      <c r="M36" s="21"/>
      <c r="N36" s="21"/>
      <c r="O36" s="21"/>
      <c r="P36" s="21"/>
      <c r="Q36" s="21"/>
      <c r="R36" s="22"/>
      <c r="S36" s="21"/>
      <c r="T36" s="22"/>
      <c r="U36" s="26"/>
      <c r="V36" s="22"/>
      <c r="W36" s="18"/>
      <c r="X36" s="37"/>
      <c r="Y36" s="21"/>
      <c r="Z36" s="27"/>
    </row>
    <row r="37" customFormat="false" ht="12.95" hidden="false" customHeight="true" outlineLevel="0" collapsed="false">
      <c r="B37" s="30"/>
      <c r="C37" s="30"/>
      <c r="D37" s="30"/>
      <c r="E37" s="30"/>
      <c r="F37" s="30"/>
      <c r="G37" s="39"/>
      <c r="H37" s="40" t="s">
        <v>56</v>
      </c>
      <c r="I37" s="30"/>
      <c r="J37" s="21" t="n">
        <v>9.86841388846734</v>
      </c>
      <c r="K37" s="21" t="n">
        <v>13.928386107127</v>
      </c>
      <c r="L37" s="21" t="e">
        <f aca="false"/>
        <v>#DIV/0!</v>
      </c>
      <c r="M37" s="21" t="n">
        <v>3.5012311470687</v>
      </c>
      <c r="N37" s="21" t="n">
        <v>3.87898430328342</v>
      </c>
      <c r="O37" s="21" t="e">
        <f aca="false"/>
        <v>#REF!</v>
      </c>
      <c r="P37" s="21" t="n">
        <v>4.37214441372743</v>
      </c>
      <c r="Q37" s="21" t="n">
        <v>4.57963755826632</v>
      </c>
      <c r="R37" s="22" t="n">
        <v>0.438795742325582</v>
      </c>
      <c r="S37" s="21" t="n">
        <v>2.37180516917116</v>
      </c>
      <c r="T37" s="22" t="n">
        <v>0.000766212347826087</v>
      </c>
      <c r="U37" s="26"/>
      <c r="V37" s="22" t="n">
        <v>0.594632900752567</v>
      </c>
      <c r="W37" s="18" t="n">
        <v>8.62111349254127</v>
      </c>
      <c r="X37" s="19"/>
      <c r="Y37" s="21" t="n">
        <v>0.632144918872151</v>
      </c>
      <c r="Z37" s="30"/>
    </row>
    <row r="38" customFormat="false" ht="12.95" hidden="false" customHeight="true" outlineLevel="0" collapsed="false">
      <c r="B38" s="30"/>
      <c r="C38" s="30"/>
      <c r="D38" s="30"/>
      <c r="E38" s="30"/>
      <c r="F38" s="30"/>
      <c r="G38" s="39"/>
      <c r="H38" s="40" t="s">
        <v>57</v>
      </c>
      <c r="I38" s="30"/>
      <c r="J38" s="21" t="n">
        <v>9.73684210526316</v>
      </c>
      <c r="K38" s="21" t="n">
        <v>14.4111903532979</v>
      </c>
      <c r="L38" s="21" t="e">
        <f aca="false"/>
        <v>#DIV/0!</v>
      </c>
      <c r="M38" s="21" t="n">
        <v>3.22228956228956</v>
      </c>
      <c r="N38" s="21" t="n">
        <v>3.49693101034231</v>
      </c>
      <c r="O38" s="21" t="e">
        <f aca="false"/>
        <v>#REF!</v>
      </c>
      <c r="P38" s="21" t="n">
        <v>4.02412098363113</v>
      </c>
      <c r="Q38" s="21" t="n">
        <v>4.17444542265193</v>
      </c>
      <c r="R38" s="22" t="n">
        <v>0.553908746390981</v>
      </c>
      <c r="S38" s="21" t="n">
        <v>2.18478171922476</v>
      </c>
      <c r="T38" s="22" t="n">
        <v>0</v>
      </c>
      <c r="U38" s="26"/>
      <c r="V38" s="22" t="n">
        <v>0.635399127037322</v>
      </c>
      <c r="W38" s="18" t="n">
        <v>7.61303473515797</v>
      </c>
      <c r="X38" s="19"/>
      <c r="Y38" s="21" t="n">
        <v>0.555846673483438</v>
      </c>
      <c r="Z38" s="30"/>
    </row>
    <row r="39" customFormat="false" ht="12.95" hidden="false" customHeight="true" outlineLevel="0" collapsed="false">
      <c r="B39" s="30"/>
      <c r="C39" s="30"/>
      <c r="D39" s="30"/>
      <c r="E39" s="30"/>
      <c r="F39" s="30"/>
      <c r="G39" s="39"/>
      <c r="H39" s="40" t="s">
        <v>26</v>
      </c>
      <c r="I39" s="30"/>
      <c r="J39" s="21" t="n">
        <v>17.4344522968198</v>
      </c>
      <c r="K39" s="21" t="n">
        <v>28.9339130434783</v>
      </c>
      <c r="L39" s="21" t="e">
        <f aca="false"/>
        <v>#DIV/0!</v>
      </c>
      <c r="M39" s="21" t="n">
        <v>8.38584421757731</v>
      </c>
      <c r="N39" s="21" t="n">
        <v>11.7615448504983</v>
      </c>
      <c r="O39" s="21" t="e">
        <f aca="false"/>
        <v>#REF!</v>
      </c>
      <c r="P39" s="21" t="n">
        <v>8.71486911313665</v>
      </c>
      <c r="Q39" s="21" t="n">
        <v>10.1550827060193</v>
      </c>
      <c r="R39" s="22" t="n">
        <v>0.854998759354364</v>
      </c>
      <c r="S39" s="21" t="n">
        <v>6.1762618664286</v>
      </c>
      <c r="T39" s="22" t="n">
        <v>0.006622515</v>
      </c>
      <c r="U39" s="26"/>
      <c r="V39" s="22" t="n">
        <v>1</v>
      </c>
      <c r="W39" s="18" t="n">
        <v>34.1884328864303</v>
      </c>
      <c r="X39" s="19"/>
      <c r="Y39" s="21" t="n">
        <v>1.43124390085042</v>
      </c>
      <c r="Z39" s="30"/>
    </row>
    <row r="40" customFormat="false" ht="12.95" hidden="false" customHeight="true" outlineLevel="0" collapsed="false">
      <c r="B40" s="30"/>
      <c r="C40" s="30"/>
      <c r="D40" s="30"/>
      <c r="E40" s="30"/>
      <c r="F40" s="30"/>
      <c r="G40" s="39"/>
      <c r="H40" s="40" t="s">
        <v>27</v>
      </c>
      <c r="I40" s="30"/>
      <c r="J40" s="21" t="n">
        <v>3.73178572494347</v>
      </c>
      <c r="K40" s="21" t="n">
        <v>4.09580838323353</v>
      </c>
      <c r="L40" s="21" t="e">
        <f aca="false"/>
        <v>#DIV/0!</v>
      </c>
      <c r="M40" s="21" t="n">
        <v>1.15724365004704</v>
      </c>
      <c r="N40" s="21" t="n">
        <v>1.04205214465938</v>
      </c>
      <c r="O40" s="21" t="e">
        <f aca="false"/>
        <v>#REF!</v>
      </c>
      <c r="P40" s="21" t="n">
        <v>2.49538065846501</v>
      </c>
      <c r="Q40" s="21" t="n">
        <v>2.66999409113546</v>
      </c>
      <c r="R40" s="22" t="n">
        <v>0</v>
      </c>
      <c r="S40" s="21" t="n">
        <v>0.447261168407709</v>
      </c>
      <c r="T40" s="22" t="n">
        <v>0</v>
      </c>
      <c r="U40" s="26"/>
      <c r="V40" s="22" t="n">
        <v>0.0652626464440842</v>
      </c>
      <c r="W40" s="18" t="n">
        <v>2.77404648481393</v>
      </c>
      <c r="X40" s="19"/>
      <c r="Y40" s="21" t="n">
        <v>0.343105062431911</v>
      </c>
      <c r="Z40" s="30"/>
    </row>
    <row r="41" customFormat="false" ht="12.95" hidden="false" customHeight="true" outlineLevel="0" collapsed="false">
      <c r="B41" s="30"/>
      <c r="C41" s="30"/>
      <c r="D41" s="30"/>
      <c r="E41" s="30"/>
      <c r="F41" s="30"/>
      <c r="G41" s="39"/>
      <c r="H41" s="40"/>
      <c r="I41" s="30"/>
      <c r="J41" s="21"/>
      <c r="K41" s="21"/>
      <c r="L41" s="21"/>
      <c r="M41" s="21"/>
      <c r="N41" s="21"/>
      <c r="O41" s="21"/>
      <c r="P41" s="21"/>
      <c r="Q41" s="21"/>
      <c r="R41" s="22"/>
      <c r="S41" s="21"/>
      <c r="T41" s="22"/>
      <c r="U41" s="26"/>
      <c r="V41" s="22"/>
      <c r="W41" s="18"/>
      <c r="X41" s="19"/>
      <c r="Y41" s="21"/>
      <c r="Z41" s="30"/>
    </row>
    <row r="42" customFormat="false" ht="12.95" hidden="false" customHeight="true" outlineLevel="0" collapsed="false"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13" t="s">
        <v>58</v>
      </c>
      <c r="V42" s="13"/>
      <c r="W42" s="13"/>
      <c r="X42" s="13"/>
      <c r="Y42" s="13"/>
      <c r="Z42" s="30"/>
      <c r="AA42" s="44"/>
    </row>
    <row r="43" customFormat="false" ht="12.75" hidden="false" customHeight="false" outlineLevel="0" collapsed="false">
      <c r="A43" s="43"/>
      <c r="B43" s="13" t="s">
        <v>59</v>
      </c>
      <c r="C43" s="13"/>
      <c r="D43" s="13" t="s">
        <v>60</v>
      </c>
      <c r="E43" s="13"/>
      <c r="F43" s="13"/>
      <c r="G43" s="13" t="s">
        <v>61</v>
      </c>
      <c r="H43" s="13"/>
      <c r="J43" s="13" t="s">
        <v>62</v>
      </c>
      <c r="K43" s="13"/>
      <c r="P43" s="13" t="s">
        <v>63</v>
      </c>
      <c r="Q43" s="13"/>
      <c r="R43" s="13"/>
      <c r="S43" s="13"/>
      <c r="U43" s="48" t="s">
        <v>64</v>
      </c>
      <c r="V43" s="48"/>
      <c r="W43" s="48"/>
      <c r="X43" s="48"/>
      <c r="Y43" s="48"/>
      <c r="AA43" s="44"/>
    </row>
    <row r="44" customFormat="false" ht="5.25" hidden="false" customHeight="true" outlineLevel="0" collapsed="false">
      <c r="A44" s="43"/>
      <c r="B44" s="45" t="s">
        <v>40</v>
      </c>
      <c r="C44" s="45"/>
      <c r="D44" s="45" t="s">
        <v>40</v>
      </c>
      <c r="E44" s="45"/>
      <c r="F44" s="45"/>
      <c r="G44" s="45" t="s">
        <v>40</v>
      </c>
      <c r="H44" s="45"/>
      <c r="J44" s="45" t="s">
        <v>40</v>
      </c>
      <c r="K44" s="45"/>
      <c r="P44" s="45" t="s">
        <v>40</v>
      </c>
      <c r="Q44" s="45"/>
      <c r="R44" s="45"/>
      <c r="S44" s="45"/>
      <c r="U44" s="14" t="s">
        <v>40</v>
      </c>
      <c r="V44" s="14" t="s">
        <v>40</v>
      </c>
      <c r="W44" s="14" t="s">
        <v>40</v>
      </c>
      <c r="X44" s="14" t="s">
        <v>40</v>
      </c>
      <c r="Y44" s="14" t="s">
        <v>40</v>
      </c>
      <c r="AA44" s="13"/>
    </row>
    <row r="45" customFormat="false" ht="13.5" hidden="false" customHeight="true" outlineLevel="0" collapsed="false">
      <c r="A45" s="10"/>
      <c r="B45" s="16"/>
      <c r="C45" s="16"/>
      <c r="D45" s="13" t="s">
        <v>65</v>
      </c>
      <c r="E45" s="13" t="s">
        <v>66</v>
      </c>
      <c r="F45" s="13" t="s">
        <v>8</v>
      </c>
      <c r="G45" s="16" t="s">
        <v>67</v>
      </c>
      <c r="P45" s="13" t="s">
        <v>68</v>
      </c>
      <c r="Q45" s="13"/>
      <c r="R45" s="13" t="s">
        <v>69</v>
      </c>
      <c r="S45" s="13" t="s">
        <v>70</v>
      </c>
      <c r="U45" s="13" t="s">
        <v>71</v>
      </c>
      <c r="V45" s="13" t="s">
        <v>72</v>
      </c>
      <c r="W45" s="13" t="s">
        <v>73</v>
      </c>
      <c r="X45" s="13" t="s">
        <v>74</v>
      </c>
      <c r="Y45" s="13" t="s">
        <v>75</v>
      </c>
      <c r="AA45" s="46"/>
    </row>
    <row r="46" customFormat="false" ht="12.95" hidden="false" customHeight="true" outlineLevel="0" collapsed="false">
      <c r="A46" s="11" t="s">
        <v>22</v>
      </c>
      <c r="B46" s="16" t="s">
        <v>76</v>
      </c>
      <c r="C46" s="16" t="s">
        <v>77</v>
      </c>
      <c r="D46" s="11" t="s">
        <v>78</v>
      </c>
      <c r="E46" s="11" t="s">
        <v>79</v>
      </c>
      <c r="F46" s="11" t="s">
        <v>80</v>
      </c>
      <c r="G46" s="16" t="s">
        <v>81</v>
      </c>
      <c r="H46" s="16" t="s">
        <v>8</v>
      </c>
      <c r="J46" s="11" t="s">
        <v>82</v>
      </c>
      <c r="K46" s="11" t="s">
        <v>83</v>
      </c>
      <c r="P46" s="11" t="s">
        <v>84</v>
      </c>
      <c r="Q46" s="11" t="s">
        <v>85</v>
      </c>
      <c r="R46" s="11" t="s">
        <v>86</v>
      </c>
      <c r="S46" s="11" t="s">
        <v>87</v>
      </c>
      <c r="U46" s="11" t="s">
        <v>88</v>
      </c>
      <c r="V46" s="11" t="s">
        <v>89</v>
      </c>
      <c r="W46" s="11" t="s">
        <v>90</v>
      </c>
      <c r="X46" s="11" t="s">
        <v>91</v>
      </c>
      <c r="Y46" s="11" t="s">
        <v>92</v>
      </c>
      <c r="AA46" s="48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  <c r="IQ46" s="16"/>
      <c r="IR46" s="16"/>
      <c r="IS46" s="16"/>
      <c r="IT46" s="16"/>
      <c r="IU46" s="16"/>
      <c r="IV46" s="16"/>
      <c r="IW46" s="16"/>
    </row>
    <row r="47" customFormat="false" ht="5.25" hidden="false" customHeight="true" outlineLevel="0" collapsed="false">
      <c r="A47" s="14" t="s">
        <v>40</v>
      </c>
      <c r="B47" s="14" t="s">
        <v>40</v>
      </c>
      <c r="C47" s="14" t="s">
        <v>40</v>
      </c>
      <c r="D47" s="14" t="s">
        <v>40</v>
      </c>
      <c r="E47" s="14" t="s">
        <v>40</v>
      </c>
      <c r="F47" s="14" t="s">
        <v>40</v>
      </c>
      <c r="G47" s="14" t="s">
        <v>40</v>
      </c>
      <c r="H47" s="14" t="s">
        <v>40</v>
      </c>
      <c r="J47" s="14" t="s">
        <v>40</v>
      </c>
      <c r="K47" s="14" t="s">
        <v>40</v>
      </c>
      <c r="P47" s="14" t="s">
        <v>40</v>
      </c>
      <c r="Q47" s="14" t="s">
        <v>40</v>
      </c>
      <c r="R47" s="14" t="s">
        <v>40</v>
      </c>
      <c r="S47" s="14" t="s">
        <v>40</v>
      </c>
      <c r="U47" s="14" t="s">
        <v>40</v>
      </c>
      <c r="V47" s="14" t="s">
        <v>40</v>
      </c>
      <c r="W47" s="14" t="s">
        <v>40</v>
      </c>
      <c r="X47" s="14" t="s">
        <v>40</v>
      </c>
      <c r="Y47" s="14" t="s">
        <v>40</v>
      </c>
      <c r="AA47" s="52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</row>
    <row r="48" customFormat="false" ht="12.95" hidden="false" customHeight="true" outlineLevel="0" collapsed="false">
      <c r="A48" s="1" t="s">
        <v>356</v>
      </c>
      <c r="B48" s="1" t="s">
        <v>401</v>
      </c>
      <c r="C48" s="15" t="s">
        <v>402</v>
      </c>
      <c r="D48" s="15" t="s">
        <v>403</v>
      </c>
      <c r="E48" s="15" t="s">
        <v>404</v>
      </c>
      <c r="F48" s="25" t="n">
        <v>37008</v>
      </c>
      <c r="G48" s="16" t="s">
        <v>405</v>
      </c>
      <c r="H48" s="25" t="n">
        <v>37032</v>
      </c>
      <c r="I48" s="16"/>
      <c r="J48" s="22" t="n">
        <v>0.0642424242424242</v>
      </c>
      <c r="K48" s="22" t="n">
        <v>-0.294070351758794</v>
      </c>
      <c r="L48" s="16"/>
      <c r="M48" s="16"/>
      <c r="N48" s="16"/>
      <c r="O48" s="16"/>
      <c r="P48" s="22" t="n">
        <v>1.64489901200745</v>
      </c>
      <c r="Q48" s="21" t="n">
        <v>11.2811475791795</v>
      </c>
      <c r="R48" s="18" t="n">
        <v>0</v>
      </c>
      <c r="S48" s="15" t="s">
        <v>406</v>
      </c>
      <c r="T48" s="16"/>
      <c r="U48" s="23" t="n">
        <v>0</v>
      </c>
      <c r="V48" s="23" t="n">
        <v>0</v>
      </c>
      <c r="W48" s="24" t="n">
        <v>0</v>
      </c>
      <c r="X48" s="23" t="n">
        <v>0</v>
      </c>
      <c r="Y48" s="23" t="n">
        <v>0</v>
      </c>
      <c r="Z48" s="16"/>
      <c r="AA48" s="52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</row>
    <row r="49" customFormat="false" ht="12.95" hidden="false" customHeight="true" outlineLevel="0" collapsed="false">
      <c r="A49" s="1" t="s">
        <v>358</v>
      </c>
      <c r="B49" s="1" t="s">
        <v>401</v>
      </c>
      <c r="C49" s="15" t="s">
        <v>402</v>
      </c>
      <c r="D49" s="15" t="s">
        <v>403</v>
      </c>
      <c r="E49" s="15" t="s">
        <v>407</v>
      </c>
      <c r="F49" s="25" t="n">
        <v>37081</v>
      </c>
      <c r="G49" s="16" t="s">
        <v>408</v>
      </c>
      <c r="H49" s="25" t="n">
        <v>37032</v>
      </c>
      <c r="I49" s="16"/>
      <c r="J49" s="22" t="n">
        <v>0.402553191489362</v>
      </c>
      <c r="K49" s="22" t="n">
        <v>-0.207374749498998</v>
      </c>
      <c r="L49" s="16"/>
      <c r="M49" s="16"/>
      <c r="N49" s="49"/>
      <c r="O49" s="16"/>
      <c r="P49" s="22" t="n">
        <v>1.94188651971758</v>
      </c>
      <c r="Q49" s="21" t="n">
        <v>13.7056445927527</v>
      </c>
      <c r="R49" s="18" t="n">
        <v>0</v>
      </c>
      <c r="S49" s="15" t="s">
        <v>406</v>
      </c>
      <c r="T49" s="50"/>
      <c r="U49" s="23" t="n">
        <v>0</v>
      </c>
      <c r="V49" s="23" t="n">
        <v>0</v>
      </c>
      <c r="W49" s="24" t="n">
        <v>0</v>
      </c>
      <c r="X49" s="23" t="n">
        <v>0</v>
      </c>
      <c r="Y49" s="23" t="n">
        <v>0</v>
      </c>
      <c r="Z49" s="51"/>
      <c r="AA49" s="52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2.95" hidden="false" customHeight="true" outlineLevel="0" collapsed="false">
      <c r="A50" s="1" t="s">
        <v>360</v>
      </c>
      <c r="B50" s="1" t="s">
        <v>292</v>
      </c>
      <c r="C50" s="15" t="s">
        <v>409</v>
      </c>
      <c r="D50" s="15" t="s">
        <v>410</v>
      </c>
      <c r="E50" s="15" t="s">
        <v>128</v>
      </c>
      <c r="F50" s="25" t="n">
        <v>37005</v>
      </c>
      <c r="G50" s="16" t="s">
        <v>411</v>
      </c>
      <c r="H50" s="25" t="n">
        <v>37036</v>
      </c>
      <c r="I50" s="16"/>
      <c r="J50" s="22" t="n">
        <v>-0.40495867768595</v>
      </c>
      <c r="K50" s="22" t="n">
        <v>-0.460674157303371</v>
      </c>
      <c r="L50" s="16"/>
      <c r="M50" s="16"/>
      <c r="N50" s="49"/>
      <c r="O50" s="16"/>
      <c r="P50" s="22" t="n">
        <v>6.22522400217214</v>
      </c>
      <c r="Q50" s="21" t="n">
        <v>25.385455104551</v>
      </c>
      <c r="R50" s="18" t="n">
        <v>4.89082978955403</v>
      </c>
      <c r="S50" s="15" t="s">
        <v>412</v>
      </c>
      <c r="T50" s="50"/>
      <c r="U50" s="23" t="n">
        <v>0</v>
      </c>
      <c r="V50" s="23" t="n">
        <v>0</v>
      </c>
      <c r="W50" s="24" t="n">
        <v>0</v>
      </c>
      <c r="X50" s="23" t="n">
        <v>0</v>
      </c>
      <c r="Y50" s="23" t="n">
        <v>0</v>
      </c>
      <c r="Z50" s="51"/>
      <c r="AA50" s="52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2.95" hidden="false" customHeight="true" outlineLevel="0" collapsed="false">
      <c r="A51" s="1" t="s">
        <v>362</v>
      </c>
      <c r="B51" s="1" t="s">
        <v>292</v>
      </c>
      <c r="C51" s="15" t="s">
        <v>409</v>
      </c>
      <c r="D51" s="15" t="s">
        <v>413</v>
      </c>
      <c r="E51" s="15" t="s">
        <v>99</v>
      </c>
      <c r="F51" s="25" t="n">
        <v>37033</v>
      </c>
      <c r="G51" s="16" t="s">
        <v>414</v>
      </c>
      <c r="H51" s="25" t="n">
        <v>37036</v>
      </c>
      <c r="I51" s="16"/>
      <c r="J51" s="22" t="n">
        <v>0.678840579710145</v>
      </c>
      <c r="K51" s="22" t="n">
        <v>0.0483257918552037</v>
      </c>
      <c r="L51" s="16"/>
      <c r="M51" s="16"/>
      <c r="N51" s="49"/>
      <c r="O51" s="16"/>
      <c r="P51" s="22" t="n">
        <v>1.8951661539735</v>
      </c>
      <c r="Q51" s="21" t="n">
        <v>8.75610801543078</v>
      </c>
      <c r="R51" s="18" t="n">
        <v>0</v>
      </c>
      <c r="S51" s="15" t="s">
        <v>349</v>
      </c>
      <c r="T51" s="50"/>
      <c r="U51" s="23" t="n">
        <v>0</v>
      </c>
      <c r="V51" s="23" t="n">
        <v>0</v>
      </c>
      <c r="W51" s="24" t="n">
        <v>0</v>
      </c>
      <c r="X51" s="23" t="n">
        <v>0</v>
      </c>
      <c r="Y51" s="23" t="n">
        <v>0</v>
      </c>
      <c r="Z51" s="51"/>
      <c r="AA51" s="52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2.95" hidden="false" customHeight="true" outlineLevel="0" collapsed="false">
      <c r="A52" s="1" t="s">
        <v>364</v>
      </c>
      <c r="B52" s="1" t="s">
        <v>415</v>
      </c>
      <c r="C52" s="15" t="s">
        <v>416</v>
      </c>
      <c r="D52" s="15" t="s">
        <v>417</v>
      </c>
      <c r="E52" s="15" t="s">
        <v>99</v>
      </c>
      <c r="F52" s="25" t="n">
        <v>37028</v>
      </c>
      <c r="G52" s="16" t="s">
        <v>418</v>
      </c>
      <c r="H52" s="25" t="n">
        <v>37036</v>
      </c>
      <c r="I52" s="16"/>
      <c r="J52" s="22" t="n">
        <v>-0.0907936507936508</v>
      </c>
      <c r="K52" s="22" t="n">
        <v>-0.514576271186441</v>
      </c>
      <c r="L52" s="16"/>
      <c r="M52" s="16"/>
      <c r="N52" s="49"/>
      <c r="O52" s="16"/>
      <c r="P52" s="22" t="n">
        <v>1.32008418701616</v>
      </c>
      <c r="Q52" s="21" t="n">
        <v>10.6402252061747</v>
      </c>
      <c r="R52" s="18" t="n">
        <v>0</v>
      </c>
      <c r="S52" s="15" t="s">
        <v>51</v>
      </c>
      <c r="T52" s="50"/>
      <c r="U52" s="23" t="n">
        <v>0</v>
      </c>
      <c r="V52" s="23" t="n">
        <v>0</v>
      </c>
      <c r="W52" s="24" t="n">
        <v>0</v>
      </c>
      <c r="X52" s="23" t="n">
        <v>0</v>
      </c>
      <c r="Y52" s="23" t="n">
        <v>0</v>
      </c>
      <c r="Z52" s="51"/>
      <c r="AA52" s="52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2.95" hidden="false" customHeight="true" outlineLevel="0" collapsed="false">
      <c r="A53" s="1" t="s">
        <v>366</v>
      </c>
      <c r="B53" s="1" t="s">
        <v>415</v>
      </c>
      <c r="C53" s="15" t="s">
        <v>416</v>
      </c>
      <c r="D53" s="15" t="s">
        <v>127</v>
      </c>
      <c r="E53" s="15" t="s">
        <v>419</v>
      </c>
      <c r="F53" s="25" t="n">
        <v>37106</v>
      </c>
      <c r="G53" s="16" t="s">
        <v>418</v>
      </c>
      <c r="H53" s="25" t="n">
        <v>37036</v>
      </c>
      <c r="I53" s="16"/>
      <c r="J53" s="22" t="n">
        <v>0.624347826086957</v>
      </c>
      <c r="K53" s="22" t="n">
        <v>-0.150909090909091</v>
      </c>
      <c r="L53" s="16"/>
      <c r="M53" s="16"/>
      <c r="N53" s="49"/>
      <c r="O53" s="16"/>
      <c r="P53" s="22" t="n">
        <v>2.69915734896701</v>
      </c>
      <c r="Q53" s="21" t="n">
        <v>12.8705375242729</v>
      </c>
      <c r="R53" s="18" t="n">
        <v>0</v>
      </c>
      <c r="S53" s="15" t="s">
        <v>420</v>
      </c>
      <c r="T53" s="50"/>
      <c r="U53" s="23" t="n">
        <v>0</v>
      </c>
      <c r="V53" s="23" t="n">
        <v>0</v>
      </c>
      <c r="W53" s="24" t="n">
        <v>0</v>
      </c>
      <c r="X53" s="23" t="n">
        <v>0</v>
      </c>
      <c r="Y53" s="23" t="n">
        <v>0</v>
      </c>
      <c r="Z53" s="51"/>
      <c r="AA53" s="52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12.95" hidden="false" customHeight="true" outlineLevel="0" collapsed="false">
      <c r="A54" s="1" t="s">
        <v>368</v>
      </c>
      <c r="B54" s="1" t="s">
        <v>292</v>
      </c>
      <c r="C54" s="15" t="s">
        <v>409</v>
      </c>
      <c r="D54" s="15" t="s">
        <v>421</v>
      </c>
      <c r="E54" s="15" t="s">
        <v>130</v>
      </c>
      <c r="F54" s="25" t="n">
        <v>37098</v>
      </c>
      <c r="G54" s="16" t="s">
        <v>414</v>
      </c>
      <c r="H54" s="25" t="n">
        <v>37036</v>
      </c>
      <c r="I54" s="16"/>
      <c r="J54" s="22" t="n">
        <v>-0.394871794871795</v>
      </c>
      <c r="K54" s="22" t="n">
        <v>-0.394871794871795</v>
      </c>
      <c r="L54" s="16"/>
      <c r="M54" s="16"/>
      <c r="N54" s="49"/>
      <c r="O54" s="16"/>
      <c r="P54" s="22" t="n">
        <v>4.44660870444107</v>
      </c>
      <c r="Q54" s="21" t="n">
        <v>7.4195662154454</v>
      </c>
      <c r="R54" s="18" t="n">
        <v>3.66538527211559</v>
      </c>
      <c r="S54" s="15" t="s">
        <v>412</v>
      </c>
      <c r="T54" s="50"/>
      <c r="U54" s="23" t="n">
        <v>0</v>
      </c>
      <c r="V54" s="23" t="n">
        <v>0</v>
      </c>
      <c r="W54" s="24" t="n">
        <v>0</v>
      </c>
      <c r="X54" s="23" t="n">
        <v>0</v>
      </c>
      <c r="Y54" s="23" t="n">
        <v>0</v>
      </c>
      <c r="Z54" s="51"/>
      <c r="AA54" s="52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12.95" hidden="false" customHeight="true" outlineLevel="0" collapsed="false">
      <c r="A55" s="1" t="s">
        <v>369</v>
      </c>
      <c r="B55" s="1" t="s">
        <v>401</v>
      </c>
      <c r="C55" s="15" t="s">
        <v>402</v>
      </c>
      <c r="D55" s="15" t="s">
        <v>123</v>
      </c>
      <c r="E55" s="15" t="s">
        <v>128</v>
      </c>
      <c r="F55" s="25" t="n">
        <v>37053</v>
      </c>
      <c r="G55" s="16" t="s">
        <v>408</v>
      </c>
      <c r="H55" s="25" t="n">
        <v>37032</v>
      </c>
      <c r="I55" s="16"/>
      <c r="J55" s="22" t="e">
        <f aca="false">NA()</f>
        <v>#N/A</v>
      </c>
      <c r="K55" s="22" t="n">
        <v>-0.128358208955224</v>
      </c>
      <c r="L55" s="16"/>
      <c r="M55" s="16"/>
      <c r="N55" s="49"/>
      <c r="O55" s="16"/>
      <c r="P55" s="22" t="n">
        <v>16.4434450190619</v>
      </c>
      <c r="Q55" s="21" t="n">
        <v>9.51661041037484</v>
      </c>
      <c r="R55" s="18" t="n">
        <v>0</v>
      </c>
      <c r="S55" s="15" t="s">
        <v>422</v>
      </c>
      <c r="T55" s="50"/>
      <c r="U55" s="23" t="n">
        <v>0</v>
      </c>
      <c r="V55" s="23" t="n">
        <v>0</v>
      </c>
      <c r="W55" s="24" t="n">
        <v>0</v>
      </c>
      <c r="X55" s="23" t="n">
        <v>0</v>
      </c>
      <c r="Y55" s="23" t="n">
        <v>0</v>
      </c>
      <c r="Z55" s="51"/>
      <c r="AA55" s="52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12.95" hidden="false" customHeight="true" outlineLevel="0" collapsed="false">
      <c r="A56" s="1" t="s">
        <v>371</v>
      </c>
      <c r="B56" s="1" t="s">
        <v>415</v>
      </c>
      <c r="C56" s="15" t="s">
        <v>416</v>
      </c>
      <c r="D56" s="15" t="s">
        <v>127</v>
      </c>
      <c r="E56" s="15" t="s">
        <v>130</v>
      </c>
      <c r="F56" s="25" t="n">
        <v>37106</v>
      </c>
      <c r="G56" s="16" t="s">
        <v>269</v>
      </c>
      <c r="H56" s="25" t="n">
        <v>37036</v>
      </c>
      <c r="I56" s="16"/>
      <c r="J56" s="22" t="n">
        <v>0.285309734513274</v>
      </c>
      <c r="K56" s="22" t="n">
        <v>-0.0599352750809061</v>
      </c>
      <c r="L56" s="16"/>
      <c r="M56" s="16"/>
      <c r="N56" s="49"/>
      <c r="O56" s="16"/>
      <c r="P56" s="22" t="n">
        <v>16.1562609682095</v>
      </c>
      <c r="Q56" s="21" t="n">
        <v>44.7992418421188</v>
      </c>
      <c r="R56" s="18" t="n">
        <v>0</v>
      </c>
      <c r="S56" s="15" t="s">
        <v>51</v>
      </c>
      <c r="T56" s="50"/>
      <c r="U56" s="23" t="n">
        <v>0</v>
      </c>
      <c r="V56" s="23" t="n">
        <v>0</v>
      </c>
      <c r="W56" s="24" t="n">
        <v>0</v>
      </c>
      <c r="X56" s="23" t="n">
        <v>0</v>
      </c>
      <c r="Y56" s="23" t="n">
        <v>0</v>
      </c>
      <c r="Z56" s="51"/>
      <c r="AA56" s="52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12.95" hidden="false" customHeight="true" outlineLevel="0" collapsed="false">
      <c r="A57" s="1" t="s">
        <v>373</v>
      </c>
      <c r="B57" s="1" t="s">
        <v>292</v>
      </c>
      <c r="C57" s="15" t="s">
        <v>409</v>
      </c>
      <c r="D57" s="15" t="s">
        <v>333</v>
      </c>
      <c r="E57" s="15" t="s">
        <v>232</v>
      </c>
      <c r="F57" s="25" t="s">
        <v>232</v>
      </c>
      <c r="G57" s="16" t="s">
        <v>423</v>
      </c>
      <c r="H57" s="25" t="n">
        <v>37036</v>
      </c>
      <c r="I57" s="16"/>
      <c r="J57" s="22" t="n">
        <v>0.678840579710145</v>
      </c>
      <c r="K57" s="22" t="n">
        <v>0.0483257918552037</v>
      </c>
      <c r="L57" s="16"/>
      <c r="M57" s="16"/>
      <c r="N57" s="49"/>
      <c r="O57" s="16"/>
      <c r="P57" s="22" t="n">
        <v>2.13028326579844</v>
      </c>
      <c r="Q57" s="21" t="n">
        <v>7.04441406298995</v>
      </c>
      <c r="R57" s="18" t="n">
        <v>8.57835381317247</v>
      </c>
      <c r="S57" s="15" t="s">
        <v>424</v>
      </c>
      <c r="T57" s="50"/>
      <c r="U57" s="23" t="n">
        <v>0</v>
      </c>
      <c r="V57" s="23" t="n">
        <v>0</v>
      </c>
      <c r="W57" s="24" t="n">
        <v>0</v>
      </c>
      <c r="X57" s="23" t="n">
        <v>0</v>
      </c>
      <c r="Y57" s="23" t="n">
        <v>0</v>
      </c>
      <c r="Z57" s="51"/>
      <c r="AA57" s="52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12.95" hidden="false" customHeight="true" outlineLevel="0" collapsed="false">
      <c r="A58" s="1" t="s">
        <v>375</v>
      </c>
      <c r="B58" s="1" t="s">
        <v>415</v>
      </c>
      <c r="C58" s="15" t="s">
        <v>416</v>
      </c>
      <c r="D58" s="15" t="s">
        <v>425</v>
      </c>
      <c r="E58" s="15" t="s">
        <v>130</v>
      </c>
      <c r="F58" s="25" t="n">
        <v>37026</v>
      </c>
      <c r="G58" s="16" t="s">
        <v>426</v>
      </c>
      <c r="H58" s="25" t="n">
        <v>37036</v>
      </c>
      <c r="I58" s="16"/>
      <c r="J58" s="22" t="n">
        <v>1.19241379310345</v>
      </c>
      <c r="K58" s="22" t="n">
        <v>0.500412979351033</v>
      </c>
      <c r="L58" s="16"/>
      <c r="M58" s="16"/>
      <c r="N58" s="49"/>
      <c r="O58" s="16"/>
      <c r="P58" s="22" t="n">
        <v>1.54946771003372</v>
      </c>
      <c r="Q58" s="21" t="n">
        <v>15.5902302239659</v>
      </c>
      <c r="R58" s="18" t="n">
        <v>0</v>
      </c>
      <c r="S58" s="15" t="s">
        <v>427</v>
      </c>
      <c r="T58" s="50"/>
      <c r="U58" s="23" t="n">
        <v>0</v>
      </c>
      <c r="V58" s="23" t="n">
        <v>0</v>
      </c>
      <c r="W58" s="24" t="n">
        <v>0</v>
      </c>
      <c r="X58" s="23" t="n">
        <v>0</v>
      </c>
      <c r="Y58" s="23" t="n">
        <v>0</v>
      </c>
      <c r="Z58" s="51"/>
      <c r="AA58" s="52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12.95" hidden="false" customHeight="true" outlineLevel="0" collapsed="false">
      <c r="A59" s="1" t="s">
        <v>377</v>
      </c>
      <c r="B59" s="1" t="s">
        <v>401</v>
      </c>
      <c r="C59" s="15" t="s">
        <v>402</v>
      </c>
      <c r="D59" s="15" t="s">
        <v>403</v>
      </c>
      <c r="E59" s="15" t="s">
        <v>99</v>
      </c>
      <c r="F59" s="25" t="n">
        <v>37088</v>
      </c>
      <c r="G59" s="16" t="s">
        <v>408</v>
      </c>
      <c r="H59" s="25" t="n">
        <v>37032</v>
      </c>
      <c r="I59" s="16"/>
      <c r="J59" s="22" t="n">
        <v>-0.0907936507936508</v>
      </c>
      <c r="K59" s="22" t="n">
        <v>-0.514576271186441</v>
      </c>
      <c r="L59" s="16"/>
      <c r="M59" s="16"/>
      <c r="N59" s="49"/>
      <c r="O59" s="16"/>
      <c r="P59" s="22" t="n">
        <v>2.03061513278182</v>
      </c>
      <c r="Q59" s="21" t="n">
        <v>5.05626623250766</v>
      </c>
      <c r="R59" s="18" t="n">
        <v>0</v>
      </c>
      <c r="S59" s="15" t="s">
        <v>428</v>
      </c>
      <c r="T59" s="50"/>
      <c r="U59" s="23" t="n">
        <v>0</v>
      </c>
      <c r="V59" s="23" t="n">
        <v>0</v>
      </c>
      <c r="W59" s="24" t="n">
        <v>0</v>
      </c>
      <c r="X59" s="23" t="n">
        <v>0</v>
      </c>
      <c r="Y59" s="23" t="n">
        <v>0</v>
      </c>
      <c r="Z59" s="51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</row>
    <row r="60" customFormat="false" ht="12.95" hidden="false" customHeight="true" outlineLevel="0" collapsed="false">
      <c r="A60" s="1" t="s">
        <v>379</v>
      </c>
      <c r="B60" s="1" t="s">
        <v>429</v>
      </c>
      <c r="C60" s="15" t="s">
        <v>430</v>
      </c>
      <c r="D60" s="15" t="s">
        <v>431</v>
      </c>
      <c r="E60" s="15" t="s">
        <v>128</v>
      </c>
      <c r="F60" s="25" t="n">
        <v>37007</v>
      </c>
      <c r="G60" s="16" t="s">
        <v>411</v>
      </c>
      <c r="H60" s="25" t="n">
        <v>37043</v>
      </c>
      <c r="I60" s="16"/>
      <c r="J60" s="22" t="n">
        <v>0.425742574257426</v>
      </c>
      <c r="K60" s="22" t="n">
        <v>-0.172413793103448</v>
      </c>
      <c r="L60" s="16"/>
      <c r="M60" s="16"/>
      <c r="N60" s="49"/>
      <c r="O60" s="16"/>
      <c r="P60" s="22" t="n">
        <v>1.38313723607166</v>
      </c>
      <c r="Q60" s="21" t="n">
        <v>13.4112617385903</v>
      </c>
      <c r="R60" s="18" t="n">
        <v>7.58882000855066</v>
      </c>
      <c r="S60" s="15" t="s">
        <v>349</v>
      </c>
      <c r="T60" s="50"/>
      <c r="U60" s="23" t="n">
        <v>0</v>
      </c>
      <c r="V60" s="23" t="n">
        <v>0</v>
      </c>
      <c r="W60" s="24" t="n">
        <v>0</v>
      </c>
      <c r="X60" s="23" t="n">
        <v>0</v>
      </c>
      <c r="Y60" s="23" t="n">
        <v>0</v>
      </c>
      <c r="Z60" s="51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</row>
    <row r="61" customFormat="false" ht="12.95" hidden="false" customHeight="true" outlineLevel="0" collapsed="false">
      <c r="A61" s="1" t="s">
        <v>381</v>
      </c>
      <c r="B61" s="1" t="s">
        <v>429</v>
      </c>
      <c r="C61" s="15" t="s">
        <v>430</v>
      </c>
      <c r="D61" s="15" t="s">
        <v>333</v>
      </c>
      <c r="E61" s="15" t="s">
        <v>407</v>
      </c>
      <c r="F61" s="25" t="n">
        <v>37025</v>
      </c>
      <c r="G61" s="16" t="s">
        <v>432</v>
      </c>
      <c r="H61" s="25" t="n">
        <v>37043</v>
      </c>
      <c r="I61" s="16"/>
      <c r="J61" s="22" t="n">
        <v>0.0765891472868217</v>
      </c>
      <c r="K61" s="22" t="n">
        <v>0.00274368231046928</v>
      </c>
      <c r="L61" s="16"/>
      <c r="M61" s="16"/>
      <c r="N61" s="49"/>
      <c r="O61" s="16"/>
      <c r="P61" s="22" t="n">
        <v>0.336581594610421</v>
      </c>
      <c r="Q61" s="21" t="n">
        <v>12.3965397808361</v>
      </c>
      <c r="R61" s="18" t="n">
        <v>4.4742668863262</v>
      </c>
      <c r="S61" s="15" t="s">
        <v>336</v>
      </c>
      <c r="T61" s="50"/>
      <c r="U61" s="23" t="n">
        <v>0</v>
      </c>
      <c r="V61" s="23" t="n">
        <v>0</v>
      </c>
      <c r="W61" s="24" t="n">
        <v>0</v>
      </c>
      <c r="X61" s="23" t="n">
        <v>0</v>
      </c>
      <c r="Y61" s="23" t="n">
        <v>0</v>
      </c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6"/>
      <c r="IM61" s="16"/>
      <c r="IN61" s="16"/>
      <c r="IO61" s="16"/>
      <c r="IP61" s="16"/>
      <c r="IQ61" s="16"/>
      <c r="IR61" s="16"/>
      <c r="IS61" s="16"/>
      <c r="IT61" s="16"/>
      <c r="IU61" s="16"/>
      <c r="IV61" s="16"/>
      <c r="IW61" s="16"/>
    </row>
    <row r="62" customFormat="false" ht="12.95" hidden="false" customHeight="true" outlineLevel="0" collapsed="false">
      <c r="A62" s="1" t="s">
        <v>383</v>
      </c>
      <c r="B62" s="1" t="s">
        <v>429</v>
      </c>
      <c r="C62" s="15" t="s">
        <v>430</v>
      </c>
      <c r="D62" s="15" t="s">
        <v>425</v>
      </c>
      <c r="E62" s="15" t="s">
        <v>130</v>
      </c>
      <c r="F62" s="25" t="n">
        <v>37026</v>
      </c>
      <c r="G62" s="16" t="s">
        <v>414</v>
      </c>
      <c r="H62" s="25" t="n">
        <v>37043</v>
      </c>
      <c r="I62" s="16"/>
      <c r="J62" s="22" t="n">
        <v>0.3664</v>
      </c>
      <c r="K62" s="22" t="n">
        <v>0.0675</v>
      </c>
      <c r="L62" s="16"/>
      <c r="M62" s="16"/>
      <c r="N62" s="49"/>
      <c r="O62" s="16"/>
      <c r="P62" s="22" t="n">
        <v>4.52648515431704</v>
      </c>
      <c r="Q62" s="21" t="n">
        <v>18.4822711312051</v>
      </c>
      <c r="R62" s="18" t="n">
        <v>1.44918731344071</v>
      </c>
      <c r="S62" s="15" t="s">
        <v>51</v>
      </c>
      <c r="T62" s="50"/>
      <c r="U62" s="23" t="n">
        <v>0</v>
      </c>
      <c r="V62" s="23" t="n">
        <v>0</v>
      </c>
      <c r="W62" s="24" t="n">
        <v>0</v>
      </c>
      <c r="X62" s="23" t="n">
        <v>0</v>
      </c>
      <c r="Y62" s="23" t="n">
        <v>0</v>
      </c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</row>
    <row r="63" customFormat="false" ht="12.95" hidden="false" customHeight="true" outlineLevel="0" collapsed="false">
      <c r="A63" s="1" t="s">
        <v>385</v>
      </c>
      <c r="B63" s="1" t="s">
        <v>429</v>
      </c>
      <c r="C63" s="15" t="s">
        <v>430</v>
      </c>
      <c r="D63" s="15" t="s">
        <v>403</v>
      </c>
      <c r="E63" s="15" t="s">
        <v>99</v>
      </c>
      <c r="F63" s="25" t="n">
        <v>37021</v>
      </c>
      <c r="G63" s="16" t="s">
        <v>433</v>
      </c>
      <c r="H63" s="25" t="n">
        <v>37043</v>
      </c>
      <c r="I63" s="16"/>
      <c r="J63" s="22" t="n">
        <v>0.581679389312977</v>
      </c>
      <c r="K63" s="22" t="n">
        <v>0.22603550295858</v>
      </c>
      <c r="L63" s="16"/>
      <c r="M63" s="16"/>
      <c r="N63" s="16"/>
      <c r="O63" s="16"/>
      <c r="P63" s="22" t="n">
        <v>3.93902703803069</v>
      </c>
      <c r="Q63" s="21" t="n">
        <v>26.9400812457685</v>
      </c>
      <c r="R63" s="18" t="n">
        <v>2.47409008682483</v>
      </c>
      <c r="S63" s="15" t="s">
        <v>434</v>
      </c>
      <c r="T63" s="50"/>
      <c r="U63" s="23" t="n">
        <v>0</v>
      </c>
      <c r="V63" s="23" t="n">
        <v>0</v>
      </c>
      <c r="W63" s="24" t="n">
        <v>0</v>
      </c>
      <c r="X63" s="23" t="n">
        <v>0</v>
      </c>
      <c r="Y63" s="23" t="n">
        <v>0</v>
      </c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</row>
    <row r="64" customFormat="false" ht="12.95" hidden="false" customHeight="true" outlineLevel="0" collapsed="false">
      <c r="A64" s="1" t="s">
        <v>387</v>
      </c>
      <c r="B64" s="1" t="s">
        <v>429</v>
      </c>
      <c r="C64" s="15" t="s">
        <v>430</v>
      </c>
      <c r="D64" s="15" t="s">
        <v>435</v>
      </c>
      <c r="E64" s="15" t="s">
        <v>51</v>
      </c>
      <c r="F64" s="25" t="n">
        <v>37043</v>
      </c>
      <c r="G64" s="16" t="s">
        <v>414</v>
      </c>
      <c r="H64" s="25" t="n">
        <v>36866</v>
      </c>
      <c r="I64" s="16"/>
      <c r="J64" s="22" t="n">
        <v>-0.14269340974212</v>
      </c>
      <c r="K64" s="22" t="n">
        <v>-0.0987951807228916</v>
      </c>
      <c r="L64" s="16"/>
      <c r="M64" s="16"/>
      <c r="N64" s="16"/>
      <c r="O64" s="16"/>
      <c r="P64" s="22" t="n">
        <v>15.6840002722488</v>
      </c>
      <c r="Q64" s="21" t="n">
        <v>14.8707141588204</v>
      </c>
      <c r="R64" s="18" t="n">
        <v>3.0190085518724</v>
      </c>
      <c r="S64" s="15" t="s">
        <v>51</v>
      </c>
      <c r="T64" s="50"/>
      <c r="U64" s="23" t="n">
        <v>0</v>
      </c>
      <c r="V64" s="23" t="n">
        <v>0</v>
      </c>
      <c r="W64" s="24" t="n">
        <v>0</v>
      </c>
      <c r="X64" s="23" t="n">
        <v>0</v>
      </c>
      <c r="Y64" s="23" t="n">
        <v>0</v>
      </c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</row>
    <row r="65" customFormat="false" ht="12.95" hidden="false" customHeight="true" outlineLevel="0" collapsed="false">
      <c r="A65" s="1" t="s">
        <v>389</v>
      </c>
      <c r="B65" s="1" t="s">
        <v>429</v>
      </c>
      <c r="C65" s="15" t="s">
        <v>430</v>
      </c>
      <c r="D65" s="15" t="s">
        <v>403</v>
      </c>
      <c r="E65" s="15" t="s">
        <v>99</v>
      </c>
      <c r="F65" s="25" t="n">
        <v>37022</v>
      </c>
      <c r="G65" s="16" t="s">
        <v>270</v>
      </c>
      <c r="H65" s="25" t="n">
        <v>37043</v>
      </c>
      <c r="I65" s="16"/>
      <c r="J65" s="22" t="n">
        <v>0.190625</v>
      </c>
      <c r="K65" s="22" t="n">
        <v>0</v>
      </c>
      <c r="L65" s="16"/>
      <c r="M65" s="16"/>
      <c r="N65" s="16"/>
      <c r="O65" s="16"/>
      <c r="P65" s="22" t="n">
        <v>4.5835282677028</v>
      </c>
      <c r="Q65" s="21" t="n">
        <v>17.7415175626649</v>
      </c>
      <c r="R65" s="18" t="n">
        <v>2.72087908734805</v>
      </c>
      <c r="S65" s="15" t="s">
        <v>51</v>
      </c>
      <c r="T65" s="50"/>
      <c r="U65" s="23" t="n">
        <v>0</v>
      </c>
      <c r="V65" s="23" t="n">
        <v>0</v>
      </c>
      <c r="W65" s="24" t="n">
        <v>0</v>
      </c>
      <c r="X65" s="23" t="n">
        <v>0</v>
      </c>
      <c r="Y65" s="23" t="n">
        <v>0</v>
      </c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6"/>
      <c r="IM65" s="16"/>
      <c r="IN65" s="16"/>
      <c r="IO65" s="16"/>
      <c r="IP65" s="16"/>
      <c r="IQ65" s="16"/>
      <c r="IR65" s="16"/>
      <c r="IS65" s="16"/>
      <c r="IT65" s="16"/>
      <c r="IU65" s="16"/>
      <c r="IV65" s="16"/>
      <c r="IW65" s="16"/>
    </row>
    <row r="66" customFormat="false" ht="12.95" hidden="false" customHeight="true" outlineLevel="0" collapsed="false">
      <c r="A66" s="1" t="s">
        <v>391</v>
      </c>
      <c r="B66" s="1" t="s">
        <v>415</v>
      </c>
      <c r="C66" s="15" t="s">
        <v>416</v>
      </c>
      <c r="D66" s="15" t="s">
        <v>425</v>
      </c>
      <c r="E66" s="15" t="s">
        <v>128</v>
      </c>
      <c r="F66" s="25" t="n">
        <v>37021</v>
      </c>
      <c r="G66" s="16" t="s">
        <v>418</v>
      </c>
      <c r="H66" s="25" t="n">
        <v>37036</v>
      </c>
      <c r="I66" s="16"/>
      <c r="J66" s="22" t="n">
        <v>0.631372549019608</v>
      </c>
      <c r="K66" s="22" t="n">
        <v>0</v>
      </c>
      <c r="L66" s="16"/>
      <c r="M66" s="16"/>
      <c r="N66" s="16"/>
      <c r="O66" s="16"/>
      <c r="P66" s="22" t="n">
        <v>0.139856578777713</v>
      </c>
      <c r="Q66" s="21" t="n">
        <v>10.5295072798456</v>
      </c>
      <c r="R66" s="18" t="n">
        <v>26.1420719954156</v>
      </c>
      <c r="S66" s="15" t="s">
        <v>436</v>
      </c>
      <c r="T66" s="50"/>
      <c r="U66" s="23" t="n">
        <v>0</v>
      </c>
      <c r="V66" s="23" t="n">
        <v>0</v>
      </c>
      <c r="W66" s="24" t="n">
        <v>0</v>
      </c>
      <c r="X66" s="23" t="n">
        <v>0</v>
      </c>
      <c r="Y66" s="23" t="n">
        <v>0</v>
      </c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  <c r="GU66" s="16"/>
      <c r="GV66" s="16"/>
      <c r="GW66" s="16"/>
      <c r="GX66" s="16"/>
      <c r="GY66" s="16"/>
      <c r="GZ66" s="16"/>
      <c r="HA66" s="16"/>
      <c r="HB66" s="16"/>
      <c r="HC66" s="16"/>
      <c r="HD66" s="16"/>
      <c r="HE66" s="16"/>
      <c r="HF66" s="16"/>
      <c r="HG66" s="16"/>
      <c r="HH66" s="16"/>
      <c r="HI66" s="16"/>
      <c r="HJ66" s="16"/>
      <c r="HK66" s="16"/>
      <c r="HL66" s="16"/>
      <c r="HM66" s="16"/>
      <c r="HN66" s="16"/>
      <c r="HO66" s="16"/>
      <c r="HP66" s="16"/>
      <c r="HQ66" s="16"/>
      <c r="HR66" s="16"/>
      <c r="HS66" s="16"/>
      <c r="HT66" s="16"/>
      <c r="HU66" s="16"/>
      <c r="HV66" s="16"/>
      <c r="HW66" s="16"/>
      <c r="HX66" s="16"/>
      <c r="HY66" s="16"/>
      <c r="HZ66" s="16"/>
      <c r="IA66" s="16"/>
      <c r="IB66" s="16"/>
      <c r="IC66" s="16"/>
      <c r="ID66" s="16"/>
      <c r="IE66" s="16"/>
      <c r="IF66" s="16"/>
      <c r="IG66" s="16"/>
      <c r="IH66" s="16"/>
      <c r="II66" s="16"/>
      <c r="IJ66" s="16"/>
      <c r="IK66" s="16"/>
      <c r="IL66" s="16"/>
      <c r="IM66" s="16"/>
      <c r="IN66" s="16"/>
      <c r="IO66" s="16"/>
      <c r="IP66" s="16"/>
      <c r="IQ66" s="16"/>
      <c r="IR66" s="16"/>
      <c r="IS66" s="16"/>
      <c r="IT66" s="16"/>
      <c r="IU66" s="16"/>
      <c r="IV66" s="16"/>
      <c r="IW66" s="16"/>
    </row>
    <row r="67" customFormat="false" ht="12.95" hidden="false" customHeight="true" outlineLevel="0" collapsed="false">
      <c r="A67" s="1" t="s">
        <v>393</v>
      </c>
      <c r="B67" s="1" t="s">
        <v>292</v>
      </c>
      <c r="C67" s="15" t="s">
        <v>409</v>
      </c>
      <c r="D67" s="15" t="s">
        <v>437</v>
      </c>
      <c r="E67" s="15" t="s">
        <v>128</v>
      </c>
      <c r="F67" s="25" t="n">
        <v>37056</v>
      </c>
      <c r="G67" s="16" t="s">
        <v>414</v>
      </c>
      <c r="H67" s="25" t="n">
        <v>0</v>
      </c>
      <c r="I67" s="16"/>
      <c r="J67" s="22" t="n">
        <v>0.541783132530121</v>
      </c>
      <c r="K67" s="22" t="n">
        <v>0</v>
      </c>
      <c r="L67" s="16"/>
      <c r="M67" s="16"/>
      <c r="N67" s="16"/>
      <c r="O67" s="16"/>
      <c r="P67" s="22" t="n">
        <v>21.567704955086</v>
      </c>
      <c r="Q67" s="21" t="n">
        <v>6.0287464812055</v>
      </c>
      <c r="R67" s="18" t="n">
        <v>10.1394969040609</v>
      </c>
      <c r="S67" s="15" t="s">
        <v>349</v>
      </c>
      <c r="T67" s="50"/>
      <c r="U67" s="23" t="n">
        <v>0</v>
      </c>
      <c r="V67" s="23" t="n">
        <v>0</v>
      </c>
      <c r="W67" s="24" t="n">
        <v>0</v>
      </c>
      <c r="X67" s="23" t="n">
        <v>0</v>
      </c>
      <c r="Y67" s="23" t="n">
        <v>0</v>
      </c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</row>
    <row r="68" customFormat="false" ht="12.95" hidden="false" customHeight="true" outlineLevel="0" collapsed="false">
      <c r="A68" s="1" t="s">
        <v>395</v>
      </c>
      <c r="B68" s="1" t="s">
        <v>415</v>
      </c>
      <c r="C68" s="15" t="s">
        <v>416</v>
      </c>
      <c r="D68" s="15" t="s">
        <v>127</v>
      </c>
      <c r="E68" s="15" t="s">
        <v>438</v>
      </c>
      <c r="F68" s="25" t="n">
        <v>37081</v>
      </c>
      <c r="G68" s="16" t="s">
        <v>269</v>
      </c>
      <c r="H68" s="25" t="n">
        <v>37036</v>
      </c>
      <c r="I68" s="16"/>
      <c r="J68" s="22" t="n">
        <v>0.285393258426966</v>
      </c>
      <c r="K68" s="22" t="n">
        <v>0</v>
      </c>
      <c r="L68" s="16"/>
      <c r="M68" s="16"/>
      <c r="N68" s="16"/>
      <c r="O68" s="16"/>
      <c r="P68" s="22" t="n">
        <v>1.84428595192229</v>
      </c>
      <c r="Q68" s="21" t="n">
        <v>6.66884742291501</v>
      </c>
      <c r="R68" s="18" t="n">
        <v>0</v>
      </c>
      <c r="S68" s="15" t="s">
        <v>336</v>
      </c>
      <c r="T68" s="50"/>
      <c r="U68" s="23" t="n">
        <v>0</v>
      </c>
      <c r="V68" s="23" t="n">
        <v>0</v>
      </c>
      <c r="W68" s="24" t="n">
        <v>0</v>
      </c>
      <c r="X68" s="23" t="n">
        <v>0</v>
      </c>
      <c r="Y68" s="23" t="n">
        <v>0</v>
      </c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</row>
    <row r="69" customFormat="false" ht="12.95" hidden="false" customHeight="true" outlineLevel="0" collapsed="false">
      <c r="A69" s="1" t="s">
        <v>397</v>
      </c>
      <c r="B69" s="1" t="s">
        <v>401</v>
      </c>
      <c r="C69" s="15" t="s">
        <v>402</v>
      </c>
      <c r="D69" s="15" t="s">
        <v>123</v>
      </c>
      <c r="E69" s="15" t="n">
        <v>0</v>
      </c>
      <c r="F69" s="25" t="n">
        <v>37095</v>
      </c>
      <c r="G69" s="16" t="s">
        <v>439</v>
      </c>
      <c r="H69" s="25" t="n">
        <v>37032</v>
      </c>
      <c r="I69" s="16"/>
      <c r="J69" s="22" t="n">
        <v>0.290026109660574</v>
      </c>
      <c r="K69" s="22" t="n">
        <v>-0.460674157303371</v>
      </c>
      <c r="L69" s="16"/>
      <c r="M69" s="16"/>
      <c r="N69" s="49"/>
      <c r="O69" s="16"/>
      <c r="P69" s="22" t="n">
        <v>3.55519415875425</v>
      </c>
      <c r="Q69" s="21" t="n">
        <v>16.1070365534548</v>
      </c>
      <c r="R69" s="18" t="n">
        <v>0</v>
      </c>
      <c r="S69" s="15" t="s">
        <v>440</v>
      </c>
      <c r="T69" s="50"/>
      <c r="U69" s="23" t="n">
        <v>0</v>
      </c>
      <c r="V69" s="23" t="n">
        <v>0</v>
      </c>
      <c r="W69" s="24" t="n">
        <v>0</v>
      </c>
      <c r="X69" s="23" t="n">
        <v>0</v>
      </c>
      <c r="Y69" s="23" t="n">
        <v>0</v>
      </c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  <c r="IU69" s="16"/>
      <c r="IV69" s="16"/>
      <c r="IW69" s="16"/>
    </row>
    <row r="70" customFormat="false" ht="12.95" hidden="false" customHeight="true" outlineLevel="0" collapsed="false">
      <c r="A70" s="1" t="s">
        <v>399</v>
      </c>
      <c r="B70" s="1" t="s">
        <v>292</v>
      </c>
      <c r="C70" s="15" t="s">
        <v>409</v>
      </c>
      <c r="D70" s="15" t="n">
        <v>0</v>
      </c>
      <c r="E70" s="15" t="s">
        <v>128</v>
      </c>
      <c r="F70" s="25" t="n">
        <v>37036</v>
      </c>
      <c r="G70" s="16" t="n">
        <v>0</v>
      </c>
      <c r="H70" s="25" t="n">
        <v>0</v>
      </c>
      <c r="I70" s="16"/>
      <c r="J70" s="22" t="n">
        <v>0.624347826086957</v>
      </c>
      <c r="K70" s="22" t="n">
        <v>-0.150909090909091</v>
      </c>
      <c r="L70" s="16"/>
      <c r="M70" s="16"/>
      <c r="N70" s="49"/>
      <c r="O70" s="16"/>
      <c r="P70" s="22" t="n">
        <v>10.3137970500544</v>
      </c>
      <c r="Q70" s="21" t="n">
        <v>8.13803296309566</v>
      </c>
      <c r="R70" s="18" t="n">
        <v>2.29295318429856</v>
      </c>
      <c r="S70" s="15" t="s">
        <v>412</v>
      </c>
      <c r="T70" s="50"/>
      <c r="U70" s="23" t="n">
        <v>0</v>
      </c>
      <c r="V70" s="23" t="n">
        <v>0</v>
      </c>
      <c r="W70" s="24" t="n">
        <v>0</v>
      </c>
      <c r="X70" s="23" t="n">
        <v>0</v>
      </c>
      <c r="Y70" s="23" t="n">
        <v>0</v>
      </c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</row>
    <row r="71" customFormat="false" ht="12.95" hidden="false" customHeight="true" outlineLevel="0" collapsed="false">
      <c r="C71" s="15"/>
      <c r="D71" s="15"/>
      <c r="E71" s="15"/>
      <c r="F71" s="25"/>
      <c r="G71" s="16"/>
      <c r="H71" s="25"/>
      <c r="I71" s="16"/>
      <c r="J71" s="22"/>
      <c r="K71" s="22"/>
      <c r="L71" s="16"/>
      <c r="M71" s="16"/>
      <c r="N71" s="16"/>
      <c r="O71" s="16"/>
      <c r="P71" s="16"/>
      <c r="Q71" s="16"/>
      <c r="R71" s="16"/>
      <c r="S71" s="16"/>
      <c r="T71" s="50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  <c r="FF71" s="16"/>
      <c r="FG71" s="16"/>
      <c r="FH71" s="16"/>
      <c r="FI71" s="16"/>
      <c r="FJ71" s="16"/>
      <c r="FK71" s="16"/>
      <c r="FL71" s="16"/>
      <c r="FM71" s="16"/>
      <c r="FN71" s="16"/>
      <c r="FO71" s="16"/>
      <c r="FP71" s="16"/>
      <c r="FQ71" s="16"/>
      <c r="FR71" s="16"/>
      <c r="FS71" s="16"/>
      <c r="FT71" s="16"/>
      <c r="FU71" s="16"/>
      <c r="FV71" s="16"/>
      <c r="FW71" s="16"/>
      <c r="FX71" s="16"/>
      <c r="FY71" s="16"/>
      <c r="FZ71" s="16"/>
      <c r="GA71" s="16"/>
      <c r="GB71" s="16"/>
      <c r="GC71" s="16"/>
      <c r="GD71" s="16"/>
      <c r="GE71" s="16"/>
      <c r="GF71" s="16"/>
      <c r="GG71" s="16"/>
      <c r="GH71" s="16"/>
      <c r="GI71" s="16"/>
      <c r="GJ71" s="16"/>
      <c r="GK71" s="16"/>
      <c r="GL71" s="16"/>
      <c r="GM71" s="16"/>
      <c r="GN71" s="16"/>
      <c r="GO71" s="16"/>
      <c r="GP71" s="16"/>
      <c r="GQ71" s="16"/>
      <c r="GR71" s="16"/>
      <c r="GS71" s="16"/>
      <c r="GT71" s="16"/>
      <c r="GU71" s="16"/>
      <c r="GV71" s="16"/>
      <c r="GW71" s="16"/>
      <c r="GX71" s="16"/>
      <c r="GY71" s="16"/>
      <c r="GZ71" s="16"/>
      <c r="HA71" s="16"/>
      <c r="HB71" s="16"/>
      <c r="HC71" s="16"/>
      <c r="HD71" s="16"/>
      <c r="HE71" s="16"/>
      <c r="HF71" s="16"/>
      <c r="HG71" s="16"/>
      <c r="HH71" s="16"/>
      <c r="HI71" s="16"/>
      <c r="HJ71" s="16"/>
      <c r="HK71" s="16"/>
      <c r="HL71" s="16"/>
      <c r="HM71" s="16"/>
      <c r="HN71" s="16"/>
      <c r="HO71" s="16"/>
      <c r="HP71" s="16"/>
      <c r="HQ71" s="16"/>
      <c r="HR71" s="16"/>
      <c r="HS71" s="16"/>
      <c r="HT71" s="16"/>
      <c r="HU71" s="16"/>
      <c r="HV71" s="16"/>
      <c r="HW71" s="16"/>
      <c r="HX71" s="16"/>
      <c r="HY71" s="16"/>
      <c r="HZ71" s="16"/>
      <c r="IA71" s="16"/>
      <c r="IB71" s="16"/>
      <c r="IC71" s="16"/>
      <c r="ID71" s="16"/>
      <c r="IE71" s="16"/>
      <c r="IF71" s="16"/>
      <c r="IG71" s="16"/>
      <c r="IH71" s="16"/>
      <c r="II71" s="16"/>
      <c r="IJ71" s="16"/>
      <c r="IK71" s="16"/>
      <c r="IL71" s="16"/>
      <c r="IM71" s="16"/>
      <c r="IN71" s="16"/>
      <c r="IO71" s="16"/>
      <c r="IP71" s="16"/>
      <c r="IQ71" s="16"/>
      <c r="IR71" s="16"/>
      <c r="IS71" s="16"/>
      <c r="IT71" s="16"/>
      <c r="IU71" s="16"/>
      <c r="IV71" s="16"/>
      <c r="IW71" s="16"/>
    </row>
    <row r="72" customFormat="false" ht="12.95" hidden="false" customHeight="true" outlineLevel="0" collapsed="false">
      <c r="C72" s="15"/>
      <c r="D72" s="15"/>
      <c r="E72" s="15"/>
      <c r="F72" s="25"/>
      <c r="G72" s="16"/>
      <c r="H72" s="25"/>
      <c r="I72" s="16"/>
      <c r="J72" s="22"/>
      <c r="K72" s="22"/>
      <c r="L72" s="16"/>
      <c r="M72" s="16"/>
      <c r="N72" s="16"/>
      <c r="O72" s="16"/>
      <c r="P72" s="16"/>
      <c r="Q72" s="16"/>
      <c r="R72" s="16"/>
      <c r="S72" s="16"/>
      <c r="T72" s="50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6"/>
      <c r="FI72" s="16"/>
      <c r="FJ72" s="16"/>
      <c r="FK72" s="16"/>
      <c r="FL72" s="16"/>
      <c r="FM72" s="16"/>
      <c r="FN72" s="16"/>
      <c r="FO72" s="16"/>
      <c r="FP72" s="16"/>
      <c r="FQ72" s="16"/>
      <c r="FR72" s="16"/>
      <c r="FS72" s="16"/>
      <c r="FT72" s="16"/>
      <c r="FU72" s="16"/>
      <c r="FV72" s="16"/>
      <c r="FW72" s="16"/>
      <c r="FX72" s="16"/>
      <c r="FY72" s="16"/>
      <c r="FZ72" s="16"/>
      <c r="GA72" s="16"/>
      <c r="GB72" s="16"/>
      <c r="GC72" s="16"/>
      <c r="GD72" s="16"/>
      <c r="GE72" s="16"/>
      <c r="GF72" s="16"/>
      <c r="GG72" s="16"/>
      <c r="GH72" s="16"/>
      <c r="GI72" s="16"/>
      <c r="GJ72" s="16"/>
      <c r="GK72" s="16"/>
      <c r="GL72" s="16"/>
      <c r="GM72" s="16"/>
      <c r="GN72" s="16"/>
      <c r="GO72" s="16"/>
      <c r="GP72" s="16"/>
      <c r="GQ72" s="16"/>
      <c r="GR72" s="16"/>
      <c r="GS72" s="16"/>
      <c r="GT72" s="16"/>
      <c r="GU72" s="16"/>
      <c r="GV72" s="16"/>
      <c r="GW72" s="16"/>
      <c r="GX72" s="16"/>
      <c r="GY72" s="16"/>
      <c r="GZ72" s="16"/>
      <c r="HA72" s="16"/>
      <c r="HB72" s="16"/>
      <c r="HC72" s="16"/>
      <c r="HD72" s="16"/>
      <c r="HE72" s="16"/>
      <c r="HF72" s="16"/>
      <c r="HG72" s="16"/>
      <c r="HH72" s="16"/>
      <c r="HI72" s="16"/>
      <c r="HJ72" s="16"/>
      <c r="HK72" s="16"/>
      <c r="HL72" s="16"/>
      <c r="HM72" s="16"/>
      <c r="HN72" s="16"/>
      <c r="HO72" s="16"/>
      <c r="HP72" s="16"/>
      <c r="HQ72" s="16"/>
      <c r="HR72" s="16"/>
      <c r="HS72" s="16"/>
      <c r="HT72" s="16"/>
      <c r="HU72" s="16"/>
      <c r="HV72" s="16"/>
      <c r="HW72" s="16"/>
      <c r="HX72" s="16"/>
      <c r="HY72" s="16"/>
      <c r="HZ72" s="16"/>
      <c r="IA72" s="16"/>
      <c r="IB72" s="16"/>
      <c r="IC72" s="16"/>
      <c r="ID72" s="16"/>
      <c r="IE72" s="16"/>
      <c r="IF72" s="16"/>
      <c r="IG72" s="16"/>
      <c r="IH72" s="16"/>
      <c r="II72" s="16"/>
      <c r="IJ72" s="16"/>
      <c r="IK72" s="16"/>
      <c r="IL72" s="16"/>
      <c r="IM72" s="16"/>
      <c r="IN72" s="16"/>
      <c r="IO72" s="16"/>
      <c r="IP72" s="16"/>
      <c r="IQ72" s="16"/>
      <c r="IR72" s="16"/>
      <c r="IS72" s="16"/>
      <c r="IT72" s="16"/>
      <c r="IU72" s="16"/>
      <c r="IV72" s="16"/>
      <c r="IW72" s="16"/>
    </row>
    <row r="73" customFormat="false" ht="12.95" hidden="false" customHeight="true" outlineLevel="0" collapsed="false">
      <c r="C73" s="15"/>
      <c r="D73" s="15"/>
      <c r="E73" s="15"/>
      <c r="F73" s="25"/>
      <c r="G73" s="16"/>
      <c r="H73" s="25"/>
      <c r="I73" s="16"/>
      <c r="J73" s="22"/>
      <c r="K73" s="22"/>
      <c r="L73" s="16"/>
      <c r="M73" s="16"/>
      <c r="N73" s="16"/>
      <c r="O73" s="16"/>
      <c r="P73" s="16"/>
      <c r="Q73" s="16"/>
      <c r="R73" s="16"/>
      <c r="S73" s="16"/>
      <c r="T73" s="50"/>
      <c r="U73" s="16"/>
      <c r="V73" s="16"/>
      <c r="W73" s="16"/>
      <c r="X73" s="16"/>
      <c r="Y73" s="16"/>
      <c r="Z73" s="51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  <c r="FF73" s="16"/>
      <c r="FG73" s="16"/>
      <c r="FH73" s="16"/>
      <c r="FI73" s="16"/>
      <c r="FJ73" s="16"/>
      <c r="FK73" s="16"/>
      <c r="FL73" s="16"/>
      <c r="FM73" s="16"/>
      <c r="FN73" s="16"/>
      <c r="FO73" s="16"/>
      <c r="FP73" s="16"/>
      <c r="FQ73" s="16"/>
      <c r="FR73" s="16"/>
      <c r="FS73" s="16"/>
      <c r="FT73" s="16"/>
      <c r="FU73" s="16"/>
      <c r="FV73" s="16"/>
      <c r="FW73" s="16"/>
      <c r="FX73" s="16"/>
      <c r="FY73" s="16"/>
      <c r="FZ73" s="16"/>
      <c r="GA73" s="16"/>
      <c r="GB73" s="16"/>
      <c r="GC73" s="16"/>
      <c r="GD73" s="16"/>
      <c r="GE73" s="16"/>
      <c r="GF73" s="16"/>
      <c r="GG73" s="16"/>
      <c r="GH73" s="16"/>
      <c r="GI73" s="16"/>
      <c r="GJ73" s="16"/>
      <c r="GK73" s="16"/>
      <c r="GL73" s="16"/>
      <c r="GM73" s="16"/>
      <c r="GN73" s="16"/>
      <c r="GO73" s="16"/>
      <c r="GP73" s="16"/>
      <c r="GQ73" s="16"/>
      <c r="GR73" s="16"/>
      <c r="GS73" s="16"/>
      <c r="GT73" s="16"/>
      <c r="GU73" s="16"/>
      <c r="GV73" s="16"/>
      <c r="GW73" s="16"/>
      <c r="GX73" s="16"/>
      <c r="GY73" s="16"/>
      <c r="GZ73" s="16"/>
      <c r="HA73" s="16"/>
      <c r="HB73" s="16"/>
      <c r="HC73" s="16"/>
      <c r="HD73" s="16"/>
      <c r="HE73" s="16"/>
      <c r="HF73" s="16"/>
      <c r="HG73" s="16"/>
      <c r="HH73" s="16"/>
      <c r="HI73" s="16"/>
      <c r="HJ73" s="16"/>
      <c r="HK73" s="16"/>
      <c r="HL73" s="16"/>
      <c r="HM73" s="16"/>
      <c r="HN73" s="16"/>
      <c r="HO73" s="16"/>
      <c r="HP73" s="16"/>
      <c r="HQ73" s="16"/>
      <c r="HR73" s="16"/>
      <c r="HS73" s="16"/>
      <c r="HT73" s="16"/>
      <c r="HU73" s="16"/>
      <c r="HV73" s="16"/>
      <c r="HW73" s="16"/>
      <c r="HX73" s="16"/>
      <c r="HY73" s="16"/>
      <c r="HZ73" s="16"/>
      <c r="IA73" s="16"/>
      <c r="IB73" s="16"/>
      <c r="IC73" s="16"/>
      <c r="ID73" s="16"/>
      <c r="IE73" s="16"/>
      <c r="IF73" s="16"/>
      <c r="IG73" s="16"/>
      <c r="IH73" s="16"/>
      <c r="II73" s="16"/>
      <c r="IJ73" s="16"/>
      <c r="IK73" s="16"/>
      <c r="IL73" s="16"/>
      <c r="IM73" s="16"/>
      <c r="IN73" s="16"/>
      <c r="IO73" s="16"/>
      <c r="IP73" s="16"/>
      <c r="IQ73" s="16"/>
      <c r="IR73" s="16"/>
      <c r="IS73" s="16"/>
      <c r="IT73" s="16"/>
      <c r="IU73" s="16"/>
      <c r="IV73" s="16"/>
      <c r="IW73" s="16"/>
    </row>
    <row r="74" customFormat="false" ht="12.95" hidden="false" customHeight="true" outlineLevel="0" collapsed="false">
      <c r="A74" s="16"/>
      <c r="B74" s="58"/>
      <c r="C74" s="58"/>
      <c r="D74" s="16"/>
      <c r="E74" s="58"/>
      <c r="F74" s="16"/>
      <c r="G74" s="16"/>
      <c r="H74" s="16"/>
      <c r="I74" s="16"/>
      <c r="J74" s="16"/>
      <c r="K74" s="16"/>
      <c r="L74" s="16"/>
      <c r="M74" s="16"/>
      <c r="N74" s="40" t="s">
        <v>56</v>
      </c>
      <c r="O74" s="16"/>
      <c r="P74" s="22" t="n">
        <v>5.49376940355462</v>
      </c>
      <c r="Q74" s="21" t="n">
        <v>14.0600001447029</v>
      </c>
      <c r="R74" s="18" t="n">
        <v>3.36675403882522</v>
      </c>
      <c r="S74" s="15"/>
      <c r="T74" s="50"/>
      <c r="U74" s="23"/>
      <c r="V74" s="23"/>
      <c r="W74" s="24"/>
      <c r="X74" s="23"/>
      <c r="Y74" s="23"/>
      <c r="Z74" s="51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DC74" s="16"/>
      <c r="DD74" s="16"/>
      <c r="DE74" s="16"/>
      <c r="DF74" s="16"/>
      <c r="DG74" s="16"/>
      <c r="DH74" s="16"/>
      <c r="DI74" s="16"/>
      <c r="DJ74" s="16"/>
      <c r="DK74" s="16"/>
      <c r="DL74" s="16"/>
      <c r="DM74" s="16"/>
      <c r="DN74" s="16"/>
      <c r="DO74" s="16"/>
      <c r="DP74" s="16"/>
      <c r="DQ74" s="16"/>
      <c r="DR74" s="16"/>
      <c r="DS74" s="16"/>
      <c r="DT74" s="16"/>
      <c r="DU74" s="16"/>
      <c r="DV74" s="16"/>
      <c r="DW74" s="16"/>
      <c r="DX74" s="16"/>
      <c r="DY74" s="16"/>
      <c r="DZ74" s="16"/>
      <c r="EA74" s="16"/>
      <c r="EB74" s="16"/>
      <c r="EC74" s="16"/>
      <c r="ED74" s="16"/>
      <c r="EE74" s="16"/>
      <c r="EF74" s="16"/>
      <c r="EG74" s="16"/>
      <c r="EH74" s="16"/>
      <c r="EI74" s="16"/>
      <c r="EJ74" s="16"/>
      <c r="EK74" s="16"/>
      <c r="EL74" s="16"/>
      <c r="EM74" s="16"/>
      <c r="EN74" s="16"/>
      <c r="EO74" s="16"/>
      <c r="EP74" s="16"/>
      <c r="EQ74" s="16"/>
      <c r="ER74" s="16"/>
      <c r="ES74" s="16"/>
      <c r="ET74" s="16"/>
      <c r="EU74" s="16"/>
      <c r="EV74" s="16"/>
      <c r="EW74" s="16"/>
      <c r="EX74" s="16"/>
      <c r="EY74" s="16"/>
      <c r="EZ74" s="16"/>
      <c r="FA74" s="16"/>
      <c r="FB74" s="16"/>
      <c r="FC74" s="16"/>
      <c r="FD74" s="16"/>
      <c r="FE74" s="16"/>
      <c r="FF74" s="16"/>
      <c r="FG74" s="16"/>
      <c r="FH74" s="16"/>
      <c r="FI74" s="16"/>
      <c r="FJ74" s="16"/>
      <c r="FK74" s="16"/>
      <c r="FL74" s="16"/>
      <c r="FM74" s="16"/>
      <c r="FN74" s="16"/>
      <c r="FO74" s="16"/>
      <c r="FP74" s="16"/>
      <c r="FQ74" s="16"/>
      <c r="FR74" s="16"/>
      <c r="FS74" s="16"/>
      <c r="FT74" s="16"/>
      <c r="FU74" s="16"/>
      <c r="FV74" s="16"/>
      <c r="FW74" s="16"/>
      <c r="FX74" s="16"/>
      <c r="FY74" s="16"/>
      <c r="FZ74" s="16"/>
      <c r="GA74" s="16"/>
      <c r="GB74" s="16"/>
      <c r="GC74" s="16"/>
      <c r="GD74" s="16"/>
      <c r="GE74" s="16"/>
      <c r="GF74" s="16"/>
      <c r="GG74" s="16"/>
      <c r="GH74" s="16"/>
      <c r="GI74" s="16"/>
      <c r="GJ74" s="16"/>
      <c r="GK74" s="16"/>
      <c r="GL74" s="16"/>
      <c r="GM74" s="16"/>
      <c r="GN74" s="16"/>
      <c r="GO74" s="16"/>
      <c r="GP74" s="16"/>
      <c r="GQ74" s="16"/>
      <c r="GR74" s="16"/>
      <c r="GS74" s="16"/>
      <c r="GT74" s="16"/>
      <c r="GU74" s="16"/>
      <c r="GV74" s="16"/>
      <c r="GW74" s="16"/>
      <c r="GX74" s="16"/>
      <c r="GY74" s="16"/>
      <c r="GZ74" s="16"/>
      <c r="HA74" s="16"/>
      <c r="HB74" s="16"/>
      <c r="HC74" s="16"/>
      <c r="HD74" s="16"/>
      <c r="HE74" s="16"/>
      <c r="HF74" s="16"/>
      <c r="HG74" s="16"/>
      <c r="HH74" s="16"/>
      <c r="HI74" s="16"/>
      <c r="HJ74" s="16"/>
      <c r="HK74" s="16"/>
      <c r="HL74" s="16"/>
      <c r="HM74" s="16"/>
      <c r="HN74" s="16"/>
      <c r="HO74" s="16"/>
      <c r="HP74" s="16"/>
      <c r="HQ74" s="16"/>
      <c r="HR74" s="16"/>
      <c r="HS74" s="16"/>
      <c r="HT74" s="16"/>
      <c r="HU74" s="16"/>
      <c r="HV74" s="16"/>
      <c r="HW74" s="16"/>
      <c r="HX74" s="16"/>
      <c r="HY74" s="16"/>
      <c r="HZ74" s="16"/>
      <c r="IA74" s="16"/>
      <c r="IB74" s="16"/>
      <c r="IC74" s="16"/>
      <c r="ID74" s="16"/>
      <c r="IE74" s="16"/>
      <c r="IF74" s="16"/>
      <c r="IG74" s="16"/>
      <c r="IH74" s="16"/>
      <c r="II74" s="16"/>
      <c r="IJ74" s="16"/>
      <c r="IK74" s="16"/>
      <c r="IL74" s="16"/>
      <c r="IM74" s="16"/>
      <c r="IN74" s="16"/>
      <c r="IO74" s="16"/>
      <c r="IP74" s="16"/>
      <c r="IQ74" s="16"/>
      <c r="IR74" s="16"/>
      <c r="IS74" s="16"/>
      <c r="IT74" s="16"/>
      <c r="IU74" s="16"/>
      <c r="IV74" s="16"/>
      <c r="IW74" s="16"/>
    </row>
    <row r="75" customFormat="false" ht="12.95" hidden="false" customHeight="true" outlineLevel="0" collapsed="false">
      <c r="A75" s="16"/>
      <c r="B75" s="58"/>
      <c r="C75" s="58"/>
      <c r="D75" s="58"/>
      <c r="E75" s="16"/>
      <c r="F75" s="16"/>
      <c r="G75" s="16"/>
      <c r="H75" s="16"/>
      <c r="I75" s="16"/>
      <c r="J75" s="16"/>
      <c r="K75" s="16"/>
      <c r="L75" s="16"/>
      <c r="M75" s="16"/>
      <c r="N75" s="40" t="s">
        <v>57</v>
      </c>
      <c r="O75" s="16"/>
      <c r="P75" s="22" t="n">
        <v>2.69915734896701</v>
      </c>
      <c r="Q75" s="21" t="n">
        <v>12.3965397808361</v>
      </c>
      <c r="R75" s="18" t="n">
        <v>1.44918731344071</v>
      </c>
      <c r="S75" s="15"/>
      <c r="T75" s="50"/>
      <c r="U75" s="23"/>
      <c r="V75" s="23"/>
      <c r="W75" s="24"/>
      <c r="X75" s="23"/>
      <c r="Y75" s="23"/>
      <c r="Z75" s="51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6"/>
      <c r="CU75" s="16"/>
      <c r="CV75" s="16"/>
      <c r="CW75" s="16"/>
      <c r="CX75" s="16"/>
      <c r="CY75" s="16"/>
      <c r="CZ75" s="16"/>
      <c r="DA75" s="16"/>
      <c r="DB75" s="16"/>
      <c r="DC75" s="16"/>
      <c r="DD75" s="16"/>
      <c r="DE75" s="16"/>
      <c r="DF75" s="16"/>
      <c r="DG75" s="16"/>
      <c r="DH75" s="16"/>
      <c r="DI75" s="16"/>
      <c r="DJ75" s="16"/>
      <c r="DK75" s="16"/>
      <c r="DL75" s="16"/>
      <c r="DM75" s="16"/>
      <c r="DN75" s="16"/>
      <c r="DO75" s="16"/>
      <c r="DP75" s="16"/>
      <c r="DQ75" s="16"/>
      <c r="DR75" s="16"/>
      <c r="DS75" s="16"/>
      <c r="DT75" s="16"/>
      <c r="DU75" s="16"/>
      <c r="DV75" s="16"/>
      <c r="DW75" s="16"/>
      <c r="DX75" s="16"/>
      <c r="DY75" s="16"/>
      <c r="DZ75" s="16"/>
      <c r="EA75" s="16"/>
      <c r="EB75" s="16"/>
      <c r="EC75" s="16"/>
      <c r="ED75" s="16"/>
      <c r="EE75" s="16"/>
      <c r="EF75" s="16"/>
      <c r="EG75" s="16"/>
      <c r="EH75" s="16"/>
      <c r="EI75" s="16"/>
      <c r="EJ75" s="16"/>
      <c r="EK75" s="16"/>
      <c r="EL75" s="16"/>
      <c r="EM75" s="16"/>
      <c r="EN75" s="16"/>
      <c r="EO75" s="16"/>
      <c r="EP75" s="16"/>
      <c r="EQ75" s="16"/>
      <c r="ER75" s="16"/>
      <c r="ES75" s="16"/>
      <c r="ET75" s="16"/>
      <c r="EU75" s="16"/>
      <c r="EV75" s="16"/>
      <c r="EW75" s="16"/>
      <c r="EX75" s="16"/>
      <c r="EY75" s="16"/>
      <c r="EZ75" s="16"/>
      <c r="FA75" s="16"/>
      <c r="FB75" s="16"/>
      <c r="FC75" s="16"/>
      <c r="FD75" s="16"/>
      <c r="FE75" s="16"/>
      <c r="FF75" s="16"/>
      <c r="FG75" s="16"/>
      <c r="FH75" s="16"/>
      <c r="FI75" s="16"/>
      <c r="FJ75" s="16"/>
      <c r="FK75" s="16"/>
      <c r="FL75" s="16"/>
      <c r="FM75" s="16"/>
      <c r="FN75" s="16"/>
      <c r="FO75" s="16"/>
      <c r="FP75" s="16"/>
      <c r="FQ75" s="16"/>
      <c r="FR75" s="16"/>
      <c r="FS75" s="16"/>
      <c r="FT75" s="16"/>
      <c r="FU75" s="16"/>
      <c r="FV75" s="16"/>
      <c r="FW75" s="16"/>
      <c r="FX75" s="16"/>
      <c r="FY75" s="16"/>
      <c r="FZ75" s="16"/>
      <c r="GA75" s="16"/>
      <c r="GB75" s="16"/>
      <c r="GC75" s="16"/>
      <c r="GD75" s="16"/>
      <c r="GE75" s="16"/>
      <c r="GF75" s="16"/>
      <c r="GG75" s="16"/>
      <c r="GH75" s="16"/>
      <c r="GI75" s="16"/>
      <c r="GJ75" s="16"/>
      <c r="GK75" s="16"/>
      <c r="GL75" s="16"/>
      <c r="GM75" s="16"/>
      <c r="GN75" s="16"/>
      <c r="GO75" s="16"/>
      <c r="GP75" s="16"/>
      <c r="GQ75" s="16"/>
      <c r="GR75" s="16"/>
      <c r="GS75" s="16"/>
      <c r="GT75" s="16"/>
      <c r="GU75" s="16"/>
      <c r="GV75" s="16"/>
      <c r="GW75" s="16"/>
      <c r="GX75" s="16"/>
      <c r="GY75" s="16"/>
      <c r="GZ75" s="16"/>
      <c r="HA75" s="16"/>
      <c r="HB75" s="16"/>
      <c r="HC75" s="16"/>
      <c r="HD75" s="16"/>
      <c r="HE75" s="16"/>
      <c r="HF75" s="16"/>
      <c r="HG75" s="16"/>
      <c r="HH75" s="16"/>
      <c r="HI75" s="16"/>
      <c r="HJ75" s="16"/>
      <c r="HK75" s="16"/>
      <c r="HL75" s="16"/>
      <c r="HM75" s="16"/>
      <c r="HN75" s="16"/>
      <c r="HO75" s="16"/>
      <c r="HP75" s="16"/>
      <c r="HQ75" s="16"/>
      <c r="HR75" s="16"/>
      <c r="HS75" s="16"/>
      <c r="HT75" s="16"/>
      <c r="HU75" s="16"/>
      <c r="HV75" s="16"/>
      <c r="HW75" s="16"/>
      <c r="HX75" s="16"/>
      <c r="HY75" s="16"/>
      <c r="HZ75" s="16"/>
      <c r="IA75" s="16"/>
      <c r="IB75" s="16"/>
      <c r="IC75" s="16"/>
      <c r="ID75" s="16"/>
      <c r="IE75" s="16"/>
      <c r="IF75" s="16"/>
      <c r="IG75" s="16"/>
      <c r="IH75" s="16"/>
      <c r="II75" s="16"/>
      <c r="IJ75" s="16"/>
      <c r="IK75" s="16"/>
      <c r="IL75" s="16"/>
      <c r="IM75" s="16"/>
      <c r="IN75" s="16"/>
      <c r="IO75" s="16"/>
      <c r="IP75" s="16"/>
      <c r="IQ75" s="16"/>
      <c r="IR75" s="16"/>
      <c r="IS75" s="16"/>
      <c r="IT75" s="16"/>
      <c r="IU75" s="16"/>
      <c r="IV75" s="16"/>
      <c r="IW75" s="16"/>
    </row>
    <row r="76" customFormat="false" ht="12.95" hidden="false" customHeight="true" outlineLevel="0" collapsed="false">
      <c r="A76" s="16"/>
      <c r="B76" s="58"/>
      <c r="C76" s="58"/>
      <c r="D76" s="58"/>
      <c r="E76" s="16"/>
      <c r="F76" s="16"/>
      <c r="G76" s="16"/>
      <c r="H76" s="16"/>
      <c r="I76" s="16"/>
      <c r="J76" s="16"/>
      <c r="K76" s="16"/>
      <c r="L76" s="16"/>
      <c r="M76" s="16"/>
      <c r="N76" s="40" t="s">
        <v>26</v>
      </c>
      <c r="O76" s="16"/>
      <c r="P76" s="22" t="n">
        <v>21.567704955086</v>
      </c>
      <c r="Q76" s="21" t="n">
        <v>44.7992418421188</v>
      </c>
      <c r="R76" s="18" t="n">
        <v>26.1420719954156</v>
      </c>
      <c r="S76" s="15"/>
      <c r="T76" s="50"/>
      <c r="U76" s="23"/>
      <c r="V76" s="23"/>
      <c r="W76" s="24"/>
      <c r="X76" s="23"/>
      <c r="Y76" s="23"/>
      <c r="Z76" s="51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6"/>
      <c r="CU76" s="16"/>
      <c r="CV76" s="16"/>
      <c r="CW76" s="16"/>
      <c r="CX76" s="16"/>
      <c r="CY76" s="16"/>
      <c r="CZ76" s="16"/>
      <c r="DA76" s="16"/>
      <c r="DB76" s="16"/>
      <c r="DC76" s="16"/>
      <c r="DD76" s="16"/>
      <c r="DE76" s="16"/>
      <c r="DF76" s="16"/>
      <c r="DG76" s="16"/>
      <c r="DH76" s="16"/>
      <c r="DI76" s="16"/>
      <c r="DJ76" s="16"/>
      <c r="DK76" s="16"/>
      <c r="DL76" s="16"/>
      <c r="DM76" s="16"/>
      <c r="DN76" s="16"/>
      <c r="DO76" s="16"/>
      <c r="DP76" s="16"/>
      <c r="DQ76" s="16"/>
      <c r="DR76" s="16"/>
      <c r="DS76" s="16"/>
      <c r="DT76" s="16"/>
      <c r="DU76" s="16"/>
      <c r="DV76" s="16"/>
      <c r="DW76" s="16"/>
      <c r="DX76" s="16"/>
      <c r="DY76" s="16"/>
      <c r="DZ76" s="16"/>
      <c r="EA76" s="16"/>
      <c r="EB76" s="16"/>
      <c r="EC76" s="16"/>
      <c r="ED76" s="16"/>
      <c r="EE76" s="16"/>
      <c r="EF76" s="16"/>
      <c r="EG76" s="16"/>
      <c r="EH76" s="16"/>
      <c r="EI76" s="16"/>
      <c r="EJ76" s="16"/>
      <c r="EK76" s="16"/>
      <c r="EL76" s="16"/>
      <c r="EM76" s="16"/>
      <c r="EN76" s="16"/>
      <c r="EO76" s="16"/>
      <c r="EP76" s="16"/>
      <c r="EQ76" s="16"/>
      <c r="ER76" s="16"/>
      <c r="ES76" s="16"/>
      <c r="ET76" s="16"/>
      <c r="EU76" s="16"/>
      <c r="EV76" s="16"/>
      <c r="EW76" s="16"/>
      <c r="EX76" s="16"/>
      <c r="EY76" s="16"/>
      <c r="EZ76" s="16"/>
      <c r="FA76" s="16"/>
      <c r="FB76" s="16"/>
      <c r="FC76" s="16"/>
      <c r="FD76" s="16"/>
      <c r="FE76" s="16"/>
      <c r="FF76" s="16"/>
      <c r="FG76" s="16"/>
      <c r="FH76" s="16"/>
      <c r="FI76" s="16"/>
      <c r="FJ76" s="16"/>
      <c r="FK76" s="16"/>
      <c r="FL76" s="16"/>
      <c r="FM76" s="16"/>
      <c r="FN76" s="16"/>
      <c r="FO76" s="16"/>
      <c r="FP76" s="16"/>
      <c r="FQ76" s="16"/>
      <c r="FR76" s="16"/>
      <c r="FS76" s="16"/>
      <c r="FT76" s="16"/>
      <c r="FU76" s="16"/>
      <c r="FV76" s="16"/>
      <c r="FW76" s="16"/>
      <c r="FX76" s="16"/>
      <c r="FY76" s="16"/>
      <c r="FZ76" s="16"/>
      <c r="GA76" s="16"/>
      <c r="GB76" s="16"/>
      <c r="GC76" s="16"/>
      <c r="GD76" s="16"/>
      <c r="GE76" s="16"/>
      <c r="GF76" s="16"/>
      <c r="GG76" s="16"/>
      <c r="GH76" s="16"/>
      <c r="GI76" s="16"/>
      <c r="GJ76" s="16"/>
      <c r="GK76" s="16"/>
      <c r="GL76" s="16"/>
      <c r="GM76" s="16"/>
      <c r="GN76" s="16"/>
      <c r="GO76" s="16"/>
      <c r="GP76" s="16"/>
      <c r="GQ76" s="16"/>
      <c r="GR76" s="16"/>
      <c r="GS76" s="16"/>
      <c r="GT76" s="16"/>
      <c r="GU76" s="16"/>
      <c r="GV76" s="16"/>
      <c r="GW76" s="16"/>
      <c r="GX76" s="16"/>
      <c r="GY76" s="16"/>
      <c r="GZ76" s="16"/>
      <c r="HA76" s="16"/>
      <c r="HB76" s="16"/>
      <c r="HC76" s="16"/>
      <c r="HD76" s="16"/>
      <c r="HE76" s="16"/>
      <c r="HF76" s="16"/>
      <c r="HG76" s="16"/>
      <c r="HH76" s="16"/>
      <c r="HI76" s="16"/>
      <c r="HJ76" s="16"/>
      <c r="HK76" s="16"/>
      <c r="HL76" s="16"/>
      <c r="HM76" s="16"/>
      <c r="HN76" s="16"/>
      <c r="HO76" s="16"/>
      <c r="HP76" s="16"/>
      <c r="HQ76" s="16"/>
      <c r="HR76" s="16"/>
      <c r="HS76" s="16"/>
      <c r="HT76" s="16"/>
      <c r="HU76" s="16"/>
      <c r="HV76" s="16"/>
      <c r="HW76" s="16"/>
      <c r="HX76" s="16"/>
      <c r="HY76" s="16"/>
      <c r="HZ76" s="16"/>
      <c r="IA76" s="16"/>
      <c r="IB76" s="16"/>
      <c r="IC76" s="16"/>
      <c r="ID76" s="16"/>
      <c r="IE76" s="16"/>
      <c r="IF76" s="16"/>
      <c r="IG76" s="16"/>
      <c r="IH76" s="16"/>
      <c r="II76" s="16"/>
      <c r="IJ76" s="16"/>
      <c r="IK76" s="16"/>
      <c r="IL76" s="16"/>
      <c r="IM76" s="16"/>
      <c r="IN76" s="16"/>
      <c r="IO76" s="16"/>
      <c r="IP76" s="16"/>
      <c r="IQ76" s="16"/>
      <c r="IR76" s="16"/>
      <c r="IS76" s="16"/>
      <c r="IT76" s="16"/>
      <c r="IU76" s="16"/>
      <c r="IV76" s="16"/>
      <c r="IW76" s="16"/>
    </row>
    <row r="77" customFormat="false" ht="12.95" hidden="false" customHeight="true" outlineLevel="0" collapsed="false">
      <c r="A77" s="16"/>
      <c r="B77" s="58"/>
      <c r="C77" s="58"/>
      <c r="D77" s="58"/>
      <c r="E77" s="16"/>
      <c r="F77" s="16"/>
      <c r="G77" s="16"/>
      <c r="H77" s="16"/>
      <c r="I77" s="16"/>
      <c r="J77" s="16"/>
      <c r="K77" s="16"/>
      <c r="L77" s="16"/>
      <c r="M77" s="16"/>
      <c r="N77" s="40" t="s">
        <v>27</v>
      </c>
      <c r="O77" s="16"/>
      <c r="P77" s="22" t="n">
        <v>0.139856578777713</v>
      </c>
      <c r="Q77" s="21" t="n">
        <v>5.05626623250766</v>
      </c>
      <c r="R77" s="18" t="n">
        <v>0</v>
      </c>
      <c r="S77" s="15"/>
      <c r="T77" s="50"/>
      <c r="U77" s="23"/>
      <c r="V77" s="23"/>
      <c r="W77" s="24"/>
      <c r="X77" s="23"/>
      <c r="Y77" s="23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</row>
    <row r="78" customFormat="false" ht="12.95" hidden="false" customHeight="true" outlineLevel="0" collapsed="false">
      <c r="A78" s="61" t="s">
        <v>104</v>
      </c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  <c r="CE78" s="16"/>
      <c r="CF78" s="16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6"/>
      <c r="CU78" s="16"/>
      <c r="CV78" s="16"/>
      <c r="CW78" s="16"/>
      <c r="CX78" s="16"/>
      <c r="CY78" s="16"/>
      <c r="CZ78" s="16"/>
      <c r="DA78" s="16"/>
      <c r="DB78" s="16"/>
      <c r="DC78" s="16"/>
      <c r="DD78" s="16"/>
      <c r="DE78" s="16"/>
      <c r="DF78" s="16"/>
      <c r="DG78" s="16"/>
      <c r="DH78" s="16"/>
      <c r="DI78" s="16"/>
      <c r="DJ78" s="16"/>
      <c r="DK78" s="16"/>
      <c r="DL78" s="16"/>
      <c r="DM78" s="16"/>
      <c r="DN78" s="16"/>
      <c r="DO78" s="16"/>
      <c r="DP78" s="16"/>
      <c r="DQ78" s="16"/>
      <c r="DR78" s="16"/>
      <c r="DS78" s="16"/>
      <c r="DT78" s="16"/>
      <c r="DU78" s="16"/>
      <c r="DV78" s="16"/>
      <c r="DW78" s="16"/>
      <c r="DX78" s="16"/>
      <c r="DY78" s="16"/>
      <c r="DZ78" s="16"/>
      <c r="EA78" s="16"/>
      <c r="EB78" s="16"/>
      <c r="EC78" s="16"/>
      <c r="ED78" s="16"/>
      <c r="EE78" s="16"/>
      <c r="EF78" s="16"/>
      <c r="EG78" s="16"/>
      <c r="EH78" s="16"/>
      <c r="EI78" s="16"/>
      <c r="EJ78" s="16"/>
      <c r="EK78" s="16"/>
      <c r="EL78" s="16"/>
      <c r="EM78" s="16"/>
      <c r="EN78" s="16"/>
      <c r="EO78" s="16"/>
      <c r="EP78" s="16"/>
      <c r="EQ78" s="16"/>
      <c r="ER78" s="16"/>
      <c r="ES78" s="16"/>
      <c r="ET78" s="16"/>
      <c r="EU78" s="16"/>
      <c r="EV78" s="16"/>
      <c r="EW78" s="16"/>
      <c r="EX78" s="16"/>
      <c r="EY78" s="16"/>
      <c r="EZ78" s="16"/>
      <c r="FA78" s="16"/>
      <c r="FB78" s="16"/>
      <c r="FC78" s="16"/>
      <c r="FD78" s="16"/>
      <c r="FE78" s="16"/>
      <c r="FF78" s="16"/>
      <c r="FG78" s="16"/>
      <c r="FH78" s="16"/>
      <c r="FI78" s="16"/>
      <c r="FJ78" s="16"/>
      <c r="FK78" s="16"/>
      <c r="FL78" s="16"/>
      <c r="FM78" s="16"/>
      <c r="FN78" s="16"/>
      <c r="FO78" s="16"/>
      <c r="FP78" s="16"/>
      <c r="FQ78" s="16"/>
      <c r="FR78" s="16"/>
      <c r="FS78" s="16"/>
      <c r="FT78" s="16"/>
      <c r="FU78" s="16"/>
      <c r="FV78" s="16"/>
      <c r="FW78" s="16"/>
      <c r="FX78" s="16"/>
      <c r="FY78" s="16"/>
      <c r="FZ78" s="16"/>
      <c r="GA78" s="16"/>
      <c r="GB78" s="16"/>
      <c r="GC78" s="16"/>
      <c r="GD78" s="16"/>
      <c r="GE78" s="16"/>
      <c r="GF78" s="16"/>
      <c r="GG78" s="16"/>
      <c r="GH78" s="16"/>
      <c r="GI78" s="16"/>
      <c r="GJ78" s="16"/>
      <c r="GK78" s="16"/>
      <c r="GL78" s="16"/>
      <c r="GM78" s="16"/>
      <c r="GN78" s="16"/>
      <c r="GO78" s="16"/>
      <c r="GP78" s="16"/>
      <c r="GQ78" s="16"/>
      <c r="GR78" s="16"/>
      <c r="GS78" s="16"/>
      <c r="GT78" s="16"/>
      <c r="GU78" s="16"/>
      <c r="GV78" s="16"/>
      <c r="GW78" s="16"/>
      <c r="GX78" s="16"/>
      <c r="GY78" s="16"/>
      <c r="GZ78" s="16"/>
      <c r="HA78" s="16"/>
      <c r="HB78" s="16"/>
      <c r="HC78" s="16"/>
      <c r="HD78" s="16"/>
      <c r="HE78" s="16"/>
      <c r="HF78" s="16"/>
      <c r="HG78" s="16"/>
      <c r="HH78" s="16"/>
      <c r="HI78" s="16"/>
      <c r="HJ78" s="16"/>
      <c r="HK78" s="16"/>
      <c r="HL78" s="16"/>
      <c r="HM78" s="16"/>
      <c r="HN78" s="16"/>
      <c r="HO78" s="16"/>
      <c r="HP78" s="16"/>
      <c r="HQ78" s="16"/>
      <c r="HR78" s="16"/>
      <c r="HS78" s="16"/>
      <c r="HT78" s="16"/>
      <c r="HU78" s="16"/>
      <c r="HV78" s="16"/>
      <c r="HW78" s="16"/>
      <c r="HX78" s="16"/>
      <c r="HY78" s="16"/>
      <c r="HZ78" s="16"/>
      <c r="IA78" s="16"/>
      <c r="IB78" s="16"/>
      <c r="IC78" s="16"/>
      <c r="ID78" s="16"/>
      <c r="IE78" s="16"/>
      <c r="IF78" s="16"/>
      <c r="IG78" s="16"/>
      <c r="IH78" s="16"/>
      <c r="II78" s="16"/>
      <c r="IJ78" s="16"/>
      <c r="IK78" s="16"/>
      <c r="IL78" s="16"/>
      <c r="IM78" s="16"/>
      <c r="IN78" s="16"/>
      <c r="IO78" s="16"/>
      <c r="IP78" s="16"/>
      <c r="IQ78" s="16"/>
      <c r="IR78" s="16"/>
      <c r="IS78" s="16"/>
      <c r="IT78" s="16"/>
      <c r="IU78" s="16"/>
      <c r="IV78" s="16"/>
      <c r="IW78" s="16"/>
    </row>
    <row r="79" customFormat="false" ht="12.95" hidden="false" customHeight="true" outlineLevel="0" collapsed="false">
      <c r="A79" s="15" t="s">
        <v>241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  <c r="CE79" s="16"/>
      <c r="CF79" s="16"/>
      <c r="CG79" s="16"/>
      <c r="CH79" s="16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6"/>
      <c r="CT79" s="16"/>
      <c r="CU79" s="16"/>
      <c r="CV79" s="16"/>
      <c r="CW79" s="16"/>
      <c r="CX79" s="16"/>
      <c r="CY79" s="16"/>
      <c r="CZ79" s="16"/>
      <c r="DA79" s="16"/>
      <c r="DB79" s="16"/>
      <c r="DC79" s="16"/>
      <c r="DD79" s="16"/>
      <c r="DE79" s="16"/>
      <c r="DF79" s="16"/>
      <c r="DG79" s="16"/>
      <c r="DH79" s="16"/>
      <c r="DI79" s="16"/>
      <c r="DJ79" s="16"/>
      <c r="DK79" s="16"/>
      <c r="DL79" s="16"/>
      <c r="DM79" s="16"/>
      <c r="DN79" s="16"/>
      <c r="DO79" s="16"/>
      <c r="DP79" s="16"/>
      <c r="DQ79" s="16"/>
      <c r="DR79" s="16"/>
      <c r="DS79" s="16"/>
      <c r="DT79" s="16"/>
      <c r="DU79" s="16"/>
      <c r="DV79" s="16"/>
      <c r="DW79" s="16"/>
      <c r="DX79" s="16"/>
      <c r="DY79" s="16"/>
      <c r="DZ79" s="16"/>
      <c r="EA79" s="16"/>
      <c r="EB79" s="16"/>
      <c r="EC79" s="16"/>
      <c r="ED79" s="16"/>
      <c r="EE79" s="16"/>
      <c r="EF79" s="16"/>
      <c r="EG79" s="16"/>
      <c r="EH79" s="16"/>
      <c r="EI79" s="16"/>
      <c r="EJ79" s="16"/>
      <c r="EK79" s="16"/>
      <c r="EL79" s="16"/>
      <c r="EM79" s="16"/>
      <c r="EN79" s="16"/>
      <c r="EO79" s="16"/>
      <c r="EP79" s="16"/>
      <c r="EQ79" s="16"/>
      <c r="ER79" s="16"/>
      <c r="ES79" s="16"/>
      <c r="ET79" s="16"/>
      <c r="EU79" s="16"/>
      <c r="EV79" s="16"/>
      <c r="EW79" s="16"/>
      <c r="EX79" s="16"/>
      <c r="EY79" s="16"/>
      <c r="EZ79" s="16"/>
      <c r="FA79" s="16"/>
      <c r="FB79" s="16"/>
      <c r="FC79" s="16"/>
      <c r="FD79" s="16"/>
      <c r="FE79" s="16"/>
      <c r="FF79" s="16"/>
      <c r="FG79" s="16"/>
      <c r="FH79" s="16"/>
      <c r="FI79" s="16"/>
      <c r="FJ79" s="16"/>
      <c r="FK79" s="16"/>
      <c r="FL79" s="16"/>
      <c r="FM79" s="16"/>
      <c r="FN79" s="16"/>
      <c r="FO79" s="16"/>
      <c r="FP79" s="16"/>
      <c r="FQ79" s="16"/>
      <c r="FR79" s="16"/>
      <c r="FS79" s="16"/>
      <c r="FT79" s="16"/>
      <c r="FU79" s="16"/>
      <c r="FV79" s="16"/>
      <c r="FW79" s="16"/>
      <c r="FX79" s="16"/>
      <c r="FY79" s="16"/>
      <c r="FZ79" s="16"/>
      <c r="GA79" s="16"/>
      <c r="GB79" s="16"/>
      <c r="GC79" s="16"/>
      <c r="GD79" s="16"/>
      <c r="GE79" s="16"/>
      <c r="GF79" s="16"/>
      <c r="GG79" s="16"/>
      <c r="GH79" s="16"/>
      <c r="GI79" s="16"/>
      <c r="GJ79" s="16"/>
      <c r="GK79" s="16"/>
      <c r="GL79" s="16"/>
      <c r="GM79" s="16"/>
      <c r="GN79" s="16"/>
      <c r="GO79" s="16"/>
      <c r="GP79" s="16"/>
      <c r="GQ79" s="16"/>
      <c r="GR79" s="16"/>
      <c r="GS79" s="16"/>
      <c r="GT79" s="16"/>
      <c r="GU79" s="16"/>
      <c r="GV79" s="16"/>
      <c r="GW79" s="16"/>
      <c r="GX79" s="16"/>
      <c r="GY79" s="16"/>
      <c r="GZ79" s="16"/>
      <c r="HA79" s="16"/>
      <c r="HB79" s="16"/>
      <c r="HC79" s="16"/>
      <c r="HD79" s="16"/>
      <c r="HE79" s="16"/>
      <c r="HF79" s="16"/>
      <c r="HG79" s="16"/>
      <c r="HH79" s="16"/>
      <c r="HI79" s="16"/>
      <c r="HJ79" s="16"/>
      <c r="HK79" s="16"/>
      <c r="HL79" s="16"/>
      <c r="HM79" s="16"/>
      <c r="HN79" s="16"/>
      <c r="HO79" s="16"/>
      <c r="HP79" s="16"/>
      <c r="HQ79" s="16"/>
      <c r="HR79" s="16"/>
      <c r="HS79" s="16"/>
      <c r="HT79" s="16"/>
      <c r="HU79" s="16"/>
      <c r="HV79" s="16"/>
      <c r="HW79" s="16"/>
      <c r="HX79" s="16"/>
      <c r="HY79" s="16"/>
      <c r="HZ79" s="16"/>
      <c r="IA79" s="16"/>
      <c r="IB79" s="16"/>
      <c r="IC79" s="16"/>
      <c r="ID79" s="16"/>
      <c r="IE79" s="16"/>
      <c r="IF79" s="16"/>
      <c r="IG79" s="16"/>
      <c r="IH79" s="16"/>
      <c r="II79" s="16"/>
      <c r="IJ79" s="16"/>
      <c r="IK79" s="16"/>
      <c r="IL79" s="16"/>
      <c r="IM79" s="16"/>
      <c r="IN79" s="16"/>
      <c r="IO79" s="16"/>
      <c r="IP79" s="16"/>
      <c r="IQ79" s="16"/>
      <c r="IR79" s="16"/>
      <c r="IS79" s="16"/>
      <c r="IT79" s="16"/>
      <c r="IU79" s="16"/>
      <c r="IV79" s="16"/>
      <c r="IW79" s="16"/>
    </row>
    <row r="80" customFormat="false" ht="12.95" hidden="false" customHeight="true" outlineLevel="0" collapsed="false">
      <c r="A80" s="15" t="s">
        <v>242</v>
      </c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  <c r="FF80" s="16"/>
      <c r="FG80" s="16"/>
      <c r="FH80" s="16"/>
      <c r="FI80" s="16"/>
      <c r="FJ80" s="16"/>
      <c r="FK80" s="16"/>
      <c r="FL80" s="16"/>
      <c r="FM80" s="16"/>
      <c r="FN80" s="16"/>
      <c r="FO80" s="16"/>
      <c r="FP80" s="16"/>
      <c r="FQ80" s="16"/>
      <c r="FR80" s="16"/>
      <c r="FS80" s="16"/>
      <c r="FT80" s="16"/>
      <c r="FU80" s="16"/>
      <c r="FV80" s="16"/>
      <c r="FW80" s="16"/>
      <c r="FX80" s="16"/>
      <c r="FY80" s="16"/>
      <c r="FZ80" s="16"/>
      <c r="GA80" s="16"/>
      <c r="GB80" s="16"/>
      <c r="GC80" s="16"/>
      <c r="GD80" s="16"/>
      <c r="GE80" s="16"/>
      <c r="GF80" s="16"/>
      <c r="GG80" s="16"/>
      <c r="GH80" s="16"/>
      <c r="GI80" s="16"/>
      <c r="GJ80" s="16"/>
      <c r="GK80" s="16"/>
      <c r="GL80" s="16"/>
      <c r="GM80" s="16"/>
      <c r="GN80" s="16"/>
      <c r="GO80" s="16"/>
      <c r="GP80" s="16"/>
      <c r="GQ80" s="16"/>
      <c r="GR80" s="16"/>
      <c r="GS80" s="16"/>
      <c r="GT80" s="16"/>
      <c r="GU80" s="16"/>
      <c r="GV80" s="16"/>
      <c r="GW80" s="16"/>
      <c r="GX80" s="16"/>
      <c r="GY80" s="16"/>
      <c r="GZ80" s="16"/>
      <c r="HA80" s="16"/>
      <c r="HB80" s="16"/>
      <c r="HC80" s="16"/>
      <c r="HD80" s="16"/>
      <c r="HE80" s="16"/>
      <c r="HF80" s="16"/>
      <c r="HG80" s="16"/>
      <c r="HH80" s="16"/>
      <c r="HI80" s="16"/>
      <c r="HJ80" s="16"/>
      <c r="HK80" s="16"/>
      <c r="HL80" s="16"/>
      <c r="HM80" s="16"/>
      <c r="HN80" s="16"/>
      <c r="HO80" s="16"/>
      <c r="HP80" s="16"/>
      <c r="HQ80" s="16"/>
      <c r="HR80" s="16"/>
      <c r="HS80" s="16"/>
      <c r="HT80" s="16"/>
      <c r="HU80" s="16"/>
      <c r="HV80" s="16"/>
      <c r="HW80" s="16"/>
      <c r="HX80" s="16"/>
      <c r="HY80" s="16"/>
      <c r="HZ80" s="16"/>
      <c r="IA80" s="16"/>
      <c r="IB80" s="16"/>
      <c r="IC80" s="16"/>
      <c r="ID80" s="16"/>
      <c r="IE80" s="16"/>
      <c r="IF80" s="16"/>
      <c r="IG80" s="16"/>
      <c r="IH80" s="16"/>
      <c r="II80" s="16"/>
      <c r="IJ80" s="16"/>
      <c r="IK80" s="16"/>
      <c r="IL80" s="16"/>
      <c r="IM80" s="16"/>
      <c r="IN80" s="16"/>
      <c r="IO80" s="16"/>
      <c r="IP80" s="16"/>
      <c r="IQ80" s="16"/>
      <c r="IR80" s="16"/>
      <c r="IS80" s="16"/>
      <c r="IT80" s="16"/>
      <c r="IU80" s="16"/>
      <c r="IV80" s="16"/>
      <c r="IW80" s="16"/>
    </row>
    <row r="81" customFormat="false" ht="12.95" hidden="false" customHeight="true" outlineLevel="0" collapsed="false">
      <c r="A81" s="15" t="s">
        <v>243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6"/>
      <c r="CU81" s="16"/>
      <c r="CV81" s="16"/>
      <c r="CW81" s="16"/>
      <c r="CX81" s="16"/>
      <c r="CY81" s="16"/>
      <c r="CZ81" s="16"/>
      <c r="DA81" s="16"/>
      <c r="DB81" s="16"/>
      <c r="DC81" s="16"/>
      <c r="DD81" s="16"/>
      <c r="DE81" s="16"/>
      <c r="DF81" s="16"/>
      <c r="DG81" s="16"/>
      <c r="DH81" s="16"/>
      <c r="DI81" s="16"/>
      <c r="DJ81" s="16"/>
      <c r="DK81" s="16"/>
      <c r="DL81" s="16"/>
      <c r="DM81" s="16"/>
      <c r="DN81" s="16"/>
      <c r="DO81" s="16"/>
      <c r="DP81" s="16"/>
      <c r="DQ81" s="16"/>
      <c r="DR81" s="16"/>
      <c r="DS81" s="16"/>
      <c r="DT81" s="16"/>
      <c r="DU81" s="16"/>
      <c r="DV81" s="16"/>
      <c r="DW81" s="16"/>
      <c r="DX81" s="16"/>
      <c r="DY81" s="16"/>
      <c r="DZ81" s="16"/>
      <c r="EA81" s="16"/>
      <c r="EB81" s="16"/>
      <c r="EC81" s="16"/>
      <c r="ED81" s="16"/>
      <c r="EE81" s="16"/>
      <c r="EF81" s="16"/>
      <c r="EG81" s="16"/>
      <c r="EH81" s="16"/>
      <c r="EI81" s="16"/>
      <c r="EJ81" s="16"/>
      <c r="EK81" s="16"/>
      <c r="EL81" s="16"/>
      <c r="EM81" s="16"/>
      <c r="EN81" s="16"/>
      <c r="EO81" s="16"/>
      <c r="EP81" s="16"/>
      <c r="EQ81" s="16"/>
      <c r="ER81" s="16"/>
      <c r="ES81" s="16"/>
      <c r="ET81" s="16"/>
      <c r="EU81" s="16"/>
      <c r="EV81" s="16"/>
      <c r="EW81" s="16"/>
      <c r="EX81" s="16"/>
      <c r="EY81" s="16"/>
      <c r="EZ81" s="16"/>
      <c r="FA81" s="16"/>
      <c r="FB81" s="16"/>
      <c r="FC81" s="16"/>
      <c r="FD81" s="16"/>
      <c r="FE81" s="16"/>
      <c r="FF81" s="16"/>
      <c r="FG81" s="16"/>
      <c r="FH81" s="16"/>
      <c r="FI81" s="16"/>
      <c r="FJ81" s="16"/>
      <c r="FK81" s="16"/>
      <c r="FL81" s="16"/>
      <c r="FM81" s="16"/>
      <c r="FN81" s="16"/>
      <c r="FO81" s="16"/>
      <c r="FP81" s="16"/>
      <c r="FQ81" s="16"/>
      <c r="FR81" s="16"/>
      <c r="FS81" s="16"/>
      <c r="FT81" s="16"/>
      <c r="FU81" s="16"/>
      <c r="FV81" s="16"/>
      <c r="FW81" s="16"/>
      <c r="FX81" s="16"/>
      <c r="FY81" s="16"/>
      <c r="FZ81" s="16"/>
      <c r="GA81" s="16"/>
      <c r="GB81" s="16"/>
      <c r="GC81" s="16"/>
      <c r="GD81" s="16"/>
      <c r="GE81" s="16"/>
      <c r="GF81" s="16"/>
      <c r="GG81" s="16"/>
      <c r="GH81" s="16"/>
      <c r="GI81" s="16"/>
      <c r="GJ81" s="16"/>
      <c r="GK81" s="16"/>
      <c r="GL81" s="16"/>
      <c r="GM81" s="16"/>
      <c r="GN81" s="16"/>
      <c r="GO81" s="16"/>
      <c r="GP81" s="16"/>
      <c r="GQ81" s="16"/>
      <c r="GR81" s="16"/>
      <c r="GS81" s="16"/>
      <c r="GT81" s="16"/>
      <c r="GU81" s="16"/>
      <c r="GV81" s="16"/>
      <c r="GW81" s="16"/>
      <c r="GX81" s="16"/>
      <c r="GY81" s="16"/>
      <c r="GZ81" s="16"/>
      <c r="HA81" s="16"/>
      <c r="HB81" s="16"/>
      <c r="HC81" s="16"/>
      <c r="HD81" s="16"/>
      <c r="HE81" s="16"/>
      <c r="HF81" s="16"/>
      <c r="HG81" s="16"/>
      <c r="HH81" s="16"/>
      <c r="HI81" s="16"/>
      <c r="HJ81" s="16"/>
      <c r="HK81" s="16"/>
      <c r="HL81" s="16"/>
      <c r="HM81" s="16"/>
      <c r="HN81" s="16"/>
      <c r="HO81" s="16"/>
      <c r="HP81" s="16"/>
      <c r="HQ81" s="16"/>
      <c r="HR81" s="16"/>
      <c r="HS81" s="16"/>
      <c r="HT81" s="16"/>
      <c r="HU81" s="16"/>
      <c r="HV81" s="16"/>
      <c r="HW81" s="16"/>
      <c r="HX81" s="16"/>
      <c r="HY81" s="16"/>
      <c r="HZ81" s="16"/>
      <c r="IA81" s="16"/>
      <c r="IB81" s="16"/>
      <c r="IC81" s="16"/>
      <c r="ID81" s="16"/>
      <c r="IE81" s="16"/>
      <c r="IF81" s="16"/>
      <c r="IG81" s="16"/>
      <c r="IH81" s="16"/>
      <c r="II81" s="16"/>
      <c r="IJ81" s="16"/>
      <c r="IK81" s="16"/>
      <c r="IL81" s="16"/>
      <c r="IM81" s="16"/>
      <c r="IN81" s="16"/>
      <c r="IO81" s="16"/>
      <c r="IP81" s="16"/>
      <c r="IQ81" s="16"/>
      <c r="IR81" s="16"/>
      <c r="IS81" s="16"/>
      <c r="IT81" s="16"/>
      <c r="IU81" s="16"/>
      <c r="IV81" s="16"/>
      <c r="IW81" s="16"/>
    </row>
    <row r="82" customFormat="false" ht="12.95" hidden="false" customHeight="true" outlineLevel="0" collapsed="false">
      <c r="A82" s="15" t="s">
        <v>244</v>
      </c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J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  <c r="FF82" s="16"/>
      <c r="FG82" s="16"/>
      <c r="FH82" s="16"/>
      <c r="FI82" s="16"/>
      <c r="FJ82" s="16"/>
      <c r="FK82" s="16"/>
      <c r="FL82" s="16"/>
      <c r="FM82" s="16"/>
      <c r="FN82" s="16"/>
      <c r="FO82" s="16"/>
      <c r="FP82" s="16"/>
      <c r="FQ82" s="16"/>
      <c r="FR82" s="16"/>
      <c r="FS82" s="16"/>
      <c r="FT82" s="16"/>
      <c r="FU82" s="16"/>
      <c r="FV82" s="16"/>
      <c r="FW82" s="16"/>
      <c r="FX82" s="16"/>
      <c r="FY82" s="16"/>
      <c r="FZ82" s="16"/>
      <c r="GA82" s="16"/>
      <c r="GB82" s="16"/>
      <c r="GC82" s="16"/>
      <c r="GD82" s="16"/>
      <c r="GE82" s="16"/>
      <c r="GF82" s="16"/>
      <c r="GG82" s="16"/>
      <c r="GH82" s="16"/>
      <c r="GI82" s="16"/>
      <c r="GJ82" s="16"/>
      <c r="GK82" s="16"/>
      <c r="GL82" s="16"/>
      <c r="GM82" s="16"/>
      <c r="GN82" s="16"/>
      <c r="GO82" s="16"/>
      <c r="GP82" s="16"/>
      <c r="GQ82" s="16"/>
      <c r="GR82" s="16"/>
      <c r="GS82" s="16"/>
      <c r="GT82" s="16"/>
      <c r="GU82" s="16"/>
      <c r="GV82" s="16"/>
      <c r="GW82" s="16"/>
      <c r="GX82" s="16"/>
      <c r="GY82" s="16"/>
      <c r="GZ82" s="16"/>
      <c r="HA82" s="16"/>
      <c r="HB82" s="16"/>
      <c r="HC82" s="16"/>
      <c r="HD82" s="16"/>
      <c r="HE82" s="16"/>
      <c r="HF82" s="16"/>
      <c r="HG82" s="16"/>
      <c r="HH82" s="16"/>
      <c r="HI82" s="16"/>
      <c r="HJ82" s="16"/>
      <c r="HK82" s="16"/>
      <c r="HL82" s="16"/>
      <c r="HM82" s="16"/>
      <c r="HN82" s="16"/>
      <c r="HO82" s="16"/>
      <c r="HP82" s="16"/>
      <c r="HQ82" s="16"/>
      <c r="HR82" s="16"/>
      <c r="HS82" s="16"/>
      <c r="HT82" s="16"/>
      <c r="HU82" s="16"/>
      <c r="HV82" s="16"/>
      <c r="HW82" s="16"/>
      <c r="HX82" s="16"/>
      <c r="HY82" s="16"/>
      <c r="HZ82" s="16"/>
      <c r="IA82" s="16"/>
      <c r="IB82" s="16"/>
      <c r="IC82" s="16"/>
      <c r="ID82" s="16"/>
      <c r="IE82" s="16"/>
      <c r="IF82" s="16"/>
      <c r="IG82" s="16"/>
      <c r="IH82" s="16"/>
      <c r="II82" s="16"/>
      <c r="IJ82" s="16"/>
      <c r="IK82" s="16"/>
      <c r="IL82" s="16"/>
      <c r="IM82" s="16"/>
      <c r="IN82" s="16"/>
      <c r="IO82" s="16"/>
      <c r="IP82" s="16"/>
      <c r="IQ82" s="16"/>
      <c r="IR82" s="16"/>
      <c r="IS82" s="16"/>
      <c r="IT82" s="16"/>
      <c r="IU82" s="16"/>
      <c r="IV82" s="16"/>
      <c r="IW82" s="16"/>
    </row>
    <row r="83" customFormat="false" ht="12.95" hidden="false" customHeight="true" outlineLevel="0" collapsed="false">
      <c r="A83" s="15" t="s">
        <v>243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  <c r="FO83" s="16"/>
      <c r="FP83" s="16"/>
      <c r="FQ83" s="16"/>
      <c r="FR83" s="16"/>
      <c r="FS83" s="16"/>
      <c r="FT83" s="16"/>
      <c r="FU83" s="16"/>
      <c r="FV83" s="16"/>
      <c r="FW83" s="16"/>
      <c r="FX83" s="16"/>
      <c r="FY83" s="16"/>
      <c r="FZ83" s="16"/>
      <c r="GA83" s="16"/>
      <c r="GB83" s="16"/>
      <c r="GC83" s="16"/>
      <c r="GD83" s="16"/>
      <c r="GE83" s="16"/>
      <c r="GF83" s="16"/>
      <c r="GG83" s="16"/>
      <c r="GH83" s="16"/>
      <c r="GI83" s="16"/>
      <c r="GJ83" s="16"/>
      <c r="GK83" s="16"/>
      <c r="GL83" s="16"/>
      <c r="GM83" s="16"/>
      <c r="GN83" s="16"/>
      <c r="GO83" s="16"/>
      <c r="GP83" s="16"/>
      <c r="GQ83" s="16"/>
      <c r="GR83" s="16"/>
      <c r="GS83" s="16"/>
      <c r="GT83" s="16"/>
      <c r="GU83" s="16"/>
      <c r="GV83" s="16"/>
      <c r="GW83" s="16"/>
      <c r="GX83" s="16"/>
      <c r="GY83" s="16"/>
      <c r="GZ83" s="16"/>
      <c r="HA83" s="16"/>
      <c r="HB83" s="16"/>
      <c r="HC83" s="16"/>
      <c r="HD83" s="16"/>
      <c r="HE83" s="16"/>
      <c r="HF83" s="16"/>
      <c r="HG83" s="16"/>
      <c r="HH83" s="16"/>
      <c r="HI83" s="16"/>
      <c r="HJ83" s="16"/>
      <c r="HK83" s="16"/>
      <c r="HL83" s="16"/>
      <c r="HM83" s="16"/>
      <c r="HN83" s="16"/>
      <c r="HO83" s="16"/>
      <c r="HP83" s="16"/>
      <c r="HQ83" s="16"/>
      <c r="HR83" s="16"/>
      <c r="HS83" s="16"/>
      <c r="HT83" s="16"/>
      <c r="HU83" s="16"/>
      <c r="HV83" s="16"/>
      <c r="HW83" s="16"/>
      <c r="HX83" s="16"/>
      <c r="HY83" s="16"/>
      <c r="HZ83" s="16"/>
      <c r="IA83" s="16"/>
      <c r="IB83" s="16"/>
      <c r="IC83" s="16"/>
      <c r="ID83" s="16"/>
      <c r="IE83" s="16"/>
      <c r="IF83" s="16"/>
      <c r="IG83" s="16"/>
      <c r="IH83" s="16"/>
      <c r="II83" s="16"/>
      <c r="IJ83" s="16"/>
      <c r="IK83" s="16"/>
      <c r="IL83" s="16"/>
      <c r="IM83" s="16"/>
      <c r="IN83" s="16"/>
      <c r="IO83" s="16"/>
      <c r="IP83" s="16"/>
      <c r="IQ83" s="16"/>
      <c r="IR83" s="16"/>
      <c r="IS83" s="16"/>
      <c r="IT83" s="16"/>
      <c r="IU83" s="16"/>
      <c r="IV83" s="16"/>
      <c r="IW83" s="16"/>
    </row>
    <row r="84" customFormat="false" ht="12.95" hidden="false" customHeight="true" outlineLevel="0" collapsed="false">
      <c r="A84" s="15" t="s">
        <v>246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6"/>
      <c r="CU84" s="16"/>
      <c r="CV84" s="16"/>
      <c r="CW84" s="16"/>
      <c r="CX84" s="16"/>
      <c r="CY84" s="16"/>
      <c r="CZ84" s="16"/>
      <c r="DA84" s="16"/>
      <c r="DB84" s="16"/>
      <c r="DC84" s="16"/>
      <c r="DD84" s="16"/>
      <c r="DE84" s="16"/>
      <c r="DF84" s="16"/>
      <c r="DG84" s="16"/>
      <c r="DH84" s="16"/>
      <c r="DI84" s="16"/>
      <c r="DJ84" s="16"/>
      <c r="DK84" s="16"/>
      <c r="DL84" s="16"/>
      <c r="DM84" s="16"/>
      <c r="DN84" s="16"/>
      <c r="DO84" s="16"/>
      <c r="DP84" s="16"/>
      <c r="DQ84" s="16"/>
      <c r="DR84" s="16"/>
      <c r="DS84" s="16"/>
      <c r="DT84" s="16"/>
      <c r="DU84" s="16"/>
      <c r="DV84" s="16"/>
      <c r="DW84" s="16"/>
      <c r="DX84" s="16"/>
      <c r="DY84" s="16"/>
      <c r="DZ84" s="16"/>
      <c r="EA84" s="16"/>
      <c r="EB84" s="16"/>
      <c r="EC84" s="16"/>
      <c r="ED84" s="16"/>
      <c r="EE84" s="16"/>
      <c r="EF84" s="16"/>
      <c r="EG84" s="16"/>
      <c r="EH84" s="16"/>
      <c r="EI84" s="16"/>
      <c r="EJ84" s="16"/>
      <c r="EK84" s="16"/>
      <c r="EL84" s="16"/>
      <c r="EM84" s="16"/>
      <c r="EN84" s="16"/>
      <c r="EO84" s="16"/>
      <c r="EP84" s="16"/>
      <c r="EQ84" s="16"/>
      <c r="ER84" s="16"/>
      <c r="ES84" s="16"/>
      <c r="ET84" s="16"/>
      <c r="EU84" s="16"/>
      <c r="EV84" s="16"/>
      <c r="EW84" s="16"/>
      <c r="EX84" s="16"/>
      <c r="EY84" s="16"/>
      <c r="EZ84" s="16"/>
      <c r="FA84" s="16"/>
      <c r="FB84" s="16"/>
      <c r="FC84" s="16"/>
      <c r="FD84" s="16"/>
      <c r="FE84" s="16"/>
      <c r="FF84" s="16"/>
      <c r="FG84" s="16"/>
      <c r="FH84" s="16"/>
      <c r="FI84" s="16"/>
      <c r="FJ84" s="16"/>
      <c r="FK84" s="16"/>
      <c r="FL84" s="16"/>
      <c r="FM84" s="16"/>
      <c r="FN84" s="16"/>
      <c r="FO84" s="16"/>
      <c r="FP84" s="16"/>
      <c r="FQ84" s="16"/>
      <c r="FR84" s="16"/>
      <c r="FS84" s="16"/>
      <c r="FT84" s="16"/>
      <c r="FU84" s="16"/>
      <c r="FV84" s="16"/>
      <c r="FW84" s="16"/>
      <c r="FX84" s="16"/>
      <c r="FY84" s="16"/>
      <c r="FZ84" s="16"/>
      <c r="GA84" s="16"/>
      <c r="GB84" s="16"/>
      <c r="GC84" s="16"/>
      <c r="GD84" s="16"/>
      <c r="GE84" s="16"/>
      <c r="GF84" s="16"/>
      <c r="GG84" s="16"/>
      <c r="GH84" s="16"/>
      <c r="GI84" s="16"/>
      <c r="GJ84" s="16"/>
      <c r="GK84" s="16"/>
      <c r="GL84" s="16"/>
      <c r="GM84" s="16"/>
      <c r="GN84" s="16"/>
      <c r="GO84" s="16"/>
      <c r="GP84" s="16"/>
      <c r="GQ84" s="16"/>
      <c r="GR84" s="16"/>
      <c r="GS84" s="16"/>
      <c r="GT84" s="16"/>
      <c r="GU84" s="16"/>
      <c r="GV84" s="16"/>
      <c r="GW84" s="16"/>
      <c r="GX84" s="16"/>
      <c r="GY84" s="16"/>
      <c r="GZ84" s="16"/>
      <c r="HA84" s="16"/>
      <c r="HB84" s="16"/>
      <c r="HC84" s="16"/>
      <c r="HD84" s="16"/>
      <c r="HE84" s="16"/>
      <c r="HF84" s="16"/>
      <c r="HG84" s="16"/>
      <c r="HH84" s="16"/>
      <c r="HI84" s="16"/>
      <c r="HJ84" s="16"/>
      <c r="HK84" s="16"/>
      <c r="HL84" s="16"/>
      <c r="HM84" s="16"/>
      <c r="HN84" s="16"/>
      <c r="HO84" s="16"/>
      <c r="HP84" s="16"/>
      <c r="HQ84" s="16"/>
      <c r="HR84" s="16"/>
      <c r="HS84" s="16"/>
      <c r="HT84" s="16"/>
      <c r="HU84" s="16"/>
      <c r="HV84" s="16"/>
      <c r="HW84" s="16"/>
      <c r="HX84" s="16"/>
      <c r="HY84" s="16"/>
      <c r="HZ84" s="16"/>
      <c r="IA84" s="16"/>
      <c r="IB84" s="16"/>
      <c r="IC84" s="16"/>
      <c r="ID84" s="16"/>
      <c r="IE84" s="16"/>
      <c r="IF84" s="16"/>
      <c r="IG84" s="16"/>
      <c r="IH84" s="16"/>
      <c r="II84" s="16"/>
      <c r="IJ84" s="16"/>
      <c r="IK84" s="16"/>
      <c r="IL84" s="16"/>
      <c r="IM84" s="16"/>
      <c r="IN84" s="16"/>
      <c r="IO84" s="16"/>
      <c r="IP84" s="16"/>
      <c r="IQ84" s="16"/>
      <c r="IR84" s="16"/>
      <c r="IS84" s="16"/>
      <c r="IT84" s="16"/>
      <c r="IU84" s="16"/>
      <c r="IV84" s="16"/>
      <c r="IW84" s="16"/>
    </row>
    <row r="85" customFormat="false" ht="12.95" hidden="false" customHeight="true" outlineLevel="0" collapsed="false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6"/>
      <c r="CK85" s="16"/>
      <c r="CL85" s="16"/>
      <c r="CM85" s="16"/>
      <c r="CN85" s="16"/>
      <c r="CO85" s="16"/>
      <c r="CP85" s="16"/>
      <c r="CQ85" s="16"/>
      <c r="CR85" s="16"/>
      <c r="CS85" s="16"/>
      <c r="CT85" s="16"/>
      <c r="CU85" s="16"/>
      <c r="CV85" s="16"/>
      <c r="CW85" s="16"/>
      <c r="CX85" s="16"/>
      <c r="CY85" s="16"/>
      <c r="CZ85" s="16"/>
      <c r="DA85" s="16"/>
      <c r="DB85" s="16"/>
      <c r="DC85" s="16"/>
      <c r="DD85" s="16"/>
      <c r="DE85" s="16"/>
      <c r="DF85" s="16"/>
      <c r="DG85" s="16"/>
      <c r="DH85" s="16"/>
      <c r="DI85" s="16"/>
      <c r="DJ85" s="16"/>
      <c r="DK85" s="16"/>
      <c r="DL85" s="16"/>
      <c r="DM85" s="16"/>
      <c r="DN85" s="16"/>
      <c r="DO85" s="16"/>
      <c r="DP85" s="16"/>
      <c r="DQ85" s="16"/>
      <c r="DR85" s="16"/>
      <c r="DS85" s="16"/>
      <c r="DT85" s="16"/>
      <c r="DU85" s="16"/>
      <c r="DV85" s="16"/>
      <c r="DW85" s="16"/>
      <c r="DX85" s="16"/>
      <c r="DY85" s="16"/>
      <c r="DZ85" s="16"/>
      <c r="EA85" s="16"/>
      <c r="EB85" s="16"/>
      <c r="EC85" s="16"/>
      <c r="ED85" s="16"/>
      <c r="EE85" s="16"/>
      <c r="EF85" s="16"/>
      <c r="EG85" s="16"/>
      <c r="EH85" s="16"/>
      <c r="EI85" s="16"/>
      <c r="EJ85" s="16"/>
      <c r="EK85" s="16"/>
      <c r="EL85" s="16"/>
      <c r="EM85" s="16"/>
      <c r="EN85" s="16"/>
      <c r="EO85" s="16"/>
      <c r="EP85" s="16"/>
      <c r="EQ85" s="16"/>
      <c r="ER85" s="16"/>
      <c r="ES85" s="16"/>
      <c r="ET85" s="16"/>
      <c r="EU85" s="16"/>
      <c r="EV85" s="16"/>
      <c r="EW85" s="16"/>
      <c r="EX85" s="16"/>
      <c r="EY85" s="16"/>
      <c r="EZ85" s="16"/>
      <c r="FA85" s="16"/>
      <c r="FB85" s="16"/>
      <c r="FC85" s="16"/>
      <c r="FD85" s="16"/>
      <c r="FE85" s="16"/>
      <c r="FF85" s="16"/>
      <c r="FG85" s="16"/>
      <c r="FH85" s="16"/>
      <c r="FI85" s="16"/>
      <c r="FJ85" s="16"/>
      <c r="FK85" s="16"/>
      <c r="FL85" s="16"/>
      <c r="FM85" s="16"/>
      <c r="FN85" s="16"/>
      <c r="FO85" s="16"/>
      <c r="FP85" s="16"/>
      <c r="FQ85" s="16"/>
      <c r="FR85" s="16"/>
      <c r="FS85" s="16"/>
      <c r="FT85" s="16"/>
      <c r="FU85" s="16"/>
      <c r="FV85" s="16"/>
      <c r="FW85" s="16"/>
      <c r="FX85" s="16"/>
      <c r="FY85" s="16"/>
      <c r="FZ85" s="16"/>
      <c r="GA85" s="16"/>
      <c r="GB85" s="16"/>
      <c r="GC85" s="16"/>
      <c r="GD85" s="16"/>
      <c r="GE85" s="16"/>
      <c r="GF85" s="16"/>
      <c r="GG85" s="16"/>
      <c r="GH85" s="16"/>
      <c r="GI85" s="16"/>
      <c r="GJ85" s="16"/>
      <c r="GK85" s="16"/>
      <c r="GL85" s="16"/>
      <c r="GM85" s="16"/>
      <c r="GN85" s="16"/>
      <c r="GO85" s="16"/>
      <c r="GP85" s="16"/>
      <c r="GQ85" s="16"/>
      <c r="GR85" s="16"/>
      <c r="GS85" s="16"/>
      <c r="GT85" s="16"/>
      <c r="GU85" s="16"/>
      <c r="GV85" s="16"/>
      <c r="GW85" s="16"/>
      <c r="GX85" s="16"/>
      <c r="GY85" s="16"/>
      <c r="GZ85" s="16"/>
      <c r="HA85" s="16"/>
      <c r="HB85" s="16"/>
      <c r="HC85" s="16"/>
      <c r="HD85" s="16"/>
      <c r="HE85" s="16"/>
      <c r="HF85" s="16"/>
      <c r="HG85" s="16"/>
      <c r="HH85" s="16"/>
      <c r="HI85" s="16"/>
      <c r="HJ85" s="16"/>
      <c r="HK85" s="16"/>
      <c r="HL85" s="16"/>
      <c r="HM85" s="16"/>
      <c r="HN85" s="16"/>
      <c r="HO85" s="16"/>
      <c r="HP85" s="16"/>
      <c r="HQ85" s="16"/>
      <c r="HR85" s="16"/>
      <c r="HS85" s="16"/>
      <c r="HT85" s="16"/>
      <c r="HU85" s="16"/>
      <c r="HV85" s="16"/>
      <c r="HW85" s="16"/>
      <c r="HX85" s="16"/>
      <c r="HY85" s="16"/>
      <c r="HZ85" s="16"/>
      <c r="IA85" s="16"/>
      <c r="IB85" s="16"/>
      <c r="IC85" s="16"/>
      <c r="ID85" s="16"/>
      <c r="IE85" s="16"/>
      <c r="IF85" s="16"/>
      <c r="IG85" s="16"/>
      <c r="IH85" s="16"/>
      <c r="II85" s="16"/>
      <c r="IJ85" s="16"/>
      <c r="IK85" s="16"/>
      <c r="IL85" s="16"/>
      <c r="IM85" s="16"/>
      <c r="IN85" s="16"/>
      <c r="IO85" s="16"/>
      <c r="IP85" s="16"/>
      <c r="IQ85" s="16"/>
      <c r="IR85" s="16"/>
      <c r="IS85" s="16"/>
      <c r="IT85" s="16"/>
      <c r="IU85" s="16"/>
      <c r="IV85" s="16"/>
      <c r="IW85" s="16"/>
    </row>
    <row r="86" customFormat="false" ht="12.95" hidden="false" customHeight="true" outlineLevel="0" collapsed="false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16"/>
      <c r="CR86" s="16"/>
      <c r="CS86" s="16"/>
      <c r="CT86" s="16"/>
      <c r="CU86" s="16"/>
      <c r="CV86" s="16"/>
      <c r="CW86" s="16"/>
      <c r="CX86" s="16"/>
      <c r="CY86" s="16"/>
      <c r="CZ86" s="16"/>
      <c r="DA86" s="16"/>
      <c r="DB86" s="16"/>
      <c r="DC86" s="16"/>
      <c r="DD86" s="16"/>
      <c r="DE86" s="16"/>
      <c r="DF86" s="16"/>
      <c r="DG86" s="16"/>
      <c r="DH86" s="16"/>
      <c r="DI86" s="16"/>
      <c r="DJ86" s="16"/>
      <c r="DK86" s="16"/>
      <c r="DL86" s="16"/>
      <c r="DM86" s="16"/>
      <c r="DN86" s="16"/>
      <c r="DO86" s="16"/>
      <c r="DP86" s="16"/>
      <c r="DQ86" s="16"/>
      <c r="DR86" s="16"/>
      <c r="DS86" s="16"/>
      <c r="DT86" s="16"/>
      <c r="DU86" s="16"/>
      <c r="DV86" s="16"/>
      <c r="DW86" s="16"/>
      <c r="DX86" s="16"/>
      <c r="DY86" s="16"/>
      <c r="DZ86" s="16"/>
      <c r="EA86" s="16"/>
      <c r="EB86" s="16"/>
      <c r="EC86" s="16"/>
      <c r="ED86" s="16"/>
      <c r="EE86" s="16"/>
      <c r="EF86" s="16"/>
      <c r="EG86" s="16"/>
      <c r="EH86" s="16"/>
      <c r="EI86" s="16"/>
      <c r="EJ86" s="16"/>
      <c r="EK86" s="16"/>
      <c r="EL86" s="16"/>
      <c r="EM86" s="16"/>
      <c r="EN86" s="16"/>
      <c r="EO86" s="16"/>
      <c r="EP86" s="16"/>
      <c r="EQ86" s="16"/>
      <c r="ER86" s="16"/>
      <c r="ES86" s="16"/>
      <c r="ET86" s="16"/>
      <c r="EU86" s="16"/>
      <c r="EV86" s="16"/>
      <c r="EW86" s="16"/>
      <c r="EX86" s="16"/>
      <c r="EY86" s="16"/>
      <c r="EZ86" s="16"/>
      <c r="FA86" s="16"/>
      <c r="FB86" s="16"/>
      <c r="FC86" s="16"/>
      <c r="FD86" s="16"/>
      <c r="FE86" s="16"/>
      <c r="FF86" s="16"/>
      <c r="FG86" s="16"/>
      <c r="FH86" s="16"/>
      <c r="FI86" s="16"/>
      <c r="FJ86" s="16"/>
      <c r="FK86" s="16"/>
      <c r="FL86" s="16"/>
      <c r="FM86" s="16"/>
      <c r="FN86" s="16"/>
      <c r="FO86" s="16"/>
      <c r="FP86" s="16"/>
      <c r="FQ86" s="16"/>
      <c r="FR86" s="16"/>
      <c r="FS86" s="16"/>
      <c r="FT86" s="16"/>
      <c r="FU86" s="16"/>
      <c r="FV86" s="16"/>
      <c r="FW86" s="16"/>
      <c r="FX86" s="16"/>
      <c r="FY86" s="16"/>
      <c r="FZ86" s="16"/>
      <c r="GA86" s="16"/>
      <c r="GB86" s="16"/>
      <c r="GC86" s="16"/>
      <c r="GD86" s="16"/>
      <c r="GE86" s="16"/>
      <c r="GF86" s="16"/>
      <c r="GG86" s="16"/>
      <c r="GH86" s="16"/>
      <c r="GI86" s="16"/>
      <c r="GJ86" s="16"/>
      <c r="GK86" s="16"/>
      <c r="GL86" s="16"/>
      <c r="GM86" s="16"/>
      <c r="GN86" s="16"/>
      <c r="GO86" s="16"/>
      <c r="GP86" s="16"/>
      <c r="GQ86" s="16"/>
      <c r="GR86" s="16"/>
      <c r="GS86" s="16"/>
      <c r="GT86" s="16"/>
      <c r="GU86" s="16"/>
      <c r="GV86" s="16"/>
      <c r="GW86" s="16"/>
      <c r="GX86" s="16"/>
      <c r="GY86" s="16"/>
      <c r="GZ86" s="16"/>
      <c r="HA86" s="16"/>
      <c r="HB86" s="16"/>
      <c r="HC86" s="16"/>
      <c r="HD86" s="16"/>
      <c r="HE86" s="16"/>
      <c r="HF86" s="16"/>
      <c r="HG86" s="16"/>
      <c r="HH86" s="16"/>
      <c r="HI86" s="16"/>
      <c r="HJ86" s="16"/>
      <c r="HK86" s="16"/>
      <c r="HL86" s="16"/>
      <c r="HM86" s="16"/>
      <c r="HN86" s="16"/>
      <c r="HO86" s="16"/>
      <c r="HP86" s="16"/>
      <c r="HQ86" s="16"/>
      <c r="HR86" s="16"/>
      <c r="HS86" s="16"/>
      <c r="HT86" s="16"/>
      <c r="HU86" s="16"/>
      <c r="HV86" s="16"/>
      <c r="HW86" s="16"/>
      <c r="HX86" s="16"/>
      <c r="HY86" s="16"/>
      <c r="HZ86" s="16"/>
      <c r="IA86" s="16"/>
      <c r="IB86" s="16"/>
      <c r="IC86" s="16"/>
      <c r="ID86" s="16"/>
      <c r="IE86" s="16"/>
      <c r="IF86" s="16"/>
      <c r="IG86" s="16"/>
      <c r="IH86" s="16"/>
      <c r="II86" s="16"/>
      <c r="IJ86" s="16"/>
      <c r="IK86" s="16"/>
      <c r="IL86" s="16"/>
      <c r="IM86" s="16"/>
      <c r="IN86" s="16"/>
      <c r="IO86" s="16"/>
      <c r="IP86" s="16"/>
      <c r="IQ86" s="16"/>
      <c r="IR86" s="16"/>
      <c r="IS86" s="16"/>
      <c r="IT86" s="16"/>
      <c r="IU86" s="16"/>
      <c r="IV86" s="16"/>
      <c r="IW86" s="16"/>
    </row>
    <row r="87" customFormat="false" ht="12.95" hidden="false" customHeight="true" outlineLevel="0" collapsed="false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  <c r="CN87" s="16"/>
      <c r="CO87" s="16"/>
      <c r="CP87" s="16"/>
      <c r="CQ87" s="16"/>
      <c r="CR87" s="16"/>
      <c r="CS87" s="16"/>
      <c r="CT87" s="16"/>
      <c r="CU87" s="16"/>
      <c r="CV87" s="16"/>
      <c r="CW87" s="16"/>
      <c r="CX87" s="16"/>
      <c r="CY87" s="16"/>
      <c r="CZ87" s="16"/>
      <c r="DA87" s="16"/>
      <c r="DB87" s="16"/>
      <c r="DC87" s="16"/>
      <c r="DD87" s="16"/>
      <c r="DE87" s="16"/>
      <c r="DF87" s="16"/>
      <c r="DG87" s="16"/>
      <c r="DH87" s="16"/>
      <c r="DI87" s="16"/>
      <c r="DJ87" s="16"/>
      <c r="DK87" s="16"/>
      <c r="DL87" s="16"/>
      <c r="DM87" s="16"/>
      <c r="DN87" s="16"/>
      <c r="DO87" s="16"/>
      <c r="DP87" s="16"/>
      <c r="DQ87" s="16"/>
      <c r="DR87" s="16"/>
      <c r="DS87" s="16"/>
      <c r="DT87" s="16"/>
      <c r="DU87" s="16"/>
      <c r="DV87" s="16"/>
      <c r="DW87" s="16"/>
      <c r="DX87" s="16"/>
      <c r="DY87" s="16"/>
      <c r="DZ87" s="16"/>
      <c r="EA87" s="16"/>
      <c r="EB87" s="16"/>
      <c r="EC87" s="16"/>
      <c r="ED87" s="16"/>
      <c r="EE87" s="16"/>
      <c r="EF87" s="16"/>
      <c r="EG87" s="16"/>
      <c r="EH87" s="16"/>
      <c r="EI87" s="16"/>
      <c r="EJ87" s="16"/>
      <c r="EK87" s="16"/>
      <c r="EL87" s="16"/>
      <c r="EM87" s="16"/>
      <c r="EN87" s="16"/>
      <c r="EO87" s="16"/>
      <c r="EP87" s="16"/>
      <c r="EQ87" s="16"/>
      <c r="ER87" s="16"/>
      <c r="ES87" s="16"/>
      <c r="ET87" s="16"/>
      <c r="EU87" s="16"/>
      <c r="EV87" s="16"/>
      <c r="EW87" s="16"/>
      <c r="EX87" s="16"/>
      <c r="EY87" s="16"/>
      <c r="EZ87" s="16"/>
      <c r="FA87" s="16"/>
      <c r="FB87" s="16"/>
      <c r="FC87" s="16"/>
      <c r="FD87" s="16"/>
      <c r="FE87" s="16"/>
      <c r="FF87" s="16"/>
      <c r="FG87" s="16"/>
      <c r="FH87" s="16"/>
      <c r="FI87" s="16"/>
      <c r="FJ87" s="16"/>
      <c r="FK87" s="16"/>
      <c r="FL87" s="16"/>
      <c r="FM87" s="16"/>
      <c r="FN87" s="16"/>
      <c r="FO87" s="16"/>
      <c r="FP87" s="16"/>
      <c r="FQ87" s="16"/>
      <c r="FR87" s="16"/>
      <c r="FS87" s="16"/>
      <c r="FT87" s="16"/>
      <c r="FU87" s="16"/>
      <c r="FV87" s="16"/>
      <c r="FW87" s="16"/>
      <c r="FX87" s="16"/>
      <c r="FY87" s="16"/>
      <c r="FZ87" s="16"/>
      <c r="GA87" s="16"/>
      <c r="GB87" s="16"/>
      <c r="GC87" s="16"/>
      <c r="GD87" s="16"/>
      <c r="GE87" s="16"/>
      <c r="GF87" s="16"/>
      <c r="GG87" s="16"/>
      <c r="GH87" s="16"/>
      <c r="GI87" s="16"/>
      <c r="GJ87" s="16"/>
      <c r="GK87" s="16"/>
      <c r="GL87" s="16"/>
      <c r="GM87" s="16"/>
      <c r="GN87" s="16"/>
      <c r="GO87" s="16"/>
      <c r="GP87" s="16"/>
      <c r="GQ87" s="16"/>
      <c r="GR87" s="16"/>
      <c r="GS87" s="16"/>
      <c r="GT87" s="16"/>
      <c r="GU87" s="16"/>
      <c r="GV87" s="16"/>
      <c r="GW87" s="16"/>
      <c r="GX87" s="16"/>
      <c r="GY87" s="16"/>
      <c r="GZ87" s="16"/>
      <c r="HA87" s="16"/>
      <c r="HB87" s="16"/>
      <c r="HC87" s="16"/>
      <c r="HD87" s="16"/>
      <c r="HE87" s="16"/>
      <c r="HF87" s="16"/>
      <c r="HG87" s="16"/>
      <c r="HH87" s="16"/>
      <c r="HI87" s="16"/>
      <c r="HJ87" s="16"/>
      <c r="HK87" s="16"/>
      <c r="HL87" s="16"/>
      <c r="HM87" s="16"/>
      <c r="HN87" s="16"/>
      <c r="HO87" s="16"/>
      <c r="HP87" s="16"/>
      <c r="HQ87" s="16"/>
      <c r="HR87" s="16"/>
      <c r="HS87" s="16"/>
      <c r="HT87" s="16"/>
      <c r="HU87" s="16"/>
      <c r="HV87" s="16"/>
      <c r="HW87" s="16"/>
      <c r="HX87" s="16"/>
      <c r="HY87" s="16"/>
      <c r="HZ87" s="16"/>
      <c r="IA87" s="16"/>
      <c r="IB87" s="16"/>
      <c r="IC87" s="16"/>
      <c r="ID87" s="16"/>
      <c r="IE87" s="16"/>
      <c r="IF87" s="16"/>
      <c r="IG87" s="16"/>
      <c r="IH87" s="16"/>
      <c r="II87" s="16"/>
      <c r="IJ87" s="16"/>
      <c r="IK87" s="16"/>
      <c r="IL87" s="16"/>
      <c r="IM87" s="16"/>
      <c r="IN87" s="16"/>
      <c r="IO87" s="16"/>
      <c r="IP87" s="16"/>
      <c r="IQ87" s="16"/>
      <c r="IR87" s="16"/>
      <c r="IS87" s="16"/>
      <c r="IT87" s="16"/>
      <c r="IU87" s="16"/>
      <c r="IV87" s="16"/>
      <c r="IW87" s="16"/>
    </row>
    <row r="88" customFormat="false" ht="12.95" hidden="false" customHeight="true" outlineLevel="0" collapsed="false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  <c r="FF88" s="16"/>
      <c r="FG88" s="16"/>
      <c r="FH88" s="16"/>
      <c r="FI88" s="16"/>
      <c r="FJ88" s="16"/>
      <c r="FK88" s="16"/>
      <c r="FL88" s="16"/>
      <c r="FM88" s="16"/>
      <c r="FN88" s="16"/>
      <c r="FO88" s="16"/>
      <c r="FP88" s="16"/>
      <c r="FQ88" s="16"/>
      <c r="FR88" s="16"/>
      <c r="FS88" s="16"/>
      <c r="FT88" s="16"/>
      <c r="FU88" s="16"/>
      <c r="FV88" s="16"/>
      <c r="FW88" s="16"/>
      <c r="FX88" s="16"/>
      <c r="FY88" s="16"/>
      <c r="FZ88" s="16"/>
      <c r="GA88" s="16"/>
      <c r="GB88" s="16"/>
      <c r="GC88" s="16"/>
      <c r="GD88" s="16"/>
      <c r="GE88" s="16"/>
      <c r="GF88" s="16"/>
      <c r="GG88" s="16"/>
      <c r="GH88" s="16"/>
      <c r="GI88" s="16"/>
      <c r="GJ88" s="16"/>
      <c r="GK88" s="16"/>
      <c r="GL88" s="16"/>
      <c r="GM88" s="16"/>
      <c r="GN88" s="16"/>
      <c r="GO88" s="16"/>
      <c r="GP88" s="16"/>
      <c r="GQ88" s="16"/>
      <c r="GR88" s="16"/>
      <c r="GS88" s="16"/>
      <c r="GT88" s="16"/>
      <c r="GU88" s="16"/>
      <c r="GV88" s="16"/>
      <c r="GW88" s="16"/>
      <c r="GX88" s="16"/>
      <c r="GY88" s="16"/>
      <c r="GZ88" s="16"/>
      <c r="HA88" s="16"/>
      <c r="HB88" s="16"/>
      <c r="HC88" s="16"/>
      <c r="HD88" s="16"/>
      <c r="HE88" s="16"/>
      <c r="HF88" s="16"/>
      <c r="HG88" s="16"/>
      <c r="HH88" s="16"/>
      <c r="HI88" s="16"/>
      <c r="HJ88" s="16"/>
      <c r="HK88" s="16"/>
      <c r="HL88" s="16"/>
      <c r="HM88" s="16"/>
      <c r="HN88" s="16"/>
      <c r="HO88" s="16"/>
      <c r="HP88" s="16"/>
      <c r="HQ88" s="16"/>
      <c r="HR88" s="16"/>
      <c r="HS88" s="16"/>
      <c r="HT88" s="16"/>
      <c r="HU88" s="16"/>
      <c r="HV88" s="16"/>
      <c r="HW88" s="16"/>
      <c r="HX88" s="16"/>
      <c r="HY88" s="16"/>
      <c r="HZ88" s="16"/>
      <c r="IA88" s="16"/>
      <c r="IB88" s="16"/>
      <c r="IC88" s="16"/>
      <c r="ID88" s="16"/>
      <c r="IE88" s="16"/>
      <c r="IF88" s="16"/>
      <c r="IG88" s="16"/>
      <c r="IH88" s="16"/>
      <c r="II88" s="16"/>
      <c r="IJ88" s="16"/>
      <c r="IK88" s="16"/>
      <c r="IL88" s="16"/>
      <c r="IM88" s="16"/>
      <c r="IN88" s="16"/>
      <c r="IO88" s="16"/>
      <c r="IP88" s="16"/>
      <c r="IQ88" s="16"/>
      <c r="IR88" s="16"/>
      <c r="IS88" s="16"/>
      <c r="IT88" s="16"/>
      <c r="IU88" s="16"/>
      <c r="IV88" s="16"/>
      <c r="IW88" s="16"/>
    </row>
    <row r="89" customFormat="false" ht="12.95" hidden="false" customHeight="true" outlineLevel="0" collapsed="false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  <c r="CN89" s="16"/>
      <c r="CO89" s="16"/>
      <c r="CP89" s="16"/>
      <c r="CQ89" s="16"/>
      <c r="CR89" s="16"/>
      <c r="CS89" s="16"/>
      <c r="CT89" s="16"/>
      <c r="CU89" s="16"/>
      <c r="CV89" s="16"/>
      <c r="CW89" s="16"/>
      <c r="CX89" s="16"/>
      <c r="CY89" s="16"/>
      <c r="CZ89" s="16"/>
      <c r="DA89" s="16"/>
      <c r="DB89" s="16"/>
      <c r="DC89" s="16"/>
      <c r="DD89" s="16"/>
      <c r="DE89" s="16"/>
      <c r="DF89" s="16"/>
      <c r="DG89" s="16"/>
      <c r="DH89" s="16"/>
      <c r="DI89" s="16"/>
      <c r="DJ89" s="16"/>
      <c r="DK89" s="16"/>
      <c r="DL89" s="16"/>
      <c r="DM89" s="16"/>
      <c r="DN89" s="16"/>
      <c r="DO89" s="16"/>
      <c r="DP89" s="16"/>
      <c r="DQ89" s="16"/>
      <c r="DR89" s="16"/>
      <c r="DS89" s="16"/>
      <c r="DT89" s="16"/>
      <c r="DU89" s="16"/>
      <c r="DV89" s="16"/>
      <c r="DW89" s="16"/>
      <c r="DX89" s="16"/>
      <c r="DY89" s="16"/>
      <c r="DZ89" s="16"/>
      <c r="EA89" s="16"/>
      <c r="EB89" s="16"/>
      <c r="EC89" s="16"/>
      <c r="ED89" s="16"/>
      <c r="EE89" s="16"/>
      <c r="EF89" s="16"/>
      <c r="EG89" s="16"/>
      <c r="EH89" s="16"/>
      <c r="EI89" s="16"/>
      <c r="EJ89" s="16"/>
      <c r="EK89" s="16"/>
      <c r="EL89" s="16"/>
      <c r="EM89" s="16"/>
      <c r="EN89" s="16"/>
      <c r="EO89" s="16"/>
      <c r="EP89" s="16"/>
      <c r="EQ89" s="16"/>
      <c r="ER89" s="16"/>
      <c r="ES89" s="16"/>
      <c r="ET89" s="16"/>
      <c r="EU89" s="16"/>
      <c r="EV89" s="16"/>
      <c r="EW89" s="16"/>
      <c r="EX89" s="16"/>
      <c r="EY89" s="16"/>
      <c r="EZ89" s="16"/>
      <c r="FA89" s="16"/>
      <c r="FB89" s="16"/>
      <c r="FC89" s="16"/>
      <c r="FD89" s="16"/>
      <c r="FE89" s="16"/>
      <c r="FF89" s="16"/>
      <c r="FG89" s="16"/>
      <c r="FH89" s="16"/>
      <c r="FI89" s="16"/>
      <c r="FJ89" s="16"/>
      <c r="FK89" s="16"/>
      <c r="FL89" s="16"/>
      <c r="FM89" s="16"/>
      <c r="FN89" s="16"/>
      <c r="FO89" s="16"/>
      <c r="FP89" s="16"/>
      <c r="FQ89" s="16"/>
      <c r="FR89" s="16"/>
      <c r="FS89" s="16"/>
      <c r="FT89" s="16"/>
      <c r="FU89" s="16"/>
      <c r="FV89" s="16"/>
      <c r="FW89" s="16"/>
      <c r="FX89" s="16"/>
      <c r="FY89" s="16"/>
      <c r="FZ89" s="16"/>
      <c r="GA89" s="16"/>
      <c r="GB89" s="16"/>
      <c r="GC89" s="16"/>
      <c r="GD89" s="16"/>
      <c r="GE89" s="16"/>
      <c r="GF89" s="16"/>
      <c r="GG89" s="16"/>
      <c r="GH89" s="16"/>
      <c r="GI89" s="16"/>
      <c r="GJ89" s="16"/>
      <c r="GK89" s="16"/>
      <c r="GL89" s="16"/>
      <c r="GM89" s="16"/>
      <c r="GN89" s="16"/>
      <c r="GO89" s="16"/>
      <c r="GP89" s="16"/>
      <c r="GQ89" s="16"/>
      <c r="GR89" s="16"/>
      <c r="GS89" s="16"/>
      <c r="GT89" s="16"/>
      <c r="GU89" s="16"/>
      <c r="GV89" s="16"/>
      <c r="GW89" s="16"/>
      <c r="GX89" s="16"/>
      <c r="GY89" s="16"/>
      <c r="GZ89" s="16"/>
      <c r="HA89" s="16"/>
      <c r="HB89" s="16"/>
      <c r="HC89" s="16"/>
      <c r="HD89" s="16"/>
      <c r="HE89" s="16"/>
      <c r="HF89" s="16"/>
      <c r="HG89" s="16"/>
      <c r="HH89" s="16"/>
      <c r="HI89" s="16"/>
      <c r="HJ89" s="16"/>
      <c r="HK89" s="16"/>
      <c r="HL89" s="16"/>
      <c r="HM89" s="16"/>
      <c r="HN89" s="16"/>
      <c r="HO89" s="16"/>
      <c r="HP89" s="16"/>
      <c r="HQ89" s="16"/>
      <c r="HR89" s="16"/>
      <c r="HS89" s="16"/>
      <c r="HT89" s="16"/>
      <c r="HU89" s="16"/>
      <c r="HV89" s="16"/>
      <c r="HW89" s="16"/>
      <c r="HX89" s="16"/>
      <c r="HY89" s="16"/>
      <c r="HZ89" s="16"/>
      <c r="IA89" s="16"/>
      <c r="IB89" s="16"/>
      <c r="IC89" s="16"/>
      <c r="ID89" s="16"/>
      <c r="IE89" s="16"/>
      <c r="IF89" s="16"/>
      <c r="IG89" s="16"/>
      <c r="IH89" s="16"/>
      <c r="II89" s="16"/>
      <c r="IJ89" s="16"/>
      <c r="IK89" s="16"/>
      <c r="IL89" s="16"/>
      <c r="IM89" s="16"/>
      <c r="IN89" s="16"/>
      <c r="IO89" s="16"/>
      <c r="IP89" s="16"/>
      <c r="IQ89" s="16"/>
      <c r="IR89" s="16"/>
      <c r="IS89" s="16"/>
      <c r="IT89" s="16"/>
      <c r="IU89" s="16"/>
      <c r="IV89" s="16"/>
      <c r="IW89" s="16"/>
    </row>
    <row r="90" customFormat="false" ht="12.95" hidden="false" customHeight="true" outlineLevel="0" collapsed="false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  <c r="CN90" s="16"/>
      <c r="CO90" s="16"/>
      <c r="CP90" s="16"/>
      <c r="CQ90" s="16"/>
      <c r="CR90" s="16"/>
      <c r="CS90" s="16"/>
      <c r="CT90" s="16"/>
      <c r="CU90" s="16"/>
      <c r="CV90" s="16"/>
      <c r="CW90" s="16"/>
      <c r="CX90" s="16"/>
      <c r="CY90" s="16"/>
      <c r="CZ90" s="16"/>
      <c r="DA90" s="16"/>
      <c r="DB90" s="16"/>
      <c r="DC90" s="16"/>
      <c r="DD90" s="16"/>
      <c r="DE90" s="16"/>
      <c r="DF90" s="16"/>
      <c r="DG90" s="16"/>
      <c r="DH90" s="16"/>
      <c r="DI90" s="16"/>
      <c r="DJ90" s="16"/>
      <c r="DK90" s="16"/>
      <c r="DL90" s="16"/>
      <c r="DM90" s="16"/>
      <c r="DN90" s="16"/>
      <c r="DO90" s="16"/>
      <c r="DP90" s="16"/>
      <c r="DQ90" s="16"/>
      <c r="DR90" s="16"/>
      <c r="DS90" s="16"/>
      <c r="DT90" s="16"/>
      <c r="DU90" s="16"/>
      <c r="DV90" s="16"/>
      <c r="DW90" s="16"/>
      <c r="DX90" s="16"/>
      <c r="DY90" s="16"/>
      <c r="DZ90" s="16"/>
      <c r="EA90" s="16"/>
      <c r="EB90" s="16"/>
      <c r="EC90" s="16"/>
      <c r="ED90" s="16"/>
      <c r="EE90" s="16"/>
      <c r="EF90" s="16"/>
      <c r="EG90" s="16"/>
      <c r="EH90" s="16"/>
      <c r="EI90" s="16"/>
      <c r="EJ90" s="16"/>
      <c r="EK90" s="16"/>
      <c r="EL90" s="16"/>
      <c r="EM90" s="16"/>
      <c r="EN90" s="16"/>
      <c r="EO90" s="16"/>
      <c r="EP90" s="16"/>
      <c r="EQ90" s="16"/>
      <c r="ER90" s="16"/>
      <c r="ES90" s="16"/>
      <c r="ET90" s="16"/>
      <c r="EU90" s="16"/>
      <c r="EV90" s="16"/>
      <c r="EW90" s="16"/>
      <c r="EX90" s="16"/>
      <c r="EY90" s="16"/>
      <c r="EZ90" s="16"/>
      <c r="FA90" s="16"/>
      <c r="FB90" s="16"/>
      <c r="FC90" s="16"/>
      <c r="FD90" s="16"/>
      <c r="FE90" s="16"/>
      <c r="FF90" s="16"/>
      <c r="FG90" s="16"/>
      <c r="FH90" s="16"/>
      <c r="FI90" s="16"/>
      <c r="FJ90" s="16"/>
      <c r="FK90" s="16"/>
      <c r="FL90" s="16"/>
      <c r="FM90" s="16"/>
      <c r="FN90" s="16"/>
      <c r="FO90" s="16"/>
      <c r="FP90" s="16"/>
      <c r="FQ90" s="16"/>
      <c r="FR90" s="16"/>
      <c r="FS90" s="16"/>
      <c r="FT90" s="16"/>
      <c r="FU90" s="16"/>
      <c r="FV90" s="16"/>
      <c r="FW90" s="16"/>
      <c r="FX90" s="16"/>
      <c r="FY90" s="16"/>
      <c r="FZ90" s="16"/>
      <c r="GA90" s="16"/>
      <c r="GB90" s="16"/>
      <c r="GC90" s="16"/>
      <c r="GD90" s="16"/>
      <c r="GE90" s="16"/>
      <c r="GF90" s="16"/>
      <c r="GG90" s="16"/>
      <c r="GH90" s="16"/>
      <c r="GI90" s="16"/>
      <c r="GJ90" s="16"/>
      <c r="GK90" s="16"/>
      <c r="GL90" s="16"/>
      <c r="GM90" s="16"/>
      <c r="GN90" s="16"/>
      <c r="GO90" s="16"/>
      <c r="GP90" s="16"/>
      <c r="GQ90" s="16"/>
      <c r="GR90" s="16"/>
      <c r="GS90" s="16"/>
      <c r="GT90" s="16"/>
      <c r="GU90" s="16"/>
      <c r="GV90" s="16"/>
      <c r="GW90" s="16"/>
      <c r="GX90" s="16"/>
      <c r="GY90" s="16"/>
      <c r="GZ90" s="16"/>
      <c r="HA90" s="16"/>
      <c r="HB90" s="16"/>
      <c r="HC90" s="16"/>
      <c r="HD90" s="16"/>
      <c r="HE90" s="16"/>
      <c r="HF90" s="16"/>
      <c r="HG90" s="16"/>
      <c r="HH90" s="16"/>
      <c r="HI90" s="16"/>
      <c r="HJ90" s="16"/>
      <c r="HK90" s="16"/>
      <c r="HL90" s="16"/>
      <c r="HM90" s="16"/>
      <c r="HN90" s="16"/>
      <c r="HO90" s="16"/>
      <c r="HP90" s="16"/>
      <c r="HQ90" s="16"/>
      <c r="HR90" s="16"/>
      <c r="HS90" s="16"/>
      <c r="HT90" s="16"/>
      <c r="HU90" s="16"/>
      <c r="HV90" s="16"/>
      <c r="HW90" s="16"/>
      <c r="HX90" s="16"/>
      <c r="HY90" s="16"/>
      <c r="HZ90" s="16"/>
      <c r="IA90" s="16"/>
      <c r="IB90" s="16"/>
      <c r="IC90" s="16"/>
      <c r="ID90" s="16"/>
      <c r="IE90" s="16"/>
      <c r="IF90" s="16"/>
      <c r="IG90" s="16"/>
      <c r="IH90" s="16"/>
      <c r="II90" s="16"/>
      <c r="IJ90" s="16"/>
      <c r="IK90" s="16"/>
      <c r="IL90" s="16"/>
      <c r="IM90" s="16"/>
      <c r="IN90" s="16"/>
      <c r="IO90" s="16"/>
      <c r="IP90" s="16"/>
      <c r="IQ90" s="16"/>
      <c r="IR90" s="16"/>
      <c r="IS90" s="16"/>
      <c r="IT90" s="16"/>
      <c r="IU90" s="16"/>
      <c r="IV90" s="16"/>
      <c r="IW90" s="16"/>
    </row>
    <row r="91" customFormat="false" ht="12.95" hidden="false" customHeight="true" outlineLevel="0" collapsed="false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  <c r="CE91" s="16"/>
      <c r="CF91" s="16"/>
      <c r="CG91" s="16"/>
      <c r="CH91" s="16"/>
      <c r="CI91" s="16"/>
      <c r="CJ91" s="16"/>
      <c r="CK91" s="16"/>
      <c r="CL91" s="16"/>
      <c r="CM91" s="16"/>
      <c r="CN91" s="16"/>
      <c r="CO91" s="16"/>
      <c r="CP91" s="16"/>
      <c r="CQ91" s="16"/>
      <c r="CR91" s="16"/>
      <c r="CS91" s="16"/>
      <c r="CT91" s="16"/>
      <c r="CU91" s="16"/>
      <c r="CV91" s="16"/>
      <c r="CW91" s="16"/>
      <c r="CX91" s="16"/>
      <c r="CY91" s="16"/>
      <c r="CZ91" s="16"/>
      <c r="DA91" s="16"/>
      <c r="DB91" s="16"/>
      <c r="DC91" s="16"/>
      <c r="DD91" s="16"/>
      <c r="DE91" s="16"/>
      <c r="DF91" s="16"/>
      <c r="DG91" s="16"/>
      <c r="DH91" s="16"/>
      <c r="DI91" s="16"/>
      <c r="DJ91" s="16"/>
      <c r="DK91" s="16"/>
      <c r="DL91" s="16"/>
      <c r="DM91" s="16"/>
      <c r="DN91" s="16"/>
      <c r="DO91" s="16"/>
      <c r="DP91" s="16"/>
      <c r="DQ91" s="16"/>
      <c r="DR91" s="16"/>
      <c r="DS91" s="16"/>
      <c r="DT91" s="16"/>
      <c r="DU91" s="16"/>
      <c r="DV91" s="16"/>
      <c r="DW91" s="16"/>
      <c r="DX91" s="16"/>
      <c r="DY91" s="16"/>
      <c r="DZ91" s="16"/>
      <c r="EA91" s="16"/>
      <c r="EB91" s="16"/>
      <c r="EC91" s="16"/>
      <c r="ED91" s="16"/>
      <c r="EE91" s="16"/>
      <c r="EF91" s="16"/>
      <c r="EG91" s="16"/>
      <c r="EH91" s="16"/>
      <c r="EI91" s="16"/>
      <c r="EJ91" s="16"/>
      <c r="EK91" s="16"/>
      <c r="EL91" s="16"/>
      <c r="EM91" s="16"/>
      <c r="EN91" s="16"/>
      <c r="EO91" s="16"/>
      <c r="EP91" s="16"/>
      <c r="EQ91" s="16"/>
      <c r="ER91" s="16"/>
      <c r="ES91" s="16"/>
      <c r="ET91" s="16"/>
      <c r="EU91" s="16"/>
      <c r="EV91" s="16"/>
      <c r="EW91" s="16"/>
      <c r="EX91" s="16"/>
      <c r="EY91" s="16"/>
      <c r="EZ91" s="16"/>
      <c r="FA91" s="16"/>
      <c r="FB91" s="16"/>
      <c r="FC91" s="16"/>
      <c r="FD91" s="16"/>
      <c r="FE91" s="16"/>
      <c r="FF91" s="16"/>
      <c r="FG91" s="16"/>
      <c r="FH91" s="16"/>
      <c r="FI91" s="16"/>
      <c r="FJ91" s="16"/>
      <c r="FK91" s="16"/>
      <c r="FL91" s="16"/>
      <c r="FM91" s="16"/>
      <c r="FN91" s="16"/>
      <c r="FO91" s="16"/>
      <c r="FP91" s="16"/>
      <c r="FQ91" s="16"/>
      <c r="FR91" s="16"/>
      <c r="FS91" s="16"/>
      <c r="FT91" s="16"/>
      <c r="FU91" s="16"/>
      <c r="FV91" s="16"/>
      <c r="FW91" s="16"/>
      <c r="FX91" s="16"/>
      <c r="FY91" s="16"/>
      <c r="FZ91" s="16"/>
      <c r="GA91" s="16"/>
      <c r="GB91" s="16"/>
      <c r="GC91" s="16"/>
      <c r="GD91" s="16"/>
      <c r="GE91" s="16"/>
      <c r="GF91" s="16"/>
      <c r="GG91" s="16"/>
      <c r="GH91" s="16"/>
      <c r="GI91" s="16"/>
      <c r="GJ91" s="16"/>
      <c r="GK91" s="16"/>
      <c r="GL91" s="16"/>
      <c r="GM91" s="16"/>
      <c r="GN91" s="16"/>
      <c r="GO91" s="16"/>
      <c r="GP91" s="16"/>
      <c r="GQ91" s="16"/>
      <c r="GR91" s="16"/>
      <c r="GS91" s="16"/>
      <c r="GT91" s="16"/>
      <c r="GU91" s="16"/>
      <c r="GV91" s="16"/>
      <c r="GW91" s="16"/>
      <c r="GX91" s="16"/>
      <c r="GY91" s="16"/>
      <c r="GZ91" s="16"/>
      <c r="HA91" s="16"/>
      <c r="HB91" s="16"/>
      <c r="HC91" s="16"/>
      <c r="HD91" s="16"/>
      <c r="HE91" s="16"/>
      <c r="HF91" s="16"/>
      <c r="HG91" s="16"/>
      <c r="HH91" s="16"/>
      <c r="HI91" s="16"/>
      <c r="HJ91" s="16"/>
      <c r="HK91" s="16"/>
      <c r="HL91" s="16"/>
      <c r="HM91" s="16"/>
      <c r="HN91" s="16"/>
      <c r="HO91" s="16"/>
      <c r="HP91" s="16"/>
      <c r="HQ91" s="16"/>
      <c r="HR91" s="16"/>
      <c r="HS91" s="16"/>
      <c r="HT91" s="16"/>
      <c r="HU91" s="16"/>
      <c r="HV91" s="16"/>
      <c r="HW91" s="16"/>
      <c r="HX91" s="16"/>
      <c r="HY91" s="16"/>
      <c r="HZ91" s="16"/>
      <c r="IA91" s="16"/>
      <c r="IB91" s="16"/>
      <c r="IC91" s="16"/>
      <c r="ID91" s="16"/>
      <c r="IE91" s="16"/>
      <c r="IF91" s="16"/>
      <c r="IG91" s="16"/>
      <c r="IH91" s="16"/>
      <c r="II91" s="16"/>
      <c r="IJ91" s="16"/>
      <c r="IK91" s="16"/>
      <c r="IL91" s="16"/>
      <c r="IM91" s="16"/>
      <c r="IN91" s="16"/>
      <c r="IO91" s="16"/>
      <c r="IP91" s="16"/>
      <c r="IQ91" s="16"/>
      <c r="IR91" s="16"/>
      <c r="IS91" s="16"/>
      <c r="IT91" s="16"/>
      <c r="IU91" s="16"/>
      <c r="IV91" s="16"/>
      <c r="IW91" s="16"/>
    </row>
    <row r="92" customFormat="false" ht="12.95" hidden="false" customHeight="true" outlineLevel="0" collapsed="false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  <c r="CE92" s="16"/>
      <c r="CF92" s="16"/>
      <c r="CG92" s="16"/>
      <c r="CH92" s="16"/>
      <c r="CI92" s="16"/>
      <c r="CJ92" s="16"/>
      <c r="CK92" s="16"/>
      <c r="CL92" s="16"/>
      <c r="CM92" s="16"/>
      <c r="CN92" s="16"/>
      <c r="CO92" s="16"/>
      <c r="CP92" s="16"/>
      <c r="CQ92" s="16"/>
      <c r="CR92" s="16"/>
      <c r="CS92" s="16"/>
      <c r="CT92" s="16"/>
      <c r="CU92" s="16"/>
      <c r="CV92" s="16"/>
      <c r="CW92" s="16"/>
      <c r="CX92" s="16"/>
      <c r="CY92" s="16"/>
      <c r="CZ92" s="16"/>
      <c r="DA92" s="16"/>
      <c r="DB92" s="16"/>
      <c r="DC92" s="16"/>
      <c r="DD92" s="16"/>
      <c r="DE92" s="16"/>
      <c r="DF92" s="16"/>
      <c r="DG92" s="16"/>
      <c r="DH92" s="16"/>
      <c r="DI92" s="16"/>
      <c r="DJ92" s="16"/>
      <c r="DK92" s="16"/>
      <c r="DL92" s="16"/>
      <c r="DM92" s="16"/>
      <c r="DN92" s="16"/>
      <c r="DO92" s="16"/>
      <c r="DP92" s="16"/>
      <c r="DQ92" s="16"/>
      <c r="DR92" s="16"/>
      <c r="DS92" s="16"/>
      <c r="DT92" s="16"/>
      <c r="DU92" s="16"/>
      <c r="DV92" s="16"/>
      <c r="DW92" s="16"/>
      <c r="DX92" s="16"/>
      <c r="DY92" s="16"/>
      <c r="DZ92" s="16"/>
      <c r="EA92" s="16"/>
      <c r="EB92" s="16"/>
      <c r="EC92" s="16"/>
      <c r="ED92" s="16"/>
      <c r="EE92" s="16"/>
      <c r="EF92" s="16"/>
      <c r="EG92" s="16"/>
      <c r="EH92" s="16"/>
      <c r="EI92" s="16"/>
      <c r="EJ92" s="16"/>
      <c r="EK92" s="16"/>
      <c r="EL92" s="16"/>
      <c r="EM92" s="16"/>
      <c r="EN92" s="16"/>
      <c r="EO92" s="16"/>
      <c r="EP92" s="16"/>
      <c r="EQ92" s="16"/>
      <c r="ER92" s="16"/>
      <c r="ES92" s="16"/>
      <c r="ET92" s="16"/>
      <c r="EU92" s="16"/>
      <c r="EV92" s="16"/>
      <c r="EW92" s="16"/>
      <c r="EX92" s="16"/>
      <c r="EY92" s="16"/>
      <c r="EZ92" s="16"/>
      <c r="FA92" s="16"/>
      <c r="FB92" s="16"/>
      <c r="FC92" s="16"/>
      <c r="FD92" s="16"/>
      <c r="FE92" s="16"/>
      <c r="FF92" s="16"/>
      <c r="FG92" s="16"/>
      <c r="FH92" s="16"/>
      <c r="FI92" s="16"/>
      <c r="FJ92" s="16"/>
      <c r="FK92" s="16"/>
      <c r="FL92" s="16"/>
      <c r="FM92" s="16"/>
      <c r="FN92" s="16"/>
      <c r="FO92" s="16"/>
      <c r="FP92" s="16"/>
      <c r="FQ92" s="16"/>
      <c r="FR92" s="16"/>
      <c r="FS92" s="16"/>
      <c r="FT92" s="16"/>
      <c r="FU92" s="16"/>
      <c r="FV92" s="16"/>
      <c r="FW92" s="16"/>
      <c r="FX92" s="16"/>
      <c r="FY92" s="16"/>
      <c r="FZ92" s="16"/>
      <c r="GA92" s="16"/>
      <c r="GB92" s="16"/>
      <c r="GC92" s="16"/>
      <c r="GD92" s="16"/>
      <c r="GE92" s="16"/>
      <c r="GF92" s="16"/>
      <c r="GG92" s="16"/>
      <c r="GH92" s="16"/>
      <c r="GI92" s="16"/>
      <c r="GJ92" s="16"/>
      <c r="GK92" s="16"/>
      <c r="GL92" s="16"/>
      <c r="GM92" s="16"/>
      <c r="GN92" s="16"/>
      <c r="GO92" s="16"/>
      <c r="GP92" s="16"/>
      <c r="GQ92" s="16"/>
      <c r="GR92" s="16"/>
      <c r="GS92" s="16"/>
      <c r="GT92" s="16"/>
      <c r="GU92" s="16"/>
      <c r="GV92" s="16"/>
      <c r="GW92" s="16"/>
      <c r="GX92" s="16"/>
      <c r="GY92" s="16"/>
      <c r="GZ92" s="16"/>
      <c r="HA92" s="16"/>
      <c r="HB92" s="16"/>
      <c r="HC92" s="16"/>
      <c r="HD92" s="16"/>
      <c r="HE92" s="16"/>
      <c r="HF92" s="16"/>
      <c r="HG92" s="16"/>
      <c r="HH92" s="16"/>
      <c r="HI92" s="16"/>
      <c r="HJ92" s="16"/>
      <c r="HK92" s="16"/>
      <c r="HL92" s="16"/>
      <c r="HM92" s="16"/>
      <c r="HN92" s="16"/>
      <c r="HO92" s="16"/>
      <c r="HP92" s="16"/>
      <c r="HQ92" s="16"/>
      <c r="HR92" s="16"/>
      <c r="HS92" s="16"/>
      <c r="HT92" s="16"/>
      <c r="HU92" s="16"/>
      <c r="HV92" s="16"/>
      <c r="HW92" s="16"/>
      <c r="HX92" s="16"/>
      <c r="HY92" s="16"/>
      <c r="HZ92" s="16"/>
      <c r="IA92" s="16"/>
      <c r="IB92" s="16"/>
      <c r="IC92" s="16"/>
      <c r="ID92" s="16"/>
      <c r="IE92" s="16"/>
      <c r="IF92" s="16"/>
      <c r="IG92" s="16"/>
      <c r="IH92" s="16"/>
      <c r="II92" s="16"/>
      <c r="IJ92" s="16"/>
      <c r="IK92" s="16"/>
      <c r="IL92" s="16"/>
      <c r="IM92" s="16"/>
      <c r="IN92" s="16"/>
      <c r="IO92" s="16"/>
      <c r="IP92" s="16"/>
      <c r="IQ92" s="16"/>
      <c r="IR92" s="16"/>
      <c r="IS92" s="16"/>
      <c r="IT92" s="16"/>
      <c r="IU92" s="16"/>
      <c r="IV92" s="16"/>
      <c r="IW92" s="16"/>
    </row>
    <row r="93" customFormat="false" ht="12.95" hidden="false" customHeight="true" outlineLevel="0" collapsed="false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  <c r="CE93" s="16"/>
      <c r="CF93" s="16"/>
      <c r="CG93" s="16"/>
      <c r="CH93" s="16"/>
      <c r="CI93" s="16"/>
      <c r="CJ93" s="16"/>
      <c r="CK93" s="16"/>
      <c r="CL93" s="16"/>
      <c r="CM93" s="16"/>
      <c r="CN93" s="16"/>
      <c r="CO93" s="16"/>
      <c r="CP93" s="16"/>
      <c r="CQ93" s="16"/>
      <c r="CR93" s="16"/>
      <c r="CS93" s="16"/>
      <c r="CT93" s="16"/>
      <c r="CU93" s="16"/>
      <c r="CV93" s="16"/>
      <c r="CW93" s="16"/>
      <c r="CX93" s="16"/>
      <c r="CY93" s="16"/>
      <c r="CZ93" s="16"/>
      <c r="DA93" s="16"/>
      <c r="DB93" s="16"/>
      <c r="DC93" s="16"/>
      <c r="DD93" s="16"/>
      <c r="DE93" s="16"/>
      <c r="DF93" s="16"/>
      <c r="DG93" s="16"/>
      <c r="DH93" s="16"/>
      <c r="DI93" s="16"/>
      <c r="DJ93" s="16"/>
      <c r="DK93" s="16"/>
      <c r="DL93" s="16"/>
      <c r="DM93" s="16"/>
      <c r="DN93" s="16"/>
      <c r="DO93" s="16"/>
      <c r="DP93" s="16"/>
      <c r="DQ93" s="16"/>
      <c r="DR93" s="16"/>
      <c r="DS93" s="16"/>
      <c r="DT93" s="16"/>
      <c r="DU93" s="16"/>
      <c r="DV93" s="16"/>
      <c r="DW93" s="16"/>
      <c r="DX93" s="16"/>
      <c r="DY93" s="16"/>
      <c r="DZ93" s="16"/>
      <c r="EA93" s="16"/>
      <c r="EB93" s="16"/>
      <c r="EC93" s="16"/>
      <c r="ED93" s="16"/>
      <c r="EE93" s="16"/>
      <c r="EF93" s="16"/>
      <c r="EG93" s="16"/>
      <c r="EH93" s="16"/>
      <c r="EI93" s="16"/>
      <c r="EJ93" s="16"/>
      <c r="EK93" s="16"/>
      <c r="EL93" s="16"/>
      <c r="EM93" s="16"/>
      <c r="EN93" s="16"/>
      <c r="EO93" s="16"/>
      <c r="EP93" s="16"/>
      <c r="EQ93" s="16"/>
      <c r="ER93" s="16"/>
      <c r="ES93" s="16"/>
      <c r="ET93" s="16"/>
      <c r="EU93" s="16"/>
      <c r="EV93" s="16"/>
      <c r="EW93" s="16"/>
      <c r="EX93" s="16"/>
      <c r="EY93" s="16"/>
      <c r="EZ93" s="16"/>
      <c r="FA93" s="16"/>
      <c r="FB93" s="16"/>
      <c r="FC93" s="16"/>
      <c r="FD93" s="16"/>
      <c r="FE93" s="16"/>
      <c r="FF93" s="16"/>
      <c r="FG93" s="16"/>
      <c r="FH93" s="16"/>
      <c r="FI93" s="16"/>
      <c r="FJ93" s="16"/>
      <c r="FK93" s="16"/>
      <c r="FL93" s="16"/>
      <c r="FM93" s="16"/>
      <c r="FN93" s="16"/>
      <c r="FO93" s="16"/>
      <c r="FP93" s="16"/>
      <c r="FQ93" s="16"/>
      <c r="FR93" s="16"/>
      <c r="FS93" s="16"/>
      <c r="FT93" s="16"/>
      <c r="FU93" s="16"/>
      <c r="FV93" s="16"/>
      <c r="FW93" s="16"/>
      <c r="FX93" s="16"/>
      <c r="FY93" s="16"/>
      <c r="FZ93" s="16"/>
      <c r="GA93" s="16"/>
      <c r="GB93" s="16"/>
      <c r="GC93" s="16"/>
      <c r="GD93" s="16"/>
      <c r="GE93" s="16"/>
      <c r="GF93" s="16"/>
      <c r="GG93" s="16"/>
      <c r="GH93" s="16"/>
      <c r="GI93" s="16"/>
      <c r="GJ93" s="16"/>
      <c r="GK93" s="16"/>
      <c r="GL93" s="16"/>
      <c r="GM93" s="16"/>
      <c r="GN93" s="16"/>
      <c r="GO93" s="16"/>
      <c r="GP93" s="16"/>
      <c r="GQ93" s="16"/>
      <c r="GR93" s="16"/>
      <c r="GS93" s="16"/>
      <c r="GT93" s="16"/>
      <c r="GU93" s="16"/>
      <c r="GV93" s="16"/>
      <c r="GW93" s="16"/>
      <c r="GX93" s="16"/>
      <c r="GY93" s="16"/>
      <c r="GZ93" s="16"/>
      <c r="HA93" s="16"/>
      <c r="HB93" s="16"/>
      <c r="HC93" s="16"/>
      <c r="HD93" s="16"/>
      <c r="HE93" s="16"/>
      <c r="HF93" s="16"/>
      <c r="HG93" s="16"/>
      <c r="HH93" s="16"/>
      <c r="HI93" s="16"/>
      <c r="HJ93" s="16"/>
      <c r="HK93" s="16"/>
      <c r="HL93" s="16"/>
      <c r="HM93" s="16"/>
      <c r="HN93" s="16"/>
      <c r="HO93" s="16"/>
      <c r="HP93" s="16"/>
      <c r="HQ93" s="16"/>
      <c r="HR93" s="16"/>
      <c r="HS93" s="16"/>
      <c r="HT93" s="16"/>
      <c r="HU93" s="16"/>
      <c r="HV93" s="16"/>
      <c r="HW93" s="16"/>
      <c r="HX93" s="16"/>
      <c r="HY93" s="16"/>
      <c r="HZ93" s="16"/>
      <c r="IA93" s="16"/>
      <c r="IB93" s="16"/>
      <c r="IC93" s="16"/>
      <c r="ID93" s="16"/>
      <c r="IE93" s="16"/>
      <c r="IF93" s="16"/>
      <c r="IG93" s="16"/>
      <c r="IH93" s="16"/>
      <c r="II93" s="16"/>
      <c r="IJ93" s="16"/>
      <c r="IK93" s="16"/>
      <c r="IL93" s="16"/>
      <c r="IM93" s="16"/>
      <c r="IN93" s="16"/>
      <c r="IO93" s="16"/>
      <c r="IP93" s="16"/>
      <c r="IQ93" s="16"/>
      <c r="IR93" s="16"/>
      <c r="IS93" s="16"/>
      <c r="IT93" s="16"/>
      <c r="IU93" s="16"/>
      <c r="IV93" s="16"/>
      <c r="IW93" s="16"/>
    </row>
    <row r="94" customFormat="false" ht="12.95" hidden="false" customHeight="true" outlineLevel="0" collapsed="false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  <c r="CE94" s="16"/>
      <c r="CF94" s="16"/>
      <c r="CG94" s="16"/>
      <c r="CH94" s="16"/>
      <c r="CI94" s="16"/>
      <c r="CJ94" s="16"/>
      <c r="CK94" s="16"/>
      <c r="CL94" s="16"/>
      <c r="CM94" s="16"/>
      <c r="CN94" s="16"/>
      <c r="CO94" s="16"/>
      <c r="CP94" s="16"/>
      <c r="CQ94" s="16"/>
      <c r="CR94" s="16"/>
      <c r="CS94" s="16"/>
      <c r="CT94" s="16"/>
      <c r="CU94" s="16"/>
      <c r="CV94" s="16"/>
      <c r="CW94" s="16"/>
      <c r="CX94" s="16"/>
      <c r="CY94" s="16"/>
      <c r="CZ94" s="16"/>
      <c r="DA94" s="16"/>
      <c r="DB94" s="16"/>
      <c r="DC94" s="16"/>
      <c r="DD94" s="16"/>
      <c r="DE94" s="16"/>
      <c r="DF94" s="16"/>
      <c r="DG94" s="16"/>
      <c r="DH94" s="16"/>
      <c r="DI94" s="16"/>
      <c r="DJ94" s="16"/>
      <c r="DK94" s="16"/>
      <c r="DL94" s="16"/>
      <c r="DM94" s="16"/>
      <c r="DN94" s="16"/>
      <c r="DO94" s="16"/>
      <c r="DP94" s="16"/>
      <c r="DQ94" s="16"/>
      <c r="DR94" s="16"/>
      <c r="DS94" s="16"/>
      <c r="DT94" s="16"/>
      <c r="DU94" s="16"/>
      <c r="DV94" s="16"/>
      <c r="DW94" s="16"/>
      <c r="DX94" s="16"/>
      <c r="DY94" s="16"/>
      <c r="DZ94" s="16"/>
      <c r="EA94" s="16"/>
      <c r="EB94" s="16"/>
      <c r="EC94" s="16"/>
      <c r="ED94" s="16"/>
      <c r="EE94" s="16"/>
      <c r="EF94" s="16"/>
      <c r="EG94" s="16"/>
      <c r="EH94" s="16"/>
      <c r="EI94" s="16"/>
      <c r="EJ94" s="16"/>
      <c r="EK94" s="16"/>
      <c r="EL94" s="16"/>
      <c r="EM94" s="16"/>
      <c r="EN94" s="16"/>
      <c r="EO94" s="16"/>
      <c r="EP94" s="16"/>
      <c r="EQ94" s="16"/>
      <c r="ER94" s="16"/>
      <c r="ES94" s="16"/>
      <c r="ET94" s="16"/>
      <c r="EU94" s="16"/>
      <c r="EV94" s="16"/>
      <c r="EW94" s="16"/>
      <c r="EX94" s="16"/>
      <c r="EY94" s="16"/>
      <c r="EZ94" s="16"/>
      <c r="FA94" s="16"/>
      <c r="FB94" s="16"/>
      <c r="FC94" s="16"/>
      <c r="FD94" s="16"/>
      <c r="FE94" s="16"/>
      <c r="FF94" s="16"/>
      <c r="FG94" s="16"/>
      <c r="FH94" s="16"/>
      <c r="FI94" s="16"/>
      <c r="FJ94" s="16"/>
      <c r="FK94" s="16"/>
      <c r="FL94" s="16"/>
      <c r="FM94" s="16"/>
      <c r="FN94" s="16"/>
      <c r="FO94" s="16"/>
      <c r="FP94" s="16"/>
      <c r="FQ94" s="16"/>
      <c r="FR94" s="16"/>
      <c r="FS94" s="16"/>
      <c r="FT94" s="16"/>
      <c r="FU94" s="16"/>
      <c r="FV94" s="16"/>
      <c r="FW94" s="16"/>
      <c r="FX94" s="16"/>
      <c r="FY94" s="16"/>
      <c r="FZ94" s="16"/>
      <c r="GA94" s="16"/>
      <c r="GB94" s="16"/>
      <c r="GC94" s="16"/>
      <c r="GD94" s="16"/>
      <c r="GE94" s="16"/>
      <c r="GF94" s="16"/>
      <c r="GG94" s="16"/>
      <c r="GH94" s="16"/>
      <c r="GI94" s="16"/>
      <c r="GJ94" s="16"/>
      <c r="GK94" s="16"/>
      <c r="GL94" s="16"/>
      <c r="GM94" s="16"/>
      <c r="GN94" s="16"/>
      <c r="GO94" s="16"/>
      <c r="GP94" s="16"/>
      <c r="GQ94" s="16"/>
      <c r="GR94" s="16"/>
      <c r="GS94" s="16"/>
      <c r="GT94" s="16"/>
      <c r="GU94" s="16"/>
      <c r="GV94" s="16"/>
      <c r="GW94" s="16"/>
      <c r="GX94" s="16"/>
      <c r="GY94" s="16"/>
      <c r="GZ94" s="16"/>
      <c r="HA94" s="16"/>
      <c r="HB94" s="16"/>
      <c r="HC94" s="16"/>
      <c r="HD94" s="16"/>
      <c r="HE94" s="16"/>
      <c r="HF94" s="16"/>
      <c r="HG94" s="16"/>
      <c r="HH94" s="16"/>
      <c r="HI94" s="16"/>
      <c r="HJ94" s="16"/>
      <c r="HK94" s="16"/>
      <c r="HL94" s="16"/>
      <c r="HM94" s="16"/>
      <c r="HN94" s="16"/>
      <c r="HO94" s="16"/>
      <c r="HP94" s="16"/>
      <c r="HQ94" s="16"/>
      <c r="HR94" s="16"/>
      <c r="HS94" s="16"/>
      <c r="HT94" s="16"/>
      <c r="HU94" s="16"/>
      <c r="HV94" s="16"/>
      <c r="HW94" s="16"/>
      <c r="HX94" s="16"/>
      <c r="HY94" s="16"/>
      <c r="HZ94" s="16"/>
      <c r="IA94" s="16"/>
      <c r="IB94" s="16"/>
      <c r="IC94" s="16"/>
      <c r="ID94" s="16"/>
      <c r="IE94" s="16"/>
      <c r="IF94" s="16"/>
      <c r="IG94" s="16"/>
      <c r="IH94" s="16"/>
      <c r="II94" s="16"/>
      <c r="IJ94" s="16"/>
      <c r="IK94" s="16"/>
      <c r="IL94" s="16"/>
      <c r="IM94" s="16"/>
      <c r="IN94" s="16"/>
      <c r="IO94" s="16"/>
      <c r="IP94" s="16"/>
      <c r="IQ94" s="16"/>
      <c r="IR94" s="16"/>
      <c r="IS94" s="16"/>
      <c r="IT94" s="16"/>
      <c r="IU94" s="16"/>
      <c r="IV94" s="16"/>
      <c r="IW94" s="16"/>
    </row>
    <row r="95" customFormat="false" ht="12.95" hidden="false" customHeight="true" outlineLevel="0" collapsed="false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  <c r="CE95" s="16"/>
      <c r="CF95" s="16"/>
      <c r="CG95" s="16"/>
      <c r="CH95" s="16"/>
      <c r="CI95" s="16"/>
      <c r="CJ95" s="16"/>
      <c r="CK95" s="16"/>
      <c r="CL95" s="16"/>
      <c r="CM95" s="16"/>
      <c r="CN95" s="16"/>
      <c r="CO95" s="16"/>
      <c r="CP95" s="16"/>
      <c r="CQ95" s="16"/>
      <c r="CR95" s="16"/>
      <c r="CS95" s="16"/>
      <c r="CT95" s="16"/>
      <c r="CU95" s="16"/>
      <c r="CV95" s="16"/>
      <c r="CW95" s="16"/>
      <c r="CX95" s="16"/>
      <c r="CY95" s="16"/>
      <c r="CZ95" s="16"/>
      <c r="DA95" s="16"/>
      <c r="DB95" s="16"/>
      <c r="DC95" s="16"/>
      <c r="DD95" s="16"/>
      <c r="DE95" s="16"/>
      <c r="DF95" s="16"/>
      <c r="DG95" s="16"/>
      <c r="DH95" s="16"/>
      <c r="DI95" s="16"/>
      <c r="DJ95" s="16"/>
      <c r="DK95" s="16"/>
      <c r="DL95" s="16"/>
      <c r="DM95" s="16"/>
      <c r="DN95" s="16"/>
      <c r="DO95" s="16"/>
      <c r="DP95" s="16"/>
      <c r="DQ95" s="16"/>
      <c r="DR95" s="16"/>
      <c r="DS95" s="16"/>
      <c r="DT95" s="16"/>
      <c r="DU95" s="16"/>
      <c r="DV95" s="16"/>
      <c r="DW95" s="16"/>
      <c r="DX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J95" s="16"/>
      <c r="EK95" s="16"/>
      <c r="EL95" s="16"/>
      <c r="EM95" s="16"/>
      <c r="EN95" s="16"/>
      <c r="EO95" s="16"/>
      <c r="EP95" s="16"/>
      <c r="EQ95" s="16"/>
      <c r="ER95" s="16"/>
      <c r="ES95" s="16"/>
      <c r="ET95" s="16"/>
      <c r="EU95" s="16"/>
      <c r="EV95" s="16"/>
      <c r="EW95" s="16"/>
      <c r="EX95" s="16"/>
      <c r="EY95" s="16"/>
      <c r="EZ95" s="16"/>
      <c r="FA95" s="16"/>
      <c r="FB95" s="16"/>
      <c r="FC95" s="16"/>
      <c r="FD95" s="16"/>
      <c r="FE95" s="16"/>
      <c r="FF95" s="16"/>
      <c r="FG95" s="16"/>
      <c r="FH95" s="16"/>
      <c r="FI95" s="16"/>
      <c r="FJ95" s="16"/>
      <c r="FK95" s="16"/>
      <c r="FL95" s="16"/>
      <c r="FM95" s="16"/>
      <c r="FN95" s="16"/>
      <c r="FO95" s="16"/>
      <c r="FP95" s="16"/>
      <c r="FQ95" s="16"/>
      <c r="FR95" s="16"/>
      <c r="FS95" s="16"/>
      <c r="FT95" s="16"/>
      <c r="FU95" s="16"/>
      <c r="FV95" s="16"/>
      <c r="FW95" s="16"/>
      <c r="FX95" s="16"/>
      <c r="FY95" s="16"/>
      <c r="FZ95" s="16"/>
      <c r="GA95" s="16"/>
      <c r="GB95" s="16"/>
      <c r="GC95" s="16"/>
      <c r="GD95" s="16"/>
      <c r="GE95" s="16"/>
      <c r="GF95" s="16"/>
      <c r="GG95" s="16"/>
      <c r="GH95" s="16"/>
      <c r="GI95" s="16"/>
      <c r="GJ95" s="16"/>
      <c r="GK95" s="16"/>
      <c r="GL95" s="16"/>
      <c r="GM95" s="16"/>
      <c r="GN95" s="16"/>
      <c r="GO95" s="16"/>
      <c r="GP95" s="16"/>
      <c r="GQ95" s="16"/>
      <c r="GR95" s="16"/>
      <c r="GS95" s="16"/>
      <c r="GT95" s="16"/>
      <c r="GU95" s="16"/>
      <c r="GV95" s="16"/>
      <c r="GW95" s="16"/>
      <c r="GX95" s="16"/>
      <c r="GY95" s="16"/>
      <c r="GZ95" s="16"/>
      <c r="HA95" s="16"/>
      <c r="HB95" s="16"/>
      <c r="HC95" s="16"/>
      <c r="HD95" s="16"/>
      <c r="HE95" s="16"/>
      <c r="HF95" s="16"/>
      <c r="HG95" s="16"/>
      <c r="HH95" s="16"/>
      <c r="HI95" s="16"/>
      <c r="HJ95" s="16"/>
      <c r="HK95" s="16"/>
      <c r="HL95" s="16"/>
      <c r="HM95" s="16"/>
      <c r="HN95" s="16"/>
      <c r="HO95" s="16"/>
      <c r="HP95" s="16"/>
      <c r="HQ95" s="16"/>
      <c r="HR95" s="16"/>
      <c r="HS95" s="16"/>
      <c r="HT95" s="16"/>
      <c r="HU95" s="16"/>
      <c r="HV95" s="16"/>
      <c r="HW95" s="16"/>
      <c r="HX95" s="16"/>
      <c r="HY95" s="16"/>
      <c r="HZ95" s="16"/>
      <c r="IA95" s="16"/>
      <c r="IB95" s="16"/>
      <c r="IC95" s="16"/>
      <c r="ID95" s="16"/>
      <c r="IE95" s="16"/>
      <c r="IF95" s="16"/>
      <c r="IG95" s="16"/>
      <c r="IH95" s="16"/>
      <c r="II95" s="16"/>
      <c r="IJ95" s="16"/>
      <c r="IK95" s="16"/>
      <c r="IL95" s="16"/>
      <c r="IM95" s="16"/>
      <c r="IN95" s="16"/>
      <c r="IO95" s="16"/>
      <c r="IP95" s="16"/>
      <c r="IQ95" s="16"/>
      <c r="IR95" s="16"/>
      <c r="IS95" s="16"/>
      <c r="IT95" s="16"/>
      <c r="IU95" s="16"/>
      <c r="IV95" s="16"/>
      <c r="IW95" s="16"/>
    </row>
    <row r="96" customFormat="false" ht="12.95" hidden="false" customHeight="true" outlineLevel="0" collapsed="false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F96" s="16"/>
      <c r="CG96" s="16"/>
      <c r="CH96" s="16"/>
      <c r="CI96" s="16"/>
      <c r="CJ96" s="16"/>
      <c r="CK96" s="16"/>
      <c r="CL96" s="16"/>
      <c r="CM96" s="16"/>
      <c r="CN96" s="16"/>
      <c r="CO96" s="16"/>
      <c r="CP96" s="16"/>
      <c r="CQ96" s="16"/>
      <c r="CR96" s="16"/>
      <c r="CS96" s="16"/>
      <c r="CT96" s="16"/>
      <c r="CU96" s="16"/>
      <c r="CV96" s="16"/>
      <c r="CW96" s="16"/>
      <c r="CX96" s="16"/>
      <c r="CY96" s="16"/>
      <c r="CZ96" s="16"/>
      <c r="DA96" s="16"/>
      <c r="DB96" s="16"/>
      <c r="DC96" s="16"/>
      <c r="DD96" s="16"/>
      <c r="DE96" s="16"/>
      <c r="DF96" s="16"/>
      <c r="DG96" s="16"/>
      <c r="DH96" s="16"/>
      <c r="DI96" s="16"/>
      <c r="DJ96" s="16"/>
      <c r="DK96" s="16"/>
      <c r="DL96" s="16"/>
      <c r="DM96" s="16"/>
      <c r="DN96" s="16"/>
      <c r="DO96" s="16"/>
      <c r="DP96" s="16"/>
      <c r="DQ96" s="16"/>
      <c r="DR96" s="16"/>
      <c r="DS96" s="16"/>
      <c r="DT96" s="16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6"/>
      <c r="EU96" s="16"/>
      <c r="EV96" s="16"/>
      <c r="EW96" s="16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6"/>
      <c r="FK96" s="16"/>
      <c r="FL96" s="16"/>
      <c r="FM96" s="16"/>
      <c r="FN96" s="16"/>
      <c r="FO96" s="16"/>
      <c r="FP96" s="16"/>
      <c r="FQ96" s="16"/>
      <c r="FR96" s="16"/>
      <c r="FS96" s="16"/>
      <c r="FT96" s="16"/>
      <c r="FU96" s="16"/>
      <c r="FV96" s="16"/>
      <c r="FW96" s="16"/>
      <c r="FX96" s="16"/>
      <c r="FY96" s="16"/>
      <c r="FZ96" s="16"/>
      <c r="GA96" s="16"/>
      <c r="GB96" s="16"/>
      <c r="GC96" s="16"/>
      <c r="GD96" s="16"/>
      <c r="GE96" s="16"/>
      <c r="GF96" s="16"/>
      <c r="GG96" s="16"/>
      <c r="GH96" s="16"/>
      <c r="GI96" s="16"/>
      <c r="GJ96" s="16"/>
      <c r="GK96" s="16"/>
      <c r="GL96" s="16"/>
      <c r="GM96" s="16"/>
      <c r="GN96" s="16"/>
      <c r="GO96" s="16"/>
      <c r="GP96" s="16"/>
      <c r="GQ96" s="16"/>
      <c r="GR96" s="16"/>
      <c r="GS96" s="16"/>
      <c r="GT96" s="16"/>
      <c r="GU96" s="16"/>
      <c r="GV96" s="16"/>
      <c r="GW96" s="16"/>
      <c r="GX96" s="16"/>
      <c r="GY96" s="16"/>
      <c r="GZ96" s="16"/>
      <c r="HA96" s="16"/>
      <c r="HB96" s="16"/>
      <c r="HC96" s="16"/>
      <c r="HD96" s="16"/>
      <c r="HE96" s="16"/>
      <c r="HF96" s="16"/>
      <c r="HG96" s="16"/>
      <c r="HH96" s="16"/>
      <c r="HI96" s="16"/>
      <c r="HJ96" s="16"/>
      <c r="HK96" s="16"/>
      <c r="HL96" s="16"/>
      <c r="HM96" s="16"/>
      <c r="HN96" s="16"/>
      <c r="HO96" s="16"/>
      <c r="HP96" s="16"/>
      <c r="HQ96" s="16"/>
      <c r="HR96" s="16"/>
      <c r="HS96" s="16"/>
      <c r="HT96" s="16"/>
      <c r="HU96" s="16"/>
      <c r="HV96" s="16"/>
      <c r="HW96" s="16"/>
      <c r="HX96" s="16"/>
      <c r="HY96" s="16"/>
      <c r="HZ96" s="16"/>
      <c r="IA96" s="16"/>
      <c r="IB96" s="16"/>
      <c r="IC96" s="16"/>
      <c r="ID96" s="16"/>
      <c r="IE96" s="16"/>
      <c r="IF96" s="16"/>
      <c r="IG96" s="16"/>
      <c r="IH96" s="16"/>
      <c r="II96" s="16"/>
      <c r="IJ96" s="16"/>
      <c r="IK96" s="16"/>
      <c r="IL96" s="16"/>
      <c r="IM96" s="16"/>
      <c r="IN96" s="16"/>
      <c r="IO96" s="16"/>
      <c r="IP96" s="16"/>
      <c r="IQ96" s="16"/>
      <c r="IR96" s="16"/>
      <c r="IS96" s="16"/>
      <c r="IT96" s="16"/>
      <c r="IU96" s="16"/>
      <c r="IV96" s="16"/>
      <c r="IW96" s="16"/>
    </row>
    <row r="97" customFormat="false" ht="12.95" hidden="false" customHeight="true" outlineLevel="0" collapsed="false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6"/>
      <c r="CK97" s="16"/>
      <c r="CL97" s="16"/>
      <c r="CM97" s="16"/>
      <c r="CN97" s="16"/>
      <c r="CO97" s="16"/>
      <c r="CP97" s="16"/>
      <c r="CQ97" s="16"/>
      <c r="CR97" s="16"/>
      <c r="CS97" s="16"/>
      <c r="CT97" s="16"/>
      <c r="CU97" s="16"/>
      <c r="CV97" s="16"/>
      <c r="CW97" s="16"/>
      <c r="CX97" s="16"/>
      <c r="CY97" s="16"/>
      <c r="CZ97" s="16"/>
      <c r="DA97" s="16"/>
      <c r="DB97" s="16"/>
      <c r="DC97" s="16"/>
      <c r="DD97" s="16"/>
      <c r="DE97" s="16"/>
      <c r="DF97" s="16"/>
      <c r="DG97" s="16"/>
      <c r="DH97" s="16"/>
      <c r="DI97" s="16"/>
      <c r="DJ97" s="16"/>
      <c r="DK97" s="16"/>
      <c r="DL97" s="16"/>
      <c r="DM97" s="16"/>
      <c r="DN97" s="16"/>
      <c r="DO97" s="16"/>
      <c r="DP97" s="16"/>
      <c r="DQ97" s="16"/>
      <c r="DR97" s="16"/>
      <c r="DS97" s="16"/>
      <c r="DT97" s="16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6"/>
      <c r="EU97" s="16"/>
      <c r="EV97" s="16"/>
      <c r="EW97" s="16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6"/>
      <c r="FK97" s="16"/>
      <c r="FL97" s="16"/>
      <c r="FM97" s="16"/>
      <c r="FN97" s="16"/>
      <c r="FO97" s="16"/>
      <c r="FP97" s="16"/>
      <c r="FQ97" s="16"/>
      <c r="FR97" s="16"/>
      <c r="FS97" s="16"/>
      <c r="FT97" s="16"/>
      <c r="FU97" s="16"/>
      <c r="FV97" s="16"/>
      <c r="FW97" s="16"/>
      <c r="FX97" s="16"/>
      <c r="FY97" s="16"/>
      <c r="FZ97" s="16"/>
      <c r="GA97" s="16"/>
      <c r="GB97" s="16"/>
      <c r="GC97" s="16"/>
      <c r="GD97" s="16"/>
      <c r="GE97" s="16"/>
      <c r="GF97" s="16"/>
      <c r="GG97" s="16"/>
      <c r="GH97" s="16"/>
      <c r="GI97" s="16"/>
      <c r="GJ97" s="16"/>
      <c r="GK97" s="16"/>
      <c r="GL97" s="16"/>
      <c r="GM97" s="16"/>
      <c r="GN97" s="16"/>
      <c r="GO97" s="16"/>
      <c r="GP97" s="16"/>
      <c r="GQ97" s="16"/>
      <c r="GR97" s="16"/>
      <c r="GS97" s="16"/>
      <c r="GT97" s="16"/>
      <c r="GU97" s="16"/>
      <c r="GV97" s="16"/>
      <c r="GW97" s="16"/>
      <c r="GX97" s="16"/>
      <c r="GY97" s="16"/>
      <c r="GZ97" s="16"/>
      <c r="HA97" s="16"/>
      <c r="HB97" s="16"/>
      <c r="HC97" s="16"/>
      <c r="HD97" s="16"/>
      <c r="HE97" s="16"/>
      <c r="HF97" s="16"/>
      <c r="HG97" s="16"/>
      <c r="HH97" s="16"/>
      <c r="HI97" s="16"/>
      <c r="HJ97" s="16"/>
      <c r="HK97" s="16"/>
      <c r="HL97" s="16"/>
      <c r="HM97" s="16"/>
      <c r="HN97" s="16"/>
      <c r="HO97" s="16"/>
      <c r="HP97" s="16"/>
      <c r="HQ97" s="16"/>
      <c r="HR97" s="16"/>
      <c r="HS97" s="16"/>
      <c r="HT97" s="16"/>
      <c r="HU97" s="16"/>
      <c r="HV97" s="16"/>
      <c r="HW97" s="16"/>
      <c r="HX97" s="16"/>
      <c r="HY97" s="16"/>
      <c r="HZ97" s="16"/>
      <c r="IA97" s="16"/>
      <c r="IB97" s="16"/>
      <c r="IC97" s="16"/>
      <c r="ID97" s="16"/>
      <c r="IE97" s="16"/>
      <c r="IF97" s="16"/>
      <c r="IG97" s="16"/>
      <c r="IH97" s="16"/>
      <c r="II97" s="16"/>
      <c r="IJ97" s="16"/>
      <c r="IK97" s="16"/>
      <c r="IL97" s="16"/>
      <c r="IM97" s="16"/>
      <c r="IN97" s="16"/>
      <c r="IO97" s="16"/>
      <c r="IP97" s="16"/>
      <c r="IQ97" s="16"/>
      <c r="IR97" s="16"/>
      <c r="IS97" s="16"/>
      <c r="IT97" s="16"/>
      <c r="IU97" s="16"/>
      <c r="IV97" s="16"/>
      <c r="IW97" s="16"/>
    </row>
    <row r="98" customFormat="false" ht="12.95" hidden="false" customHeight="true" outlineLevel="0" collapsed="false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  <c r="CE98" s="16"/>
      <c r="CF98" s="16"/>
      <c r="CG98" s="16"/>
      <c r="CH98" s="16"/>
      <c r="CI98" s="16"/>
      <c r="CJ98" s="16"/>
      <c r="CK98" s="16"/>
      <c r="CL98" s="16"/>
      <c r="CM98" s="16"/>
      <c r="CN98" s="16"/>
      <c r="CO98" s="16"/>
      <c r="CP98" s="16"/>
      <c r="CQ98" s="16"/>
      <c r="CR98" s="16"/>
      <c r="CS98" s="16"/>
      <c r="CT98" s="16"/>
      <c r="CU98" s="16"/>
      <c r="CV98" s="16"/>
      <c r="CW98" s="16"/>
      <c r="CX98" s="16"/>
      <c r="CY98" s="16"/>
      <c r="CZ98" s="16"/>
      <c r="DA98" s="16"/>
      <c r="DB98" s="16"/>
      <c r="DC98" s="16"/>
      <c r="DD98" s="16"/>
      <c r="DE98" s="16"/>
      <c r="DF98" s="16"/>
      <c r="DG98" s="16"/>
      <c r="DH98" s="16"/>
      <c r="DI98" s="16"/>
      <c r="DJ98" s="16"/>
      <c r="DK98" s="16"/>
      <c r="DL98" s="16"/>
      <c r="DM98" s="16"/>
      <c r="DN98" s="16"/>
      <c r="DO98" s="16"/>
      <c r="DP98" s="16"/>
      <c r="DQ98" s="16"/>
      <c r="DR98" s="16"/>
      <c r="DS98" s="16"/>
      <c r="DT98" s="16"/>
      <c r="DU98" s="16"/>
      <c r="DV98" s="16"/>
      <c r="DW98" s="16"/>
      <c r="DX98" s="16"/>
      <c r="DY98" s="16"/>
      <c r="DZ98" s="16"/>
      <c r="EA98" s="16"/>
      <c r="EB98" s="16"/>
      <c r="EC98" s="16"/>
      <c r="ED98" s="16"/>
      <c r="EE98" s="16"/>
      <c r="EF98" s="16"/>
      <c r="EG98" s="16"/>
      <c r="EH98" s="16"/>
      <c r="EI98" s="16"/>
      <c r="EJ98" s="16"/>
      <c r="EK98" s="16"/>
      <c r="EL98" s="16"/>
      <c r="EM98" s="16"/>
      <c r="EN98" s="16"/>
      <c r="EO98" s="16"/>
      <c r="EP98" s="16"/>
      <c r="EQ98" s="16"/>
      <c r="ER98" s="16"/>
      <c r="ES98" s="16"/>
      <c r="ET98" s="16"/>
      <c r="EU98" s="16"/>
      <c r="EV98" s="16"/>
      <c r="EW98" s="16"/>
      <c r="EX98" s="16"/>
      <c r="EY98" s="16"/>
      <c r="EZ98" s="16"/>
      <c r="FA98" s="16"/>
      <c r="FB98" s="16"/>
      <c r="FC98" s="16"/>
      <c r="FD98" s="16"/>
      <c r="FE98" s="16"/>
      <c r="FF98" s="16"/>
      <c r="FG98" s="16"/>
      <c r="FH98" s="16"/>
      <c r="FI98" s="16"/>
      <c r="FJ98" s="16"/>
      <c r="FK98" s="16"/>
      <c r="FL98" s="16"/>
      <c r="FM98" s="16"/>
      <c r="FN98" s="16"/>
      <c r="FO98" s="16"/>
      <c r="FP98" s="16"/>
      <c r="FQ98" s="16"/>
      <c r="FR98" s="16"/>
      <c r="FS98" s="16"/>
      <c r="FT98" s="16"/>
      <c r="FU98" s="16"/>
      <c r="FV98" s="16"/>
      <c r="FW98" s="16"/>
      <c r="FX98" s="16"/>
      <c r="FY98" s="16"/>
      <c r="FZ98" s="16"/>
      <c r="GA98" s="16"/>
      <c r="GB98" s="16"/>
      <c r="GC98" s="16"/>
      <c r="GD98" s="16"/>
      <c r="GE98" s="16"/>
      <c r="GF98" s="16"/>
      <c r="GG98" s="16"/>
      <c r="GH98" s="16"/>
      <c r="GI98" s="16"/>
      <c r="GJ98" s="16"/>
      <c r="GK98" s="16"/>
      <c r="GL98" s="16"/>
      <c r="GM98" s="16"/>
      <c r="GN98" s="16"/>
      <c r="GO98" s="16"/>
      <c r="GP98" s="16"/>
      <c r="GQ98" s="16"/>
      <c r="GR98" s="16"/>
      <c r="GS98" s="16"/>
      <c r="GT98" s="16"/>
      <c r="GU98" s="16"/>
      <c r="GV98" s="16"/>
      <c r="GW98" s="16"/>
      <c r="GX98" s="16"/>
      <c r="GY98" s="16"/>
      <c r="GZ98" s="16"/>
      <c r="HA98" s="16"/>
      <c r="HB98" s="16"/>
      <c r="HC98" s="16"/>
      <c r="HD98" s="16"/>
      <c r="HE98" s="16"/>
      <c r="HF98" s="16"/>
      <c r="HG98" s="16"/>
      <c r="HH98" s="16"/>
      <c r="HI98" s="16"/>
      <c r="HJ98" s="16"/>
      <c r="HK98" s="16"/>
      <c r="HL98" s="16"/>
      <c r="HM98" s="16"/>
      <c r="HN98" s="16"/>
      <c r="HO98" s="16"/>
      <c r="HP98" s="16"/>
      <c r="HQ98" s="16"/>
      <c r="HR98" s="16"/>
      <c r="HS98" s="16"/>
      <c r="HT98" s="16"/>
      <c r="HU98" s="16"/>
      <c r="HV98" s="16"/>
      <c r="HW98" s="16"/>
      <c r="HX98" s="16"/>
      <c r="HY98" s="16"/>
      <c r="HZ98" s="16"/>
      <c r="IA98" s="16"/>
      <c r="IB98" s="16"/>
      <c r="IC98" s="16"/>
      <c r="ID98" s="16"/>
      <c r="IE98" s="16"/>
      <c r="IF98" s="16"/>
      <c r="IG98" s="16"/>
      <c r="IH98" s="16"/>
      <c r="II98" s="16"/>
      <c r="IJ98" s="16"/>
      <c r="IK98" s="16"/>
      <c r="IL98" s="16"/>
      <c r="IM98" s="16"/>
      <c r="IN98" s="16"/>
      <c r="IO98" s="16"/>
      <c r="IP98" s="16"/>
      <c r="IQ98" s="16"/>
      <c r="IR98" s="16"/>
      <c r="IS98" s="16"/>
      <c r="IT98" s="16"/>
      <c r="IU98" s="16"/>
      <c r="IV98" s="16"/>
      <c r="IW98" s="16"/>
    </row>
    <row r="99" customFormat="false" ht="12.95" hidden="false" customHeight="true" outlineLevel="0" collapsed="false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  <c r="CE99" s="16"/>
      <c r="CF99" s="16"/>
      <c r="CG99" s="16"/>
      <c r="CH99" s="16"/>
      <c r="CI99" s="16"/>
      <c r="CJ99" s="16"/>
      <c r="CK99" s="16"/>
      <c r="CL99" s="16"/>
      <c r="CM99" s="16"/>
      <c r="CN99" s="16"/>
      <c r="CO99" s="16"/>
      <c r="CP99" s="16"/>
      <c r="CQ99" s="16"/>
      <c r="CR99" s="16"/>
      <c r="CS99" s="16"/>
      <c r="CT99" s="16"/>
      <c r="CU99" s="16"/>
      <c r="CV99" s="16"/>
      <c r="CW99" s="16"/>
      <c r="CX99" s="16"/>
      <c r="CY99" s="16"/>
      <c r="CZ99" s="16"/>
      <c r="DA99" s="16"/>
      <c r="DB99" s="16"/>
      <c r="DC99" s="16"/>
      <c r="DD99" s="16"/>
      <c r="DE99" s="16"/>
      <c r="DF99" s="16"/>
      <c r="DG99" s="16"/>
      <c r="DH99" s="16"/>
      <c r="DI99" s="16"/>
      <c r="DJ99" s="16"/>
      <c r="DK99" s="16"/>
      <c r="DL99" s="16"/>
      <c r="DM99" s="16"/>
      <c r="DN99" s="16"/>
      <c r="DO99" s="16"/>
      <c r="DP99" s="16"/>
      <c r="DQ99" s="16"/>
      <c r="DR99" s="16"/>
      <c r="DS99" s="16"/>
      <c r="DT99" s="16"/>
      <c r="DU99" s="16"/>
      <c r="DV99" s="16"/>
      <c r="DW99" s="16"/>
      <c r="DX99" s="16"/>
      <c r="DY99" s="16"/>
      <c r="DZ99" s="16"/>
      <c r="EA99" s="16"/>
      <c r="EB99" s="16"/>
      <c r="EC99" s="16"/>
      <c r="ED99" s="16"/>
      <c r="EE99" s="16"/>
      <c r="EF99" s="16"/>
      <c r="EG99" s="16"/>
      <c r="EH99" s="16"/>
      <c r="EI99" s="16"/>
      <c r="EJ99" s="16"/>
      <c r="EK99" s="16"/>
      <c r="EL99" s="16"/>
      <c r="EM99" s="16"/>
      <c r="EN99" s="16"/>
      <c r="EO99" s="16"/>
      <c r="EP99" s="16"/>
      <c r="EQ99" s="16"/>
      <c r="ER99" s="16"/>
      <c r="ES99" s="16"/>
      <c r="ET99" s="16"/>
      <c r="EU99" s="16"/>
      <c r="EV99" s="16"/>
      <c r="EW99" s="16"/>
      <c r="EX99" s="16"/>
      <c r="EY99" s="16"/>
      <c r="EZ99" s="16"/>
      <c r="FA99" s="16"/>
      <c r="FB99" s="16"/>
      <c r="FC99" s="16"/>
      <c r="FD99" s="16"/>
      <c r="FE99" s="16"/>
      <c r="FF99" s="16"/>
      <c r="FG99" s="16"/>
      <c r="FH99" s="16"/>
      <c r="FI99" s="16"/>
      <c r="FJ99" s="16"/>
      <c r="FK99" s="16"/>
      <c r="FL99" s="16"/>
      <c r="FM99" s="16"/>
      <c r="FN99" s="16"/>
      <c r="FO99" s="16"/>
      <c r="FP99" s="16"/>
      <c r="FQ99" s="16"/>
      <c r="FR99" s="16"/>
      <c r="FS99" s="16"/>
      <c r="FT99" s="16"/>
      <c r="FU99" s="16"/>
      <c r="FV99" s="16"/>
      <c r="FW99" s="16"/>
      <c r="FX99" s="16"/>
      <c r="FY99" s="16"/>
      <c r="FZ99" s="16"/>
      <c r="GA99" s="16"/>
      <c r="GB99" s="16"/>
      <c r="GC99" s="16"/>
      <c r="GD99" s="16"/>
      <c r="GE99" s="16"/>
      <c r="GF99" s="16"/>
      <c r="GG99" s="16"/>
      <c r="GH99" s="16"/>
      <c r="GI99" s="16"/>
      <c r="GJ99" s="16"/>
      <c r="GK99" s="16"/>
      <c r="GL99" s="16"/>
      <c r="GM99" s="16"/>
      <c r="GN99" s="16"/>
      <c r="GO99" s="16"/>
      <c r="GP99" s="16"/>
      <c r="GQ99" s="16"/>
      <c r="GR99" s="16"/>
      <c r="GS99" s="16"/>
      <c r="GT99" s="16"/>
      <c r="GU99" s="16"/>
      <c r="GV99" s="16"/>
      <c r="GW99" s="16"/>
      <c r="GX99" s="16"/>
      <c r="GY99" s="16"/>
      <c r="GZ99" s="16"/>
      <c r="HA99" s="16"/>
      <c r="HB99" s="16"/>
      <c r="HC99" s="16"/>
      <c r="HD99" s="16"/>
      <c r="HE99" s="16"/>
      <c r="HF99" s="16"/>
      <c r="HG99" s="16"/>
      <c r="HH99" s="16"/>
      <c r="HI99" s="16"/>
      <c r="HJ99" s="16"/>
      <c r="HK99" s="16"/>
      <c r="HL99" s="16"/>
      <c r="HM99" s="16"/>
      <c r="HN99" s="16"/>
      <c r="HO99" s="16"/>
      <c r="HP99" s="16"/>
      <c r="HQ99" s="16"/>
      <c r="HR99" s="16"/>
      <c r="HS99" s="16"/>
      <c r="HT99" s="16"/>
      <c r="HU99" s="16"/>
      <c r="HV99" s="16"/>
      <c r="HW99" s="16"/>
      <c r="HX99" s="16"/>
      <c r="HY99" s="16"/>
      <c r="HZ99" s="16"/>
      <c r="IA99" s="16"/>
      <c r="IB99" s="16"/>
      <c r="IC99" s="16"/>
      <c r="ID99" s="16"/>
      <c r="IE99" s="16"/>
      <c r="IF99" s="16"/>
      <c r="IG99" s="16"/>
      <c r="IH99" s="16"/>
      <c r="II99" s="16"/>
      <c r="IJ99" s="16"/>
      <c r="IK99" s="16"/>
      <c r="IL99" s="16"/>
      <c r="IM99" s="16"/>
      <c r="IN99" s="16"/>
      <c r="IO99" s="16"/>
      <c r="IP99" s="16"/>
      <c r="IQ99" s="16"/>
      <c r="IR99" s="16"/>
      <c r="IS99" s="16"/>
      <c r="IT99" s="16"/>
      <c r="IU99" s="16"/>
      <c r="IV99" s="16"/>
      <c r="IW99" s="16"/>
    </row>
    <row r="100" customFormat="false" ht="12.95" hidden="false" customHeight="true" outlineLevel="0" collapsed="false">
      <c r="A100" s="16"/>
      <c r="B100" s="16"/>
      <c r="C100" s="16"/>
      <c r="D100" s="16"/>
      <c r="E100" s="16"/>
    </row>
    <row r="101" customFormat="false" ht="12.95" hidden="false" customHeight="true" outlineLevel="0" collapsed="false">
      <c r="A101" s="16"/>
      <c r="B101" s="16"/>
      <c r="C101" s="16"/>
      <c r="D101" s="16"/>
      <c r="E101" s="16"/>
    </row>
    <row r="102" customFormat="false" ht="12.95" hidden="false" customHeight="true" outlineLevel="0" collapsed="false">
      <c r="A102" s="16"/>
      <c r="B102" s="16"/>
      <c r="C102" s="16"/>
      <c r="D102" s="16"/>
    </row>
    <row r="103" customFormat="false" ht="12.95" hidden="false" customHeight="true" outlineLevel="0" collapsed="false"/>
    <row r="104" customFormat="false" ht="12.95" hidden="false" customHeight="true" outlineLevel="0" collapsed="false"/>
    <row r="105" customFormat="false" ht="12.95" hidden="false" customHeight="true" outlineLevel="0" collapsed="false"/>
    <row r="106" customFormat="false" ht="12.95" hidden="false" customHeight="true" outlineLevel="0" collapsed="false"/>
    <row r="107" customFormat="false" ht="12.95" hidden="false" customHeight="true" outlineLevel="0" collapsed="false"/>
    <row r="108" customFormat="false" ht="12.95" hidden="false" customHeight="true" outlineLevel="0" collapsed="false"/>
    <row r="109" customFormat="false" ht="12.95" hidden="false" customHeight="true" outlineLevel="0" collapsed="false"/>
    <row r="110" customFormat="false" ht="12.95" hidden="false" customHeight="true" outlineLevel="0" collapsed="false"/>
    <row r="111" customFormat="false" ht="12.95" hidden="false" customHeight="true" outlineLevel="0" collapsed="false"/>
    <row r="112" customFormat="false" ht="12.95" hidden="false" customHeight="true" outlineLevel="0" collapsed="false"/>
    <row r="113" customFormat="false" ht="12.95" hidden="false" customHeight="true" outlineLevel="0" collapsed="false"/>
    <row r="114" customFormat="false" ht="12.95" hidden="false" customHeight="true" outlineLevel="0" collapsed="false"/>
    <row r="115" customFormat="false" ht="12.95" hidden="false" customHeight="true" outlineLevel="0" collapsed="false"/>
    <row r="116" customFormat="false" ht="12.95" hidden="false" customHeight="true" outlineLevel="0" collapsed="false"/>
    <row r="117" customFormat="false" ht="12.95" hidden="false" customHeight="true" outlineLevel="0" collapsed="false"/>
    <row r="118" customFormat="false" ht="12.95" hidden="false" customHeight="true" outlineLevel="0" collapsed="false"/>
    <row r="119" customFormat="false" ht="12.95" hidden="false" customHeight="true" outlineLevel="0" collapsed="false"/>
    <row r="120" customFormat="false" ht="12.95" hidden="false" customHeight="true" outlineLevel="0" collapsed="false"/>
    <row r="121" customFormat="false" ht="12.95" hidden="false" customHeight="true" outlineLevel="0" collapsed="false"/>
    <row r="122" customFormat="false" ht="12.95" hidden="false" customHeight="true" outlineLevel="0" collapsed="false"/>
    <row r="123" customFormat="false" ht="12.95" hidden="false" customHeight="true" outlineLevel="0" collapsed="false"/>
    <row r="124" customFormat="false" ht="12.95" hidden="false" customHeight="true" outlineLevel="0" collapsed="false"/>
    <row r="125" customFormat="false" ht="12.95" hidden="false" customHeight="true" outlineLevel="0" collapsed="false"/>
    <row r="126" customFormat="false" ht="12.95" hidden="false" customHeight="true" outlineLevel="0" collapsed="false"/>
    <row r="127" customFormat="false" ht="12.95" hidden="false" customHeight="true" outlineLevel="0" collapsed="false"/>
    <row r="128" customFormat="false" ht="12.95" hidden="false" customHeight="true" outlineLevel="0" collapsed="false"/>
    <row r="129" customFormat="false" ht="12.95" hidden="false" customHeight="true" outlineLevel="0" collapsed="false"/>
    <row r="130" customFormat="false" ht="12.95" hidden="false" customHeight="true" outlineLevel="0" collapsed="false"/>
    <row r="131" customFormat="false" ht="12.95" hidden="false" customHeight="true" outlineLevel="0" collapsed="false"/>
    <row r="132" customFormat="false" ht="12.95" hidden="false" customHeight="true" outlineLevel="0" collapsed="false"/>
    <row r="133" customFormat="false" ht="12.95" hidden="false" customHeight="true" outlineLevel="0" collapsed="false"/>
    <row r="134" customFormat="false" ht="12.95" hidden="false" customHeight="true" outlineLevel="0" collapsed="false"/>
    <row r="135" customFormat="false" ht="12.95" hidden="false" customHeight="true" outlineLevel="0" collapsed="false"/>
    <row r="136" customFormat="false" ht="12.95" hidden="false" customHeight="true" outlineLevel="0" collapsed="false"/>
    <row r="137" customFormat="false" ht="12.95" hidden="false" customHeight="true" outlineLevel="0" collapsed="false"/>
    <row r="138" customFormat="false" ht="12.95" hidden="false" customHeight="true" outlineLevel="0" collapsed="false"/>
    <row r="139" customFormat="false" ht="12.95" hidden="false" customHeight="true" outlineLevel="0" collapsed="false"/>
    <row r="140" customFormat="false" ht="12.95" hidden="false" customHeight="true" outlineLevel="0" collapsed="false"/>
  </sheetData>
  <mergeCells count="18">
    <mergeCell ref="U7:W7"/>
    <mergeCell ref="X7:Y7"/>
    <mergeCell ref="E8:F8"/>
    <mergeCell ref="I8:K8"/>
    <mergeCell ref="L8:N8"/>
    <mergeCell ref="O8:Q8"/>
    <mergeCell ref="U42:Y42"/>
    <mergeCell ref="B43:C43"/>
    <mergeCell ref="D43:F43"/>
    <mergeCell ref="G43:H43"/>
    <mergeCell ref="J43:K43"/>
    <mergeCell ref="P43:S43"/>
    <mergeCell ref="U43:Y43"/>
    <mergeCell ref="B44:C44"/>
    <mergeCell ref="D44:F44"/>
    <mergeCell ref="G44:H44"/>
    <mergeCell ref="J44:K44"/>
    <mergeCell ref="P44:S44"/>
  </mergeCells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2001-06-07T03:13:28Z</dcterms:created>
  <dc:creator>Grant</dc:creator>
  <dc:description/>
  <dc:language>en-US</dc:language>
  <cp:lastModifiedBy>Grant</cp:lastModifiedBy>
  <cp:lastPrinted>2001-08-08T16:40:20Z</cp:lastPrinted>
  <dcterms:modified xsi:type="dcterms:W3CDTF">2001-08-08T16:41:04Z</dcterms:modified>
  <cp:revision>0</cp:revision>
  <dc:subject/>
  <dc:title/>
</cp:coreProperties>
</file>